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omments2.xml" ContentType="application/vnd.openxmlformats-officedocument.spreadsheetml.comments+xml"/>
  <Override PartName="/xl/comments3.xml" ContentType="application/vnd.openxmlformats-officedocument.spreadsheetml.comments+xml"/>
  <Override PartName="/xl/comments4.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9231"/>
  <workbookPr codeName="현재_통합_문서"/>
  <mc:AlternateContent xmlns:mc="http://schemas.openxmlformats.org/markup-compatibility/2006">
    <mc:Choice Requires="x15">
      <x15ac:absPath xmlns:x15ac="http://schemas.microsoft.com/office/spreadsheetml/2010/11/ac" url="G:\내 드라이브\04. SPC 측정\6. DB관리\00. release\"/>
    </mc:Choice>
  </mc:AlternateContent>
  <xr:revisionPtr revIDLastSave="0" documentId="13_ncr:1_{D4917148-C6CD-4333-B3C9-F00F333F8B23}" xr6:coauthVersionLast="47" xr6:coauthVersionMax="47" xr10:uidLastSave="{00000000-0000-0000-0000-000000000000}"/>
  <bookViews>
    <workbookView xWindow="28680" yWindow="-4095" windowWidth="29040" windowHeight="15720" tabRatio="827" activeTab="8" xr2:uid="{00000000-000D-0000-FFFF-FFFF00000000}"/>
  </bookViews>
  <sheets>
    <sheet name="변경사항" sheetId="12" r:id="rId1"/>
    <sheet name="codebook_EV" sheetId="2" r:id="rId2"/>
    <sheet name="2014 EV" sheetId="3" r:id="rId3"/>
    <sheet name="2015 EV" sheetId="4" r:id="rId4"/>
    <sheet name="2016 EV" sheetId="5" r:id="rId5"/>
    <sheet name="2017 EV" sheetId="6" r:id="rId6"/>
    <sheet name="2018 EV" sheetId="7" r:id="rId7"/>
    <sheet name="2019 EV" sheetId="8" r:id="rId8"/>
    <sheet name="2020 EV" sheetId="9" r:id="rId9"/>
    <sheet name="2021 EV" sheetId="10" r:id="rId10"/>
    <sheet name="2022 EV" sheetId="11" r:id="rId11"/>
    <sheet name="2023 EV" sheetId="17" r:id="rId12"/>
    <sheet name="2024 EV" sheetId="18" r:id="rId13"/>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DL78" i="18" l="1"/>
  <c r="DI78" i="18"/>
  <c r="DC78" i="18"/>
  <c r="CX78" i="18"/>
  <c r="CV78" i="18"/>
  <c r="CS78" i="18"/>
  <c r="CR78" i="18"/>
  <c r="CP78" i="18"/>
  <c r="CN78" i="18"/>
  <c r="CF78" i="18"/>
  <c r="CE78" i="18"/>
  <c r="CD78" i="18"/>
  <c r="CA78" i="18"/>
  <c r="BV78" i="18"/>
  <c r="BU78" i="18"/>
  <c r="BP78" i="18"/>
  <c r="BN78" i="18"/>
  <c r="BM78" i="18"/>
  <c r="BL78" i="18"/>
  <c r="BK78" i="18"/>
  <c r="BF78" i="18"/>
  <c r="BE78" i="18"/>
  <c r="AT78" i="18"/>
  <c r="DJ77" i="18"/>
  <c r="DG77" i="18"/>
  <c r="CV77" i="18"/>
  <c r="CS77" i="18"/>
  <c r="CR77" i="18"/>
  <c r="CP77" i="18"/>
  <c r="BX77" i="18"/>
  <c r="BV77" i="18"/>
  <c r="BM77" i="18"/>
  <c r="BL77" i="18"/>
  <c r="BK77" i="18"/>
  <c r="BE77" i="18"/>
  <c r="DL76" i="18"/>
  <c r="DJ76" i="18"/>
  <c r="DI76" i="18"/>
  <c r="DC76" i="18"/>
  <c r="CX76" i="18"/>
  <c r="CV76" i="18"/>
  <c r="CS76" i="18"/>
  <c r="CP76" i="18"/>
  <c r="CN76" i="18"/>
  <c r="CG76" i="18"/>
  <c r="CF76" i="18"/>
  <c r="CE76" i="18"/>
  <c r="CD76" i="18"/>
  <c r="CA76" i="18"/>
  <c r="BZ76" i="18"/>
  <c r="BX76" i="18"/>
  <c r="BV76" i="18"/>
  <c r="BU76" i="18"/>
  <c r="BS76" i="18"/>
  <c r="BR76" i="18"/>
  <c r="BP76" i="18"/>
  <c r="BN76" i="18"/>
  <c r="BM76" i="18"/>
  <c r="BL76" i="18"/>
  <c r="BK76" i="18"/>
  <c r="BF76" i="18"/>
  <c r="BE76" i="18"/>
  <c r="AM76" i="18"/>
  <c r="DJ75" i="18"/>
  <c r="DI75" i="18"/>
  <c r="DF75" i="18"/>
  <c r="DE75" i="18"/>
  <c r="DB75" i="18"/>
  <c r="CV75" i="18"/>
  <c r="CQ75" i="18"/>
  <c r="CP75" i="18"/>
  <c r="CM75" i="18"/>
  <c r="CF75" i="18"/>
  <c r="CD75" i="18"/>
  <c r="CA75" i="18"/>
  <c r="BZ75" i="18"/>
  <c r="BU75" i="18"/>
  <c r="BS75" i="18"/>
  <c r="BR75" i="18"/>
  <c r="BO75" i="18"/>
  <c r="BL75" i="18"/>
  <c r="BF75" i="18"/>
  <c r="AT75" i="18"/>
  <c r="AA75" i="18"/>
  <c r="X75" i="18"/>
  <c r="V75" i="18"/>
  <c r="DJ74" i="18"/>
  <c r="DI74" i="18"/>
  <c r="DG74" i="18"/>
  <c r="DE74" i="18"/>
  <c r="CY74" i="18"/>
  <c r="CX74" i="18"/>
  <c r="CV74" i="18"/>
  <c r="CU74" i="18"/>
  <c r="CS74" i="18"/>
  <c r="CQ74" i="18"/>
  <c r="CP74" i="18"/>
  <c r="CN74" i="18"/>
  <c r="CG74" i="18"/>
  <c r="CF74" i="18"/>
  <c r="CE74" i="18"/>
  <c r="CD74" i="18"/>
  <c r="CB74" i="18"/>
  <c r="BZ74" i="18"/>
  <c r="BX74" i="18"/>
  <c r="BV74" i="18"/>
  <c r="BU74" i="18"/>
  <c r="BT74" i="18"/>
  <c r="BP74" i="18"/>
  <c r="BN74" i="18"/>
  <c r="BM74" i="18"/>
  <c r="BL74" i="18"/>
  <c r="BK74" i="18"/>
  <c r="BJ74" i="18"/>
  <c r="BH74" i="18"/>
  <c r="BG74" i="18"/>
  <c r="BF74" i="18"/>
  <c r="BE74" i="18"/>
  <c r="BC74" i="18"/>
  <c r="AX74" i="18"/>
  <c r="AV74" i="18"/>
  <c r="AP74" i="18"/>
  <c r="AG74" i="18"/>
  <c r="AF74" i="18"/>
  <c r="DI73" i="18"/>
  <c r="DF73" i="18"/>
  <c r="DE73" i="18"/>
  <c r="CZ73" i="18"/>
  <c r="CV73" i="18"/>
  <c r="CS73" i="18"/>
  <c r="BS73" i="18"/>
  <c r="BN73" i="18"/>
  <c r="BM73" i="18"/>
  <c r="BG73" i="18"/>
  <c r="AX73" i="18"/>
  <c r="V73" i="18"/>
  <c r="DI72" i="18"/>
  <c r="DG72" i="18"/>
  <c r="CV72" i="18"/>
  <c r="CS72" i="18"/>
  <c r="CR72" i="18"/>
  <c r="CN72" i="18"/>
  <c r="CF72" i="18"/>
  <c r="CB72" i="18"/>
  <c r="CA72" i="18"/>
  <c r="BX72" i="18"/>
  <c r="BU72" i="18"/>
  <c r="BT72" i="18"/>
  <c r="BR72" i="18"/>
  <c r="BP72" i="18"/>
  <c r="BN72" i="18"/>
  <c r="BM72" i="18"/>
  <c r="BK72" i="18"/>
  <c r="BJ72" i="18"/>
  <c r="AX72" i="18"/>
  <c r="DJ71" i="18"/>
  <c r="DI71" i="18"/>
  <c r="DG71" i="18"/>
  <c r="DE71" i="18"/>
  <c r="DB71" i="18"/>
  <c r="CV71" i="18"/>
  <c r="CS71" i="18"/>
  <c r="CP71" i="18"/>
  <c r="CN71" i="18"/>
  <c r="CG71" i="18"/>
  <c r="CF71" i="18"/>
  <c r="CE71" i="18"/>
  <c r="CD71" i="18"/>
  <c r="CB71" i="18"/>
  <c r="CA71" i="18"/>
  <c r="BZ71" i="18"/>
  <c r="BV71" i="18"/>
  <c r="BU71" i="18"/>
  <c r="BT71" i="18"/>
  <c r="BS71" i="18"/>
  <c r="BR71" i="18"/>
  <c r="BP71" i="18"/>
  <c r="BN71" i="18"/>
  <c r="BM71" i="18"/>
  <c r="BL71" i="18"/>
  <c r="BK71" i="18"/>
  <c r="BJ71" i="18"/>
  <c r="BH71" i="18"/>
  <c r="BG71" i="18"/>
  <c r="BF71" i="18"/>
  <c r="BE71" i="18"/>
  <c r="BC71" i="18"/>
  <c r="AV71" i="18"/>
  <c r="AP71" i="18"/>
  <c r="AM71" i="18"/>
  <c r="AG71" i="18"/>
  <c r="AF71" i="18"/>
  <c r="DL70" i="18"/>
  <c r="DJ70" i="18"/>
  <c r="DI70" i="18"/>
  <c r="DG70" i="18"/>
  <c r="DB70" i="18"/>
  <c r="CY70" i="18"/>
  <c r="CX70" i="18"/>
  <c r="CU70" i="18"/>
  <c r="CS70" i="18"/>
  <c r="CR70" i="18"/>
  <c r="CQ70" i="18"/>
  <c r="CP70" i="18"/>
  <c r="CN70" i="18"/>
  <c r="CG70" i="18"/>
  <c r="CF70" i="18"/>
  <c r="CE70" i="18"/>
  <c r="CD70" i="18"/>
  <c r="CB70" i="18"/>
  <c r="CA70" i="18"/>
  <c r="BZ70" i="18"/>
  <c r="BX70" i="18"/>
  <c r="BV70" i="18"/>
  <c r="BU70" i="18"/>
  <c r="BT70" i="18"/>
  <c r="BS70" i="18"/>
  <c r="BR70" i="18"/>
  <c r="BP70" i="18"/>
  <c r="BO70" i="18"/>
  <c r="BN70" i="18"/>
  <c r="BM70" i="18"/>
  <c r="BL70" i="18"/>
  <c r="BK70" i="18"/>
  <c r="BH70" i="18"/>
  <c r="BF70" i="18"/>
  <c r="BE70" i="18"/>
  <c r="BC70" i="18"/>
  <c r="BB70" i="18"/>
  <c r="AP70" i="18"/>
  <c r="DI69" i="18"/>
  <c r="DF69" i="18"/>
  <c r="DC69" i="18"/>
  <c r="CX69" i="18"/>
  <c r="CQ69" i="18"/>
  <c r="CP69" i="18"/>
  <c r="CM69" i="18"/>
  <c r="CH69" i="18"/>
  <c r="CE69" i="18"/>
  <c r="CD69" i="18"/>
  <c r="CA69" i="18"/>
  <c r="BU69" i="18"/>
  <c r="BS69" i="18"/>
  <c r="BP69" i="18"/>
  <c r="BN69" i="18"/>
  <c r="BC69" i="18"/>
  <c r="AV69" i="18"/>
  <c r="AT69" i="18"/>
  <c r="AR69" i="18"/>
  <c r="AL69" i="18"/>
  <c r="AI69" i="18"/>
  <c r="AA69" i="18"/>
  <c r="X69" i="18"/>
  <c r="V69" i="18"/>
  <c r="Q69" i="18"/>
  <c r="P69" i="18"/>
  <c r="L69" i="18"/>
  <c r="J69" i="18"/>
  <c r="DL68" i="18"/>
  <c r="DI68" i="18"/>
  <c r="DG68" i="18"/>
  <c r="DE68" i="18"/>
  <c r="CI68" i="18"/>
  <c r="CF68" i="18"/>
  <c r="BX68" i="18"/>
  <c r="BU68" i="18"/>
  <c r="BO68" i="18"/>
  <c r="AJ68" i="18"/>
  <c r="Z68" i="18"/>
  <c r="DJ67" i="18"/>
  <c r="DC67" i="18"/>
  <c r="CP67" i="18"/>
  <c r="CF67" i="18"/>
  <c r="CB67" i="18"/>
  <c r="BR67" i="18"/>
  <c r="BP67" i="18"/>
  <c r="BO67" i="18"/>
  <c r="BM67" i="18"/>
  <c r="BG67" i="18"/>
  <c r="AT67" i="18"/>
  <c r="AL67" i="18"/>
  <c r="AJ67" i="18"/>
  <c r="DL66" i="18"/>
  <c r="DJ66" i="18"/>
  <c r="DB66" i="18"/>
  <c r="CF66" i="18"/>
  <c r="BM66" i="18"/>
  <c r="BL66" i="18"/>
  <c r="BE66" i="18"/>
  <c r="BC66" i="18"/>
  <c r="DG65" i="18"/>
  <c r="DE65" i="18"/>
  <c r="BS65" i="18"/>
  <c r="BL65" i="18"/>
  <c r="BJ65" i="18"/>
  <c r="DB64" i="18"/>
  <c r="BU64" i="18"/>
  <c r="BR64" i="18"/>
  <c r="BC64" i="18"/>
  <c r="BN63" i="18"/>
  <c r="DJ62" i="18"/>
  <c r="DI62" i="18"/>
  <c r="DG62" i="18"/>
  <c r="DE62" i="18"/>
  <c r="DC62" i="18"/>
  <c r="CY62" i="18"/>
  <c r="CX62" i="18"/>
  <c r="CV62" i="18"/>
  <c r="CU62" i="18"/>
  <c r="CS62" i="18"/>
  <c r="CR62" i="18"/>
  <c r="CQ62" i="18"/>
  <c r="CP62" i="18"/>
  <c r="CN62" i="18"/>
  <c r="CJ62" i="18"/>
  <c r="CG62" i="18"/>
  <c r="CF62" i="18"/>
  <c r="CE62" i="18"/>
  <c r="CD62" i="18"/>
  <c r="CB62" i="18"/>
  <c r="BZ62" i="18"/>
  <c r="BX62" i="18"/>
  <c r="BV62" i="18"/>
  <c r="BU62" i="18"/>
  <c r="BT62" i="18"/>
  <c r="BS62" i="18"/>
  <c r="BR62" i="18"/>
  <c r="BP62" i="18"/>
  <c r="BO62" i="18"/>
  <c r="BN62" i="18"/>
  <c r="BM62" i="18"/>
  <c r="BL62" i="18"/>
  <c r="BK62" i="18"/>
  <c r="BJ62" i="18"/>
  <c r="BH62" i="18"/>
  <c r="BG62" i="18"/>
  <c r="BE62" i="18"/>
  <c r="BC62" i="18"/>
  <c r="AX62" i="18"/>
  <c r="AG62" i="18"/>
  <c r="AF62" i="18"/>
  <c r="DI61" i="18"/>
  <c r="DF61" i="18"/>
  <c r="DE61" i="18"/>
  <c r="BU61" i="18"/>
  <c r="BN61" i="18"/>
  <c r="BL61" i="18"/>
  <c r="BG61" i="18"/>
  <c r="AG61" i="18"/>
  <c r="DL60" i="18"/>
  <c r="DJ60" i="18"/>
  <c r="DI60" i="18"/>
  <c r="DG60" i="18"/>
  <c r="DE60" i="18"/>
  <c r="DC60" i="18"/>
  <c r="CY60" i="18"/>
  <c r="CX60" i="18"/>
  <c r="CV60" i="18"/>
  <c r="CU60" i="18"/>
  <c r="CS60" i="18"/>
  <c r="CR60" i="18"/>
  <c r="CQ60" i="18"/>
  <c r="CP60" i="18"/>
  <c r="CN60" i="18"/>
  <c r="CJ60" i="18"/>
  <c r="CG60" i="18"/>
  <c r="CF60" i="18"/>
  <c r="CE60" i="18"/>
  <c r="CD60" i="18"/>
  <c r="CB60" i="18"/>
  <c r="CA60" i="18"/>
  <c r="BZ60" i="18"/>
  <c r="BX60" i="18"/>
  <c r="BV60" i="18"/>
  <c r="BU60" i="18"/>
  <c r="BT60" i="18"/>
  <c r="BS60" i="18"/>
  <c r="BR60" i="18"/>
  <c r="BP60" i="18"/>
  <c r="BO60" i="18"/>
  <c r="BN60" i="18"/>
  <c r="BM60" i="18"/>
  <c r="BL60" i="18"/>
  <c r="BK60" i="18"/>
  <c r="BJ60" i="18"/>
  <c r="BH60" i="18"/>
  <c r="BG60" i="18"/>
  <c r="BF60" i="18"/>
  <c r="BE60" i="18"/>
  <c r="BC60" i="18"/>
  <c r="BB60" i="18"/>
  <c r="AX60" i="18"/>
  <c r="AN60" i="18"/>
  <c r="AG60" i="18"/>
  <c r="AF60" i="18"/>
  <c r="DL59" i="18"/>
  <c r="DJ59" i="18"/>
  <c r="DI59" i="18"/>
  <c r="DG59" i="18"/>
  <c r="DE59" i="18"/>
  <c r="DC59" i="18"/>
  <c r="CY59" i="18"/>
  <c r="CX59" i="18"/>
  <c r="CV59" i="18"/>
  <c r="CU59" i="18"/>
  <c r="CS59" i="18"/>
  <c r="CR59" i="18"/>
  <c r="CN59" i="18"/>
  <c r="CJ59" i="18"/>
  <c r="CG59" i="18"/>
  <c r="CF59" i="18"/>
  <c r="CE59" i="18"/>
  <c r="CB59" i="18"/>
  <c r="CA59" i="18"/>
  <c r="BZ59" i="18"/>
  <c r="BX59" i="18"/>
  <c r="BV59" i="18"/>
  <c r="BU59" i="18"/>
  <c r="BT59" i="18"/>
  <c r="BS59" i="18"/>
  <c r="BR59" i="18"/>
  <c r="BP59" i="18"/>
  <c r="BO59" i="18"/>
  <c r="BM59" i="18"/>
  <c r="BK59" i="18"/>
  <c r="BH59" i="18"/>
  <c r="BF59" i="18"/>
  <c r="BE59" i="18"/>
  <c r="BB59" i="18"/>
  <c r="AN59" i="18"/>
  <c r="AA59" i="18"/>
  <c r="DL57" i="18"/>
  <c r="DJ57" i="18"/>
  <c r="DI57" i="18"/>
  <c r="DG57" i="18"/>
  <c r="DF57" i="18"/>
  <c r="DE57" i="18"/>
  <c r="DD57" i="18"/>
  <c r="DC57" i="18"/>
  <c r="DB57" i="18"/>
  <c r="CZ57" i="18"/>
  <c r="CY57" i="18"/>
  <c r="CX57" i="18"/>
  <c r="CV57" i="18"/>
  <c r="CU57" i="18"/>
  <c r="CS57" i="18"/>
  <c r="CR57" i="18"/>
  <c r="CQ57" i="18"/>
  <c r="CP57" i="18"/>
  <c r="CO57" i="18"/>
  <c r="CN57" i="18"/>
  <c r="CM57" i="18"/>
  <c r="CL57" i="18"/>
  <c r="CJ57" i="18"/>
  <c r="CI57" i="18"/>
  <c r="CH57" i="18"/>
  <c r="CG57" i="18"/>
  <c r="CF57" i="18"/>
  <c r="CE57" i="18"/>
  <c r="CD57" i="18"/>
  <c r="CC57" i="18"/>
  <c r="CB57" i="18"/>
  <c r="CA57" i="18"/>
  <c r="BZ57" i="18"/>
  <c r="BY57" i="18"/>
  <c r="BX57" i="18"/>
  <c r="BV57" i="18"/>
  <c r="BU57" i="18"/>
  <c r="BT57" i="18"/>
  <c r="BS57" i="18"/>
  <c r="BR57" i="18"/>
  <c r="BP57" i="18"/>
  <c r="BO57" i="18"/>
  <c r="BN57" i="18"/>
  <c r="BM57" i="18"/>
  <c r="BL57" i="18"/>
  <c r="BK57" i="18"/>
  <c r="BJ57" i="18"/>
  <c r="BI57" i="18"/>
  <c r="BH57" i="18"/>
  <c r="BG57" i="18"/>
  <c r="BF57" i="18"/>
  <c r="BE57" i="18"/>
  <c r="BD57" i="18"/>
  <c r="BC57" i="18"/>
  <c r="BB57" i="18"/>
  <c r="BA57" i="18"/>
  <c r="AZ57" i="18"/>
  <c r="AX57" i="18"/>
  <c r="AW57" i="18"/>
  <c r="AV57" i="18"/>
  <c r="AU57" i="18"/>
  <c r="AT57" i="18"/>
  <c r="AR57" i="18"/>
  <c r="AP57" i="18"/>
  <c r="AN57" i="18"/>
  <c r="AM57" i="18"/>
  <c r="AL57" i="18"/>
  <c r="AJ57" i="18"/>
  <c r="AI57" i="18"/>
  <c r="AH57" i="18"/>
  <c r="AG57" i="18"/>
  <c r="AF57" i="18"/>
  <c r="AE57" i="18"/>
  <c r="AA57" i="18"/>
  <c r="Z57" i="18"/>
  <c r="X57" i="18"/>
  <c r="V57" i="18"/>
  <c r="T57" i="18"/>
  <c r="S57" i="18"/>
  <c r="R57" i="18"/>
  <c r="Q57" i="18"/>
  <c r="P57" i="18"/>
  <c r="O57" i="18"/>
  <c r="M57" i="18"/>
  <c r="L57" i="18"/>
  <c r="K57" i="18"/>
  <c r="J57" i="18"/>
  <c r="E57" i="18"/>
  <c r="C57" i="18"/>
  <c r="DL56" i="18"/>
  <c r="DJ56" i="18"/>
  <c r="DI56" i="18"/>
  <c r="DG56" i="18"/>
  <c r="DF56" i="18"/>
  <c r="DE56" i="18"/>
  <c r="DC56" i="18"/>
  <c r="DB56" i="18"/>
  <c r="CZ56" i="18"/>
  <c r="CY56" i="18"/>
  <c r="CX56" i="18"/>
  <c r="CV56" i="18"/>
  <c r="CU56" i="18"/>
  <c r="CS56" i="18"/>
  <c r="CR56" i="18"/>
  <c r="CQ56" i="18"/>
  <c r="CP56" i="18"/>
  <c r="CN56" i="18"/>
  <c r="CL56" i="18"/>
  <c r="CJ56" i="18"/>
  <c r="CI56" i="18"/>
  <c r="CH56" i="18"/>
  <c r="CG56" i="18"/>
  <c r="CF56" i="18"/>
  <c r="CE56" i="18"/>
  <c r="CD56" i="18"/>
  <c r="CB56" i="18"/>
  <c r="CA56" i="18"/>
  <c r="BZ56" i="18"/>
  <c r="BX56" i="18"/>
  <c r="BV56" i="18"/>
  <c r="BU56" i="18"/>
  <c r="BT56" i="18"/>
  <c r="BS56" i="18"/>
  <c r="BR56" i="18"/>
  <c r="BP56" i="18"/>
  <c r="BO56" i="18"/>
  <c r="BN56" i="18"/>
  <c r="BM56" i="18"/>
  <c r="BL56" i="18"/>
  <c r="BK56" i="18"/>
  <c r="BJ56" i="18"/>
  <c r="BH56" i="18"/>
  <c r="BG56" i="18"/>
  <c r="BF56" i="18"/>
  <c r="BE56" i="18"/>
  <c r="BC56" i="18"/>
  <c r="AX56" i="18"/>
  <c r="AP56" i="18"/>
  <c r="AM56" i="18"/>
  <c r="AG56" i="18"/>
  <c r="DG55" i="18"/>
  <c r="DF55" i="18"/>
  <c r="DB55" i="18"/>
  <c r="CU55" i="18"/>
  <c r="CD55" i="18"/>
  <c r="CB55" i="18"/>
  <c r="BU55" i="18"/>
  <c r="BS55" i="18"/>
  <c r="DL54" i="18"/>
  <c r="DJ54" i="18"/>
  <c r="DI54" i="18"/>
  <c r="DG54" i="18"/>
  <c r="DF54" i="18"/>
  <c r="DE54" i="18"/>
  <c r="DB54" i="18"/>
  <c r="CZ54" i="18"/>
  <c r="CX54" i="18"/>
  <c r="CV54" i="18"/>
  <c r="CU54" i="18"/>
  <c r="CS54" i="18"/>
  <c r="CR54" i="18"/>
  <c r="CQ54" i="18"/>
  <c r="CP54" i="18"/>
  <c r="CO54" i="18"/>
  <c r="CN54" i="18"/>
  <c r="CL54" i="18"/>
  <c r="CJ54" i="18"/>
  <c r="CI54" i="18"/>
  <c r="CH54" i="18"/>
  <c r="CF54" i="18"/>
  <c r="CD54" i="18"/>
  <c r="CB54" i="18"/>
  <c r="CA54" i="18"/>
  <c r="BZ54" i="18"/>
  <c r="BY54" i="18"/>
  <c r="BX54" i="18"/>
  <c r="BV54" i="18"/>
  <c r="BS54" i="18"/>
  <c r="BR54" i="18"/>
  <c r="BO54" i="18"/>
  <c r="BN54" i="18"/>
  <c r="BM54" i="18"/>
  <c r="BL54" i="18"/>
  <c r="BK54" i="18"/>
  <c r="BJ54" i="18"/>
  <c r="BH54" i="18"/>
  <c r="BG54" i="18"/>
  <c r="BF54" i="18"/>
  <c r="BC54" i="18"/>
  <c r="BB54" i="18"/>
  <c r="BA54" i="18"/>
  <c r="AX54" i="18"/>
  <c r="AW54" i="18"/>
  <c r="AM54" i="18"/>
  <c r="AL54" i="18"/>
  <c r="AJ54" i="18"/>
  <c r="AI54" i="18"/>
  <c r="AG54" i="18"/>
  <c r="AF54" i="18"/>
  <c r="AA54" i="18"/>
  <c r="X54" i="18"/>
  <c r="T54" i="18"/>
  <c r="Q54" i="18"/>
  <c r="M54" i="18"/>
  <c r="K54" i="18"/>
  <c r="DL53" i="18"/>
  <c r="CP53" i="18"/>
  <c r="CI53" i="18"/>
  <c r="BX53" i="18"/>
  <c r="BT53" i="18"/>
  <c r="BR53" i="18"/>
  <c r="BK53" i="18"/>
  <c r="BF53" i="18"/>
  <c r="BE53" i="18"/>
  <c r="AU53" i="18"/>
  <c r="AL53" i="18"/>
  <c r="DL52" i="18"/>
  <c r="DJ52" i="18"/>
  <c r="DI52" i="18"/>
  <c r="DG52" i="18"/>
  <c r="DF52" i="18"/>
  <c r="DE52" i="18"/>
  <c r="DD52" i="18"/>
  <c r="DC52" i="18"/>
  <c r="DB52" i="18"/>
  <c r="CZ52" i="18"/>
  <c r="CY52" i="18"/>
  <c r="CX52" i="18"/>
  <c r="CV52" i="18"/>
  <c r="CU52" i="18"/>
  <c r="CS52" i="18"/>
  <c r="CR52" i="18"/>
  <c r="CP52" i="18"/>
  <c r="CO52" i="18"/>
  <c r="CN52" i="18"/>
  <c r="CM52" i="18"/>
  <c r="CL52" i="18"/>
  <c r="CJ52" i="18"/>
  <c r="CI52" i="18"/>
  <c r="CH52" i="18"/>
  <c r="CG52" i="18"/>
  <c r="CF52" i="18"/>
  <c r="CE52" i="18"/>
  <c r="CD52" i="18"/>
  <c r="CB52" i="18"/>
  <c r="CA52" i="18"/>
  <c r="BZ52" i="18"/>
  <c r="BY52" i="18"/>
  <c r="BX52" i="18"/>
  <c r="BV52" i="18"/>
  <c r="BU52" i="18"/>
  <c r="BT52" i="18"/>
  <c r="BS52" i="18"/>
  <c r="BR52" i="18"/>
  <c r="BP52" i="18"/>
  <c r="BO52" i="18"/>
  <c r="BN52" i="18"/>
  <c r="BM52" i="18"/>
  <c r="BL52" i="18"/>
  <c r="BK52" i="18"/>
  <c r="BJ52" i="18"/>
  <c r="BH52" i="18"/>
  <c r="BG52" i="18"/>
  <c r="BF52" i="18"/>
  <c r="BE52" i="18"/>
  <c r="BD52" i="18"/>
  <c r="BC52" i="18"/>
  <c r="BB52" i="18"/>
  <c r="BA52" i="18"/>
  <c r="AX52" i="18"/>
  <c r="AW52" i="18"/>
  <c r="AV52" i="18"/>
  <c r="AU52" i="18"/>
  <c r="AT52" i="18"/>
  <c r="AR52" i="18"/>
  <c r="AP52" i="18"/>
  <c r="AN52" i="18"/>
  <c r="AM52" i="18"/>
  <c r="AL52" i="18"/>
  <c r="AJ52" i="18"/>
  <c r="AI52" i="18"/>
  <c r="AH52" i="18"/>
  <c r="AG52" i="18"/>
  <c r="AF52" i="18"/>
  <c r="AE52" i="18"/>
  <c r="AA52" i="18"/>
  <c r="Z52" i="18"/>
  <c r="X52" i="18"/>
  <c r="V52" i="18"/>
  <c r="T52" i="18"/>
  <c r="R52" i="18"/>
  <c r="Q52" i="18"/>
  <c r="P52" i="18"/>
  <c r="O52" i="18"/>
  <c r="M52" i="18"/>
  <c r="L52" i="18"/>
  <c r="K52" i="18"/>
  <c r="J52" i="18"/>
  <c r="E52" i="18"/>
  <c r="C52" i="18"/>
  <c r="DL51" i="18"/>
  <c r="DJ51" i="18"/>
  <c r="DI51" i="18"/>
  <c r="DG51" i="18"/>
  <c r="DD51" i="18"/>
  <c r="DC51" i="18"/>
  <c r="CX51" i="18"/>
  <c r="CV51" i="18"/>
  <c r="CS51" i="18"/>
  <c r="CR51" i="18"/>
  <c r="CN51" i="18"/>
  <c r="CJ51" i="18"/>
  <c r="CG51" i="18"/>
  <c r="CF51" i="18"/>
  <c r="CE51" i="18"/>
  <c r="CD51" i="18"/>
  <c r="CB51" i="18"/>
  <c r="CA51" i="18"/>
  <c r="BZ51" i="18"/>
  <c r="BX51" i="18"/>
  <c r="BV51" i="18"/>
  <c r="BU51" i="18"/>
  <c r="BT51" i="18"/>
  <c r="BS51" i="18"/>
  <c r="BR51" i="18"/>
  <c r="BP51" i="18"/>
  <c r="BO51" i="18"/>
  <c r="BM51" i="18"/>
  <c r="BL51" i="18"/>
  <c r="BK51" i="18"/>
  <c r="BH51" i="18"/>
  <c r="BF51" i="18"/>
  <c r="BE51" i="18"/>
  <c r="AN51" i="18"/>
  <c r="V51" i="18"/>
  <c r="DL50" i="18"/>
  <c r="DJ50" i="18"/>
  <c r="DI50" i="18"/>
  <c r="DG50" i="18"/>
  <c r="DD50" i="18"/>
  <c r="DC50" i="18"/>
  <c r="CX50" i="18"/>
  <c r="CV50" i="18"/>
  <c r="CS50" i="18"/>
  <c r="CR50" i="18"/>
  <c r="CN50" i="18"/>
  <c r="CJ50" i="18"/>
  <c r="CG50" i="18"/>
  <c r="CF50" i="18"/>
  <c r="CE50" i="18"/>
  <c r="CD50" i="18"/>
  <c r="CB50" i="18"/>
  <c r="CA50" i="18"/>
  <c r="BZ50" i="18"/>
  <c r="BX50" i="18"/>
  <c r="BV50" i="18"/>
  <c r="BU50" i="18"/>
  <c r="BT50" i="18"/>
  <c r="BS50" i="18"/>
  <c r="BR50" i="18"/>
  <c r="BP50" i="18"/>
  <c r="BO50" i="18"/>
  <c r="BM50" i="18"/>
  <c r="BL50" i="18"/>
  <c r="BK50" i="18"/>
  <c r="BH50" i="18"/>
  <c r="BF50" i="18"/>
  <c r="BE50" i="18"/>
  <c r="AN50" i="18"/>
  <c r="CX48" i="18"/>
  <c r="CS48" i="18"/>
  <c r="BL48" i="18"/>
  <c r="DI47" i="18"/>
  <c r="DE47" i="18"/>
  <c r="CY47" i="18"/>
  <c r="CV47" i="18"/>
  <c r="CN47" i="18"/>
  <c r="CM47" i="18"/>
  <c r="CE47" i="18"/>
  <c r="BV47" i="18"/>
  <c r="BT47" i="18"/>
  <c r="BS47" i="18"/>
  <c r="BM47" i="18"/>
  <c r="BF47" i="18"/>
  <c r="BE47" i="18"/>
  <c r="BB47" i="18"/>
  <c r="DL46" i="18"/>
  <c r="DI46" i="18"/>
  <c r="DG46" i="18"/>
  <c r="CZ46" i="18"/>
  <c r="CJ46" i="18"/>
  <c r="CF46" i="18"/>
  <c r="BZ46" i="18"/>
  <c r="BU46" i="18"/>
  <c r="BL46" i="18"/>
  <c r="BF46" i="18"/>
  <c r="BE46" i="18"/>
  <c r="AV46" i="18"/>
  <c r="AN46" i="18"/>
  <c r="DL45" i="18"/>
  <c r="DI45" i="18"/>
  <c r="DG45" i="18"/>
  <c r="DE45" i="18"/>
  <c r="CZ45" i="18"/>
  <c r="CY45" i="18"/>
  <c r="CX45" i="18"/>
  <c r="CV45" i="18"/>
  <c r="CS45" i="18"/>
  <c r="CN45" i="18"/>
  <c r="CJ45" i="18"/>
  <c r="CF45" i="18"/>
  <c r="CE45" i="18"/>
  <c r="BZ45" i="18"/>
  <c r="BV45" i="18"/>
  <c r="BU45" i="18"/>
  <c r="BT45" i="18"/>
  <c r="BS45" i="18"/>
  <c r="BM45" i="18"/>
  <c r="BL45" i="18"/>
  <c r="BF45" i="18"/>
  <c r="BE45" i="18"/>
  <c r="BB45" i="18"/>
  <c r="AV45" i="18"/>
  <c r="AN45" i="18"/>
  <c r="DE44" i="18"/>
  <c r="DC44" i="18"/>
  <c r="CX44" i="18"/>
  <c r="CS44" i="18"/>
  <c r="CP44" i="18"/>
  <c r="CJ44" i="18"/>
  <c r="CI44" i="18"/>
  <c r="CG44" i="18"/>
  <c r="CF44" i="18"/>
  <c r="CE44" i="18"/>
  <c r="CA44" i="18"/>
  <c r="BZ44" i="18"/>
  <c r="BX44" i="18"/>
  <c r="BV44" i="18"/>
  <c r="BR44" i="18"/>
  <c r="BP44" i="18"/>
  <c r="BO44" i="18"/>
  <c r="BN44" i="18"/>
  <c r="BK44" i="18"/>
  <c r="BJ44" i="18"/>
  <c r="BH44" i="18"/>
  <c r="BG44" i="18"/>
  <c r="BF44" i="18"/>
  <c r="BC44" i="18"/>
  <c r="BB44" i="18"/>
  <c r="AW44" i="18"/>
  <c r="AR44" i="18"/>
  <c r="AP44" i="18"/>
  <c r="AG44" i="18"/>
  <c r="AF44" i="18"/>
  <c r="AA44" i="18"/>
  <c r="R44" i="18"/>
  <c r="P44" i="18"/>
  <c r="O44" i="18"/>
  <c r="J44" i="18"/>
  <c r="DL43" i="18"/>
  <c r="DJ43" i="18"/>
  <c r="DG43" i="18"/>
  <c r="DE43" i="18"/>
  <c r="DD43" i="18"/>
  <c r="DC43" i="18"/>
  <c r="CX43" i="18"/>
  <c r="CS43" i="18"/>
  <c r="CR43" i="18"/>
  <c r="CP43" i="18"/>
  <c r="CN43" i="18"/>
  <c r="CG43" i="18"/>
  <c r="CF43" i="18"/>
  <c r="CD43" i="18"/>
  <c r="CB43" i="18"/>
  <c r="BX43" i="18"/>
  <c r="BT43" i="18"/>
  <c r="BO43" i="18"/>
  <c r="BN43" i="18"/>
  <c r="BL43" i="18"/>
  <c r="BH43" i="18"/>
  <c r="BG43" i="18"/>
  <c r="BF43" i="18"/>
  <c r="BE43" i="18"/>
  <c r="BB43" i="18"/>
  <c r="AW43" i="18"/>
  <c r="AV43" i="18"/>
  <c r="AU43" i="18"/>
  <c r="AT43" i="18"/>
  <c r="AM43" i="18"/>
  <c r="AG43" i="18"/>
  <c r="AE43" i="18"/>
  <c r="P43" i="18"/>
  <c r="O43" i="18"/>
  <c r="DI42" i="18"/>
  <c r="DE42" i="18"/>
  <c r="CY42" i="18"/>
  <c r="CV42" i="18"/>
  <c r="CN42" i="18"/>
  <c r="CM42" i="18"/>
  <c r="CE42" i="18"/>
  <c r="BV42" i="18"/>
  <c r="BT42" i="18"/>
  <c r="BS42" i="18"/>
  <c r="BR42" i="18"/>
  <c r="BN42" i="18"/>
  <c r="BM42" i="18"/>
  <c r="BF42" i="18"/>
  <c r="BE42" i="18"/>
  <c r="BC42" i="18"/>
  <c r="BB42" i="18"/>
  <c r="AR42" i="18"/>
  <c r="AM42" i="18"/>
  <c r="DL41" i="18"/>
  <c r="DI41" i="18"/>
  <c r="DG41" i="18"/>
  <c r="CZ41" i="18"/>
  <c r="CQ41" i="18"/>
  <c r="CJ41" i="18"/>
  <c r="CH41" i="18"/>
  <c r="CF41" i="18"/>
  <c r="BZ41" i="18"/>
  <c r="BU41" i="18"/>
  <c r="BR41" i="18"/>
  <c r="BL41" i="18"/>
  <c r="BJ41" i="18"/>
  <c r="BH41" i="18"/>
  <c r="BF41" i="18"/>
  <c r="BE41" i="18"/>
  <c r="BB41" i="18"/>
  <c r="AZ41" i="18"/>
  <c r="AV41" i="18"/>
  <c r="AR41" i="18"/>
  <c r="AN41" i="18"/>
  <c r="AG41" i="18"/>
  <c r="P41" i="18"/>
  <c r="DL40" i="18"/>
  <c r="DJ40" i="18"/>
  <c r="DI40" i="18"/>
  <c r="DG40" i="18"/>
  <c r="DE40" i="18"/>
  <c r="DC40" i="18"/>
  <c r="CZ40" i="18"/>
  <c r="CY40" i="18"/>
  <c r="CX40" i="18"/>
  <c r="CV40" i="18"/>
  <c r="CS40" i="18"/>
  <c r="CR40" i="18"/>
  <c r="CN40" i="18"/>
  <c r="CJ40" i="18"/>
  <c r="CG40" i="18"/>
  <c r="CF40" i="18"/>
  <c r="CE40" i="18"/>
  <c r="CB40" i="18"/>
  <c r="CA40" i="18"/>
  <c r="BZ40" i="18"/>
  <c r="BV40" i="18"/>
  <c r="BU40" i="18"/>
  <c r="BT40" i="18"/>
  <c r="BS40" i="18"/>
  <c r="BR40" i="18"/>
  <c r="BP40" i="18"/>
  <c r="BO40" i="18"/>
  <c r="BM40" i="18"/>
  <c r="BL40" i="18"/>
  <c r="BK40" i="18"/>
  <c r="BH40" i="18"/>
  <c r="BE40" i="18"/>
  <c r="AZ40" i="18"/>
  <c r="AU40" i="18"/>
  <c r="AR40" i="18"/>
  <c r="AP40" i="18"/>
  <c r="AN40" i="18"/>
  <c r="AM40" i="18"/>
  <c r="DJ39" i="18"/>
  <c r="DC39" i="18"/>
  <c r="CX39" i="18"/>
  <c r="CV39" i="18"/>
  <c r="CS39" i="18"/>
  <c r="CG39" i="18"/>
  <c r="CA39" i="18"/>
  <c r="BZ39" i="18"/>
  <c r="BX39" i="18"/>
  <c r="BU39" i="18"/>
  <c r="BT39" i="18"/>
  <c r="BR39" i="18"/>
  <c r="BP39" i="18"/>
  <c r="BO39" i="18"/>
  <c r="BM39" i="18"/>
  <c r="BL39" i="18"/>
  <c r="BK39" i="18"/>
  <c r="BF39" i="18"/>
  <c r="BE39" i="18"/>
  <c r="AZ39" i="18"/>
  <c r="CV38" i="18"/>
  <c r="BM38" i="18"/>
  <c r="BV37" i="18"/>
  <c r="DI36" i="18"/>
  <c r="DE36" i="18"/>
  <c r="CS36" i="18"/>
  <c r="BV36" i="18"/>
  <c r="BU36" i="18"/>
  <c r="BT36" i="18"/>
  <c r="BS36" i="18"/>
  <c r="BO36" i="18"/>
  <c r="BK36" i="18"/>
  <c r="DJ35" i="18"/>
  <c r="DI35" i="18"/>
  <c r="DG35" i="18"/>
  <c r="DE35" i="18"/>
  <c r="DC35" i="18"/>
  <c r="CY35" i="18"/>
  <c r="CX35" i="18"/>
  <c r="CV35" i="18"/>
  <c r="CS35" i="18"/>
  <c r="CN35" i="18"/>
  <c r="CG35" i="18"/>
  <c r="CE35" i="18"/>
  <c r="CB35" i="18"/>
  <c r="CA35" i="18"/>
  <c r="BZ35" i="18"/>
  <c r="BX35" i="18"/>
  <c r="BV35" i="18"/>
  <c r="BU35" i="18"/>
  <c r="BT35" i="18"/>
  <c r="BS35" i="18"/>
  <c r="BR35" i="18"/>
  <c r="BP35" i="18"/>
  <c r="BO35" i="18"/>
  <c r="BM35" i="18"/>
  <c r="BL35" i="18"/>
  <c r="BK35" i="18"/>
  <c r="BF35" i="18"/>
  <c r="BE35" i="18"/>
  <c r="AZ35" i="18"/>
  <c r="AN35" i="18"/>
  <c r="DJ34" i="18"/>
  <c r="DE34" i="18"/>
  <c r="DC34" i="18"/>
  <c r="CX34" i="18"/>
  <c r="CV34" i="18"/>
  <c r="CS34" i="18"/>
  <c r="CG34" i="18"/>
  <c r="CB34" i="18"/>
  <c r="CA34" i="18"/>
  <c r="BZ34" i="18"/>
  <c r="BX34" i="18"/>
  <c r="BV34" i="18"/>
  <c r="BU34" i="18"/>
  <c r="BT34" i="18"/>
  <c r="BS34" i="18"/>
  <c r="BR34" i="18"/>
  <c r="BP34" i="18"/>
  <c r="BO34" i="18"/>
  <c r="BM34" i="18"/>
  <c r="BL34" i="18"/>
  <c r="BK34" i="18"/>
  <c r="BH34" i="18"/>
  <c r="BF34" i="18"/>
  <c r="BE34" i="18"/>
  <c r="AZ34" i="18"/>
  <c r="DI33" i="18"/>
  <c r="DF33" i="18"/>
  <c r="BU33" i="18"/>
  <c r="BR33" i="18"/>
  <c r="BO33" i="18"/>
  <c r="BK33" i="18"/>
  <c r="AV33" i="18"/>
  <c r="AR33" i="18"/>
  <c r="DJ32" i="18"/>
  <c r="DI32" i="18"/>
  <c r="DG32" i="18"/>
  <c r="CV32" i="18"/>
  <c r="CS32" i="18"/>
  <c r="CN32" i="18"/>
  <c r="CH32" i="18"/>
  <c r="CG32" i="18"/>
  <c r="CF32" i="18"/>
  <c r="CE32" i="18"/>
  <c r="CD32" i="18"/>
  <c r="CA32" i="18"/>
  <c r="BZ32" i="18"/>
  <c r="BV32" i="18"/>
  <c r="BU32" i="18"/>
  <c r="BT32" i="18"/>
  <c r="BS32" i="18"/>
  <c r="BR32" i="18"/>
  <c r="BP32" i="18"/>
  <c r="BM32" i="18"/>
  <c r="BL32" i="18"/>
  <c r="BK32" i="18"/>
  <c r="BH32" i="18"/>
  <c r="BF32" i="18"/>
  <c r="BE32" i="18"/>
  <c r="AZ32" i="18"/>
  <c r="AN32" i="18"/>
  <c r="DJ31" i="18"/>
  <c r="DI31" i="18"/>
  <c r="DG31" i="18"/>
  <c r="CV31" i="18"/>
  <c r="CS31" i="18"/>
  <c r="CN31" i="18"/>
  <c r="CH31" i="18"/>
  <c r="CG31" i="18"/>
  <c r="CF31" i="18"/>
  <c r="CE31" i="18"/>
  <c r="CD31" i="18"/>
  <c r="CA31" i="18"/>
  <c r="BZ31" i="18"/>
  <c r="BV31" i="18"/>
  <c r="BU31" i="18"/>
  <c r="BT31" i="18"/>
  <c r="BS31" i="18"/>
  <c r="BR31" i="18"/>
  <c r="BP31" i="18"/>
  <c r="BO31" i="18"/>
  <c r="BM31" i="18"/>
  <c r="BL31" i="18"/>
  <c r="BK31" i="18"/>
  <c r="BH31" i="18"/>
  <c r="BF31" i="18"/>
  <c r="BE31" i="18"/>
  <c r="AZ31" i="18"/>
  <c r="AN31" i="18"/>
  <c r="DI30" i="18"/>
  <c r="DF30" i="18"/>
  <c r="DE30" i="18"/>
  <c r="CV30" i="18"/>
  <c r="CS30" i="18"/>
  <c r="CE30" i="18"/>
  <c r="CB30" i="18"/>
  <c r="CA30" i="18"/>
  <c r="BV30" i="18"/>
  <c r="BU30" i="18"/>
  <c r="BT30" i="18"/>
  <c r="BS30" i="18"/>
  <c r="BR30" i="18"/>
  <c r="BK30" i="18"/>
  <c r="BF30" i="18"/>
  <c r="BE30" i="18"/>
  <c r="AN30" i="18"/>
  <c r="AA30" i="18"/>
  <c r="Q30" i="18"/>
  <c r="P30" i="18"/>
  <c r="CS29" i="18"/>
  <c r="CB29" i="18"/>
  <c r="BX29" i="18"/>
  <c r="BK29" i="18"/>
  <c r="BF29" i="18"/>
  <c r="DL28" i="18"/>
  <c r="DJ28" i="18"/>
  <c r="DI28" i="18"/>
  <c r="DG28" i="18"/>
  <c r="DE28" i="18"/>
  <c r="CX28" i="18"/>
  <c r="CV28" i="18"/>
  <c r="CS28" i="18"/>
  <c r="CN28" i="18"/>
  <c r="CG28" i="18"/>
  <c r="CF28" i="18"/>
  <c r="CE28" i="18"/>
  <c r="CD28" i="18"/>
  <c r="CB28" i="18"/>
  <c r="CA28" i="18"/>
  <c r="BZ28" i="18"/>
  <c r="BX28" i="18"/>
  <c r="BV28" i="18"/>
  <c r="BU28" i="18"/>
  <c r="BT28" i="18"/>
  <c r="BS28" i="18"/>
  <c r="BR28" i="18"/>
  <c r="BP28" i="18"/>
  <c r="BO28" i="18"/>
  <c r="BN28" i="18"/>
  <c r="BM28" i="18"/>
  <c r="BL28" i="18"/>
  <c r="BK28" i="18"/>
  <c r="BJ28" i="18"/>
  <c r="BH28" i="18"/>
  <c r="BF28" i="18"/>
  <c r="BE28" i="18"/>
  <c r="AZ28" i="18"/>
  <c r="AW28" i="18"/>
  <c r="AV28" i="18"/>
  <c r="AU28" i="18"/>
  <c r="AP28" i="18"/>
  <c r="AN28" i="18"/>
  <c r="AM28" i="18"/>
  <c r="AI28" i="18"/>
  <c r="AG28" i="18"/>
  <c r="X28" i="18"/>
  <c r="V28" i="18"/>
  <c r="T28" i="18"/>
  <c r="R28" i="18"/>
  <c r="P28" i="18"/>
  <c r="C28" i="18"/>
  <c r="DL27" i="18"/>
  <c r="DJ27" i="18"/>
  <c r="DI27" i="18"/>
  <c r="DG27" i="18"/>
  <c r="DF27" i="18"/>
  <c r="DE27" i="18"/>
  <c r="DC27" i="18"/>
  <c r="DB27" i="18"/>
  <c r="CY27" i="18"/>
  <c r="CX27" i="18"/>
  <c r="CV27" i="18"/>
  <c r="CU27" i="18"/>
  <c r="CS27" i="18"/>
  <c r="CR27" i="18"/>
  <c r="CP27" i="18"/>
  <c r="CN27" i="18"/>
  <c r="CM27" i="18"/>
  <c r="CJ27" i="18"/>
  <c r="CI27" i="18"/>
  <c r="CH27" i="18"/>
  <c r="CG27" i="18"/>
  <c r="CF27" i="18"/>
  <c r="CE27" i="18"/>
  <c r="CD27" i="18"/>
  <c r="CC27" i="18"/>
  <c r="CB27" i="18"/>
  <c r="CA27" i="18"/>
  <c r="BZ27" i="18"/>
  <c r="BY27" i="18"/>
  <c r="BX27" i="18"/>
  <c r="BV27" i="18"/>
  <c r="BU27" i="18"/>
  <c r="BT27" i="18"/>
  <c r="BS27" i="18"/>
  <c r="BR27" i="18"/>
  <c r="BP27" i="18"/>
  <c r="BO27" i="18"/>
  <c r="BN27" i="18"/>
  <c r="BL27" i="18"/>
  <c r="BK27" i="18"/>
  <c r="BI27" i="18"/>
  <c r="BG27" i="18"/>
  <c r="BF27" i="18"/>
  <c r="BE27" i="18"/>
  <c r="BD27" i="18"/>
  <c r="BC27" i="18"/>
  <c r="BB27" i="18"/>
  <c r="BA27" i="18"/>
  <c r="AX27" i="18"/>
  <c r="AW27" i="18"/>
  <c r="AV27" i="18"/>
  <c r="AU27" i="18"/>
  <c r="AT27" i="18"/>
  <c r="AR27" i="18"/>
  <c r="AN27" i="18"/>
  <c r="AM27" i="18"/>
  <c r="AJ27" i="18"/>
  <c r="AI27" i="18"/>
  <c r="AH27" i="18"/>
  <c r="AG27" i="18"/>
  <c r="AF27" i="18"/>
  <c r="AE27" i="18"/>
  <c r="AA27" i="18"/>
  <c r="Z27" i="18"/>
  <c r="X27" i="18"/>
  <c r="T27" i="18"/>
  <c r="S27" i="18"/>
  <c r="Q27" i="18"/>
  <c r="P27" i="18"/>
  <c r="L27" i="18"/>
  <c r="K27" i="18"/>
  <c r="J27" i="18"/>
  <c r="E27" i="18"/>
  <c r="DI26" i="18"/>
  <c r="DE26" i="18"/>
  <c r="CY26" i="18"/>
  <c r="CG26" i="18"/>
  <c r="CE26" i="18"/>
  <c r="CB26" i="18"/>
  <c r="BV26" i="18"/>
  <c r="BT26" i="18"/>
  <c r="BS26" i="18"/>
  <c r="BH26" i="18"/>
  <c r="BG26" i="18"/>
  <c r="BF26" i="18"/>
  <c r="AV26" i="18"/>
  <c r="AN26" i="18"/>
  <c r="AM26" i="18"/>
  <c r="M26" i="18"/>
  <c r="E26" i="18"/>
  <c r="DJ25" i="18"/>
  <c r="DI25" i="18"/>
  <c r="DG25" i="18"/>
  <c r="CV25" i="18"/>
  <c r="CS25" i="18"/>
  <c r="CN25" i="18"/>
  <c r="CG25" i="18"/>
  <c r="CF25" i="18"/>
  <c r="CE25" i="18"/>
  <c r="CB25" i="18"/>
  <c r="BZ25" i="18"/>
  <c r="BV25" i="18"/>
  <c r="BU25" i="18"/>
  <c r="BT25" i="18"/>
  <c r="BS25" i="18"/>
  <c r="BR25" i="18"/>
  <c r="BF25" i="18"/>
  <c r="BE25" i="18"/>
  <c r="AN25" i="18"/>
  <c r="DJ24" i="18"/>
  <c r="DI24" i="18"/>
  <c r="DG24" i="18"/>
  <c r="DE24" i="18"/>
  <c r="CZ24" i="18"/>
  <c r="CY24" i="18"/>
  <c r="CX24" i="18"/>
  <c r="CV24" i="18"/>
  <c r="CS24" i="18"/>
  <c r="CN24" i="18"/>
  <c r="CG24" i="18"/>
  <c r="CF24" i="18"/>
  <c r="CE24" i="18"/>
  <c r="CD24" i="18"/>
  <c r="CB24" i="18"/>
  <c r="CA24" i="18"/>
  <c r="BZ24" i="18"/>
  <c r="BX24" i="18"/>
  <c r="BV24" i="18"/>
  <c r="BU24" i="18"/>
  <c r="BT24" i="18"/>
  <c r="BS24" i="18"/>
  <c r="BR24" i="18"/>
  <c r="BP24" i="18"/>
  <c r="BO24" i="18"/>
  <c r="BM24" i="18"/>
  <c r="BL24" i="18"/>
  <c r="BK24" i="18"/>
  <c r="BF24" i="18"/>
  <c r="BE24" i="18"/>
  <c r="AZ24" i="18"/>
  <c r="AN24" i="18"/>
  <c r="DJ23" i="18"/>
  <c r="DI23" i="18"/>
  <c r="DG23" i="18"/>
  <c r="DE23" i="18"/>
  <c r="CY23" i="18"/>
  <c r="CX23" i="18"/>
  <c r="CV23" i="18"/>
  <c r="CS23" i="18"/>
  <c r="CN23" i="18"/>
  <c r="CH23" i="18"/>
  <c r="CG23" i="18"/>
  <c r="CF23" i="18"/>
  <c r="CE23" i="18"/>
  <c r="CD23" i="18"/>
  <c r="CB23" i="18"/>
  <c r="CA23" i="18"/>
  <c r="BZ23" i="18"/>
  <c r="BX23" i="18"/>
  <c r="BV23" i="18"/>
  <c r="BU23" i="18"/>
  <c r="BS23" i="18"/>
  <c r="BR23" i="18"/>
  <c r="BP23" i="18"/>
  <c r="BO23" i="18"/>
  <c r="BM23" i="18"/>
  <c r="BL23" i="18"/>
  <c r="BK23" i="18"/>
  <c r="BH23" i="18"/>
  <c r="BF23" i="18"/>
  <c r="BE23" i="18"/>
  <c r="AZ23" i="18"/>
  <c r="DJ22" i="18"/>
  <c r="DG22" i="18"/>
  <c r="DE22" i="18"/>
  <c r="CZ22" i="18"/>
  <c r="CX22" i="18"/>
  <c r="CV22" i="18"/>
  <c r="CS22" i="18"/>
  <c r="CN22" i="18"/>
  <c r="CE22" i="18"/>
  <c r="CD22" i="18"/>
  <c r="BZ22" i="18"/>
  <c r="BX22" i="18"/>
  <c r="BV22" i="18"/>
  <c r="BU22" i="18"/>
  <c r="BS22" i="18"/>
  <c r="BR22" i="18"/>
  <c r="BP22" i="18"/>
  <c r="BK22" i="18"/>
  <c r="BH22" i="18"/>
  <c r="BF22" i="18"/>
  <c r="BE22" i="18"/>
  <c r="CA21" i="18"/>
  <c r="AL21" i="18"/>
  <c r="Q21" i="18"/>
  <c r="DU20" i="18"/>
  <c r="CZ20" i="18"/>
  <c r="CV20" i="18"/>
  <c r="CN20" i="18"/>
  <c r="BZ20" i="18"/>
  <c r="BT20" i="18"/>
  <c r="AV20" i="18"/>
  <c r="M20" i="18"/>
  <c r="C20" i="18"/>
  <c r="DI19" i="18"/>
  <c r="DG19" i="18"/>
  <c r="DE19" i="18"/>
  <c r="CZ19" i="18"/>
  <c r="CV19" i="18"/>
  <c r="CH19" i="18"/>
  <c r="CE19" i="18"/>
  <c r="BZ19" i="18"/>
  <c r="BX19" i="18"/>
  <c r="BU19" i="18"/>
  <c r="BT19" i="18"/>
  <c r="BS19" i="18"/>
  <c r="BN19" i="18"/>
  <c r="BM19" i="18"/>
  <c r="BH19" i="18"/>
  <c r="BF19" i="18"/>
  <c r="BB19" i="18"/>
  <c r="AW19" i="18"/>
  <c r="AV19" i="18"/>
  <c r="AR19" i="18"/>
  <c r="AM19" i="18"/>
  <c r="AE19" i="18"/>
  <c r="T19" i="18"/>
  <c r="E19" i="18"/>
  <c r="BV18" i="18"/>
  <c r="BU18" i="18"/>
  <c r="BM18" i="18"/>
  <c r="BH18" i="18"/>
  <c r="BF18" i="18"/>
  <c r="BE18" i="18"/>
  <c r="AV18" i="18"/>
  <c r="DG17" i="18"/>
  <c r="CZ17" i="18"/>
  <c r="CV17" i="18"/>
  <c r="CN17" i="18"/>
  <c r="CE17" i="18"/>
  <c r="CA17" i="18"/>
  <c r="BZ17" i="18"/>
  <c r="BX17" i="18"/>
  <c r="BV17" i="18"/>
  <c r="BU17" i="18"/>
  <c r="BT17" i="18"/>
  <c r="BS17" i="18"/>
  <c r="BR17" i="18"/>
  <c r="BM17" i="18"/>
  <c r="BF17" i="18"/>
  <c r="BE17" i="18"/>
  <c r="AV17" i="18"/>
  <c r="DJ16" i="18"/>
  <c r="DG16" i="18"/>
  <c r="DC16" i="18"/>
  <c r="CZ16" i="18"/>
  <c r="CY16" i="18"/>
  <c r="CX16" i="18"/>
  <c r="CV16" i="18"/>
  <c r="CS16" i="18"/>
  <c r="CP16" i="18"/>
  <c r="CN16" i="18"/>
  <c r="CJ16" i="18"/>
  <c r="CG16" i="18"/>
  <c r="CF16" i="18"/>
  <c r="CE16" i="18"/>
  <c r="CD16" i="18"/>
  <c r="CA16" i="18"/>
  <c r="BZ16" i="18"/>
  <c r="BX16" i="18"/>
  <c r="BV16" i="18"/>
  <c r="BU16" i="18"/>
  <c r="BT16" i="18"/>
  <c r="BS16" i="18"/>
  <c r="BR16" i="18"/>
  <c r="BP16" i="18"/>
  <c r="BM16" i="18"/>
  <c r="BK16" i="18"/>
  <c r="BF16" i="18"/>
  <c r="BE16" i="18"/>
  <c r="AZ16" i="18"/>
  <c r="DJ15" i="18"/>
  <c r="CX15" i="18"/>
  <c r="CV15" i="18"/>
  <c r="CS15" i="18"/>
  <c r="CP15" i="18"/>
  <c r="CF15" i="18"/>
  <c r="CE15" i="18"/>
  <c r="BT15" i="18"/>
  <c r="BR15" i="18"/>
  <c r="BM15" i="18"/>
  <c r="BB15" i="18"/>
  <c r="DJ14" i="18"/>
  <c r="DG14" i="18"/>
  <c r="DE14" i="18"/>
  <c r="DC14" i="18"/>
  <c r="CZ14" i="18"/>
  <c r="CY14" i="18"/>
  <c r="CX14" i="18"/>
  <c r="CV14" i="18"/>
  <c r="CS14" i="18"/>
  <c r="CP14" i="18"/>
  <c r="CN14" i="18"/>
  <c r="CJ14" i="18"/>
  <c r="CH14" i="18"/>
  <c r="CG14" i="18"/>
  <c r="CF14" i="18"/>
  <c r="CE14" i="18"/>
  <c r="CD14" i="18"/>
  <c r="CA14" i="18"/>
  <c r="BZ14" i="18"/>
  <c r="BX14" i="18"/>
  <c r="BV14" i="18"/>
  <c r="BU14" i="18"/>
  <c r="BT14" i="18"/>
  <c r="BS14" i="18"/>
  <c r="BR14" i="18"/>
  <c r="BP14" i="18"/>
  <c r="BO14" i="18"/>
  <c r="BM14" i="18"/>
  <c r="BK14" i="18"/>
  <c r="BF14" i="18"/>
  <c r="BE14" i="18"/>
  <c r="BB14" i="18"/>
  <c r="AZ14" i="18"/>
  <c r="BV13" i="18"/>
  <c r="DG12" i="18"/>
  <c r="CZ12" i="18"/>
  <c r="CY12" i="18"/>
  <c r="CV12" i="18"/>
  <c r="CP12" i="18"/>
  <c r="CN12" i="18"/>
  <c r="CJ12" i="18"/>
  <c r="CH12" i="18"/>
  <c r="CE12" i="18"/>
  <c r="BV12" i="18"/>
  <c r="BU12" i="18"/>
  <c r="BT12" i="18"/>
  <c r="BR12" i="18"/>
  <c r="BF12" i="18"/>
  <c r="BE12" i="18"/>
  <c r="BB12" i="18"/>
  <c r="AZ12" i="18"/>
  <c r="AN12" i="18"/>
  <c r="AM12" i="18"/>
  <c r="CF11" i="18"/>
  <c r="BR11" i="18"/>
  <c r="BE11" i="18"/>
  <c r="BB11" i="18"/>
  <c r="DL10" i="18"/>
  <c r="DJ10" i="18"/>
  <c r="DI10" i="18"/>
  <c r="DG10" i="18"/>
  <c r="DE10" i="18"/>
  <c r="DD10" i="18"/>
  <c r="DC10" i="18"/>
  <c r="CZ10" i="18"/>
  <c r="CY10" i="18"/>
  <c r="CX10" i="18"/>
  <c r="CV10" i="18"/>
  <c r="CS10" i="18"/>
  <c r="CP10" i="18"/>
  <c r="CN10" i="18"/>
  <c r="CM10" i="18"/>
  <c r="CJ10" i="18"/>
  <c r="CH10" i="18"/>
  <c r="CF10" i="18"/>
  <c r="CE10" i="18"/>
  <c r="CD10" i="18"/>
  <c r="CA10" i="18"/>
  <c r="BX10" i="18"/>
  <c r="BV10" i="18"/>
  <c r="BU10" i="18"/>
  <c r="BT10" i="18"/>
  <c r="BS10" i="18"/>
  <c r="BR10" i="18"/>
  <c r="BN10" i="18"/>
  <c r="BM10" i="18"/>
  <c r="BL10" i="18"/>
  <c r="BK10" i="18"/>
  <c r="BH10" i="18"/>
  <c r="BG10" i="18"/>
  <c r="BF10" i="18"/>
  <c r="BE10" i="18"/>
  <c r="BB10" i="18"/>
  <c r="AW10" i="18"/>
  <c r="AV10" i="18"/>
  <c r="AU10" i="18"/>
  <c r="AT10" i="18"/>
  <c r="AR10" i="18"/>
  <c r="AP10" i="18"/>
  <c r="AN10" i="18"/>
  <c r="AH10" i="18"/>
  <c r="AF10" i="18"/>
  <c r="AE10" i="18"/>
  <c r="AA10" i="18"/>
  <c r="Z10" i="18"/>
  <c r="X10" i="18"/>
  <c r="R10" i="18"/>
  <c r="M10" i="18"/>
  <c r="J10" i="18"/>
  <c r="E10" i="18"/>
  <c r="DI9" i="18"/>
  <c r="DG9" i="18"/>
  <c r="DB9" i="18"/>
  <c r="CZ9" i="18"/>
  <c r="CY9" i="18"/>
  <c r="CV9" i="18"/>
  <c r="CS9" i="18"/>
  <c r="CP9" i="18"/>
  <c r="CJ9" i="18"/>
  <c r="CF9" i="18"/>
  <c r="CE9" i="18"/>
  <c r="CD9" i="18"/>
  <c r="CA9" i="18"/>
  <c r="BZ9" i="18"/>
  <c r="BX9" i="18"/>
  <c r="BV9" i="18"/>
  <c r="BT9" i="18"/>
  <c r="BS9" i="18"/>
  <c r="BP9" i="18"/>
  <c r="BO9" i="18"/>
  <c r="BN9" i="18"/>
  <c r="BH9" i="18"/>
  <c r="BE9" i="18"/>
  <c r="AR9" i="18"/>
  <c r="AI9" i="18"/>
  <c r="AH9" i="18"/>
  <c r="AA9" i="18"/>
  <c r="P9" i="18"/>
  <c r="M9" i="18"/>
  <c r="J9" i="18"/>
  <c r="DJ8" i="18"/>
  <c r="DG8" i="18"/>
  <c r="DC8" i="18"/>
  <c r="CZ8" i="18"/>
  <c r="CV8" i="18"/>
  <c r="BZ8" i="18"/>
  <c r="BR8" i="18"/>
  <c r="BF8" i="18"/>
  <c r="M8" i="18"/>
  <c r="DI7" i="18"/>
  <c r="DG7" i="18"/>
  <c r="CY7" i="18"/>
  <c r="CX7" i="18"/>
  <c r="CV7" i="18"/>
  <c r="CU7" i="18"/>
  <c r="CS7" i="18"/>
  <c r="CN7" i="18"/>
  <c r="CJ7" i="18"/>
  <c r="CF7" i="18"/>
  <c r="CA7" i="18"/>
  <c r="BZ7" i="18"/>
  <c r="BY7" i="18"/>
  <c r="BX7" i="18"/>
  <c r="BV7" i="18"/>
  <c r="BU7" i="18"/>
  <c r="BT7" i="18"/>
  <c r="BS7" i="18"/>
  <c r="BR7" i="18"/>
  <c r="BH7" i="18"/>
  <c r="BF7" i="18"/>
  <c r="BE7" i="18"/>
  <c r="BB7" i="18"/>
  <c r="AZ7" i="18"/>
  <c r="AN7" i="18"/>
  <c r="AM7" i="18"/>
  <c r="AE7" i="18"/>
  <c r="Z7" i="18"/>
  <c r="M7" i="18"/>
  <c r="J7" i="18"/>
  <c r="DF6" i="18"/>
  <c r="DD6" i="18"/>
  <c r="CH6" i="18"/>
  <c r="BU6" i="18"/>
  <c r="BT6" i="18"/>
  <c r="BR6" i="18"/>
  <c r="DJ5" i="18"/>
  <c r="DI5" i="18"/>
  <c r="DG5" i="18"/>
  <c r="DF5" i="18"/>
  <c r="DD5" i="18"/>
  <c r="DC5" i="18"/>
  <c r="CZ5" i="18"/>
  <c r="CY5" i="18"/>
  <c r="CX5" i="18"/>
  <c r="CV5" i="18"/>
  <c r="CS5" i="18"/>
  <c r="CR5" i="18"/>
  <c r="CP5" i="18"/>
  <c r="CN5" i="18"/>
  <c r="CM5" i="18"/>
  <c r="CJ5" i="18"/>
  <c r="CH5" i="18"/>
  <c r="CG5" i="18"/>
  <c r="CF5" i="18"/>
  <c r="CE5" i="18"/>
  <c r="CD5" i="18"/>
  <c r="CB5" i="18"/>
  <c r="CA5" i="18"/>
  <c r="BZ5" i="18"/>
  <c r="BX5" i="18"/>
  <c r="BV5" i="18"/>
  <c r="BU5" i="18"/>
  <c r="BT5" i="18"/>
  <c r="BS5" i="18"/>
  <c r="BR5" i="18"/>
  <c r="BP5" i="18"/>
  <c r="BO5" i="18"/>
  <c r="BN5" i="18"/>
  <c r="BM5" i="18"/>
  <c r="BK5" i="18"/>
  <c r="BJ5" i="18"/>
  <c r="BH5" i="18"/>
  <c r="BF5" i="18"/>
  <c r="BE5" i="18"/>
  <c r="BC5" i="18"/>
  <c r="BB5" i="18"/>
  <c r="AZ5" i="18"/>
  <c r="AX5" i="18"/>
  <c r="AW5" i="18"/>
  <c r="AT5" i="18"/>
  <c r="AR5" i="18"/>
  <c r="AN5" i="18"/>
  <c r="AM5" i="18"/>
  <c r="AL5" i="18"/>
  <c r="AJ5" i="18"/>
  <c r="AI5" i="18"/>
  <c r="AG5" i="18"/>
  <c r="AF5" i="18"/>
  <c r="AA5" i="18"/>
  <c r="T5" i="18"/>
  <c r="R5" i="18"/>
  <c r="P5" i="18"/>
  <c r="J5" i="18"/>
  <c r="DJ4" i="18"/>
  <c r="DG4" i="18"/>
  <c r="DF4" i="18"/>
  <c r="DC4" i="18"/>
  <c r="CZ4" i="18"/>
  <c r="CY4" i="18"/>
  <c r="CS4" i="18"/>
  <c r="CP4" i="18"/>
  <c r="CN4" i="18"/>
  <c r="CJ4" i="18"/>
  <c r="CF4" i="18"/>
  <c r="CE4" i="18"/>
  <c r="CD4" i="18"/>
  <c r="CB4" i="18"/>
  <c r="CA4" i="18"/>
  <c r="BZ4" i="18"/>
  <c r="BX4" i="18"/>
  <c r="BV4" i="18"/>
  <c r="BU4" i="18"/>
  <c r="BT4" i="18"/>
  <c r="BS4" i="18"/>
  <c r="BR4" i="18"/>
  <c r="BP4" i="18"/>
  <c r="BO4" i="18"/>
  <c r="BK4" i="18"/>
  <c r="BE4" i="18"/>
  <c r="BB4" i="18"/>
  <c r="AZ4" i="18"/>
  <c r="AN4" i="18"/>
  <c r="DL3" i="18"/>
  <c r="DJ3" i="18"/>
  <c r="DG3" i="18"/>
  <c r="DC3" i="18"/>
  <c r="CZ3" i="18"/>
  <c r="CY3" i="18"/>
  <c r="CS3" i="18"/>
  <c r="CQ3" i="18"/>
  <c r="CP3" i="18"/>
  <c r="CN3" i="18"/>
  <c r="CJ3" i="18"/>
  <c r="CH3" i="18"/>
  <c r="CF3" i="18"/>
  <c r="CE3" i="18"/>
  <c r="CD3" i="18"/>
  <c r="CB3" i="18"/>
  <c r="CA3" i="18"/>
  <c r="BZ3" i="18"/>
  <c r="BX3" i="18"/>
  <c r="BV3" i="18"/>
  <c r="BU3" i="18"/>
  <c r="BT3" i="18"/>
  <c r="BS3" i="18"/>
  <c r="BR3" i="18"/>
  <c r="BP3" i="18"/>
  <c r="BO3" i="18"/>
  <c r="BK3" i="18"/>
  <c r="BF3" i="18"/>
  <c r="BE3" i="18"/>
  <c r="AZ3" i="18"/>
  <c r="AT3" i="18"/>
  <c r="DJ2" i="18"/>
  <c r="DG2" i="18"/>
  <c r="DE2" i="18"/>
  <c r="DC2" i="18"/>
  <c r="CZ2" i="18"/>
  <c r="CY2" i="18"/>
  <c r="CX2" i="18"/>
  <c r="CV2" i="18"/>
  <c r="CS2" i="18"/>
  <c r="CN2" i="18"/>
  <c r="CG2" i="18"/>
  <c r="CF2" i="18"/>
  <c r="CE2" i="18"/>
  <c r="CD2" i="18"/>
  <c r="CB2" i="18"/>
  <c r="CA2" i="18"/>
  <c r="BZ2" i="18"/>
  <c r="BX2" i="18"/>
  <c r="BV2" i="18"/>
  <c r="BU2" i="18"/>
  <c r="BT2" i="18"/>
  <c r="BS2" i="18"/>
  <c r="BR2" i="18"/>
  <c r="BP2" i="18"/>
  <c r="BO2" i="18"/>
  <c r="BM2" i="18"/>
  <c r="BK2" i="18"/>
  <c r="BH2" i="18"/>
  <c r="BF2" i="18"/>
  <c r="AZ2" i="18"/>
  <c r="BV58" i="17" l="1"/>
  <c r="KZ70" i="11" l="1"/>
  <c r="KZ59" i="11"/>
  <c r="KZ58" i="11"/>
  <c r="KZ52" i="11"/>
  <c r="KZ57" i="11" s="1"/>
  <c r="KZ45" i="11"/>
  <c r="KZ40" i="11"/>
  <c r="KZ34" i="11"/>
  <c r="KZ31" i="11"/>
  <c r="KZ24" i="11"/>
  <c r="KZ14" i="11"/>
  <c r="KZ3" i="11"/>
  <c r="KZ23" i="11" l="1"/>
  <c r="KZ2" i="11"/>
  <c r="KU75" i="11"/>
  <c r="KU70" i="11" s="1"/>
  <c r="KY70" i="11"/>
  <c r="KX70" i="11"/>
  <c r="KW70" i="11"/>
  <c r="KV70" i="11"/>
  <c r="KT70" i="11"/>
  <c r="KS70" i="11"/>
  <c r="KR70" i="11"/>
  <c r="KQ70" i="11"/>
  <c r="KP70" i="11"/>
  <c r="KO70" i="11"/>
  <c r="KM70" i="11"/>
  <c r="KL70" i="11"/>
  <c r="KK70" i="11"/>
  <c r="KJ70" i="11"/>
  <c r="KI70" i="11"/>
  <c r="KY69" i="11"/>
  <c r="KP69" i="11"/>
  <c r="KO69" i="11"/>
  <c r="KM69" i="11"/>
  <c r="KL69" i="11"/>
  <c r="KY64" i="11"/>
  <c r="KY59" i="11" s="1"/>
  <c r="KX64" i="11"/>
  <c r="KX59" i="11" s="1"/>
  <c r="KW64" i="11"/>
  <c r="KW59" i="11" s="1"/>
  <c r="KV64" i="11"/>
  <c r="KV59" i="11" s="1"/>
  <c r="KU64" i="11"/>
  <c r="KT64" i="11"/>
  <c r="KT59" i="11" s="1"/>
  <c r="KS64" i="11"/>
  <c r="KS59" i="11" s="1"/>
  <c r="KR64" i="11"/>
  <c r="KR59" i="11" s="1"/>
  <c r="KQ64" i="11"/>
  <c r="KQ59" i="11" s="1"/>
  <c r="KP64" i="11"/>
  <c r="KO64" i="11"/>
  <c r="KM64" i="11"/>
  <c r="KL64" i="11"/>
  <c r="KK64" i="11"/>
  <c r="KK59" i="11" s="1"/>
  <c r="KJ64" i="11"/>
  <c r="KI64" i="11"/>
  <c r="KI59" i="11" s="1"/>
  <c r="KU61" i="11"/>
  <c r="KO61" i="11"/>
  <c r="KL61" i="11"/>
  <c r="KN59" i="11"/>
  <c r="KJ59" i="11"/>
  <c r="KY57" i="11"/>
  <c r="KX57" i="11"/>
  <c r="KW57" i="11"/>
  <c r="KV57" i="11"/>
  <c r="KU57" i="11"/>
  <c r="KT57" i="11"/>
  <c r="KS57" i="11"/>
  <c r="KR57" i="11"/>
  <c r="KQ57" i="11"/>
  <c r="KP57" i="11"/>
  <c r="KO57" i="11"/>
  <c r="KO51" i="11" s="1"/>
  <c r="KN57" i="11"/>
  <c r="KM57" i="11"/>
  <c r="KL57" i="11"/>
  <c r="KK57" i="11"/>
  <c r="KJ57" i="11"/>
  <c r="KI57" i="11"/>
  <c r="KY54" i="11"/>
  <c r="KV54" i="11"/>
  <c r="KU54" i="11"/>
  <c r="KO54" i="11"/>
  <c r="KM54" i="11"/>
  <c r="KL54" i="11"/>
  <c r="KK54" i="11"/>
  <c r="KV53" i="11"/>
  <c r="KR53" i="11"/>
  <c r="KP53" i="11"/>
  <c r="KP51" i="11" s="1"/>
  <c r="KJ53" i="11"/>
  <c r="KX52" i="11"/>
  <c r="KW52" i="11"/>
  <c r="KV52" i="11"/>
  <c r="KU52" i="11"/>
  <c r="KT52" i="11"/>
  <c r="KS52" i="11"/>
  <c r="KR52" i="11"/>
  <c r="KQ52" i="11"/>
  <c r="KP52" i="11"/>
  <c r="KO52" i="11"/>
  <c r="KN52" i="11"/>
  <c r="KM52" i="11"/>
  <c r="KL52" i="11"/>
  <c r="KK52" i="11"/>
  <c r="KJ52" i="11"/>
  <c r="KI52" i="11"/>
  <c r="KY45" i="11"/>
  <c r="KX45" i="11"/>
  <c r="KW45" i="11"/>
  <c r="KV45" i="11"/>
  <c r="KU45" i="11"/>
  <c r="KT45" i="11"/>
  <c r="KS45" i="11"/>
  <c r="KR45" i="11"/>
  <c r="KQ45" i="11"/>
  <c r="KP45" i="11"/>
  <c r="KO45" i="11"/>
  <c r="KM45" i="11"/>
  <c r="KL45" i="11"/>
  <c r="KK45" i="11"/>
  <c r="KI45" i="11"/>
  <c r="KI44" i="11"/>
  <c r="KT43" i="11"/>
  <c r="KT40" i="11" s="1"/>
  <c r="KP43" i="11"/>
  <c r="KP40" i="11" s="1"/>
  <c r="KM43" i="11"/>
  <c r="KM40" i="11" s="1"/>
  <c r="KJ43" i="11"/>
  <c r="KJ40" i="11" s="1"/>
  <c r="KJ50" i="11" s="1"/>
  <c r="KI43" i="11"/>
  <c r="KY40" i="11"/>
  <c r="KX40" i="11"/>
  <c r="KW40" i="11"/>
  <c r="KV40" i="11"/>
  <c r="KU40" i="11"/>
  <c r="KS40" i="11"/>
  <c r="KR40" i="11"/>
  <c r="KQ40" i="11"/>
  <c r="KO40" i="11"/>
  <c r="KN40" i="11"/>
  <c r="KN50" i="11" s="1"/>
  <c r="KL40" i="11"/>
  <c r="KK40" i="11"/>
  <c r="KY34" i="11"/>
  <c r="KX34" i="11"/>
  <c r="KW34" i="11"/>
  <c r="KV34" i="11"/>
  <c r="KU34" i="11"/>
  <c r="KT34" i="11"/>
  <c r="KS34" i="11"/>
  <c r="KR34" i="11"/>
  <c r="KQ34" i="11"/>
  <c r="KP34" i="11"/>
  <c r="KO34" i="11"/>
  <c r="KN34" i="11"/>
  <c r="KM34" i="11"/>
  <c r="KL34" i="11"/>
  <c r="KK34" i="11"/>
  <c r="KJ34" i="11"/>
  <c r="KI34" i="11"/>
  <c r="KL33" i="11"/>
  <c r="KL31" i="11" s="1"/>
  <c r="KM32" i="11"/>
  <c r="KM31" i="11" s="1"/>
  <c r="KY31" i="11"/>
  <c r="KX31" i="11"/>
  <c r="KU31" i="11"/>
  <c r="KT31" i="11"/>
  <c r="KS31" i="11"/>
  <c r="KR31" i="11"/>
  <c r="KP31" i="11"/>
  <c r="KO31" i="11"/>
  <c r="KN31" i="11"/>
  <c r="KK31" i="11"/>
  <c r="KJ31" i="11"/>
  <c r="KO30" i="11"/>
  <c r="KL30" i="11"/>
  <c r="KL24" i="11" s="1"/>
  <c r="KU28" i="11"/>
  <c r="KS28" i="11"/>
  <c r="KR28" i="11"/>
  <c r="KW27" i="11"/>
  <c r="KW24" i="11" s="1"/>
  <c r="KV27" i="11"/>
  <c r="KV24" i="11" s="1"/>
  <c r="KU27" i="11"/>
  <c r="KT27" i="11"/>
  <c r="KT24" i="11" s="1"/>
  <c r="KS27" i="11"/>
  <c r="KR27" i="11"/>
  <c r="KP27" i="11"/>
  <c r="KP24" i="11" s="1"/>
  <c r="KO27" i="11"/>
  <c r="KM27" i="11"/>
  <c r="KM24" i="11" s="1"/>
  <c r="KK27" i="11"/>
  <c r="KK24" i="11" s="1"/>
  <c r="KI27" i="11"/>
  <c r="KI24" i="11" s="1"/>
  <c r="KY24" i="11"/>
  <c r="KX24" i="11"/>
  <c r="KQ24" i="11"/>
  <c r="KN24" i="11"/>
  <c r="KJ24" i="11"/>
  <c r="KL22" i="11"/>
  <c r="KL14" i="11" s="1"/>
  <c r="KJ22" i="11"/>
  <c r="KW19" i="11"/>
  <c r="KW17" i="11" s="1"/>
  <c r="KW14" i="11" s="1"/>
  <c r="KY17" i="11"/>
  <c r="KY14" i="11" s="1"/>
  <c r="KX17" i="11"/>
  <c r="KX14" i="11" s="1"/>
  <c r="KV17" i="11"/>
  <c r="KV14" i="11" s="1"/>
  <c r="KU17" i="11"/>
  <c r="KU14" i="11" s="1"/>
  <c r="KS17" i="11"/>
  <c r="KS14" i="11" s="1"/>
  <c r="KR17" i="11"/>
  <c r="KR14" i="11" s="1"/>
  <c r="KP17" i="11"/>
  <c r="KP14" i="11" s="1"/>
  <c r="KO17" i="11"/>
  <c r="KO14" i="11" s="1"/>
  <c r="KN17" i="11"/>
  <c r="KN14" i="11" s="1"/>
  <c r="KM17" i="11"/>
  <c r="KM14" i="11" s="1"/>
  <c r="KK17" i="11"/>
  <c r="KK14" i="11" s="1"/>
  <c r="KJ17" i="11"/>
  <c r="KT14" i="11"/>
  <c r="KQ14" i="11"/>
  <c r="KI14" i="11"/>
  <c r="KU11" i="11"/>
  <c r="KL11" i="11"/>
  <c r="KL4" i="11" s="1"/>
  <c r="KL3" i="11" s="1"/>
  <c r="KY10" i="11"/>
  <c r="KY4" i="11" s="1"/>
  <c r="KY3" i="11" s="1"/>
  <c r="KU10" i="11"/>
  <c r="KT10" i="11"/>
  <c r="KS10" i="11"/>
  <c r="KR10" i="11"/>
  <c r="KQ10" i="11"/>
  <c r="KQ4" i="11" s="1"/>
  <c r="KQ3" i="11" s="1"/>
  <c r="KO10" i="11"/>
  <c r="KO4" i="11" s="1"/>
  <c r="KO3" i="11" s="1"/>
  <c r="KK10" i="11"/>
  <c r="KJ10" i="11"/>
  <c r="KM9" i="11"/>
  <c r="KX5" i="11"/>
  <c r="KX4" i="11" s="1"/>
  <c r="KX3" i="11" s="1"/>
  <c r="KW5" i="11"/>
  <c r="KW4" i="11" s="1"/>
  <c r="KW3" i="11" s="1"/>
  <c r="KU5" i="11"/>
  <c r="KT5" i="11"/>
  <c r="KS5" i="11"/>
  <c r="KR5" i="11"/>
  <c r="KN5" i="11"/>
  <c r="KN4" i="11" s="1"/>
  <c r="KN3" i="11" s="1"/>
  <c r="KM5" i="11"/>
  <c r="KK5" i="11"/>
  <c r="KJ5" i="11"/>
  <c r="KI5" i="11"/>
  <c r="KI4" i="11" s="1"/>
  <c r="KI3" i="11" s="1"/>
  <c r="KV4" i="11"/>
  <c r="KV3" i="11" s="1"/>
  <c r="KP4" i="11"/>
  <c r="KP3" i="11" s="1"/>
  <c r="KU51" i="11" l="1"/>
  <c r="KU58" i="11" s="1"/>
  <c r="KN51" i="11"/>
  <c r="KN58" i="11" s="1"/>
  <c r="KQ51" i="11"/>
  <c r="KU50" i="11"/>
  <c r="KT50" i="11"/>
  <c r="KI40" i="11"/>
  <c r="KI50" i="11" s="1"/>
  <c r="KK4" i="11"/>
  <c r="KK3" i="11" s="1"/>
  <c r="KK2" i="11" s="1"/>
  <c r="KV51" i="11"/>
  <c r="KW51" i="11"/>
  <c r="KS24" i="11"/>
  <c r="KS23" i="11" s="1"/>
  <c r="KV50" i="11"/>
  <c r="KJ14" i="11"/>
  <c r="KW50" i="11"/>
  <c r="KS51" i="11"/>
  <c r="KI51" i="11"/>
  <c r="KX50" i="11"/>
  <c r="KM4" i="11"/>
  <c r="KM3" i="11" s="1"/>
  <c r="KM2" i="11" s="1"/>
  <c r="KJ4" i="11"/>
  <c r="KJ3" i="11" s="1"/>
  <c r="KT23" i="11"/>
  <c r="KU59" i="11"/>
  <c r="KJ51" i="11"/>
  <c r="KJ58" i="11" s="1"/>
  <c r="KJ76" i="11" s="1"/>
  <c r="KJ78" i="11" s="1"/>
  <c r="KL59" i="11"/>
  <c r="KO50" i="11"/>
  <c r="KO58" i="11" s="1"/>
  <c r="KR51" i="11"/>
  <c r="KJ23" i="11"/>
  <c r="KY50" i="11"/>
  <c r="KO24" i="11"/>
  <c r="KO23" i="11" s="1"/>
  <c r="KN23" i="11"/>
  <c r="KT4" i="11"/>
  <c r="KT3" i="11" s="1"/>
  <c r="KT2" i="11" s="1"/>
  <c r="KR24" i="11"/>
  <c r="KT51" i="11"/>
  <c r="KT58" i="11" s="1"/>
  <c r="KK23" i="11"/>
  <c r="KM51" i="11"/>
  <c r="KL50" i="11"/>
  <c r="KQ50" i="11"/>
  <c r="KQ58" i="11" s="1"/>
  <c r="KU24" i="11"/>
  <c r="KK50" i="11"/>
  <c r="KX23" i="11"/>
  <c r="KR50" i="11"/>
  <c r="KL51" i="11"/>
  <c r="KL2" i="11"/>
  <c r="KV2" i="11"/>
  <c r="KM59" i="11"/>
  <c r="KM23" i="11"/>
  <c r="KK51" i="11"/>
  <c r="KR4" i="11"/>
  <c r="KR3" i="11" s="1"/>
  <c r="KR2" i="11" s="1"/>
  <c r="KS4" i="11"/>
  <c r="KS3" i="11" s="1"/>
  <c r="KS2" i="11" s="1"/>
  <c r="KY51" i="11"/>
  <c r="KX51" i="11"/>
  <c r="KP50" i="11"/>
  <c r="KP58" i="11" s="1"/>
  <c r="KM50" i="11"/>
  <c r="KP59" i="11"/>
  <c r="KL23" i="11"/>
  <c r="KI2" i="11"/>
  <c r="KN2" i="11"/>
  <c r="KY2" i="11"/>
  <c r="KP23" i="11"/>
  <c r="KW23" i="11"/>
  <c r="KQ23" i="11"/>
  <c r="KY23" i="11"/>
  <c r="KW2" i="11"/>
  <c r="KX2" i="11"/>
  <c r="KI23" i="11"/>
  <c r="KO2" i="11"/>
  <c r="KP2" i="11"/>
  <c r="KQ2" i="11"/>
  <c r="KV23" i="11"/>
  <c r="KO59" i="11"/>
  <c r="KU4" i="11"/>
  <c r="KU3" i="11" s="1"/>
  <c r="KS50" i="11"/>
  <c r="KI58" i="11" l="1"/>
  <c r="KI76" i="11" s="1"/>
  <c r="KI78" i="11" s="1"/>
  <c r="KV58" i="11"/>
  <c r="KV76" i="11" s="1"/>
  <c r="KV78" i="11" s="1"/>
  <c r="KW58" i="11"/>
  <c r="KJ2" i="11"/>
  <c r="KS58" i="11"/>
  <c r="KS76" i="11" s="1"/>
  <c r="KS78" i="11" s="1"/>
  <c r="KU76" i="11"/>
  <c r="KL58" i="11"/>
  <c r="KL76" i="11" s="1"/>
  <c r="KL78" i="11" s="1"/>
  <c r="KR58" i="11"/>
  <c r="KR76" i="11" s="1"/>
  <c r="KR78" i="11" s="1"/>
  <c r="KM58" i="11"/>
  <c r="KM76" i="11" s="1"/>
  <c r="KM78" i="11" s="1"/>
  <c r="KK58" i="11"/>
  <c r="KK76" i="11" s="1"/>
  <c r="KK78" i="11" s="1"/>
  <c r="KX58" i="11"/>
  <c r="KR23" i="11"/>
  <c r="KY58" i="11"/>
  <c r="KY76" i="11" s="1"/>
  <c r="KY78" i="11" s="1"/>
  <c r="KW76" i="11"/>
  <c r="KW78" i="11" s="1"/>
  <c r="KX76" i="11"/>
  <c r="KX78" i="11" s="1"/>
  <c r="KU23" i="11"/>
  <c r="KT76" i="11"/>
  <c r="KT78" i="11" s="1"/>
  <c r="KP76" i="11"/>
  <c r="KP78" i="11" s="1"/>
  <c r="KQ76" i="11"/>
  <c r="KQ78" i="11" s="1"/>
  <c r="KN76" i="11"/>
  <c r="KN78" i="11" s="1"/>
  <c r="KU78" i="11"/>
  <c r="KU2" i="11"/>
  <c r="KO76" i="11"/>
  <c r="KO78" i="11" l="1"/>
  <c r="FC30" i="10" l="1"/>
  <c r="FC28" i="10"/>
  <c r="EZ57" i="10"/>
  <c r="EZ52" i="10"/>
  <c r="EK57" i="10"/>
  <c r="EK53" i="10"/>
  <c r="EE5" i="10"/>
  <c r="ED57" i="10"/>
  <c r="ED52" i="10"/>
  <c r="BN28" i="10"/>
  <c r="BG30" i="10"/>
  <c r="BG28" i="10"/>
  <c r="E42" i="10"/>
  <c r="BM42" i="10"/>
  <c r="BM43" i="10"/>
  <c r="HZ43" i="9"/>
  <c r="HZ42" i="9"/>
  <c r="JS75" i="11" l="1"/>
  <c r="JS70" i="11" s="1"/>
  <c r="JL75" i="11"/>
  <c r="JL70" i="11" s="1"/>
  <c r="IF75" i="11"/>
  <c r="IF70" i="11" s="1"/>
  <c r="HZ75" i="11"/>
  <c r="HZ70" i="11" s="1"/>
  <c r="HO75" i="11"/>
  <c r="HO70" i="11" s="1"/>
  <c r="FN75" i="11"/>
  <c r="FN70" i="11" s="1"/>
  <c r="EV75" i="11"/>
  <c r="EV70" i="11" s="1"/>
  <c r="EB75" i="11"/>
  <c r="EB70" i="11" s="1"/>
  <c r="CG75" i="11"/>
  <c r="CG70" i="11" s="1"/>
  <c r="H75" i="11"/>
  <c r="H70" i="11" s="1"/>
  <c r="HP73" i="11"/>
  <c r="HP70" i="11" s="1"/>
  <c r="GG73" i="11"/>
  <c r="GG70" i="11" s="1"/>
  <c r="FT73" i="11"/>
  <c r="FT70" i="11" s="1"/>
  <c r="EG73" i="11"/>
  <c r="EG70" i="11" s="1"/>
  <c r="CX73" i="11"/>
  <c r="CX70" i="11" s="1"/>
  <c r="CT73" i="11"/>
  <c r="CT70" i="11" s="1"/>
  <c r="AY73" i="11"/>
  <c r="AY70" i="11" s="1"/>
  <c r="S73" i="11"/>
  <c r="S70" i="11" s="1"/>
  <c r="P73" i="11"/>
  <c r="P70" i="11" s="1"/>
  <c r="KH70" i="11"/>
  <c r="KG70" i="11"/>
  <c r="KF70" i="11"/>
  <c r="KE70" i="11"/>
  <c r="KD70" i="11"/>
  <c r="KC70" i="11"/>
  <c r="KB70" i="11"/>
  <c r="KA70" i="11"/>
  <c r="JZ70" i="11"/>
  <c r="JY70" i="11"/>
  <c r="JX70" i="11"/>
  <c r="JW70" i="11"/>
  <c r="JV70" i="11"/>
  <c r="JU70" i="11"/>
  <c r="JT70" i="11"/>
  <c r="JR70" i="11"/>
  <c r="JP70" i="11"/>
  <c r="JO70" i="11"/>
  <c r="JN70" i="11"/>
  <c r="JM70" i="11"/>
  <c r="JK70" i="11"/>
  <c r="JJ70" i="11"/>
  <c r="JI70" i="11"/>
  <c r="JH70" i="11"/>
  <c r="JG70" i="11"/>
  <c r="JF70" i="11"/>
  <c r="JE70" i="11"/>
  <c r="JD70" i="11"/>
  <c r="JC70" i="11"/>
  <c r="JB70" i="11"/>
  <c r="JA70" i="11"/>
  <c r="IZ70" i="11"/>
  <c r="IY70" i="11"/>
  <c r="IX70" i="11"/>
  <c r="IW70" i="11"/>
  <c r="IV70" i="11"/>
  <c r="IU70" i="11"/>
  <c r="IT70" i="11"/>
  <c r="IS70" i="11"/>
  <c r="IR70" i="11"/>
  <c r="IQ70" i="11"/>
  <c r="IP70" i="11"/>
  <c r="IO70" i="11"/>
  <c r="IN70" i="11"/>
  <c r="IM70" i="11"/>
  <c r="IL70" i="11"/>
  <c r="IK70" i="11"/>
  <c r="IJ70" i="11"/>
  <c r="II70" i="11"/>
  <c r="IH70" i="11"/>
  <c r="IG70" i="11"/>
  <c r="ID70" i="11"/>
  <c r="IC70" i="11"/>
  <c r="IB70" i="11"/>
  <c r="IA70" i="11"/>
  <c r="HX70" i="11"/>
  <c r="HV70" i="11"/>
  <c r="HU70" i="11"/>
  <c r="HT70" i="11"/>
  <c r="HS70" i="11"/>
  <c r="HR70" i="11"/>
  <c r="HQ70" i="11"/>
  <c r="HN70" i="11"/>
  <c r="HM70" i="11"/>
  <c r="HL70" i="11"/>
  <c r="HK70" i="11"/>
  <c r="HI70" i="11"/>
  <c r="HG70" i="11"/>
  <c r="HF70" i="11"/>
  <c r="HD70" i="11"/>
  <c r="HC70" i="11"/>
  <c r="HB70" i="11"/>
  <c r="GZ70" i="11"/>
  <c r="GY70" i="11"/>
  <c r="GX70" i="11"/>
  <c r="GW70" i="11"/>
  <c r="GV70" i="11"/>
  <c r="GU70" i="11"/>
  <c r="GT70" i="11"/>
  <c r="GS70" i="11"/>
  <c r="GR70" i="11"/>
  <c r="GQ70" i="11"/>
  <c r="GP70" i="11"/>
  <c r="GN70" i="11"/>
  <c r="GM70" i="11"/>
  <c r="GK70" i="11"/>
  <c r="GI70" i="11"/>
  <c r="GF70" i="11"/>
  <c r="GC70" i="11"/>
  <c r="GB70" i="11"/>
  <c r="GA70" i="11"/>
  <c r="FX70" i="11"/>
  <c r="FW70" i="11"/>
  <c r="FU70" i="11"/>
  <c r="FS70" i="11"/>
  <c r="FR70" i="11"/>
  <c r="FQ70" i="11"/>
  <c r="FP70" i="11"/>
  <c r="FM70" i="11"/>
  <c r="FL70" i="11"/>
  <c r="FK70" i="11"/>
  <c r="FJ70" i="11"/>
  <c r="FH70" i="11"/>
  <c r="FF70" i="11"/>
  <c r="FE70" i="11"/>
  <c r="FD70" i="11"/>
  <c r="FC70" i="11"/>
  <c r="FB70" i="11"/>
  <c r="FA70" i="11"/>
  <c r="EZ70" i="11"/>
  <c r="EY70" i="11"/>
  <c r="EX70" i="11"/>
  <c r="EW70" i="11"/>
  <c r="EU70" i="11"/>
  <c r="ET70" i="11"/>
  <c r="ES70" i="11"/>
  <c r="ER70" i="11"/>
  <c r="EQ70" i="11"/>
  <c r="EP70" i="11"/>
  <c r="EO70" i="11"/>
  <c r="EN70" i="11"/>
  <c r="EM70" i="11"/>
  <c r="EL70" i="11"/>
  <c r="EK70" i="11"/>
  <c r="EJ70" i="11"/>
  <c r="EI70" i="11"/>
  <c r="EH70" i="11"/>
  <c r="EF70" i="11"/>
  <c r="EE70" i="11"/>
  <c r="ED70" i="11"/>
  <c r="EC70" i="11"/>
  <c r="EA70" i="11"/>
  <c r="DZ70" i="11"/>
  <c r="DY70" i="11"/>
  <c r="DX70" i="11"/>
  <c r="DW70" i="11"/>
  <c r="DV70" i="11"/>
  <c r="DU70" i="11"/>
  <c r="DT70" i="11"/>
  <c r="DS70" i="11"/>
  <c r="DR70" i="11"/>
  <c r="DQ70" i="11"/>
  <c r="DP70" i="11"/>
  <c r="DO70" i="11"/>
  <c r="DN70" i="11"/>
  <c r="DM70" i="11"/>
  <c r="DL70" i="11"/>
  <c r="DK70" i="11"/>
  <c r="DJ70" i="11"/>
  <c r="DI70" i="11"/>
  <c r="DH70" i="11"/>
  <c r="DG70" i="11"/>
  <c r="DF70" i="11"/>
  <c r="DE70" i="11"/>
  <c r="DD70" i="11"/>
  <c r="DC70" i="11"/>
  <c r="DB70" i="11"/>
  <c r="CZ70" i="11"/>
  <c r="CW70" i="11"/>
  <c r="CU70" i="11"/>
  <c r="CR70" i="11"/>
  <c r="CP70" i="11"/>
  <c r="CO70" i="11"/>
  <c r="CN70" i="11"/>
  <c r="CM70" i="11"/>
  <c r="CL70" i="11"/>
  <c r="CK70" i="11"/>
  <c r="CJ70" i="11"/>
  <c r="CH70" i="11"/>
  <c r="CF70" i="11"/>
  <c r="CD70" i="11"/>
  <c r="CC70" i="11"/>
  <c r="CB70" i="11"/>
  <c r="CA70" i="11"/>
  <c r="BZ70" i="11"/>
  <c r="BY70" i="11"/>
  <c r="BX70" i="11"/>
  <c r="BW70" i="11"/>
  <c r="BV70" i="11"/>
  <c r="BU70" i="11"/>
  <c r="BT70" i="11"/>
  <c r="BR70" i="11"/>
  <c r="BN70" i="11"/>
  <c r="BM70" i="11"/>
  <c r="BL70" i="11"/>
  <c r="BK70" i="11"/>
  <c r="BJ70" i="11"/>
  <c r="BI70" i="11"/>
  <c r="BH70" i="11"/>
  <c r="BG70" i="11"/>
  <c r="BE70" i="11"/>
  <c r="BB70" i="11"/>
  <c r="AZ70" i="11"/>
  <c r="AW70" i="11"/>
  <c r="AV70" i="11"/>
  <c r="AU70" i="11"/>
  <c r="AS70" i="11"/>
  <c r="AR70" i="11"/>
  <c r="AP70" i="11"/>
  <c r="AO70" i="11"/>
  <c r="AN70" i="11"/>
  <c r="AL70" i="11"/>
  <c r="AK70" i="11"/>
  <c r="AJ70" i="11"/>
  <c r="AI70" i="11"/>
  <c r="AG70" i="11"/>
  <c r="AE70" i="11"/>
  <c r="AD70" i="11"/>
  <c r="AC70" i="11"/>
  <c r="AB70" i="11"/>
  <c r="AA70" i="11"/>
  <c r="Z70" i="11"/>
  <c r="Y70" i="11"/>
  <c r="X70" i="11"/>
  <c r="W70" i="11"/>
  <c r="R70" i="11"/>
  <c r="Q70" i="11"/>
  <c r="O70" i="11"/>
  <c r="N70" i="11"/>
  <c r="K70" i="11"/>
  <c r="I70" i="11"/>
  <c r="F70" i="11"/>
  <c r="E70" i="11"/>
  <c r="D70" i="11"/>
  <c r="C70" i="11"/>
  <c r="KB69" i="11"/>
  <c r="JS69" i="11"/>
  <c r="JN69" i="11"/>
  <c r="IF69" i="11"/>
  <c r="IB69" i="11"/>
  <c r="HZ69" i="11"/>
  <c r="HX69" i="11"/>
  <c r="HR69" i="11"/>
  <c r="HO69" i="11"/>
  <c r="HN69" i="11"/>
  <c r="HK69" i="11"/>
  <c r="HG69" i="11"/>
  <c r="GA69" i="11"/>
  <c r="FT69" i="11"/>
  <c r="FN69" i="11"/>
  <c r="FE69" i="11"/>
  <c r="EN69" i="11"/>
  <c r="EJ69" i="11"/>
  <c r="EG69" i="11"/>
  <c r="DR69" i="11"/>
  <c r="DP69" i="11"/>
  <c r="DL69" i="11"/>
  <c r="CW69" i="11"/>
  <c r="CT69" i="11"/>
  <c r="CR69" i="11"/>
  <c r="CG69" i="11"/>
  <c r="BI69" i="11"/>
  <c r="BG69" i="11"/>
  <c r="AJ69" i="11"/>
  <c r="AA69" i="11"/>
  <c r="S69" i="11"/>
  <c r="H69" i="11"/>
  <c r="F69" i="11"/>
  <c r="D69" i="11"/>
  <c r="JP68" i="11"/>
  <c r="JP64" i="11" s="1"/>
  <c r="JP59" i="11" s="1"/>
  <c r="HP68" i="11"/>
  <c r="HG68" i="11"/>
  <c r="HG64" i="11" s="1"/>
  <c r="EQ68" i="11"/>
  <c r="EQ64" i="11" s="1"/>
  <c r="EQ59" i="11" s="1"/>
  <c r="EN68" i="11"/>
  <c r="EN64" i="11" s="1"/>
  <c r="CW68" i="11"/>
  <c r="CW64" i="11" s="1"/>
  <c r="BU68" i="11"/>
  <c r="BU64" i="11" s="1"/>
  <c r="BU59" i="11" s="1"/>
  <c r="F68" i="11"/>
  <c r="F64" i="11" s="1"/>
  <c r="E68" i="11"/>
  <c r="E64" i="11" s="1"/>
  <c r="E59" i="11" s="1"/>
  <c r="JL67" i="11"/>
  <c r="JL64" i="11" s="1"/>
  <c r="JL59" i="11" s="1"/>
  <c r="HP67" i="11"/>
  <c r="FB67" i="11"/>
  <c r="FB64" i="11" s="1"/>
  <c r="FB59" i="11" s="1"/>
  <c r="ED67" i="11"/>
  <c r="ED64" i="11" s="1"/>
  <c r="ED59" i="11" s="1"/>
  <c r="CM67" i="11"/>
  <c r="CM64" i="11" s="1"/>
  <c r="CM59" i="11" s="1"/>
  <c r="N67" i="11"/>
  <c r="N64" i="11" s="1"/>
  <c r="N59" i="11" s="1"/>
  <c r="D67" i="11"/>
  <c r="IZ66" i="11"/>
  <c r="IZ64" i="11" s="1"/>
  <c r="IZ59" i="11" s="1"/>
  <c r="HK66" i="11"/>
  <c r="HK64" i="11" s="1"/>
  <c r="EM66" i="11"/>
  <c r="EM64" i="11" s="1"/>
  <c r="EM59" i="11" s="1"/>
  <c r="EB66" i="11"/>
  <c r="EB64" i="11" s="1"/>
  <c r="CF66" i="11"/>
  <c r="CF64" i="11" s="1"/>
  <c r="CF59" i="11" s="1"/>
  <c r="AG66" i="11"/>
  <c r="AG64" i="11" s="1"/>
  <c r="AG59" i="11" s="1"/>
  <c r="H66" i="11"/>
  <c r="H64" i="11" s="1"/>
  <c r="D66" i="11"/>
  <c r="KH64" i="11"/>
  <c r="KH59" i="11" s="1"/>
  <c r="KG64" i="11"/>
  <c r="KG59" i="11" s="1"/>
  <c r="KF64" i="11"/>
  <c r="KF59" i="11" s="1"/>
  <c r="KE64" i="11"/>
  <c r="KE59" i="11" s="1"/>
  <c r="KD64" i="11"/>
  <c r="KD59" i="11" s="1"/>
  <c r="KC64" i="11"/>
  <c r="KC59" i="11" s="1"/>
  <c r="KB64" i="11"/>
  <c r="KA64" i="11"/>
  <c r="KA59" i="11" s="1"/>
  <c r="JZ64" i="11"/>
  <c r="JZ59" i="11" s="1"/>
  <c r="JY64" i="11"/>
  <c r="JY59" i="11" s="1"/>
  <c r="JX64" i="11"/>
  <c r="JX59" i="11" s="1"/>
  <c r="JW64" i="11"/>
  <c r="JW59" i="11" s="1"/>
  <c r="JV64" i="11"/>
  <c r="JV59" i="11" s="1"/>
  <c r="JU64" i="11"/>
  <c r="JU59" i="11" s="1"/>
  <c r="JT64" i="11"/>
  <c r="JT59" i="11" s="1"/>
  <c r="JS64" i="11"/>
  <c r="JR64" i="11"/>
  <c r="JR59" i="11" s="1"/>
  <c r="JO64" i="11"/>
  <c r="JO59" i="11" s="1"/>
  <c r="JN64" i="11"/>
  <c r="JM64" i="11"/>
  <c r="JM59" i="11" s="1"/>
  <c r="JK64" i="11"/>
  <c r="JK59" i="11" s="1"/>
  <c r="JJ64" i="11"/>
  <c r="JJ59" i="11" s="1"/>
  <c r="JI64" i="11"/>
  <c r="JI59" i="11" s="1"/>
  <c r="JH64" i="11"/>
  <c r="JH59" i="11" s="1"/>
  <c r="JG64" i="11"/>
  <c r="JG59" i="11" s="1"/>
  <c r="JF64" i="11"/>
  <c r="JF59" i="11" s="1"/>
  <c r="JE64" i="11"/>
  <c r="JE59" i="11" s="1"/>
  <c r="JD64" i="11"/>
  <c r="JD59" i="11" s="1"/>
  <c r="JC64" i="11"/>
  <c r="JC59" i="11" s="1"/>
  <c r="JB64" i="11"/>
  <c r="JB59" i="11" s="1"/>
  <c r="JA64" i="11"/>
  <c r="JA59" i="11" s="1"/>
  <c r="IY64" i="11"/>
  <c r="IY59" i="11" s="1"/>
  <c r="IX64" i="11"/>
  <c r="IX59" i="11" s="1"/>
  <c r="IW64" i="11"/>
  <c r="IW59" i="11" s="1"/>
  <c r="IV64" i="11"/>
  <c r="IV59" i="11" s="1"/>
  <c r="IU64" i="11"/>
  <c r="IU59" i="11" s="1"/>
  <c r="IT64" i="11"/>
  <c r="IT59" i="11" s="1"/>
  <c r="IS64" i="11"/>
  <c r="IS59" i="11" s="1"/>
  <c r="IR64" i="11"/>
  <c r="IR59" i="11" s="1"/>
  <c r="IQ64" i="11"/>
  <c r="IQ59" i="11" s="1"/>
  <c r="IP64" i="11"/>
  <c r="IP59" i="11" s="1"/>
  <c r="IO64" i="11"/>
  <c r="IO59" i="11" s="1"/>
  <c r="IN64" i="11"/>
  <c r="IN59" i="11" s="1"/>
  <c r="IM64" i="11"/>
  <c r="IM59" i="11" s="1"/>
  <c r="IL64" i="11"/>
  <c r="IL59" i="11" s="1"/>
  <c r="IK64" i="11"/>
  <c r="IK59" i="11" s="1"/>
  <c r="IJ64" i="11"/>
  <c r="IJ59" i="11" s="1"/>
  <c r="II64" i="11"/>
  <c r="II59" i="11" s="1"/>
  <c r="IH64" i="11"/>
  <c r="IH59" i="11" s="1"/>
  <c r="IG64" i="11"/>
  <c r="IG59" i="11" s="1"/>
  <c r="IF64" i="11"/>
  <c r="ID64" i="11"/>
  <c r="ID59" i="11" s="1"/>
  <c r="IC64" i="11"/>
  <c r="IC59" i="11" s="1"/>
  <c r="IB64" i="11"/>
  <c r="IA64" i="11"/>
  <c r="IA59" i="11" s="1"/>
  <c r="HZ64" i="11"/>
  <c r="HX64" i="11"/>
  <c r="HV64" i="11"/>
  <c r="HV59" i="11" s="1"/>
  <c r="HU64" i="11"/>
  <c r="HU59" i="11" s="1"/>
  <c r="HT64" i="11"/>
  <c r="HT59" i="11" s="1"/>
  <c r="HS64" i="11"/>
  <c r="HS59" i="11" s="1"/>
  <c r="HR64" i="11"/>
  <c r="HQ64" i="11"/>
  <c r="HQ59" i="11" s="1"/>
  <c r="HO64" i="11"/>
  <c r="HN64" i="11"/>
  <c r="HM64" i="11"/>
  <c r="HM59" i="11" s="1"/>
  <c r="HL64" i="11"/>
  <c r="HL59" i="11" s="1"/>
  <c r="HI64" i="11"/>
  <c r="HI59" i="11" s="1"/>
  <c r="HF64" i="11"/>
  <c r="HF59" i="11" s="1"/>
  <c r="HD64" i="11"/>
  <c r="HD59" i="11" s="1"/>
  <c r="HC64" i="11"/>
  <c r="HC59" i="11" s="1"/>
  <c r="HB64" i="11"/>
  <c r="HB59" i="11" s="1"/>
  <c r="GZ64" i="11"/>
  <c r="GZ59" i="11" s="1"/>
  <c r="GY64" i="11"/>
  <c r="GY59" i="11" s="1"/>
  <c r="GX64" i="11"/>
  <c r="GX59" i="11" s="1"/>
  <c r="GW64" i="11"/>
  <c r="GW59" i="11" s="1"/>
  <c r="GV64" i="11"/>
  <c r="GU64" i="11"/>
  <c r="GU59" i="11" s="1"/>
  <c r="GT64" i="11"/>
  <c r="GT59" i="11" s="1"/>
  <c r="GS64" i="11"/>
  <c r="GS59" i="11" s="1"/>
  <c r="GR64" i="11"/>
  <c r="GR59" i="11" s="1"/>
  <c r="GQ64" i="11"/>
  <c r="GQ59" i="11" s="1"/>
  <c r="GP64" i="11"/>
  <c r="GP59" i="11" s="1"/>
  <c r="GN64" i="11"/>
  <c r="GN59" i="11" s="1"/>
  <c r="GM64" i="11"/>
  <c r="GM59" i="11" s="1"/>
  <c r="GK64" i="11"/>
  <c r="GK59" i="11" s="1"/>
  <c r="GI64" i="11"/>
  <c r="GI59" i="11" s="1"/>
  <c r="GG64" i="11"/>
  <c r="GG59" i="11" s="1"/>
  <c r="GF64" i="11"/>
  <c r="GF59" i="11" s="1"/>
  <c r="GC64" i="11"/>
  <c r="GC59" i="11" s="1"/>
  <c r="GB64" i="11"/>
  <c r="GB59" i="11" s="1"/>
  <c r="GA64" i="11"/>
  <c r="FX64" i="11"/>
  <c r="FX59" i="11" s="1"/>
  <c r="FW64" i="11"/>
  <c r="FW59" i="11" s="1"/>
  <c r="FU64" i="11"/>
  <c r="FU59" i="11" s="1"/>
  <c r="FT64" i="11"/>
  <c r="FS64" i="11"/>
  <c r="FS59" i="11" s="1"/>
  <c r="FR64" i="11"/>
  <c r="FR59" i="11" s="1"/>
  <c r="FQ64" i="11"/>
  <c r="FQ59" i="11" s="1"/>
  <c r="FP64" i="11"/>
  <c r="FP59" i="11" s="1"/>
  <c r="FN64" i="11"/>
  <c r="FM64" i="11"/>
  <c r="FM59" i="11" s="1"/>
  <c r="FL64" i="11"/>
  <c r="FL59" i="11" s="1"/>
  <c r="FK64" i="11"/>
  <c r="FK59" i="11" s="1"/>
  <c r="FJ64" i="11"/>
  <c r="FJ59" i="11" s="1"/>
  <c r="FH64" i="11"/>
  <c r="FH59" i="11" s="1"/>
  <c r="FF64" i="11"/>
  <c r="FF59" i="11" s="1"/>
  <c r="FE64" i="11"/>
  <c r="FD64" i="11"/>
  <c r="FD59" i="11" s="1"/>
  <c r="FC64" i="11"/>
  <c r="FC59" i="11" s="1"/>
  <c r="FA64" i="11"/>
  <c r="FA59" i="11" s="1"/>
  <c r="EZ64" i="11"/>
  <c r="EZ59" i="11" s="1"/>
  <c r="EY64" i="11"/>
  <c r="EY59" i="11" s="1"/>
  <c r="EX64" i="11"/>
  <c r="EX59" i="11" s="1"/>
  <c r="EW64" i="11"/>
  <c r="EW59" i="11" s="1"/>
  <c r="EV64" i="11"/>
  <c r="EV59" i="11" s="1"/>
  <c r="EU64" i="11"/>
  <c r="EU59" i="11" s="1"/>
  <c r="ET64" i="11"/>
  <c r="ET59" i="11" s="1"/>
  <c r="ES64" i="11"/>
  <c r="ES59" i="11" s="1"/>
  <c r="ER64" i="11"/>
  <c r="ER59" i="11" s="1"/>
  <c r="EP64" i="11"/>
  <c r="EP59" i="11" s="1"/>
  <c r="EO64" i="11"/>
  <c r="EO59" i="11" s="1"/>
  <c r="EL64" i="11"/>
  <c r="EL59" i="11" s="1"/>
  <c r="EK64" i="11"/>
  <c r="EK59" i="11" s="1"/>
  <c r="EJ64" i="11"/>
  <c r="EI64" i="11"/>
  <c r="EI59" i="11" s="1"/>
  <c r="EH64" i="11"/>
  <c r="EH59" i="11" s="1"/>
  <c r="EG64" i="11"/>
  <c r="EF64" i="11"/>
  <c r="EF59" i="11" s="1"/>
  <c r="EE64" i="11"/>
  <c r="EE59" i="11" s="1"/>
  <c r="EC64" i="11"/>
  <c r="EC59" i="11" s="1"/>
  <c r="EA64" i="11"/>
  <c r="EA59" i="11" s="1"/>
  <c r="DZ64" i="11"/>
  <c r="DY64" i="11"/>
  <c r="DY59" i="11" s="1"/>
  <c r="DX64" i="11"/>
  <c r="DX59" i="11" s="1"/>
  <c r="DW64" i="11"/>
  <c r="DW59" i="11" s="1"/>
  <c r="DV64" i="11"/>
  <c r="DV59" i="11" s="1"/>
  <c r="DU64" i="11"/>
  <c r="DU59" i="11" s="1"/>
  <c r="DT64" i="11"/>
  <c r="DT59" i="11" s="1"/>
  <c r="DS64" i="11"/>
  <c r="DS59" i="11" s="1"/>
  <c r="DR64" i="11"/>
  <c r="DQ64" i="11"/>
  <c r="DQ59" i="11" s="1"/>
  <c r="DP64" i="11"/>
  <c r="DO64" i="11"/>
  <c r="DN64" i="11"/>
  <c r="DN59" i="11" s="1"/>
  <c r="DM64" i="11"/>
  <c r="DM59" i="11" s="1"/>
  <c r="DL64" i="11"/>
  <c r="DK64" i="11"/>
  <c r="DJ64" i="11"/>
  <c r="DJ59" i="11" s="1"/>
  <c r="DI64" i="11"/>
  <c r="DI59" i="11" s="1"/>
  <c r="DH64" i="11"/>
  <c r="DH59" i="11" s="1"/>
  <c r="DG64" i="11"/>
  <c r="DG59" i="11" s="1"/>
  <c r="DF64" i="11"/>
  <c r="DF59" i="11" s="1"/>
  <c r="DE64" i="11"/>
  <c r="DE59" i="11" s="1"/>
  <c r="DD64" i="11"/>
  <c r="DD59" i="11" s="1"/>
  <c r="DC64" i="11"/>
  <c r="DC59" i="11" s="1"/>
  <c r="DB64" i="11"/>
  <c r="DB59" i="11" s="1"/>
  <c r="CZ64" i="11"/>
  <c r="CZ59" i="11" s="1"/>
  <c r="CX64" i="11"/>
  <c r="CX59" i="11" s="1"/>
  <c r="CU64" i="11"/>
  <c r="CU59" i="11" s="1"/>
  <c r="CT64" i="11"/>
  <c r="CR64" i="11"/>
  <c r="CP64" i="11"/>
  <c r="CP59" i="11" s="1"/>
  <c r="CO64" i="11"/>
  <c r="CO59" i="11" s="1"/>
  <c r="CN64" i="11"/>
  <c r="CN59" i="11" s="1"/>
  <c r="CL64" i="11"/>
  <c r="CL59" i="11" s="1"/>
  <c r="CK64" i="11"/>
  <c r="CK59" i="11" s="1"/>
  <c r="CJ64" i="11"/>
  <c r="CJ59" i="11" s="1"/>
  <c r="CH64" i="11"/>
  <c r="CH59" i="11" s="1"/>
  <c r="CG64" i="11"/>
  <c r="CD64" i="11"/>
  <c r="CD59" i="11" s="1"/>
  <c r="CC64" i="11"/>
  <c r="CC59" i="11" s="1"/>
  <c r="CB64" i="11"/>
  <c r="CB59" i="11" s="1"/>
  <c r="CA64" i="11"/>
  <c r="CA59" i="11" s="1"/>
  <c r="BZ64" i="11"/>
  <c r="BZ59" i="11" s="1"/>
  <c r="BY64" i="11"/>
  <c r="BY59" i="11" s="1"/>
  <c r="BX64" i="11"/>
  <c r="BX59" i="11" s="1"/>
  <c r="BW64" i="11"/>
  <c r="BW59" i="11" s="1"/>
  <c r="BV64" i="11"/>
  <c r="BV59" i="11" s="1"/>
  <c r="BT64" i="11"/>
  <c r="BT59" i="11" s="1"/>
  <c r="BR64" i="11"/>
  <c r="BR59" i="11" s="1"/>
  <c r="BN64" i="11"/>
  <c r="BN59" i="11" s="1"/>
  <c r="BM64" i="11"/>
  <c r="BM59" i="11" s="1"/>
  <c r="BL64" i="11"/>
  <c r="BL59" i="11" s="1"/>
  <c r="BK64" i="11"/>
  <c r="BK59" i="11" s="1"/>
  <c r="BJ64" i="11"/>
  <c r="BJ59" i="11" s="1"/>
  <c r="BI64" i="11"/>
  <c r="BH64" i="11"/>
  <c r="BH59" i="11" s="1"/>
  <c r="BG64" i="11"/>
  <c r="BE64" i="11"/>
  <c r="BE59" i="11" s="1"/>
  <c r="BB64" i="11"/>
  <c r="BB59" i="11" s="1"/>
  <c r="AZ64" i="11"/>
  <c r="AZ59" i="11" s="1"/>
  <c r="AY64" i="11"/>
  <c r="AY59" i="11" s="1"/>
  <c r="AW64" i="11"/>
  <c r="AW59" i="11" s="1"/>
  <c r="AV64" i="11"/>
  <c r="AV59" i="11" s="1"/>
  <c r="AU64" i="11"/>
  <c r="AU59" i="11" s="1"/>
  <c r="AS64" i="11"/>
  <c r="AS59" i="11" s="1"/>
  <c r="AR64" i="11"/>
  <c r="AR59" i="11" s="1"/>
  <c r="AP64" i="11"/>
  <c r="AP59" i="11" s="1"/>
  <c r="AO64" i="11"/>
  <c r="AO59" i="11" s="1"/>
  <c r="AN64" i="11"/>
  <c r="AN59" i="11" s="1"/>
  <c r="AL64" i="11"/>
  <c r="AL59" i="11" s="1"/>
  <c r="AK64" i="11"/>
  <c r="AK59" i="11" s="1"/>
  <c r="AJ64" i="11"/>
  <c r="AI64" i="11"/>
  <c r="AI59" i="11" s="1"/>
  <c r="AE64" i="11"/>
  <c r="AE59" i="11" s="1"/>
  <c r="AD64" i="11"/>
  <c r="AD59" i="11" s="1"/>
  <c r="AC64" i="11"/>
  <c r="AC59" i="11" s="1"/>
  <c r="AB64" i="11"/>
  <c r="AB59" i="11" s="1"/>
  <c r="AA64" i="11"/>
  <c r="Z64" i="11"/>
  <c r="Z59" i="11" s="1"/>
  <c r="Y64" i="11"/>
  <c r="Y59" i="11" s="1"/>
  <c r="X64" i="11"/>
  <c r="X59" i="11" s="1"/>
  <c r="W64" i="11"/>
  <c r="W59" i="11" s="1"/>
  <c r="S64" i="11"/>
  <c r="R64" i="11"/>
  <c r="R59" i="11" s="1"/>
  <c r="Q64" i="11"/>
  <c r="Q59" i="11" s="1"/>
  <c r="P64" i="11"/>
  <c r="P59" i="11" s="1"/>
  <c r="O64" i="11"/>
  <c r="O59" i="11" s="1"/>
  <c r="K64" i="11"/>
  <c r="K59" i="11" s="1"/>
  <c r="I64" i="11"/>
  <c r="I59" i="11" s="1"/>
  <c r="C64" i="11"/>
  <c r="C59" i="11" s="1"/>
  <c r="GV61" i="11"/>
  <c r="FN61" i="11"/>
  <c r="EG61" i="11"/>
  <c r="EB61" i="11"/>
  <c r="DZ61" i="11"/>
  <c r="DK61" i="11"/>
  <c r="DO60" i="11"/>
  <c r="H60" i="11"/>
  <c r="KH57" i="11"/>
  <c r="KG57" i="11"/>
  <c r="KF57" i="11"/>
  <c r="KE57" i="11"/>
  <c r="KE51" i="11" s="1"/>
  <c r="KD57" i="11"/>
  <c r="KC57" i="11"/>
  <c r="KA57" i="11"/>
  <c r="JZ57" i="11"/>
  <c r="JZ51" i="11" s="1"/>
  <c r="JY57" i="11"/>
  <c r="JX57" i="11"/>
  <c r="JW57" i="11"/>
  <c r="JV57" i="11"/>
  <c r="JU57" i="11"/>
  <c r="JT57" i="11"/>
  <c r="JS57" i="11"/>
  <c r="JR57" i="11"/>
  <c r="JP57" i="11"/>
  <c r="JO57" i="11"/>
  <c r="JN57" i="11"/>
  <c r="JM57" i="11"/>
  <c r="JM51" i="11" s="1"/>
  <c r="JL57" i="11"/>
  <c r="JK57" i="11"/>
  <c r="JJ57" i="11"/>
  <c r="JI57" i="11"/>
  <c r="JH57" i="11"/>
  <c r="JG57" i="11"/>
  <c r="JF57" i="11"/>
  <c r="JF51" i="11" s="1"/>
  <c r="JE57" i="11"/>
  <c r="JD57" i="11"/>
  <c r="JC57" i="11"/>
  <c r="JC51" i="11" s="1"/>
  <c r="JB57" i="11"/>
  <c r="JA57" i="11"/>
  <c r="IZ57" i="11"/>
  <c r="IY57" i="11"/>
  <c r="IX57" i="11"/>
  <c r="IW57" i="11"/>
  <c r="IV57" i="11"/>
  <c r="IU57" i="11"/>
  <c r="IT57" i="11"/>
  <c r="IS57" i="11"/>
  <c r="IR57" i="11"/>
  <c r="IQ57" i="11"/>
  <c r="IP57" i="11"/>
  <c r="IO57" i="11"/>
  <c r="IN57" i="11"/>
  <c r="IL57" i="11"/>
  <c r="IK57" i="11"/>
  <c r="IJ57" i="11"/>
  <c r="II57" i="11"/>
  <c r="IH57" i="11"/>
  <c r="IG57" i="11"/>
  <c r="IF57" i="11"/>
  <c r="ID57" i="11"/>
  <c r="IC57" i="11"/>
  <c r="IB57" i="11"/>
  <c r="HZ57" i="11"/>
  <c r="HX57" i="11"/>
  <c r="HV57" i="11"/>
  <c r="HU57" i="11"/>
  <c r="HT57" i="11"/>
  <c r="HS57" i="11"/>
  <c r="HR57" i="11"/>
  <c r="HQ57" i="11"/>
  <c r="HP57" i="11"/>
  <c r="HO57" i="11"/>
  <c r="HN57" i="11"/>
  <c r="HM57" i="11"/>
  <c r="HL57" i="11"/>
  <c r="HK57" i="11"/>
  <c r="HI57" i="11"/>
  <c r="HG57" i="11"/>
  <c r="GT57" i="11"/>
  <c r="GK57" i="11"/>
  <c r="GF57" i="11"/>
  <c r="GF51" i="11" s="1"/>
  <c r="GC57" i="11"/>
  <c r="GB57" i="11"/>
  <c r="GA57" i="11"/>
  <c r="FX57" i="11"/>
  <c r="FW57" i="11"/>
  <c r="FU57" i="11"/>
  <c r="FU51" i="11" s="1"/>
  <c r="FT57" i="11"/>
  <c r="FS57" i="11"/>
  <c r="FR57" i="11"/>
  <c r="FQ57" i="11"/>
  <c r="FQ51" i="11" s="1"/>
  <c r="FP57" i="11"/>
  <c r="FN57" i="11"/>
  <c r="FM57" i="11"/>
  <c r="FL57" i="11"/>
  <c r="FK57" i="11"/>
  <c r="FJ57" i="11"/>
  <c r="FH57" i="11"/>
  <c r="FF57" i="11"/>
  <c r="FE57" i="11"/>
  <c r="FD57" i="11"/>
  <c r="FC57" i="11"/>
  <c r="FB57" i="11"/>
  <c r="FA57" i="11"/>
  <c r="EZ57" i="11"/>
  <c r="EY57" i="11"/>
  <c r="EX57" i="11"/>
  <c r="EW57" i="11"/>
  <c r="EV57" i="11"/>
  <c r="EU57" i="11"/>
  <c r="ET57" i="11"/>
  <c r="ES57" i="11"/>
  <c r="ER57" i="11"/>
  <c r="EQ57" i="11"/>
  <c r="EP57" i="11"/>
  <c r="EO57" i="11"/>
  <c r="EN57" i="11"/>
  <c r="EM57" i="11"/>
  <c r="EL57" i="11"/>
  <c r="EL51" i="11" s="1"/>
  <c r="EK57" i="11"/>
  <c r="EJ57" i="11"/>
  <c r="EI57" i="11"/>
  <c r="EH57" i="11"/>
  <c r="EG57" i="11"/>
  <c r="EE57" i="11"/>
  <c r="ED57" i="11"/>
  <c r="EC57" i="11"/>
  <c r="EB57" i="11"/>
  <c r="EA57" i="11"/>
  <c r="EA51" i="11" s="1"/>
  <c r="DZ57" i="11"/>
  <c r="DY57" i="11"/>
  <c r="DY51" i="11" s="1"/>
  <c r="DX57" i="11"/>
  <c r="DW57" i="11"/>
  <c r="DV57" i="11"/>
  <c r="DU57" i="11"/>
  <c r="DT57" i="11"/>
  <c r="DS57" i="11"/>
  <c r="DR57" i="11"/>
  <c r="DQ57" i="11"/>
  <c r="DP57" i="11"/>
  <c r="DO57" i="11"/>
  <c r="DN57" i="11"/>
  <c r="DM57" i="11"/>
  <c r="DL57" i="11"/>
  <c r="DK57" i="11"/>
  <c r="DJ57" i="11"/>
  <c r="DI57" i="11"/>
  <c r="DH57" i="11"/>
  <c r="DG57" i="11"/>
  <c r="DF57" i="11"/>
  <c r="DE57" i="11"/>
  <c r="DD57" i="11"/>
  <c r="DC57" i="11"/>
  <c r="DC51" i="11" s="1"/>
  <c r="DB57" i="11"/>
  <c r="CZ57" i="11"/>
  <c r="CX57" i="11"/>
  <c r="CW57" i="11"/>
  <c r="CU57" i="11"/>
  <c r="CT57" i="11"/>
  <c r="CR57" i="11"/>
  <c r="CP57" i="11"/>
  <c r="CO57" i="11"/>
  <c r="CN57" i="11"/>
  <c r="CN51" i="11" s="1"/>
  <c r="CM57" i="11"/>
  <c r="CL57" i="11"/>
  <c r="CK57" i="11"/>
  <c r="CJ57" i="11"/>
  <c r="CJ51" i="11" s="1"/>
  <c r="CH57" i="11"/>
  <c r="CG57" i="11"/>
  <c r="CF57" i="11"/>
  <c r="CD57" i="11"/>
  <c r="CC57" i="11"/>
  <c r="CB57" i="11"/>
  <c r="CA57" i="11"/>
  <c r="BZ57" i="11"/>
  <c r="BY57" i="11"/>
  <c r="BX57" i="11"/>
  <c r="BW57" i="11"/>
  <c r="BV57" i="11"/>
  <c r="BU57" i="11"/>
  <c r="BT57" i="11"/>
  <c r="BR57" i="11"/>
  <c r="BN57" i="11"/>
  <c r="BM57" i="11"/>
  <c r="BL57" i="11"/>
  <c r="BK57" i="11"/>
  <c r="BJ57" i="11"/>
  <c r="BI57" i="11"/>
  <c r="BH57" i="11"/>
  <c r="BB57" i="11"/>
  <c r="AW57" i="11"/>
  <c r="AV57" i="11"/>
  <c r="AP57" i="11"/>
  <c r="AO57" i="11"/>
  <c r="X57" i="11"/>
  <c r="W57" i="11"/>
  <c r="S57" i="11"/>
  <c r="R57" i="11"/>
  <c r="Q57" i="11"/>
  <c r="JP56" i="11"/>
  <c r="HP56" i="11"/>
  <c r="HO56" i="11"/>
  <c r="EZ56" i="11"/>
  <c r="DV56" i="11"/>
  <c r="AY56" i="11"/>
  <c r="KH54" i="11"/>
  <c r="KG54" i="11"/>
  <c r="KF54" i="11"/>
  <c r="KC54" i="11"/>
  <c r="KB54" i="11"/>
  <c r="JU54" i="11"/>
  <c r="JS54" i="11"/>
  <c r="JO54" i="11"/>
  <c r="JI54" i="11"/>
  <c r="JG54" i="11"/>
  <c r="JE54" i="11"/>
  <c r="JD54" i="11"/>
  <c r="JA54" i="11"/>
  <c r="IX54" i="11"/>
  <c r="IW54" i="11"/>
  <c r="IT54" i="11"/>
  <c r="IS54" i="11"/>
  <c r="IP54" i="11"/>
  <c r="IM54" i="11"/>
  <c r="IL54" i="11"/>
  <c r="IK54" i="11"/>
  <c r="II54" i="11"/>
  <c r="IH54" i="11"/>
  <c r="IG54" i="11"/>
  <c r="HU54" i="11"/>
  <c r="HP54" i="11"/>
  <c r="HO54" i="11"/>
  <c r="HN54" i="11"/>
  <c r="HL54" i="11"/>
  <c r="HI54" i="11"/>
  <c r="HG54" i="11"/>
  <c r="GZ54" i="11"/>
  <c r="GT54" i="11"/>
  <c r="GA54" i="11"/>
  <c r="FX54" i="11"/>
  <c r="FW54" i="11"/>
  <c r="FT54" i="11"/>
  <c r="FP54" i="11"/>
  <c r="FN54" i="11"/>
  <c r="FL54" i="11"/>
  <c r="FH54" i="11"/>
  <c r="FE54" i="11"/>
  <c r="FB54" i="11"/>
  <c r="EZ54" i="11"/>
  <c r="EX54" i="11"/>
  <c r="ES54" i="11"/>
  <c r="ER54" i="11"/>
  <c r="EK54" i="11"/>
  <c r="EI54" i="11"/>
  <c r="EH54" i="11"/>
  <c r="EG54" i="11"/>
  <c r="EF54" i="11"/>
  <c r="ED54" i="11"/>
  <c r="EB54" i="11"/>
  <c r="DX54" i="11"/>
  <c r="DW54" i="11"/>
  <c r="DV54" i="11"/>
  <c r="DT54" i="11"/>
  <c r="DP54" i="11"/>
  <c r="DN54" i="11"/>
  <c r="DM54" i="11"/>
  <c r="DL54" i="11"/>
  <c r="DK54" i="11"/>
  <c r="DI54" i="11"/>
  <c r="DH54" i="11"/>
  <c r="DG54" i="11"/>
  <c r="CX54" i="11"/>
  <c r="CT54" i="11"/>
  <c r="CO54" i="11"/>
  <c r="CH54" i="11"/>
  <c r="CG54" i="11"/>
  <c r="CF54" i="11"/>
  <c r="BZ54" i="11"/>
  <c r="BY54" i="11"/>
  <c r="BR54" i="11"/>
  <c r="BN54" i="11"/>
  <c r="BK54" i="11"/>
  <c r="BI54" i="11"/>
  <c r="BH54" i="11"/>
  <c r="BG54" i="11"/>
  <c r="BE54" i="11"/>
  <c r="AY54" i="11"/>
  <c r="AR54" i="11"/>
  <c r="AP54" i="11"/>
  <c r="AO54" i="11"/>
  <c r="AN54" i="11"/>
  <c r="AL54" i="11"/>
  <c r="AD54" i="11"/>
  <c r="AC54" i="11"/>
  <c r="AA54" i="11"/>
  <c r="Z54" i="11"/>
  <c r="S54" i="11"/>
  <c r="R54" i="11"/>
  <c r="Q54" i="11"/>
  <c r="P54" i="11"/>
  <c r="N54" i="11"/>
  <c r="K54" i="11"/>
  <c r="I54" i="11"/>
  <c r="C54" i="11"/>
  <c r="KC53" i="11"/>
  <c r="JV53" i="11"/>
  <c r="JS53" i="11"/>
  <c r="JL53" i="11"/>
  <c r="JD53" i="11"/>
  <c r="IX53" i="11"/>
  <c r="IO53" i="11"/>
  <c r="IC53" i="11"/>
  <c r="IA53" i="11"/>
  <c r="HZ53" i="11"/>
  <c r="HR53" i="11"/>
  <c r="HQ53" i="11"/>
  <c r="HP53" i="11"/>
  <c r="HO53" i="11"/>
  <c r="EX53" i="11"/>
  <c r="EK53" i="11"/>
  <c r="DT53" i="11"/>
  <c r="DO53" i="11"/>
  <c r="DK53" i="11"/>
  <c r="DJ53" i="11"/>
  <c r="DF53" i="11"/>
  <c r="DB53" i="11"/>
  <c r="CZ53" i="11"/>
  <c r="CK53" i="11"/>
  <c r="CB53" i="11"/>
  <c r="BY53" i="11"/>
  <c r="BH53" i="11"/>
  <c r="AW53" i="11"/>
  <c r="KF52" i="11"/>
  <c r="KD52" i="11"/>
  <c r="KC52" i="11"/>
  <c r="KB52" i="11"/>
  <c r="KA52" i="11"/>
  <c r="JY52" i="11"/>
  <c r="JX52" i="11"/>
  <c r="JW52" i="11"/>
  <c r="JV52" i="11"/>
  <c r="JT52" i="11"/>
  <c r="JS52" i="11"/>
  <c r="JR52" i="11"/>
  <c r="JO52" i="11"/>
  <c r="JN52" i="11"/>
  <c r="JL52" i="11"/>
  <c r="JK52" i="11"/>
  <c r="JJ52" i="11"/>
  <c r="JI52" i="11"/>
  <c r="JH52" i="11"/>
  <c r="JG52" i="11"/>
  <c r="JE52" i="11"/>
  <c r="JD52" i="11"/>
  <c r="JB52" i="11"/>
  <c r="JA52" i="11"/>
  <c r="IZ52" i="11"/>
  <c r="IY52" i="11"/>
  <c r="IX52" i="11"/>
  <c r="IW52" i="11"/>
  <c r="IV52" i="11"/>
  <c r="IU52" i="11"/>
  <c r="IT52" i="11"/>
  <c r="IS52" i="11"/>
  <c r="IR52" i="11"/>
  <c r="IQ52" i="11"/>
  <c r="IP52" i="11"/>
  <c r="IO52" i="11"/>
  <c r="IN52" i="11"/>
  <c r="IM52" i="11"/>
  <c r="IL52" i="11"/>
  <c r="IK52" i="11"/>
  <c r="IJ52" i="11"/>
  <c r="IH52" i="11"/>
  <c r="IG52" i="11"/>
  <c r="IF52" i="11"/>
  <c r="ID52" i="11"/>
  <c r="IC52" i="11"/>
  <c r="IB52" i="11"/>
  <c r="IA52" i="11"/>
  <c r="HZ52" i="11"/>
  <c r="HX52" i="11"/>
  <c r="HV52" i="11"/>
  <c r="HU52" i="11"/>
  <c r="HT52" i="11"/>
  <c r="HS52" i="11"/>
  <c r="HR52" i="11"/>
  <c r="HQ52" i="11"/>
  <c r="HP52" i="11"/>
  <c r="HO52" i="11"/>
  <c r="HN52" i="11"/>
  <c r="HM52" i="11"/>
  <c r="HL52" i="11"/>
  <c r="HK52" i="11"/>
  <c r="HI52" i="11"/>
  <c r="HG52" i="11"/>
  <c r="HF52" i="11"/>
  <c r="HF51" i="11" s="1"/>
  <c r="GZ52" i="11"/>
  <c r="GQ52" i="11"/>
  <c r="GQ51" i="11" s="1"/>
  <c r="GM52" i="11"/>
  <c r="GK52" i="11"/>
  <c r="GC52" i="11"/>
  <c r="GB52" i="11"/>
  <c r="GA52" i="11"/>
  <c r="FX52" i="11"/>
  <c r="FT52" i="11"/>
  <c r="FS52" i="11"/>
  <c r="FR52" i="11"/>
  <c r="FP52" i="11"/>
  <c r="FN52" i="11"/>
  <c r="FM52" i="11"/>
  <c r="FK52" i="11"/>
  <c r="FJ52" i="11"/>
  <c r="FH52" i="11"/>
  <c r="FF52" i="11"/>
  <c r="FE52" i="11"/>
  <c r="FD52" i="11"/>
  <c r="FC52" i="11"/>
  <c r="FB52" i="11"/>
  <c r="FA52" i="11"/>
  <c r="EZ52" i="11"/>
  <c r="EY52" i="11"/>
  <c r="EX52" i="11"/>
  <c r="EW52" i="11"/>
  <c r="EV52" i="11"/>
  <c r="EU52" i="11"/>
  <c r="ET52" i="11"/>
  <c r="ER52" i="11"/>
  <c r="EQ52" i="11"/>
  <c r="EP52" i="11"/>
  <c r="EO52" i="11"/>
  <c r="EN52" i="11"/>
  <c r="EM52" i="11"/>
  <c r="EK52" i="11"/>
  <c r="EJ52" i="11"/>
  <c r="EI52" i="11"/>
  <c r="EH52" i="11"/>
  <c r="EG52" i="11"/>
  <c r="EF52" i="11"/>
  <c r="EE52" i="11"/>
  <c r="ED52" i="11"/>
  <c r="EC52" i="11"/>
  <c r="EB52" i="11"/>
  <c r="DZ52" i="11"/>
  <c r="DX52" i="11"/>
  <c r="DW52" i="11"/>
  <c r="DV52" i="11"/>
  <c r="DU52" i="11"/>
  <c r="DT52" i="11"/>
  <c r="DS52" i="11"/>
  <c r="DR52" i="11"/>
  <c r="DQ52" i="11"/>
  <c r="DO52" i="11"/>
  <c r="DN52" i="11"/>
  <c r="DM52" i="11"/>
  <c r="DL52" i="11"/>
  <c r="DK52" i="11"/>
  <c r="DJ52" i="11"/>
  <c r="DI52" i="11"/>
  <c r="DH52" i="11"/>
  <c r="DG52" i="11"/>
  <c r="DF52" i="11"/>
  <c r="DE52" i="11"/>
  <c r="DD52" i="11"/>
  <c r="DB52" i="11"/>
  <c r="CZ52" i="11"/>
  <c r="CX52" i="11"/>
  <c r="CW52" i="11"/>
  <c r="CU52" i="11"/>
  <c r="CT52" i="11"/>
  <c r="CR52" i="11"/>
  <c r="CP52" i="11"/>
  <c r="CO52" i="11"/>
  <c r="CM52" i="11"/>
  <c r="CL52" i="11"/>
  <c r="CK52" i="11"/>
  <c r="CH52" i="11"/>
  <c r="CG52" i="11"/>
  <c r="CF52" i="11"/>
  <c r="CD52" i="11"/>
  <c r="CC52" i="11"/>
  <c r="CB52" i="11"/>
  <c r="CA52" i="11"/>
  <c r="BZ52" i="11"/>
  <c r="BY52" i="11"/>
  <c r="BX52" i="11"/>
  <c r="BW52" i="11"/>
  <c r="BV52" i="11"/>
  <c r="BU52" i="11"/>
  <c r="BT52" i="11"/>
  <c r="BR52" i="11"/>
  <c r="BN52" i="11"/>
  <c r="BM52" i="11"/>
  <c r="BL52" i="11"/>
  <c r="BK52" i="11"/>
  <c r="BJ52" i="11"/>
  <c r="BI52" i="11"/>
  <c r="BH52" i="11"/>
  <c r="BG52" i="11"/>
  <c r="BE52" i="11"/>
  <c r="BB52" i="11"/>
  <c r="AZ52" i="11"/>
  <c r="AY52" i="11"/>
  <c r="AW52" i="11"/>
  <c r="AV52" i="11"/>
  <c r="AU52" i="11"/>
  <c r="AU51" i="11" s="1"/>
  <c r="AS52" i="11"/>
  <c r="AR52" i="11"/>
  <c r="AP52" i="11"/>
  <c r="AO52" i="11"/>
  <c r="AN52" i="11"/>
  <c r="AL52" i="11"/>
  <c r="AK52" i="11"/>
  <c r="AJ52" i="11"/>
  <c r="AJ57" i="11" s="1"/>
  <c r="AI52" i="11"/>
  <c r="AG52" i="11"/>
  <c r="AG57" i="11" s="1"/>
  <c r="AE52" i="11"/>
  <c r="AD52" i="11"/>
  <c r="AC52" i="11"/>
  <c r="AB52" i="11"/>
  <c r="AB57" i="11" s="1"/>
  <c r="AA52" i="11"/>
  <c r="Z52" i="11"/>
  <c r="Y52" i="11"/>
  <c r="Y51" i="11" s="1"/>
  <c r="X52" i="11"/>
  <c r="W52" i="11"/>
  <c r="W51" i="11" s="1"/>
  <c r="S52" i="11"/>
  <c r="R52" i="11"/>
  <c r="Q52" i="11"/>
  <c r="P52" i="11"/>
  <c r="O52" i="11"/>
  <c r="O57" i="11" s="1"/>
  <c r="N52" i="11"/>
  <c r="K52" i="11"/>
  <c r="I52" i="11"/>
  <c r="H52" i="11"/>
  <c r="F52" i="11"/>
  <c r="F57" i="11" s="1"/>
  <c r="E52" i="11"/>
  <c r="D52" i="11"/>
  <c r="D57" i="11" s="1"/>
  <c r="D51" i="11" s="1"/>
  <c r="C52" i="11"/>
  <c r="HD51" i="11"/>
  <c r="HC51" i="11"/>
  <c r="HB51" i="11"/>
  <c r="GY51" i="11"/>
  <c r="GX51" i="11"/>
  <c r="GW51" i="11"/>
  <c r="GV51" i="11"/>
  <c r="GU51" i="11"/>
  <c r="GS51" i="11"/>
  <c r="GR51" i="11"/>
  <c r="GP51" i="11"/>
  <c r="GN51" i="11"/>
  <c r="GI51" i="11"/>
  <c r="GG51" i="11"/>
  <c r="IF48" i="11"/>
  <c r="IF45" i="11" s="1"/>
  <c r="EZ48" i="11"/>
  <c r="EZ45" i="11" s="1"/>
  <c r="CX48" i="11"/>
  <c r="CX45" i="11" s="1"/>
  <c r="JS47" i="11"/>
  <c r="JS45" i="11" s="1"/>
  <c r="JG47" i="11"/>
  <c r="JG45" i="11" s="1"/>
  <c r="KH45" i="11"/>
  <c r="KG45" i="11"/>
  <c r="KF45" i="11"/>
  <c r="KE45" i="11"/>
  <c r="KD45" i="11"/>
  <c r="KC45" i="11"/>
  <c r="KB45" i="11"/>
  <c r="KA45" i="11"/>
  <c r="JZ45" i="11"/>
  <c r="JY45" i="11"/>
  <c r="JX45" i="11"/>
  <c r="JW45" i="11"/>
  <c r="JV45" i="11"/>
  <c r="JU45" i="11"/>
  <c r="JT45" i="11"/>
  <c r="JR45" i="11"/>
  <c r="JP45" i="11"/>
  <c r="JO45" i="11"/>
  <c r="JN45" i="11"/>
  <c r="JM45" i="11"/>
  <c r="JL45" i="11"/>
  <c r="JK45" i="11"/>
  <c r="JJ45" i="11"/>
  <c r="JI45" i="11"/>
  <c r="JH45" i="11"/>
  <c r="JF45" i="11"/>
  <c r="JE45" i="11"/>
  <c r="JD45" i="11"/>
  <c r="JC45" i="11"/>
  <c r="JB45" i="11"/>
  <c r="JA45" i="11"/>
  <c r="IZ45" i="11"/>
  <c r="IY45" i="11"/>
  <c r="IX45" i="11"/>
  <c r="IW45" i="11"/>
  <c r="IV45" i="11"/>
  <c r="IU45" i="11"/>
  <c r="IT45" i="11"/>
  <c r="IS45" i="11"/>
  <c r="IR45" i="11"/>
  <c r="IQ45" i="11"/>
  <c r="IP45" i="11"/>
  <c r="IO45" i="11"/>
  <c r="IN45" i="11"/>
  <c r="IM45" i="11"/>
  <c r="IL45" i="11"/>
  <c r="IK45" i="11"/>
  <c r="IJ45" i="11"/>
  <c r="II45" i="11"/>
  <c r="IH45" i="11"/>
  <c r="IG45" i="11"/>
  <c r="ID45" i="11"/>
  <c r="IC45" i="11"/>
  <c r="IB45" i="11"/>
  <c r="IA45" i="11"/>
  <c r="HZ45" i="11"/>
  <c r="HX45" i="11"/>
  <c r="HV45" i="11"/>
  <c r="HU45" i="11"/>
  <c r="HT45" i="11"/>
  <c r="HS45" i="11"/>
  <c r="HR45" i="11"/>
  <c r="HQ45" i="11"/>
  <c r="HP45" i="11"/>
  <c r="HO45" i="11"/>
  <c r="HN45" i="11"/>
  <c r="HM45" i="11"/>
  <c r="HL45" i="11"/>
  <c r="HK45" i="11"/>
  <c r="HI45" i="11"/>
  <c r="HG45" i="11"/>
  <c r="HF45" i="11"/>
  <c r="HD45" i="11"/>
  <c r="HC45" i="11"/>
  <c r="HB45" i="11"/>
  <c r="GZ45" i="11"/>
  <c r="GY45" i="11"/>
  <c r="GX45" i="11"/>
  <c r="GW45" i="11"/>
  <c r="GV45" i="11"/>
  <c r="GU45" i="11"/>
  <c r="GT45" i="11"/>
  <c r="GS45" i="11"/>
  <c r="GR45" i="11"/>
  <c r="GQ45" i="11"/>
  <c r="GP45" i="11"/>
  <c r="GN45" i="11"/>
  <c r="GM45" i="11"/>
  <c r="GK45" i="11"/>
  <c r="GI45" i="11"/>
  <c r="GG45" i="11"/>
  <c r="GF45" i="11"/>
  <c r="GC45" i="11"/>
  <c r="GB45" i="11"/>
  <c r="GA45" i="11"/>
  <c r="FX45" i="11"/>
  <c r="FW45" i="11"/>
  <c r="FU45" i="11"/>
  <c r="FT45" i="11"/>
  <c r="FS45" i="11"/>
  <c r="FR45" i="11"/>
  <c r="FQ45" i="11"/>
  <c r="FP45" i="11"/>
  <c r="FN45" i="11"/>
  <c r="FM45" i="11"/>
  <c r="FL45" i="11"/>
  <c r="FK45" i="11"/>
  <c r="FJ45" i="11"/>
  <c r="FH45" i="11"/>
  <c r="FF45" i="11"/>
  <c r="FE45" i="11"/>
  <c r="FD45" i="11"/>
  <c r="FC45" i="11"/>
  <c r="FB45" i="11"/>
  <c r="FA45" i="11"/>
  <c r="EY45" i="11"/>
  <c r="EX45" i="11"/>
  <c r="EW45" i="11"/>
  <c r="EV45" i="11"/>
  <c r="EU45" i="11"/>
  <c r="ET45" i="11"/>
  <c r="ES45" i="11"/>
  <c r="ER45" i="11"/>
  <c r="EQ45" i="11"/>
  <c r="EP45" i="11"/>
  <c r="EO45" i="11"/>
  <c r="EN45" i="11"/>
  <c r="EM45" i="11"/>
  <c r="EL45" i="11"/>
  <c r="EK45" i="11"/>
  <c r="EJ45" i="11"/>
  <c r="EI45" i="11"/>
  <c r="EH45" i="11"/>
  <c r="EG45" i="11"/>
  <c r="EF45" i="11"/>
  <c r="EE45" i="11"/>
  <c r="ED45" i="11"/>
  <c r="EC45" i="11"/>
  <c r="EB45" i="11"/>
  <c r="EA45" i="11"/>
  <c r="DZ45" i="11"/>
  <c r="DY45" i="11"/>
  <c r="DX45" i="11"/>
  <c r="DW45" i="11"/>
  <c r="DV45" i="11"/>
  <c r="DU45" i="11"/>
  <c r="DT45" i="11"/>
  <c r="DS45" i="11"/>
  <c r="DR45" i="11"/>
  <c r="DQ45" i="11"/>
  <c r="DP45" i="11"/>
  <c r="DO45" i="11"/>
  <c r="DN45" i="11"/>
  <c r="DM45" i="11"/>
  <c r="DL45" i="11"/>
  <c r="DK45" i="11"/>
  <c r="DJ45" i="11"/>
  <c r="DI45" i="11"/>
  <c r="DH45" i="11"/>
  <c r="DG45" i="11"/>
  <c r="DF45" i="11"/>
  <c r="DE45" i="11"/>
  <c r="DD45" i="11"/>
  <c r="DC45" i="11"/>
  <c r="DB45" i="11"/>
  <c r="CZ45" i="11"/>
  <c r="CW45" i="11"/>
  <c r="CU45" i="11"/>
  <c r="CT45" i="11"/>
  <c r="CR45" i="11"/>
  <c r="CP45" i="11"/>
  <c r="CO45" i="11"/>
  <c r="CN45" i="11"/>
  <c r="CM45" i="11"/>
  <c r="CL45" i="11"/>
  <c r="CK45" i="11"/>
  <c r="CJ45" i="11"/>
  <c r="CH45" i="11"/>
  <c r="CG45" i="11"/>
  <c r="CF45" i="11"/>
  <c r="CD45" i="11"/>
  <c r="CC45" i="11"/>
  <c r="CB45" i="11"/>
  <c r="CA45" i="11"/>
  <c r="BZ45" i="11"/>
  <c r="BY45" i="11"/>
  <c r="BX45" i="11"/>
  <c r="BW45" i="11"/>
  <c r="BV45" i="11"/>
  <c r="BU45" i="11"/>
  <c r="BT45" i="11"/>
  <c r="BR45" i="11"/>
  <c r="BN45" i="11"/>
  <c r="BM45" i="11"/>
  <c r="BL45" i="11"/>
  <c r="BK45" i="11"/>
  <c r="BJ45" i="11"/>
  <c r="BI45" i="11"/>
  <c r="BH45" i="11"/>
  <c r="BG45" i="11"/>
  <c r="BE45" i="11"/>
  <c r="BB45" i="11"/>
  <c r="AZ45" i="11"/>
  <c r="AY45" i="11"/>
  <c r="AW45" i="11"/>
  <c r="AV45" i="11"/>
  <c r="AU45" i="11"/>
  <c r="AS45" i="11"/>
  <c r="AR45" i="11"/>
  <c r="AP45" i="11"/>
  <c r="AO45" i="11"/>
  <c r="AN45" i="11"/>
  <c r="AL45" i="11"/>
  <c r="AK45" i="11"/>
  <c r="AJ45" i="11"/>
  <c r="AI45" i="11"/>
  <c r="AG45" i="11"/>
  <c r="AE45" i="11"/>
  <c r="AD45" i="11"/>
  <c r="AC45" i="11"/>
  <c r="AB45" i="11"/>
  <c r="AA45" i="11"/>
  <c r="Z45" i="11"/>
  <c r="Y45" i="11"/>
  <c r="X45" i="11"/>
  <c r="W45" i="11"/>
  <c r="S45" i="11"/>
  <c r="R45" i="11"/>
  <c r="Q45" i="11"/>
  <c r="P45" i="11"/>
  <c r="O45" i="11"/>
  <c r="N45" i="11"/>
  <c r="K45" i="11"/>
  <c r="I45" i="11"/>
  <c r="H45" i="11"/>
  <c r="F45" i="11"/>
  <c r="E45" i="11"/>
  <c r="D45" i="11"/>
  <c r="C45" i="11"/>
  <c r="JY44" i="11"/>
  <c r="JW44" i="11"/>
  <c r="JW40" i="11" s="1"/>
  <c r="JV44" i="11"/>
  <c r="JO44" i="11"/>
  <c r="JO40" i="11" s="1"/>
  <c r="JK44" i="11"/>
  <c r="JK40" i="11" s="1"/>
  <c r="JF44" i="11"/>
  <c r="JF40" i="11" s="1"/>
  <c r="IY44" i="11"/>
  <c r="IY40" i="11" s="1"/>
  <c r="IX44" i="11"/>
  <c r="IX40" i="11" s="1"/>
  <c r="IU44" i="11"/>
  <c r="IQ44" i="11"/>
  <c r="IC44" i="11"/>
  <c r="IC40" i="11" s="1"/>
  <c r="HZ44" i="11"/>
  <c r="HU44" i="11"/>
  <c r="HU40" i="11" s="1"/>
  <c r="HN44" i="11"/>
  <c r="HN40" i="11" s="1"/>
  <c r="HL44" i="11"/>
  <c r="GV44" i="11"/>
  <c r="FK44" i="11"/>
  <c r="EZ44" i="11"/>
  <c r="EP44" i="11"/>
  <c r="EP40" i="11" s="1"/>
  <c r="EN44" i="11"/>
  <c r="EJ44" i="11"/>
  <c r="EB44" i="11"/>
  <c r="DV44" i="11"/>
  <c r="DV40" i="11" s="1"/>
  <c r="DR44" i="11"/>
  <c r="DR40" i="11" s="1"/>
  <c r="DN44" i="11"/>
  <c r="DN40" i="11" s="1"/>
  <c r="DK44" i="11"/>
  <c r="DI44" i="11"/>
  <c r="DI40" i="11" s="1"/>
  <c r="DE44" i="11"/>
  <c r="DE40" i="11" s="1"/>
  <c r="CZ44" i="11"/>
  <c r="CW44" i="11"/>
  <c r="CM44" i="11"/>
  <c r="BY44" i="11"/>
  <c r="BY40" i="11" s="1"/>
  <c r="BX44" i="11"/>
  <c r="BG44" i="11"/>
  <c r="BG40" i="11" s="1"/>
  <c r="AI44" i="11"/>
  <c r="AI40" i="11" s="1"/>
  <c r="AA44" i="11"/>
  <c r="AA40" i="11" s="1"/>
  <c r="Z44" i="11"/>
  <c r="X44" i="11"/>
  <c r="P44" i="11"/>
  <c r="N44" i="11"/>
  <c r="N40" i="11" s="1"/>
  <c r="F44" i="11"/>
  <c r="D44" i="11"/>
  <c r="D40" i="11" s="1"/>
  <c r="C44" i="11"/>
  <c r="KF43" i="11"/>
  <c r="KF40" i="11" s="1"/>
  <c r="JY43" i="11"/>
  <c r="JX43" i="11"/>
  <c r="JX40" i="11" s="1"/>
  <c r="JV43" i="11"/>
  <c r="JT43" i="11"/>
  <c r="JT40" i="11" s="1"/>
  <c r="JL43" i="11"/>
  <c r="JL40" i="11" s="1"/>
  <c r="JI43" i="11"/>
  <c r="JI40" i="11" s="1"/>
  <c r="IU43" i="11"/>
  <c r="IR43" i="11"/>
  <c r="IR40" i="11" s="1"/>
  <c r="IQ43" i="11"/>
  <c r="IF43" i="11"/>
  <c r="IF40" i="11" s="1"/>
  <c r="IA43" i="11"/>
  <c r="IA40" i="11" s="1"/>
  <c r="HS43" i="11"/>
  <c r="HS40" i="11" s="1"/>
  <c r="HQ43" i="11"/>
  <c r="HQ40" i="11" s="1"/>
  <c r="HM43" i="11"/>
  <c r="HM40" i="11" s="1"/>
  <c r="HL43" i="11"/>
  <c r="GV43" i="11"/>
  <c r="FS43" i="11"/>
  <c r="FS40" i="11" s="1"/>
  <c r="EZ43" i="11"/>
  <c r="EY43" i="11"/>
  <c r="EY40" i="11" s="1"/>
  <c r="EU43" i="11"/>
  <c r="EU40" i="11" s="1"/>
  <c r="EU50" i="11" s="1"/>
  <c r="ER43" i="11"/>
  <c r="ER40" i="11" s="1"/>
  <c r="EN43" i="11"/>
  <c r="EK43" i="11"/>
  <c r="EK40" i="11" s="1"/>
  <c r="EJ43" i="11"/>
  <c r="EB43" i="11"/>
  <c r="DK43" i="11"/>
  <c r="CZ43" i="11"/>
  <c r="CX43" i="11"/>
  <c r="CX40" i="11" s="1"/>
  <c r="CW43" i="11"/>
  <c r="CM43" i="11"/>
  <c r="CG43" i="11"/>
  <c r="CG40" i="11" s="1"/>
  <c r="CA43" i="11"/>
  <c r="CA40" i="11" s="1"/>
  <c r="BX43" i="11"/>
  <c r="BV43" i="11"/>
  <c r="BV40" i="11" s="1"/>
  <c r="BM43" i="11"/>
  <c r="AS43" i="11"/>
  <c r="AS40" i="11" s="1"/>
  <c r="AN43" i="11"/>
  <c r="AN40" i="11" s="1"/>
  <c r="Z43" i="11"/>
  <c r="X43" i="11"/>
  <c r="P43" i="11"/>
  <c r="I43" i="11"/>
  <c r="I40" i="11" s="1"/>
  <c r="F43" i="11"/>
  <c r="C43" i="11"/>
  <c r="JS42" i="11"/>
  <c r="JS40" i="11" s="1"/>
  <c r="HZ42" i="11"/>
  <c r="HL42" i="11"/>
  <c r="FK42" i="11"/>
  <c r="BM42" i="11"/>
  <c r="E42" i="11"/>
  <c r="E40" i="11" s="1"/>
  <c r="HK41" i="11"/>
  <c r="HK40" i="11" s="1"/>
  <c r="GV41" i="11"/>
  <c r="CH41" i="11"/>
  <c r="CH40" i="11" s="1"/>
  <c r="CC41" i="11"/>
  <c r="CC40" i="11" s="1"/>
  <c r="R41" i="11"/>
  <c r="R40" i="11" s="1"/>
  <c r="KH40" i="11"/>
  <c r="KG40" i="11"/>
  <c r="KE40" i="11"/>
  <c r="KD40" i="11"/>
  <c r="KC40" i="11"/>
  <c r="KB40" i="11"/>
  <c r="KA40" i="11"/>
  <c r="JZ40" i="11"/>
  <c r="JU40" i="11"/>
  <c r="JR40" i="11"/>
  <c r="JP40" i="11"/>
  <c r="JN40" i="11"/>
  <c r="JM40" i="11"/>
  <c r="JJ40" i="11"/>
  <c r="JH40" i="11"/>
  <c r="JG40" i="11"/>
  <c r="JE40" i="11"/>
  <c r="JD40" i="11"/>
  <c r="JC40" i="11"/>
  <c r="JB40" i="11"/>
  <c r="JA40" i="11"/>
  <c r="IZ40" i="11"/>
  <c r="IW40" i="11"/>
  <c r="IV40" i="11"/>
  <c r="IT40" i="11"/>
  <c r="IS40" i="11"/>
  <c r="IP40" i="11"/>
  <c r="IO40" i="11"/>
  <c r="IN40" i="11"/>
  <c r="IM40" i="11"/>
  <c r="IL40" i="11"/>
  <c r="IK40" i="11"/>
  <c r="IJ40" i="11"/>
  <c r="II40" i="11"/>
  <c r="IH40" i="11"/>
  <c r="IG40" i="11"/>
  <c r="ID40" i="11"/>
  <c r="IB40" i="11"/>
  <c r="HX40" i="11"/>
  <c r="HV40" i="11"/>
  <c r="HT40" i="11"/>
  <c r="HR40" i="11"/>
  <c r="HP40" i="11"/>
  <c r="HO40" i="11"/>
  <c r="HI40" i="11"/>
  <c r="HG40" i="11"/>
  <c r="HF40" i="11"/>
  <c r="HD40" i="11"/>
  <c r="HC40" i="11"/>
  <c r="HB40" i="11"/>
  <c r="GZ40" i="11"/>
  <c r="GY40" i="11"/>
  <c r="GX40" i="11"/>
  <c r="GW40" i="11"/>
  <c r="GU40" i="11"/>
  <c r="GT40" i="11"/>
  <c r="GS40" i="11"/>
  <c r="GR40" i="11"/>
  <c r="GQ40" i="11"/>
  <c r="GP40" i="11"/>
  <c r="GN40" i="11"/>
  <c r="GM40" i="11"/>
  <c r="GK40" i="11"/>
  <c r="GI40" i="11"/>
  <c r="GG40" i="11"/>
  <c r="GF40" i="11"/>
  <c r="GC40" i="11"/>
  <c r="GB40" i="11"/>
  <c r="GA40" i="11"/>
  <c r="FX40" i="11"/>
  <c r="FW40" i="11"/>
  <c r="FU40" i="11"/>
  <c r="FT40" i="11"/>
  <c r="FR40" i="11"/>
  <c r="FQ40" i="11"/>
  <c r="FP40" i="11"/>
  <c r="FN40" i="11"/>
  <c r="FM40" i="11"/>
  <c r="FL40" i="11"/>
  <c r="FJ40" i="11"/>
  <c r="FH40" i="11"/>
  <c r="FF40" i="11"/>
  <c r="FE40" i="11"/>
  <c r="FD40" i="11"/>
  <c r="FC40" i="11"/>
  <c r="FB40" i="11"/>
  <c r="FA40" i="11"/>
  <c r="EX40" i="11"/>
  <c r="EW40" i="11"/>
  <c r="EV40" i="11"/>
  <c r="ET40" i="11"/>
  <c r="ES40" i="11"/>
  <c r="EQ40" i="11"/>
  <c r="EO40" i="11"/>
  <c r="EM40" i="11"/>
  <c r="EL40" i="11"/>
  <c r="EI40" i="11"/>
  <c r="EH40" i="11"/>
  <c r="EG40" i="11"/>
  <c r="EF40" i="11"/>
  <c r="EE40" i="11"/>
  <c r="ED40" i="11"/>
  <c r="EC40" i="11"/>
  <c r="EA40" i="11"/>
  <c r="DZ40" i="11"/>
  <c r="DY40" i="11"/>
  <c r="DX40" i="11"/>
  <c r="DW40" i="11"/>
  <c r="DU40" i="11"/>
  <c r="DT40" i="11"/>
  <c r="DS40" i="11"/>
  <c r="DQ40" i="11"/>
  <c r="DP40" i="11"/>
  <c r="DO40" i="11"/>
  <c r="DM40" i="11"/>
  <c r="DL40" i="11"/>
  <c r="DJ40" i="11"/>
  <c r="DH40" i="11"/>
  <c r="DG40" i="11"/>
  <c r="DF40" i="11"/>
  <c r="DD40" i="11"/>
  <c r="DC40" i="11"/>
  <c r="DB40" i="11"/>
  <c r="CU40" i="11"/>
  <c r="CT40" i="11"/>
  <c r="CR40" i="11"/>
  <c r="CP40" i="11"/>
  <c r="CO40" i="11"/>
  <c r="CN40" i="11"/>
  <c r="CL40" i="11"/>
  <c r="CK40" i="11"/>
  <c r="CJ40" i="11"/>
  <c r="CF40" i="11"/>
  <c r="CD40" i="11"/>
  <c r="CB40" i="11"/>
  <c r="BZ40" i="11"/>
  <c r="BW40" i="11"/>
  <c r="BU40" i="11"/>
  <c r="BT40" i="11"/>
  <c r="BR40" i="11"/>
  <c r="BN40" i="11"/>
  <c r="BL40" i="11"/>
  <c r="BK40" i="11"/>
  <c r="BJ40" i="11"/>
  <c r="BI40" i="11"/>
  <c r="BH40" i="11"/>
  <c r="BE40" i="11"/>
  <c r="BB40" i="11"/>
  <c r="AZ40" i="11"/>
  <c r="AY40" i="11"/>
  <c r="AW40" i="11"/>
  <c r="AV40" i="11"/>
  <c r="AU40" i="11"/>
  <c r="AR40" i="11"/>
  <c r="AP40" i="11"/>
  <c r="AO40" i="11"/>
  <c r="AL40" i="11"/>
  <c r="AK40" i="11"/>
  <c r="AJ40" i="11"/>
  <c r="AG40" i="11"/>
  <c r="AE40" i="11"/>
  <c r="AD40" i="11"/>
  <c r="AC40" i="11"/>
  <c r="AB40" i="11"/>
  <c r="Y40" i="11"/>
  <c r="W40" i="11"/>
  <c r="S40" i="11"/>
  <c r="Q40" i="11"/>
  <c r="O40" i="11"/>
  <c r="K40" i="11"/>
  <c r="H40" i="11"/>
  <c r="JW39" i="11"/>
  <c r="JW34" i="11" s="1"/>
  <c r="S35" i="11"/>
  <c r="S34" i="11" s="1"/>
  <c r="KH34" i="11"/>
  <c r="KG34" i="11"/>
  <c r="KF34" i="11"/>
  <c r="KE34" i="11"/>
  <c r="KD34" i="11"/>
  <c r="KC34" i="11"/>
  <c r="KB34" i="11"/>
  <c r="KA34" i="11"/>
  <c r="JZ34" i="11"/>
  <c r="JY34" i="11"/>
  <c r="JX34" i="11"/>
  <c r="JV34" i="11"/>
  <c r="JU34" i="11"/>
  <c r="JT34" i="11"/>
  <c r="JS34" i="11"/>
  <c r="JR34" i="11"/>
  <c r="JP34" i="11"/>
  <c r="JO34" i="11"/>
  <c r="JN34" i="11"/>
  <c r="JM34" i="11"/>
  <c r="JL34" i="11"/>
  <c r="JK34" i="11"/>
  <c r="JJ34" i="11"/>
  <c r="JI34" i="11"/>
  <c r="JH34" i="11"/>
  <c r="JG34" i="11"/>
  <c r="JF34" i="11"/>
  <c r="JE34" i="11"/>
  <c r="JD34" i="11"/>
  <c r="JC34" i="11"/>
  <c r="JB34" i="11"/>
  <c r="JA34" i="11"/>
  <c r="IZ34" i="11"/>
  <c r="IY34" i="11"/>
  <c r="IX34" i="11"/>
  <c r="IW34" i="11"/>
  <c r="IV34" i="11"/>
  <c r="IU34" i="11"/>
  <c r="IT34" i="11"/>
  <c r="IS34" i="11"/>
  <c r="IR34" i="11"/>
  <c r="IQ34" i="11"/>
  <c r="IP34" i="11"/>
  <c r="IO34" i="11"/>
  <c r="IN34" i="11"/>
  <c r="IM34" i="11"/>
  <c r="IL34" i="11"/>
  <c r="IK34" i="11"/>
  <c r="IJ34" i="11"/>
  <c r="II34" i="11"/>
  <c r="IH34" i="11"/>
  <c r="IG34" i="11"/>
  <c r="IF34" i="11"/>
  <c r="ID34" i="11"/>
  <c r="IC34" i="11"/>
  <c r="IB34" i="11"/>
  <c r="IA34" i="11"/>
  <c r="HZ34" i="11"/>
  <c r="HX34" i="11"/>
  <c r="HV34" i="11"/>
  <c r="HU34" i="11"/>
  <c r="HT34" i="11"/>
  <c r="HS34" i="11"/>
  <c r="HR34" i="11"/>
  <c r="HQ34" i="11"/>
  <c r="HP34" i="11"/>
  <c r="HO34" i="11"/>
  <c r="HN34" i="11"/>
  <c r="HM34" i="11"/>
  <c r="HL34" i="11"/>
  <c r="HK34" i="11"/>
  <c r="HI34" i="11"/>
  <c r="HG34" i="11"/>
  <c r="HF34" i="11"/>
  <c r="HD34" i="11"/>
  <c r="HC34" i="11"/>
  <c r="HB34" i="11"/>
  <c r="GZ34" i="11"/>
  <c r="GY34" i="11"/>
  <c r="GX34" i="11"/>
  <c r="GW34" i="11"/>
  <c r="GV34" i="11"/>
  <c r="GU34" i="11"/>
  <c r="GT34" i="11"/>
  <c r="GS34" i="11"/>
  <c r="GR34" i="11"/>
  <c r="GQ34" i="11"/>
  <c r="GP34" i="11"/>
  <c r="GN34" i="11"/>
  <c r="GM34" i="11"/>
  <c r="GK34" i="11"/>
  <c r="GI34" i="11"/>
  <c r="GG34" i="11"/>
  <c r="GF34" i="11"/>
  <c r="GC34" i="11"/>
  <c r="GB34" i="11"/>
  <c r="GA34" i="11"/>
  <c r="FX34" i="11"/>
  <c r="FW34" i="11"/>
  <c r="FU34" i="11"/>
  <c r="FT34" i="11"/>
  <c r="FS34" i="11"/>
  <c r="FR34" i="11"/>
  <c r="FQ34" i="11"/>
  <c r="FP34" i="11"/>
  <c r="FN34" i="11"/>
  <c r="FM34" i="11"/>
  <c r="FL34" i="11"/>
  <c r="FK34" i="11"/>
  <c r="FJ34" i="11"/>
  <c r="FH34" i="11"/>
  <c r="FF34" i="11"/>
  <c r="FE34" i="11"/>
  <c r="FD34" i="11"/>
  <c r="FC34" i="11"/>
  <c r="FB34" i="11"/>
  <c r="FA34" i="11"/>
  <c r="EZ34" i="11"/>
  <c r="EY34" i="11"/>
  <c r="EX34" i="11"/>
  <c r="EW34" i="11"/>
  <c r="EV34" i="11"/>
  <c r="EU34" i="11"/>
  <c r="ET34" i="11"/>
  <c r="ES34" i="11"/>
  <c r="ER34" i="11"/>
  <c r="EQ34" i="11"/>
  <c r="EP34" i="11"/>
  <c r="EO34" i="11"/>
  <c r="EN34" i="11"/>
  <c r="EM34" i="11"/>
  <c r="EL34" i="11"/>
  <c r="EK34" i="11"/>
  <c r="EJ34" i="11"/>
  <c r="EI34" i="11"/>
  <c r="EH34" i="11"/>
  <c r="EG34" i="11"/>
  <c r="EF34" i="11"/>
  <c r="EE34" i="11"/>
  <c r="ED34" i="11"/>
  <c r="EC34" i="11"/>
  <c r="EB34" i="11"/>
  <c r="EA34" i="11"/>
  <c r="DZ34" i="11"/>
  <c r="DY34" i="11"/>
  <c r="DX34" i="11"/>
  <c r="DW34" i="11"/>
  <c r="DV34" i="11"/>
  <c r="DU34" i="11"/>
  <c r="DT34" i="11"/>
  <c r="DS34" i="11"/>
  <c r="DR34" i="11"/>
  <c r="DQ34" i="11"/>
  <c r="DP34" i="11"/>
  <c r="DO34" i="11"/>
  <c r="DN34" i="11"/>
  <c r="DM34" i="11"/>
  <c r="DL34" i="11"/>
  <c r="DK34" i="11"/>
  <c r="DJ34" i="11"/>
  <c r="DI34" i="11"/>
  <c r="DH34" i="11"/>
  <c r="DG34" i="11"/>
  <c r="DF34" i="11"/>
  <c r="DE34" i="11"/>
  <c r="DD34" i="11"/>
  <c r="DC34" i="11"/>
  <c r="DB34" i="11"/>
  <c r="CZ34" i="11"/>
  <c r="CX34" i="11"/>
  <c r="CW34" i="11"/>
  <c r="CU34" i="11"/>
  <c r="CT34" i="11"/>
  <c r="CR34" i="11"/>
  <c r="CP34" i="11"/>
  <c r="CO34" i="11"/>
  <c r="CN34" i="11"/>
  <c r="CM34" i="11"/>
  <c r="CL34" i="11"/>
  <c r="CK34" i="11"/>
  <c r="CJ34" i="11"/>
  <c r="CH34" i="11"/>
  <c r="CG34" i="11"/>
  <c r="CF34" i="11"/>
  <c r="CD34" i="11"/>
  <c r="CC34" i="11"/>
  <c r="CB34" i="11"/>
  <c r="CA34" i="11"/>
  <c r="BZ34" i="11"/>
  <c r="BY34" i="11"/>
  <c r="BX34" i="11"/>
  <c r="BW34" i="11"/>
  <c r="BV34" i="11"/>
  <c r="BU34" i="11"/>
  <c r="BT34" i="11"/>
  <c r="BR34" i="11"/>
  <c r="BN34" i="11"/>
  <c r="BM34" i="11"/>
  <c r="BL34" i="11"/>
  <c r="BK34" i="11"/>
  <c r="BJ34" i="11"/>
  <c r="BI34" i="11"/>
  <c r="BH34" i="11"/>
  <c r="BG34" i="11"/>
  <c r="BE34" i="11"/>
  <c r="BB34" i="11"/>
  <c r="AZ34" i="11"/>
  <c r="AY34" i="11"/>
  <c r="AW34" i="11"/>
  <c r="AV34" i="11"/>
  <c r="AU34" i="11"/>
  <c r="AS34" i="11"/>
  <c r="AR34" i="11"/>
  <c r="AP34" i="11"/>
  <c r="AO34" i="11"/>
  <c r="AN34" i="11"/>
  <c r="AL34" i="11"/>
  <c r="AK34" i="11"/>
  <c r="AJ34" i="11"/>
  <c r="AI34" i="11"/>
  <c r="AG34" i="11"/>
  <c r="AE34" i="11"/>
  <c r="AD34" i="11"/>
  <c r="AC34" i="11"/>
  <c r="AB34" i="11"/>
  <c r="AA34" i="11"/>
  <c r="Z34" i="11"/>
  <c r="Y34" i="11"/>
  <c r="X34" i="11"/>
  <c r="W34" i="11"/>
  <c r="R34" i="11"/>
  <c r="Q34" i="11"/>
  <c r="P34" i="11"/>
  <c r="O34" i="11"/>
  <c r="N34" i="11"/>
  <c r="K34" i="11"/>
  <c r="I34" i="11"/>
  <c r="H34" i="11"/>
  <c r="F34" i="11"/>
  <c r="E34" i="11"/>
  <c r="D34" i="11"/>
  <c r="C34" i="11"/>
  <c r="IJ33" i="11"/>
  <c r="IJ31" i="11" s="1"/>
  <c r="IH33" i="11"/>
  <c r="IH31" i="11" s="1"/>
  <c r="IB33" i="11"/>
  <c r="IB31" i="11" s="1"/>
  <c r="HX33" i="11"/>
  <c r="HX31" i="11" s="1"/>
  <c r="FT33" i="11"/>
  <c r="FT31" i="11" s="1"/>
  <c r="FL33" i="11"/>
  <c r="FL31" i="11" s="1"/>
  <c r="EZ33" i="11"/>
  <c r="EZ31" i="11" s="1"/>
  <c r="DV33" i="11"/>
  <c r="DV31" i="11" s="1"/>
  <c r="DK33" i="11"/>
  <c r="DK31" i="11" s="1"/>
  <c r="BY33" i="11"/>
  <c r="BY31" i="11" s="1"/>
  <c r="BJ33" i="11"/>
  <c r="BJ31" i="11" s="1"/>
  <c r="BG33" i="11"/>
  <c r="BG31" i="11" s="1"/>
  <c r="AU33" i="11"/>
  <c r="AU31" i="11" s="1"/>
  <c r="S33" i="11"/>
  <c r="S31" i="11" s="1"/>
  <c r="P33" i="11"/>
  <c r="P31" i="11" s="1"/>
  <c r="O33" i="11"/>
  <c r="O31" i="11" s="1"/>
  <c r="H33" i="11"/>
  <c r="H31" i="11" s="1"/>
  <c r="JJ32" i="11"/>
  <c r="JJ31" i="11" s="1"/>
  <c r="HZ32" i="11"/>
  <c r="HZ31" i="11" s="1"/>
  <c r="EF32" i="11"/>
  <c r="EF31" i="11" s="1"/>
  <c r="CL32" i="11"/>
  <c r="CL31" i="11" s="1"/>
  <c r="KH31" i="11"/>
  <c r="KG31" i="11"/>
  <c r="KF31" i="11"/>
  <c r="KE31" i="11"/>
  <c r="KD31" i="11"/>
  <c r="KC31" i="11"/>
  <c r="KB31" i="11"/>
  <c r="KA31" i="11"/>
  <c r="JZ31" i="11"/>
  <c r="JY31" i="11"/>
  <c r="JX31" i="11"/>
  <c r="JW31" i="11"/>
  <c r="JV31" i="11"/>
  <c r="JU31" i="11"/>
  <c r="JT31" i="11"/>
  <c r="JS31" i="11"/>
  <c r="JR31" i="11"/>
  <c r="JP31" i="11"/>
  <c r="JO31" i="11"/>
  <c r="JN31" i="11"/>
  <c r="JM31" i="11"/>
  <c r="JL31" i="11"/>
  <c r="JK31" i="11"/>
  <c r="JI31" i="11"/>
  <c r="JH31" i="11"/>
  <c r="JG31" i="11"/>
  <c r="JF31" i="11"/>
  <c r="JE31" i="11"/>
  <c r="JD31" i="11"/>
  <c r="JC31" i="11"/>
  <c r="JB31" i="11"/>
  <c r="JA31" i="11"/>
  <c r="IZ31" i="11"/>
  <c r="IY31" i="11"/>
  <c r="IX31" i="11"/>
  <c r="IW31" i="11"/>
  <c r="IV31" i="11"/>
  <c r="IU31" i="11"/>
  <c r="IT31" i="11"/>
  <c r="IS31" i="11"/>
  <c r="IR31" i="11"/>
  <c r="IQ31" i="11"/>
  <c r="IP31" i="11"/>
  <c r="IO31" i="11"/>
  <c r="IN31" i="11"/>
  <c r="IM31" i="11"/>
  <c r="IL31" i="11"/>
  <c r="IK31" i="11"/>
  <c r="II31" i="11"/>
  <c r="IG31" i="11"/>
  <c r="IF31" i="11"/>
  <c r="ID31" i="11"/>
  <c r="IC31" i="11"/>
  <c r="IA31" i="11"/>
  <c r="HV31" i="11"/>
  <c r="HU31" i="11"/>
  <c r="HT31" i="11"/>
  <c r="HS31" i="11"/>
  <c r="HR31" i="11"/>
  <c r="HQ31" i="11"/>
  <c r="HP31" i="11"/>
  <c r="HO31" i="11"/>
  <c r="HN31" i="11"/>
  <c r="HM31" i="11"/>
  <c r="HL31" i="11"/>
  <c r="HK31" i="11"/>
  <c r="HI31" i="11"/>
  <c r="HG31" i="11"/>
  <c r="HF31" i="11"/>
  <c r="HD31" i="11"/>
  <c r="HC31" i="11"/>
  <c r="HB31" i="11"/>
  <c r="GZ31" i="11"/>
  <c r="GY31" i="11"/>
  <c r="GX31" i="11"/>
  <c r="GW31" i="11"/>
  <c r="GV31" i="11"/>
  <c r="GU31" i="11"/>
  <c r="GT31" i="11"/>
  <c r="GS31" i="11"/>
  <c r="GR31" i="11"/>
  <c r="GQ31" i="11"/>
  <c r="GP31" i="11"/>
  <c r="GN31" i="11"/>
  <c r="GM31" i="11"/>
  <c r="GK31" i="11"/>
  <c r="GI31" i="11"/>
  <c r="GG31" i="11"/>
  <c r="GF31" i="11"/>
  <c r="GC31" i="11"/>
  <c r="GB31" i="11"/>
  <c r="GA31" i="11"/>
  <c r="FX31" i="11"/>
  <c r="FW31" i="11"/>
  <c r="FU31" i="11"/>
  <c r="FS31" i="11"/>
  <c r="FR31" i="11"/>
  <c r="FQ31" i="11"/>
  <c r="FP31" i="11"/>
  <c r="FN31" i="11"/>
  <c r="FM31" i="11"/>
  <c r="FK31" i="11"/>
  <c r="FJ31" i="11"/>
  <c r="FH31" i="11"/>
  <c r="FF31" i="11"/>
  <c r="FE31" i="11"/>
  <c r="FD31" i="11"/>
  <c r="FC31" i="11"/>
  <c r="FB31" i="11"/>
  <c r="FA31" i="11"/>
  <c r="EY31" i="11"/>
  <c r="EX31" i="11"/>
  <c r="EW31" i="11"/>
  <c r="EV31" i="11"/>
  <c r="EU31" i="11"/>
  <c r="ET31" i="11"/>
  <c r="ES31" i="11"/>
  <c r="ER31" i="11"/>
  <c r="EQ31" i="11"/>
  <c r="EP31" i="11"/>
  <c r="EO31" i="11"/>
  <c r="EN31" i="11"/>
  <c r="EM31" i="11"/>
  <c r="EL31" i="11"/>
  <c r="EK31" i="11"/>
  <c r="EJ31" i="11"/>
  <c r="EI31" i="11"/>
  <c r="EH31" i="11"/>
  <c r="EG31" i="11"/>
  <c r="EE31" i="11"/>
  <c r="ED31" i="11"/>
  <c r="EC31" i="11"/>
  <c r="EB31" i="11"/>
  <c r="EA31" i="11"/>
  <c r="DZ31" i="11"/>
  <c r="DY31" i="11"/>
  <c r="DX31" i="11"/>
  <c r="DW31" i="11"/>
  <c r="DU31" i="11"/>
  <c r="DT31" i="11"/>
  <c r="DS31" i="11"/>
  <c r="DR31" i="11"/>
  <c r="DQ31" i="11"/>
  <c r="DP31" i="11"/>
  <c r="DO31" i="11"/>
  <c r="DN31" i="11"/>
  <c r="DM31" i="11"/>
  <c r="DL31" i="11"/>
  <c r="DJ31" i="11"/>
  <c r="DI31" i="11"/>
  <c r="DH31" i="11"/>
  <c r="DG31" i="11"/>
  <c r="DF31" i="11"/>
  <c r="DE31" i="11"/>
  <c r="DD31" i="11"/>
  <c r="DC31" i="11"/>
  <c r="DB31" i="11"/>
  <c r="CZ31" i="11"/>
  <c r="CX31" i="11"/>
  <c r="CW31" i="11"/>
  <c r="CU31" i="11"/>
  <c r="CT31" i="11"/>
  <c r="CR31" i="11"/>
  <c r="CP31" i="11"/>
  <c r="CO31" i="11"/>
  <c r="CN31" i="11"/>
  <c r="CM31" i="11"/>
  <c r="CK31" i="11"/>
  <c r="CJ31" i="11"/>
  <c r="CH31" i="11"/>
  <c r="CG31" i="11"/>
  <c r="CF31" i="11"/>
  <c r="CD31" i="11"/>
  <c r="CC31" i="11"/>
  <c r="CB31" i="11"/>
  <c r="CA31" i="11"/>
  <c r="BZ31" i="11"/>
  <c r="BX31" i="11"/>
  <c r="BW31" i="11"/>
  <c r="BV31" i="11"/>
  <c r="BU31" i="11"/>
  <c r="BT31" i="11"/>
  <c r="BR31" i="11"/>
  <c r="BN31" i="11"/>
  <c r="BM31" i="11"/>
  <c r="BL31" i="11"/>
  <c r="BK31" i="11"/>
  <c r="BI31" i="11"/>
  <c r="BH31" i="11"/>
  <c r="BE31" i="11"/>
  <c r="BB31" i="11"/>
  <c r="AZ31" i="11"/>
  <c r="AY31" i="11"/>
  <c r="AW31" i="11"/>
  <c r="AV31" i="11"/>
  <c r="AS31" i="11"/>
  <c r="AR31" i="11"/>
  <c r="AP31" i="11"/>
  <c r="AO31" i="11"/>
  <c r="AN31" i="11"/>
  <c r="AL31" i="11"/>
  <c r="AK31" i="11"/>
  <c r="AJ31" i="11"/>
  <c r="AI31" i="11"/>
  <c r="AG31" i="11"/>
  <c r="AE31" i="11"/>
  <c r="AD31" i="11"/>
  <c r="AC31" i="11"/>
  <c r="AB31" i="11"/>
  <c r="AA31" i="11"/>
  <c r="Z31" i="11"/>
  <c r="Y31" i="11"/>
  <c r="X31" i="11"/>
  <c r="W31" i="11"/>
  <c r="R31" i="11"/>
  <c r="Q31" i="11"/>
  <c r="N31" i="11"/>
  <c r="K31" i="11"/>
  <c r="I31" i="11"/>
  <c r="F31" i="11"/>
  <c r="E31" i="11"/>
  <c r="D31" i="11"/>
  <c r="C31" i="11"/>
  <c r="IB30" i="11"/>
  <c r="HK30" i="11"/>
  <c r="GW30" i="11"/>
  <c r="GW24" i="11" s="1"/>
  <c r="FE30" i="11"/>
  <c r="FC30" i="11"/>
  <c r="EK30" i="11"/>
  <c r="EB30" i="11"/>
  <c r="DX30" i="11"/>
  <c r="DV30" i="11"/>
  <c r="DK30" i="11"/>
  <c r="DH30" i="11"/>
  <c r="DH24" i="11" s="1"/>
  <c r="CX30" i="11"/>
  <c r="CW30" i="11"/>
  <c r="CC30" i="11"/>
  <c r="CA30" i="11"/>
  <c r="BI30" i="11"/>
  <c r="BH30" i="11"/>
  <c r="BG30" i="11"/>
  <c r="AV30" i="11"/>
  <c r="AU30" i="11"/>
  <c r="AO30" i="11"/>
  <c r="S30" i="11"/>
  <c r="KD28" i="11"/>
  <c r="JS28" i="11"/>
  <c r="JL28" i="11"/>
  <c r="JK28" i="11"/>
  <c r="JJ28" i="11"/>
  <c r="JI28" i="11"/>
  <c r="JH28" i="11"/>
  <c r="JG28" i="11"/>
  <c r="JG24" i="11" s="1"/>
  <c r="JD28" i="11"/>
  <c r="IX28" i="11"/>
  <c r="IU28" i="11"/>
  <c r="IT28" i="11"/>
  <c r="IS28" i="11"/>
  <c r="IS24" i="11" s="1"/>
  <c r="IP28" i="11"/>
  <c r="IN28" i="11"/>
  <c r="IM28" i="11"/>
  <c r="IL28" i="11"/>
  <c r="IC28" i="11"/>
  <c r="HV28" i="11"/>
  <c r="HV24" i="11" s="1"/>
  <c r="HS28" i="11"/>
  <c r="HR28" i="11"/>
  <c r="HR24" i="11" s="1"/>
  <c r="HQ28" i="11"/>
  <c r="HO28" i="11"/>
  <c r="HM28" i="11"/>
  <c r="HM24" i="11" s="1"/>
  <c r="GC28" i="11"/>
  <c r="GC24" i="11" s="1"/>
  <c r="FU28" i="11"/>
  <c r="FU24" i="11" s="1"/>
  <c r="FR28" i="11"/>
  <c r="FK28" i="11"/>
  <c r="FJ28" i="11"/>
  <c r="FF28" i="11"/>
  <c r="FC28" i="11"/>
  <c r="FB28" i="11"/>
  <c r="FB24" i="11" s="1"/>
  <c r="EX28" i="11"/>
  <c r="EU28" i="11"/>
  <c r="EM28" i="11"/>
  <c r="EL28" i="11"/>
  <c r="EL24" i="11" s="1"/>
  <c r="EE28" i="11"/>
  <c r="ED28" i="11"/>
  <c r="ED24" i="11" s="1"/>
  <c r="DZ28" i="11"/>
  <c r="DU28" i="11"/>
  <c r="DU24" i="11" s="1"/>
  <c r="DU23" i="11" s="1"/>
  <c r="DS28" i="11"/>
  <c r="DS24" i="11" s="1"/>
  <c r="DR28" i="11"/>
  <c r="DN28" i="11"/>
  <c r="DL28" i="11"/>
  <c r="DJ28" i="11"/>
  <c r="DF28" i="11"/>
  <c r="DF24" i="11" s="1"/>
  <c r="DD28" i="11"/>
  <c r="DB28" i="11"/>
  <c r="DB24" i="11" s="1"/>
  <c r="CX28" i="11"/>
  <c r="CN28" i="11"/>
  <c r="CL28" i="11"/>
  <c r="CK28" i="11"/>
  <c r="CJ28" i="11"/>
  <c r="CH28" i="11"/>
  <c r="CD28" i="11"/>
  <c r="CD24" i="11" s="1"/>
  <c r="CC28" i="11"/>
  <c r="CA28" i="11"/>
  <c r="BZ28" i="11"/>
  <c r="BR28" i="11"/>
  <c r="BN28" i="11"/>
  <c r="BM28" i="11"/>
  <c r="BJ28" i="11"/>
  <c r="BG28" i="11"/>
  <c r="AY28" i="11"/>
  <c r="AW28" i="11"/>
  <c r="AU28" i="11"/>
  <c r="AR28" i="11"/>
  <c r="AP28" i="11"/>
  <c r="AN28" i="11"/>
  <c r="AL28" i="11"/>
  <c r="AK28" i="11"/>
  <c r="AJ28" i="11"/>
  <c r="AG28" i="11"/>
  <c r="AE28" i="11"/>
  <c r="AC28" i="11"/>
  <c r="AB28" i="11"/>
  <c r="AA28" i="11"/>
  <c r="Z28" i="11"/>
  <c r="Z24" i="11" s="1"/>
  <c r="X28" i="11"/>
  <c r="X24" i="11" s="1"/>
  <c r="S28" i="11"/>
  <c r="P28" i="11"/>
  <c r="P24" i="11" s="1"/>
  <c r="K28" i="11"/>
  <c r="K24" i="11" s="1"/>
  <c r="I28" i="11"/>
  <c r="F28" i="11"/>
  <c r="D28" i="11"/>
  <c r="D24" i="11" s="1"/>
  <c r="KG27" i="11"/>
  <c r="KF27" i="11"/>
  <c r="KF24" i="11" s="1"/>
  <c r="KE27" i="11"/>
  <c r="KD27" i="11"/>
  <c r="KC27" i="11"/>
  <c r="KC24" i="11" s="1"/>
  <c r="KB27" i="11"/>
  <c r="KB24" i="11" s="1"/>
  <c r="JY27" i="11"/>
  <c r="JY24" i="11" s="1"/>
  <c r="JX27" i="11"/>
  <c r="JX24" i="11" s="1"/>
  <c r="JV27" i="11"/>
  <c r="JV24" i="11" s="1"/>
  <c r="JT27" i="11"/>
  <c r="JT24" i="11" s="1"/>
  <c r="JS27" i="11"/>
  <c r="JP27" i="11"/>
  <c r="JP24" i="11" s="1"/>
  <c r="JO27" i="11"/>
  <c r="JO24" i="11" s="1"/>
  <c r="JN27" i="11"/>
  <c r="JN24" i="11" s="1"/>
  <c r="JL27" i="11"/>
  <c r="JK27" i="11"/>
  <c r="JJ27" i="11"/>
  <c r="JI27" i="11"/>
  <c r="JH27" i="11"/>
  <c r="JF27" i="11"/>
  <c r="JF24" i="11" s="1"/>
  <c r="JE27" i="11"/>
  <c r="JE24" i="11" s="1"/>
  <c r="JD27" i="11"/>
  <c r="JB27" i="11"/>
  <c r="JB24" i="11" s="1"/>
  <c r="JA27" i="11"/>
  <c r="JA24" i="11" s="1"/>
  <c r="IZ27" i="11"/>
  <c r="IZ24" i="11" s="1"/>
  <c r="IY27" i="11"/>
  <c r="IY24" i="11" s="1"/>
  <c r="IX27" i="11"/>
  <c r="IX24" i="11" s="1"/>
  <c r="IV27" i="11"/>
  <c r="IV24" i="11" s="1"/>
  <c r="IU27" i="11"/>
  <c r="IT27" i="11"/>
  <c r="IR27" i="11"/>
  <c r="IR24" i="11" s="1"/>
  <c r="IQ27" i="11"/>
  <c r="IQ24" i="11" s="1"/>
  <c r="IP27" i="11"/>
  <c r="IO27" i="11"/>
  <c r="IO24" i="11" s="1"/>
  <c r="IN27" i="11"/>
  <c r="IM27" i="11"/>
  <c r="IL27" i="11"/>
  <c r="IJ27" i="11"/>
  <c r="IJ24" i="11" s="1"/>
  <c r="II27" i="11"/>
  <c r="II24" i="11" s="1"/>
  <c r="IH27" i="11"/>
  <c r="IH24" i="11" s="1"/>
  <c r="ID27" i="11"/>
  <c r="ID24" i="11" s="1"/>
  <c r="IC27" i="11"/>
  <c r="IB27" i="11"/>
  <c r="IA27" i="11"/>
  <c r="IA24" i="11" s="1"/>
  <c r="HZ27" i="11"/>
  <c r="HZ24" i="11" s="1"/>
  <c r="HX27" i="11"/>
  <c r="HX24" i="11" s="1"/>
  <c r="HU27" i="11"/>
  <c r="HU24" i="11" s="1"/>
  <c r="HT27" i="11"/>
  <c r="HT24" i="11" s="1"/>
  <c r="HS27" i="11"/>
  <c r="HQ27" i="11"/>
  <c r="HP27" i="11"/>
  <c r="HP24" i="11" s="1"/>
  <c r="HO27" i="11"/>
  <c r="HN27" i="11"/>
  <c r="HN24" i="11" s="1"/>
  <c r="HL27" i="11"/>
  <c r="HL24" i="11" s="1"/>
  <c r="HK27" i="11"/>
  <c r="HG27" i="11"/>
  <c r="HG24" i="11" s="1"/>
  <c r="GB27" i="11"/>
  <c r="GB24" i="11" s="1"/>
  <c r="GA27" i="11"/>
  <c r="GA24" i="11" s="1"/>
  <c r="FW27" i="11"/>
  <c r="FW24" i="11" s="1"/>
  <c r="FS27" i="11"/>
  <c r="FS24" i="11" s="1"/>
  <c r="FR27" i="11"/>
  <c r="FN27" i="11"/>
  <c r="FN24" i="11" s="1"/>
  <c r="FJ27" i="11"/>
  <c r="FF27" i="11"/>
  <c r="FE27" i="11"/>
  <c r="FD27" i="11"/>
  <c r="FD24" i="11" s="1"/>
  <c r="FC27" i="11"/>
  <c r="FA27" i="11"/>
  <c r="FA24" i="11" s="1"/>
  <c r="EZ27" i="11"/>
  <c r="EZ24" i="11" s="1"/>
  <c r="EY27" i="11"/>
  <c r="EY24" i="11" s="1"/>
  <c r="EX27" i="11"/>
  <c r="EW27" i="11"/>
  <c r="EW24" i="11" s="1"/>
  <c r="EU27" i="11"/>
  <c r="ET27" i="11"/>
  <c r="ET24" i="11" s="1"/>
  <c r="ER27" i="11"/>
  <c r="ER24" i="11" s="1"/>
  <c r="EO27" i="11"/>
  <c r="EO24" i="11" s="1"/>
  <c r="EN27" i="11"/>
  <c r="EN24" i="11" s="1"/>
  <c r="EM27" i="11"/>
  <c r="EK27" i="11"/>
  <c r="EJ27" i="11"/>
  <c r="EJ24" i="11" s="1"/>
  <c r="EI27" i="11"/>
  <c r="EI24" i="11" s="1"/>
  <c r="EG27" i="11"/>
  <c r="EG24" i="11" s="1"/>
  <c r="EF27" i="11"/>
  <c r="EF24" i="11" s="1"/>
  <c r="EE27" i="11"/>
  <c r="EC27" i="11"/>
  <c r="EC24" i="11" s="1"/>
  <c r="EB27" i="11"/>
  <c r="DZ27" i="11"/>
  <c r="DY27" i="11"/>
  <c r="DY24" i="11" s="1"/>
  <c r="DX27" i="11"/>
  <c r="DW27" i="11"/>
  <c r="DW24" i="11" s="1"/>
  <c r="DV27" i="11"/>
  <c r="DR27" i="11"/>
  <c r="DQ27" i="11"/>
  <c r="DQ24" i="11" s="1"/>
  <c r="DO27" i="11"/>
  <c r="DO24" i="11" s="1"/>
  <c r="DN27" i="11"/>
  <c r="DL27" i="11"/>
  <c r="DK27" i="11"/>
  <c r="DJ27" i="11"/>
  <c r="DD27" i="11"/>
  <c r="CZ27" i="11"/>
  <c r="CZ24" i="11" s="1"/>
  <c r="CX27" i="11"/>
  <c r="CW27" i="11"/>
  <c r="CV27" i="11"/>
  <c r="CT27" i="11"/>
  <c r="CT24" i="11" s="1"/>
  <c r="CR27" i="11"/>
  <c r="CR24" i="11" s="1"/>
  <c r="CP27" i="11"/>
  <c r="CP24" i="11" s="1"/>
  <c r="CN27" i="11"/>
  <c r="CN24" i="11" s="1"/>
  <c r="CM27" i="11"/>
  <c r="CM24" i="11" s="1"/>
  <c r="CL27" i="11"/>
  <c r="CK27" i="11"/>
  <c r="CJ27" i="11"/>
  <c r="CH27" i="11"/>
  <c r="CB27" i="11"/>
  <c r="CB24" i="11" s="1"/>
  <c r="CA27" i="11"/>
  <c r="BZ27" i="11"/>
  <c r="BZ24" i="11" s="1"/>
  <c r="BY27" i="11"/>
  <c r="BX27" i="11"/>
  <c r="BX24" i="11" s="1"/>
  <c r="BV27" i="11"/>
  <c r="BV24" i="11" s="1"/>
  <c r="BT27" i="11"/>
  <c r="BT24" i="11" s="1"/>
  <c r="BR27" i="11"/>
  <c r="BM27" i="11"/>
  <c r="BL27" i="11"/>
  <c r="BL24" i="11" s="1"/>
  <c r="BK27" i="11"/>
  <c r="BK24" i="11" s="1"/>
  <c r="BJ27" i="11"/>
  <c r="BI27" i="11"/>
  <c r="BH27" i="11"/>
  <c r="BG27" i="11"/>
  <c r="BB27" i="11"/>
  <c r="BB24" i="11" s="1"/>
  <c r="AZ27" i="11"/>
  <c r="AZ24" i="11" s="1"/>
  <c r="AY27" i="11"/>
  <c r="AW27" i="11"/>
  <c r="AV27" i="11"/>
  <c r="AU27" i="11"/>
  <c r="AS27" i="11"/>
  <c r="AS24" i="11" s="1"/>
  <c r="AR27" i="11"/>
  <c r="AP27" i="11"/>
  <c r="AO27" i="11"/>
  <c r="AN27" i="11"/>
  <c r="AL27" i="11"/>
  <c r="AK27" i="11"/>
  <c r="AJ27" i="11"/>
  <c r="AI27" i="11"/>
  <c r="AG27" i="11"/>
  <c r="AE27" i="11"/>
  <c r="AD27" i="11"/>
  <c r="AD24" i="11" s="1"/>
  <c r="AC27" i="11"/>
  <c r="AB27" i="11"/>
  <c r="AA27" i="11"/>
  <c r="S27" i="11"/>
  <c r="R27" i="11"/>
  <c r="Q27" i="11"/>
  <c r="Q24" i="11" s="1"/>
  <c r="O27" i="11"/>
  <c r="O24" i="11" s="1"/>
  <c r="N27" i="11"/>
  <c r="N24" i="11" s="1"/>
  <c r="I27" i="11"/>
  <c r="F27" i="11"/>
  <c r="E27" i="11"/>
  <c r="E24" i="11" s="1"/>
  <c r="KG26" i="11"/>
  <c r="KE26" i="11"/>
  <c r="IN26" i="11"/>
  <c r="FK26" i="11"/>
  <c r="DK26" i="11"/>
  <c r="CK26" i="11"/>
  <c r="CJ26" i="11"/>
  <c r="CA26" i="11"/>
  <c r="BY26" i="11"/>
  <c r="BN26" i="11"/>
  <c r="AU26" i="11"/>
  <c r="AO26" i="11"/>
  <c r="AI26" i="11"/>
  <c r="R26" i="11"/>
  <c r="I26" i="11"/>
  <c r="KH24" i="11"/>
  <c r="KA24" i="11"/>
  <c r="JZ24" i="11"/>
  <c r="JW24" i="11"/>
  <c r="JU24" i="11"/>
  <c r="JR24" i="11"/>
  <c r="JM24" i="11"/>
  <c r="JC24" i="11"/>
  <c r="IW24" i="11"/>
  <c r="IK24" i="11"/>
  <c r="IG24" i="11"/>
  <c r="IF24" i="11"/>
  <c r="HI24" i="11"/>
  <c r="HF24" i="11"/>
  <c r="HD24" i="11"/>
  <c r="HC24" i="11"/>
  <c r="HB24" i="11"/>
  <c r="GZ24" i="11"/>
  <c r="GY24" i="11"/>
  <c r="GX24" i="11"/>
  <c r="GV24" i="11"/>
  <c r="GU24" i="11"/>
  <c r="GT24" i="11"/>
  <c r="GS24" i="11"/>
  <c r="GR24" i="11"/>
  <c r="GQ24" i="11"/>
  <c r="GP24" i="11"/>
  <c r="GN24" i="11"/>
  <c r="GM24" i="11"/>
  <c r="GK24" i="11"/>
  <c r="GI24" i="11"/>
  <c r="GG24" i="11"/>
  <c r="GF24" i="11"/>
  <c r="FX24" i="11"/>
  <c r="FT24" i="11"/>
  <c r="FQ24" i="11"/>
  <c r="FP24" i="11"/>
  <c r="FM24" i="11"/>
  <c r="FL24" i="11"/>
  <c r="FH24" i="11"/>
  <c r="EV24" i="11"/>
  <c r="ES24" i="11"/>
  <c r="EQ24" i="11"/>
  <c r="EP24" i="11"/>
  <c r="EH24" i="11"/>
  <c r="EA24" i="11"/>
  <c r="DT24" i="11"/>
  <c r="DP24" i="11"/>
  <c r="DM24" i="11"/>
  <c r="DI24" i="11"/>
  <c r="DG24" i="11"/>
  <c r="DE24" i="11"/>
  <c r="DC24" i="11"/>
  <c r="CU24" i="11"/>
  <c r="CO24" i="11"/>
  <c r="CG24" i="11"/>
  <c r="CF24" i="11"/>
  <c r="BW24" i="11"/>
  <c r="BU24" i="11"/>
  <c r="BE24" i="11"/>
  <c r="Y24" i="11"/>
  <c r="W24" i="11"/>
  <c r="H24" i="11"/>
  <c r="C24" i="11"/>
  <c r="HG20" i="11"/>
  <c r="HG17" i="11" s="1"/>
  <c r="HG14" i="11" s="1"/>
  <c r="CA20" i="11"/>
  <c r="CA17" i="11" s="1"/>
  <c r="CA14" i="11" s="1"/>
  <c r="AR20" i="11"/>
  <c r="AR17" i="11" s="1"/>
  <c r="AR14" i="11" s="1"/>
  <c r="AN20" i="11"/>
  <c r="AN17" i="11" s="1"/>
  <c r="AN14" i="11" s="1"/>
  <c r="JF19" i="11"/>
  <c r="JF17" i="11" s="1"/>
  <c r="JF14" i="11" s="1"/>
  <c r="IZ19" i="11"/>
  <c r="IZ17" i="11" s="1"/>
  <c r="IZ14" i="11" s="1"/>
  <c r="IT19" i="11"/>
  <c r="IT17" i="11" s="1"/>
  <c r="IT14" i="11" s="1"/>
  <c r="IL19" i="11"/>
  <c r="IL17" i="11" s="1"/>
  <c r="IL14" i="11" s="1"/>
  <c r="IC19" i="11"/>
  <c r="IC17" i="11" s="1"/>
  <c r="IC14" i="11" s="1"/>
  <c r="HX19" i="11"/>
  <c r="HX17" i="11" s="1"/>
  <c r="HX14" i="11" s="1"/>
  <c r="HU19" i="11"/>
  <c r="HU17" i="11" s="1"/>
  <c r="HU14" i="11" s="1"/>
  <c r="HS19" i="11"/>
  <c r="HS17" i="11" s="1"/>
  <c r="HS14" i="11" s="1"/>
  <c r="HK19" i="11"/>
  <c r="HK17" i="11" s="1"/>
  <c r="HK14" i="11" s="1"/>
  <c r="FB19" i="11"/>
  <c r="FB17" i="11" s="1"/>
  <c r="FB14" i="11" s="1"/>
  <c r="ET19" i="11"/>
  <c r="ET17" i="11" s="1"/>
  <c r="ET14" i="11" s="1"/>
  <c r="DT19" i="11"/>
  <c r="DT17" i="11" s="1"/>
  <c r="DT14" i="11" s="1"/>
  <c r="BN19" i="11"/>
  <c r="BN17" i="11" s="1"/>
  <c r="BN14" i="11" s="1"/>
  <c r="BI19" i="11"/>
  <c r="BI17" i="11" s="1"/>
  <c r="BI14" i="11" s="1"/>
  <c r="BG19" i="11"/>
  <c r="BG17" i="11" s="1"/>
  <c r="BG14" i="11" s="1"/>
  <c r="AO19" i="11"/>
  <c r="AO17" i="11" s="1"/>
  <c r="AO14" i="11" s="1"/>
  <c r="AI19" i="11"/>
  <c r="AI17" i="11" s="1"/>
  <c r="AI14" i="11" s="1"/>
  <c r="S19" i="11"/>
  <c r="S17" i="11" s="1"/>
  <c r="S14" i="11" s="1"/>
  <c r="DX18" i="11"/>
  <c r="DX17" i="11" s="1"/>
  <c r="DX14" i="11" s="1"/>
  <c r="CP18" i="11"/>
  <c r="CP17" i="11" s="1"/>
  <c r="CP14" i="11" s="1"/>
  <c r="KH17" i="11"/>
  <c r="KH14" i="11" s="1"/>
  <c r="KG17" i="11"/>
  <c r="KG14" i="11" s="1"/>
  <c r="KF17" i="11"/>
  <c r="KF14" i="11" s="1"/>
  <c r="KE17" i="11"/>
  <c r="KE14" i="11" s="1"/>
  <c r="KD17" i="11"/>
  <c r="KD14" i="11" s="1"/>
  <c r="KC17" i="11"/>
  <c r="KC14" i="11" s="1"/>
  <c r="KB17" i="11"/>
  <c r="KB14" i="11" s="1"/>
  <c r="KA17" i="11"/>
  <c r="KA14" i="11" s="1"/>
  <c r="JZ17" i="11"/>
  <c r="JZ14" i="11" s="1"/>
  <c r="JY17" i="11"/>
  <c r="JY14" i="11" s="1"/>
  <c r="JX17" i="11"/>
  <c r="JX14" i="11" s="1"/>
  <c r="JW17" i="11"/>
  <c r="JW14" i="11" s="1"/>
  <c r="JV17" i="11"/>
  <c r="JV14" i="11" s="1"/>
  <c r="JU17" i="11"/>
  <c r="JU14" i="11" s="1"/>
  <c r="JT17" i="11"/>
  <c r="JT14" i="11" s="1"/>
  <c r="JS17" i="11"/>
  <c r="JS14" i="11" s="1"/>
  <c r="JR17" i="11"/>
  <c r="JR14" i="11" s="1"/>
  <c r="JP17" i="11"/>
  <c r="JP14" i="11" s="1"/>
  <c r="JO17" i="11"/>
  <c r="JO14" i="11" s="1"/>
  <c r="JN17" i="11"/>
  <c r="JN14" i="11" s="1"/>
  <c r="JM17" i="11"/>
  <c r="JM14" i="11" s="1"/>
  <c r="JL17" i="11"/>
  <c r="JL14" i="11" s="1"/>
  <c r="JK17" i="11"/>
  <c r="JK14" i="11" s="1"/>
  <c r="JJ17" i="11"/>
  <c r="JJ14" i="11" s="1"/>
  <c r="JI17" i="11"/>
  <c r="JI14" i="11" s="1"/>
  <c r="JH17" i="11"/>
  <c r="JH14" i="11" s="1"/>
  <c r="JG17" i="11"/>
  <c r="JG14" i="11" s="1"/>
  <c r="JE17" i="11"/>
  <c r="JE14" i="11" s="1"/>
  <c r="JD17" i="11"/>
  <c r="JD14" i="11" s="1"/>
  <c r="JC17" i="11"/>
  <c r="JC14" i="11" s="1"/>
  <c r="JB17" i="11"/>
  <c r="JB14" i="11" s="1"/>
  <c r="JA17" i="11"/>
  <c r="JA14" i="11" s="1"/>
  <c r="IY17" i="11"/>
  <c r="IY14" i="11" s="1"/>
  <c r="IX17" i="11"/>
  <c r="IX14" i="11" s="1"/>
  <c r="IW17" i="11"/>
  <c r="IW14" i="11" s="1"/>
  <c r="IV17" i="11"/>
  <c r="IV14" i="11" s="1"/>
  <c r="IU17" i="11"/>
  <c r="IU14" i="11" s="1"/>
  <c r="IS17" i="11"/>
  <c r="IS14" i="11" s="1"/>
  <c r="IR17" i="11"/>
  <c r="IR14" i="11" s="1"/>
  <c r="IQ17" i="11"/>
  <c r="IQ14" i="11" s="1"/>
  <c r="IP17" i="11"/>
  <c r="IP14" i="11" s="1"/>
  <c r="IO17" i="11"/>
  <c r="IO14" i="11" s="1"/>
  <c r="IN17" i="11"/>
  <c r="IN14" i="11" s="1"/>
  <c r="IM17" i="11"/>
  <c r="IM14" i="11" s="1"/>
  <c r="IK17" i="11"/>
  <c r="IK14" i="11" s="1"/>
  <c r="IJ17" i="11"/>
  <c r="IJ14" i="11" s="1"/>
  <c r="II17" i="11"/>
  <c r="II14" i="11" s="1"/>
  <c r="IH17" i="11"/>
  <c r="IH14" i="11" s="1"/>
  <c r="IG17" i="11"/>
  <c r="IG14" i="11" s="1"/>
  <c r="IF17" i="11"/>
  <c r="IF14" i="11" s="1"/>
  <c r="ID17" i="11"/>
  <c r="ID14" i="11" s="1"/>
  <c r="IB17" i="11"/>
  <c r="IB14" i="11" s="1"/>
  <c r="IA17" i="11"/>
  <c r="IA14" i="11" s="1"/>
  <c r="HZ17" i="11"/>
  <c r="HZ14" i="11" s="1"/>
  <c r="HV17" i="11"/>
  <c r="HV14" i="11" s="1"/>
  <c r="HT17" i="11"/>
  <c r="HT14" i="11" s="1"/>
  <c r="HR17" i="11"/>
  <c r="HR14" i="11" s="1"/>
  <c r="HQ17" i="11"/>
  <c r="HQ14" i="11" s="1"/>
  <c r="HP17" i="11"/>
  <c r="HP14" i="11" s="1"/>
  <c r="HO17" i="11"/>
  <c r="HO14" i="11" s="1"/>
  <c r="HN17" i="11"/>
  <c r="HN14" i="11" s="1"/>
  <c r="HM17" i="11"/>
  <c r="HM14" i="11" s="1"/>
  <c r="HL17" i="11"/>
  <c r="HL14" i="11" s="1"/>
  <c r="HI17" i="11"/>
  <c r="HI14" i="11" s="1"/>
  <c r="HF17" i="11"/>
  <c r="HF14" i="11" s="1"/>
  <c r="HD17" i="11"/>
  <c r="HD14" i="11" s="1"/>
  <c r="HC17" i="11"/>
  <c r="HC14" i="11" s="1"/>
  <c r="HB17" i="11"/>
  <c r="HB14" i="11" s="1"/>
  <c r="GZ17" i="11"/>
  <c r="GZ14" i="11" s="1"/>
  <c r="GY17" i="11"/>
  <c r="GY14" i="11" s="1"/>
  <c r="GX17" i="11"/>
  <c r="GX14" i="11" s="1"/>
  <c r="GW17" i="11"/>
  <c r="GW14" i="11" s="1"/>
  <c r="GV17" i="11"/>
  <c r="GV14" i="11" s="1"/>
  <c r="GU17" i="11"/>
  <c r="GU14" i="11" s="1"/>
  <c r="GT17" i="11"/>
  <c r="GT14" i="11" s="1"/>
  <c r="GS17" i="11"/>
  <c r="GS14" i="11" s="1"/>
  <c r="GR17" i="11"/>
  <c r="GR14" i="11" s="1"/>
  <c r="GQ17" i="11"/>
  <c r="GQ14" i="11" s="1"/>
  <c r="GP17" i="11"/>
  <c r="GP14" i="11" s="1"/>
  <c r="GN17" i="11"/>
  <c r="GN14" i="11" s="1"/>
  <c r="GM17" i="11"/>
  <c r="GM14" i="11" s="1"/>
  <c r="GK17" i="11"/>
  <c r="GK14" i="11" s="1"/>
  <c r="GI17" i="11"/>
  <c r="GI14" i="11" s="1"/>
  <c r="GG17" i="11"/>
  <c r="GG14" i="11" s="1"/>
  <c r="GF17" i="11"/>
  <c r="GF14" i="11" s="1"/>
  <c r="GC17" i="11"/>
  <c r="GC14" i="11" s="1"/>
  <c r="GB17" i="11"/>
  <c r="GB14" i="11" s="1"/>
  <c r="GA17" i="11"/>
  <c r="GA14" i="11" s="1"/>
  <c r="FX17" i="11"/>
  <c r="FX14" i="11" s="1"/>
  <c r="FW17" i="11"/>
  <c r="FW14" i="11" s="1"/>
  <c r="FU17" i="11"/>
  <c r="FU14" i="11" s="1"/>
  <c r="FT17" i="11"/>
  <c r="FT14" i="11" s="1"/>
  <c r="FS17" i="11"/>
  <c r="FS14" i="11" s="1"/>
  <c r="FR17" i="11"/>
  <c r="FR14" i="11" s="1"/>
  <c r="FQ17" i="11"/>
  <c r="FQ14" i="11" s="1"/>
  <c r="FP17" i="11"/>
  <c r="FP14" i="11" s="1"/>
  <c r="FN17" i="11"/>
  <c r="FN14" i="11" s="1"/>
  <c r="FM17" i="11"/>
  <c r="FM14" i="11" s="1"/>
  <c r="FL17" i="11"/>
  <c r="FL14" i="11" s="1"/>
  <c r="FK17" i="11"/>
  <c r="FK14" i="11" s="1"/>
  <c r="FJ17" i="11"/>
  <c r="FJ14" i="11" s="1"/>
  <c r="FH17" i="11"/>
  <c r="FH14" i="11" s="1"/>
  <c r="FF17" i="11"/>
  <c r="FF14" i="11" s="1"/>
  <c r="FE17" i="11"/>
  <c r="FE14" i="11" s="1"/>
  <c r="FD17" i="11"/>
  <c r="FD14" i="11" s="1"/>
  <c r="FC17" i="11"/>
  <c r="FC14" i="11" s="1"/>
  <c r="FA17" i="11"/>
  <c r="FA14" i="11" s="1"/>
  <c r="EZ17" i="11"/>
  <c r="EZ14" i="11" s="1"/>
  <c r="EY17" i="11"/>
  <c r="EY14" i="11" s="1"/>
  <c r="EX17" i="11"/>
  <c r="EX14" i="11" s="1"/>
  <c r="EW17" i="11"/>
  <c r="EW14" i="11" s="1"/>
  <c r="EV17" i="11"/>
  <c r="EV14" i="11" s="1"/>
  <c r="EU17" i="11"/>
  <c r="EU14" i="11" s="1"/>
  <c r="ES17" i="11"/>
  <c r="ES14" i="11" s="1"/>
  <c r="ER17" i="11"/>
  <c r="ER14" i="11" s="1"/>
  <c r="EQ17" i="11"/>
  <c r="EQ14" i="11" s="1"/>
  <c r="EP17" i="11"/>
  <c r="EP14" i="11" s="1"/>
  <c r="EO17" i="11"/>
  <c r="EO14" i="11" s="1"/>
  <c r="EN17" i="11"/>
  <c r="EN14" i="11" s="1"/>
  <c r="EM17" i="11"/>
  <c r="EM14" i="11" s="1"/>
  <c r="EL17" i="11"/>
  <c r="EL14" i="11" s="1"/>
  <c r="EK17" i="11"/>
  <c r="EK14" i="11" s="1"/>
  <c r="EJ17" i="11"/>
  <c r="EJ14" i="11" s="1"/>
  <c r="EI17" i="11"/>
  <c r="EI14" i="11" s="1"/>
  <c r="EH17" i="11"/>
  <c r="EH14" i="11" s="1"/>
  <c r="EG17" i="11"/>
  <c r="EG14" i="11" s="1"/>
  <c r="EF17" i="11"/>
  <c r="EF14" i="11" s="1"/>
  <c r="EE17" i="11"/>
  <c r="EE14" i="11" s="1"/>
  <c r="ED17" i="11"/>
  <c r="ED14" i="11" s="1"/>
  <c r="EC17" i="11"/>
  <c r="EC14" i="11" s="1"/>
  <c r="EB17" i="11"/>
  <c r="EB14" i="11" s="1"/>
  <c r="EA17" i="11"/>
  <c r="EA14" i="11" s="1"/>
  <c r="DZ17" i="11"/>
  <c r="DZ14" i="11" s="1"/>
  <c r="DY17" i="11"/>
  <c r="DY14" i="11" s="1"/>
  <c r="DW17" i="11"/>
  <c r="DW14" i="11" s="1"/>
  <c r="DV17" i="11"/>
  <c r="DV14" i="11" s="1"/>
  <c r="DU17" i="11"/>
  <c r="DU14" i="11" s="1"/>
  <c r="DS17" i="11"/>
  <c r="DS14" i="11" s="1"/>
  <c r="DR17" i="11"/>
  <c r="DR14" i="11" s="1"/>
  <c r="DQ17" i="11"/>
  <c r="DQ14" i="11" s="1"/>
  <c r="DP17" i="11"/>
  <c r="DP14" i="11" s="1"/>
  <c r="DO17" i="11"/>
  <c r="DO14" i="11" s="1"/>
  <c r="DN17" i="11"/>
  <c r="DN14" i="11" s="1"/>
  <c r="DM17" i="11"/>
  <c r="DM14" i="11" s="1"/>
  <c r="DL17" i="11"/>
  <c r="DL14" i="11" s="1"/>
  <c r="DK17" i="11"/>
  <c r="DK14" i="11" s="1"/>
  <c r="DJ17" i="11"/>
  <c r="DJ14" i="11" s="1"/>
  <c r="DI17" i="11"/>
  <c r="DI14" i="11" s="1"/>
  <c r="DH17" i="11"/>
  <c r="DH14" i="11" s="1"/>
  <c r="DG17" i="11"/>
  <c r="DG14" i="11" s="1"/>
  <c r="DF17" i="11"/>
  <c r="DF14" i="11" s="1"/>
  <c r="DE17" i="11"/>
  <c r="DE14" i="11" s="1"/>
  <c r="DD17" i="11"/>
  <c r="DD14" i="11" s="1"/>
  <c r="DC17" i="11"/>
  <c r="DC14" i="11" s="1"/>
  <c r="DB17" i="11"/>
  <c r="DB14" i="11" s="1"/>
  <c r="CZ17" i="11"/>
  <c r="CZ14" i="11" s="1"/>
  <c r="CX17" i="11"/>
  <c r="CX14" i="11" s="1"/>
  <c r="CW17" i="11"/>
  <c r="CW14" i="11" s="1"/>
  <c r="CU17" i="11"/>
  <c r="CU14" i="11" s="1"/>
  <c r="CT17" i="11"/>
  <c r="CT14" i="11" s="1"/>
  <c r="CR17" i="11"/>
  <c r="CR14" i="11" s="1"/>
  <c r="CO17" i="11"/>
  <c r="CO14" i="11" s="1"/>
  <c r="CN17" i="11"/>
  <c r="CN14" i="11" s="1"/>
  <c r="CM17" i="11"/>
  <c r="CM14" i="11" s="1"/>
  <c r="CL17" i="11"/>
  <c r="CL14" i="11" s="1"/>
  <c r="CK17" i="11"/>
  <c r="CK14" i="11" s="1"/>
  <c r="CJ17" i="11"/>
  <c r="CJ14" i="11" s="1"/>
  <c r="CH17" i="11"/>
  <c r="CH14" i="11" s="1"/>
  <c r="CG17" i="11"/>
  <c r="CG14" i="11" s="1"/>
  <c r="CF17" i="11"/>
  <c r="CF14" i="11" s="1"/>
  <c r="CD17" i="11"/>
  <c r="CD14" i="11" s="1"/>
  <c r="CC17" i="11"/>
  <c r="CC14" i="11" s="1"/>
  <c r="CB17" i="11"/>
  <c r="CB14" i="11" s="1"/>
  <c r="BZ17" i="11"/>
  <c r="BZ14" i="11" s="1"/>
  <c r="BY17" i="11"/>
  <c r="BY14" i="11" s="1"/>
  <c r="BX17" i="11"/>
  <c r="BX14" i="11" s="1"/>
  <c r="BW17" i="11"/>
  <c r="BW14" i="11" s="1"/>
  <c r="BV17" i="11"/>
  <c r="BV14" i="11" s="1"/>
  <c r="BU17" i="11"/>
  <c r="BU14" i="11" s="1"/>
  <c r="BT17" i="11"/>
  <c r="BT14" i="11" s="1"/>
  <c r="BR17" i="11"/>
  <c r="BR14" i="11" s="1"/>
  <c r="BM17" i="11"/>
  <c r="BM14" i="11" s="1"/>
  <c r="BL17" i="11"/>
  <c r="BL14" i="11" s="1"/>
  <c r="BK17" i="11"/>
  <c r="BK14" i="11" s="1"/>
  <c r="BJ17" i="11"/>
  <c r="BJ14" i="11" s="1"/>
  <c r="BH17" i="11"/>
  <c r="BH14" i="11" s="1"/>
  <c r="BE17" i="11"/>
  <c r="BE14" i="11" s="1"/>
  <c r="BB17" i="11"/>
  <c r="BB14" i="11" s="1"/>
  <c r="AZ17" i="11"/>
  <c r="AZ14" i="11" s="1"/>
  <c r="AY17" i="11"/>
  <c r="AY14" i="11" s="1"/>
  <c r="AW17" i="11"/>
  <c r="AW14" i="11" s="1"/>
  <c r="AV17" i="11"/>
  <c r="AV14" i="11" s="1"/>
  <c r="AU17" i="11"/>
  <c r="AU14" i="11" s="1"/>
  <c r="AS17" i="11"/>
  <c r="AS14" i="11" s="1"/>
  <c r="AP17" i="11"/>
  <c r="AP14" i="11" s="1"/>
  <c r="AL17" i="11"/>
  <c r="AL14" i="11" s="1"/>
  <c r="AK17" i="11"/>
  <c r="AK14" i="11" s="1"/>
  <c r="AJ17" i="11"/>
  <c r="AJ14" i="11" s="1"/>
  <c r="AG17" i="11"/>
  <c r="AG14" i="11" s="1"/>
  <c r="AE17" i="11"/>
  <c r="AE14" i="11" s="1"/>
  <c r="AD17" i="11"/>
  <c r="AD14" i="11" s="1"/>
  <c r="AC17" i="11"/>
  <c r="AC14" i="11" s="1"/>
  <c r="AB17" i="11"/>
  <c r="AB14" i="11" s="1"/>
  <c r="AA17" i="11"/>
  <c r="AA14" i="11" s="1"/>
  <c r="Z17" i="11"/>
  <c r="Z14" i="11" s="1"/>
  <c r="Y17" i="11"/>
  <c r="Y14" i="11" s="1"/>
  <c r="X17" i="11"/>
  <c r="X14" i="11" s="1"/>
  <c r="W17" i="11"/>
  <c r="W14" i="11" s="1"/>
  <c r="R17" i="11"/>
  <c r="R14" i="11" s="1"/>
  <c r="Q17" i="11"/>
  <c r="Q14" i="11" s="1"/>
  <c r="P17" i="11"/>
  <c r="P14" i="11" s="1"/>
  <c r="O17" i="11"/>
  <c r="O14" i="11" s="1"/>
  <c r="N17" i="11"/>
  <c r="N14" i="11" s="1"/>
  <c r="K17" i="11"/>
  <c r="K14" i="11" s="1"/>
  <c r="I17" i="11"/>
  <c r="I14" i="11" s="1"/>
  <c r="H17" i="11"/>
  <c r="H14" i="11" s="1"/>
  <c r="F17" i="11"/>
  <c r="F14" i="11" s="1"/>
  <c r="E17" i="11"/>
  <c r="E14" i="11" s="1"/>
  <c r="D17" i="11"/>
  <c r="D14" i="11" s="1"/>
  <c r="C17" i="11"/>
  <c r="C14" i="11" s="1"/>
  <c r="JW13" i="11"/>
  <c r="IL11" i="11"/>
  <c r="EX11" i="11"/>
  <c r="CR11" i="11"/>
  <c r="P11" i="11"/>
  <c r="H11" i="11"/>
  <c r="C11" i="11"/>
  <c r="KG10" i="11"/>
  <c r="KF10" i="11"/>
  <c r="KC10" i="11"/>
  <c r="JY10" i="11"/>
  <c r="JV10" i="11"/>
  <c r="JV4" i="11" s="1"/>
  <c r="JV3" i="11" s="1"/>
  <c r="JU10" i="11"/>
  <c r="JU4" i="11" s="1"/>
  <c r="JU3" i="11" s="1"/>
  <c r="JR10" i="11"/>
  <c r="JR4" i="11" s="1"/>
  <c r="JR3" i="11" s="1"/>
  <c r="JP10" i="11"/>
  <c r="JN10" i="11"/>
  <c r="JN4" i="11" s="1"/>
  <c r="JN3" i="11" s="1"/>
  <c r="JM10" i="11"/>
  <c r="JM4" i="11" s="1"/>
  <c r="JM3" i="11" s="1"/>
  <c r="JL10" i="11"/>
  <c r="JJ10" i="11"/>
  <c r="JJ4" i="11" s="1"/>
  <c r="JJ3" i="11" s="1"/>
  <c r="JF10" i="11"/>
  <c r="JD10" i="11"/>
  <c r="JC10" i="11"/>
  <c r="JC4" i="11" s="1"/>
  <c r="JC3" i="11" s="1"/>
  <c r="JA10" i="11"/>
  <c r="IZ10" i="11"/>
  <c r="IY10" i="11"/>
  <c r="IY4" i="11" s="1"/>
  <c r="IY3" i="11" s="1"/>
  <c r="IX10" i="11"/>
  <c r="IT10" i="11"/>
  <c r="IS10" i="11"/>
  <c r="IO10" i="11"/>
  <c r="IO4" i="11" s="1"/>
  <c r="IO3" i="11" s="1"/>
  <c r="IN10" i="11"/>
  <c r="IM10" i="11"/>
  <c r="IL10" i="11"/>
  <c r="IH10" i="11"/>
  <c r="IC10" i="11"/>
  <c r="IB10" i="11"/>
  <c r="IB4" i="11" s="1"/>
  <c r="IB3" i="11" s="1"/>
  <c r="IA10" i="11"/>
  <c r="IA4" i="11" s="1"/>
  <c r="IA3" i="11" s="1"/>
  <c r="HZ10" i="11"/>
  <c r="HU10" i="11"/>
  <c r="HR10" i="11"/>
  <c r="HR4" i="11" s="1"/>
  <c r="HR3" i="11" s="1"/>
  <c r="HP10" i="11"/>
  <c r="HO10" i="11"/>
  <c r="HN10" i="11"/>
  <c r="HL10" i="11"/>
  <c r="HK10" i="11"/>
  <c r="HI10" i="11"/>
  <c r="HG10" i="11"/>
  <c r="GT10" i="11"/>
  <c r="GT4" i="11" s="1"/>
  <c r="GT3" i="11" s="1"/>
  <c r="GK10" i="11"/>
  <c r="GK4" i="11" s="1"/>
  <c r="GK3" i="11" s="1"/>
  <c r="GC10" i="11"/>
  <c r="GB10" i="11"/>
  <c r="GB4" i="11" s="1"/>
  <c r="GB3" i="11" s="1"/>
  <c r="GA10" i="11"/>
  <c r="GA4" i="11" s="1"/>
  <c r="GA3" i="11" s="1"/>
  <c r="FT10" i="11"/>
  <c r="FS10" i="11"/>
  <c r="FN10" i="11"/>
  <c r="FM10" i="11"/>
  <c r="FM4" i="11" s="1"/>
  <c r="FM3" i="11" s="1"/>
  <c r="FL10" i="11"/>
  <c r="FL4" i="11" s="1"/>
  <c r="FL3" i="11" s="1"/>
  <c r="FK10" i="11"/>
  <c r="FK4" i="11" s="1"/>
  <c r="FK3" i="11" s="1"/>
  <c r="FH10" i="11"/>
  <c r="FH4" i="11" s="1"/>
  <c r="FH3" i="11" s="1"/>
  <c r="FE10" i="11"/>
  <c r="FD10" i="11"/>
  <c r="FD4" i="11" s="1"/>
  <c r="FD3" i="11" s="1"/>
  <c r="FC10" i="11"/>
  <c r="FC4" i="11" s="1"/>
  <c r="FC3" i="11" s="1"/>
  <c r="FA10" i="11"/>
  <c r="FA4" i="11" s="1"/>
  <c r="FA3" i="11" s="1"/>
  <c r="EZ10" i="11"/>
  <c r="EZ4" i="11" s="1"/>
  <c r="EZ3" i="11" s="1"/>
  <c r="EY10" i="11"/>
  <c r="EX10" i="11"/>
  <c r="ET10" i="11"/>
  <c r="ET4" i="11" s="1"/>
  <c r="ET3" i="11" s="1"/>
  <c r="ER10" i="11"/>
  <c r="ER4" i="11" s="1"/>
  <c r="ER3" i="11" s="1"/>
  <c r="EO10" i="11"/>
  <c r="EM10" i="11"/>
  <c r="EM4" i="11" s="1"/>
  <c r="EM3" i="11" s="1"/>
  <c r="EK10" i="11"/>
  <c r="EJ10" i="11"/>
  <c r="EI10" i="11"/>
  <c r="EI4" i="11" s="1"/>
  <c r="EI3" i="11" s="1"/>
  <c r="EH10" i="11"/>
  <c r="EH4" i="11" s="1"/>
  <c r="EH3" i="11" s="1"/>
  <c r="EG10" i="11"/>
  <c r="EF10" i="11"/>
  <c r="EE10" i="11"/>
  <c r="EB10" i="11"/>
  <c r="DX10" i="11"/>
  <c r="DV10" i="11"/>
  <c r="DV4" i="11" s="1"/>
  <c r="DV3" i="11" s="1"/>
  <c r="DT10" i="11"/>
  <c r="DS10" i="11"/>
  <c r="DR10" i="11"/>
  <c r="DR4" i="11" s="1"/>
  <c r="DR3" i="11" s="1"/>
  <c r="DQ10" i="11"/>
  <c r="DP10" i="11"/>
  <c r="DP4" i="11" s="1"/>
  <c r="DP3" i="11" s="1"/>
  <c r="DO10" i="11"/>
  <c r="DN10" i="11"/>
  <c r="DM10" i="11"/>
  <c r="DL10" i="11"/>
  <c r="DK10" i="11"/>
  <c r="DI10" i="11"/>
  <c r="DG10" i="11"/>
  <c r="DG4" i="11" s="1"/>
  <c r="DG3" i="11" s="1"/>
  <c r="DD10" i="11"/>
  <c r="DB10" i="11"/>
  <c r="CX10" i="11"/>
  <c r="CW10" i="11"/>
  <c r="CT10" i="11"/>
  <c r="CR10" i="11"/>
  <c r="CN10" i="11"/>
  <c r="CN4" i="11" s="1"/>
  <c r="CN3" i="11" s="1"/>
  <c r="CM10" i="11"/>
  <c r="CH10" i="11"/>
  <c r="CH4" i="11" s="1"/>
  <c r="CH3" i="11" s="1"/>
  <c r="CG10" i="11"/>
  <c r="CF10" i="11"/>
  <c r="CD10" i="11"/>
  <c r="CD4" i="11" s="1"/>
  <c r="CD3" i="11" s="1"/>
  <c r="CC10" i="11"/>
  <c r="CB10" i="11"/>
  <c r="CA10" i="11"/>
  <c r="CA4" i="11" s="1"/>
  <c r="CA3" i="11" s="1"/>
  <c r="BY10" i="11"/>
  <c r="BX10" i="11"/>
  <c r="BV10" i="11"/>
  <c r="BU10" i="11"/>
  <c r="BU4" i="11" s="1"/>
  <c r="BU3" i="11" s="1"/>
  <c r="BM10" i="11"/>
  <c r="BL10" i="11"/>
  <c r="BK10" i="11"/>
  <c r="BI10" i="11"/>
  <c r="BH10" i="11"/>
  <c r="BG10" i="11"/>
  <c r="BG4" i="11" s="1"/>
  <c r="BG3" i="11" s="1"/>
  <c r="BE10" i="11"/>
  <c r="BE4" i="11" s="1"/>
  <c r="BE3" i="11" s="1"/>
  <c r="AZ10" i="11"/>
  <c r="AY10" i="11"/>
  <c r="AY4" i="11" s="1"/>
  <c r="AY3" i="11" s="1"/>
  <c r="AW10" i="11"/>
  <c r="AW4" i="11" s="1"/>
  <c r="AW3" i="11" s="1"/>
  <c r="AU10" i="11"/>
  <c r="AO10" i="11"/>
  <c r="AN10" i="11"/>
  <c r="AN4" i="11" s="1"/>
  <c r="AN3" i="11" s="1"/>
  <c r="AL10" i="11"/>
  <c r="AK10" i="11"/>
  <c r="AI10" i="11"/>
  <c r="AD10" i="11"/>
  <c r="AC10" i="11"/>
  <c r="AA10" i="11"/>
  <c r="Z10" i="11"/>
  <c r="Z4" i="11" s="1"/>
  <c r="Z3" i="11" s="1"/>
  <c r="Y10" i="11"/>
  <c r="X10" i="11"/>
  <c r="S10" i="11"/>
  <c r="R10" i="11"/>
  <c r="Q10" i="11"/>
  <c r="P10" i="11"/>
  <c r="O10" i="11"/>
  <c r="K10" i="11"/>
  <c r="I10" i="11"/>
  <c r="I4" i="11" s="1"/>
  <c r="I3" i="11" s="1"/>
  <c r="F10" i="11"/>
  <c r="F4" i="11" s="1"/>
  <c r="F3" i="11" s="1"/>
  <c r="E10" i="11"/>
  <c r="D10" i="11"/>
  <c r="C10" i="11"/>
  <c r="KF9" i="11"/>
  <c r="KC9" i="11"/>
  <c r="KB9" i="11"/>
  <c r="KB4" i="11" s="1"/>
  <c r="KB3" i="11" s="1"/>
  <c r="JL9" i="11"/>
  <c r="JI9" i="11"/>
  <c r="JD9" i="11"/>
  <c r="IR9" i="11"/>
  <c r="IK9" i="11"/>
  <c r="IK4" i="11" s="1"/>
  <c r="IK3" i="11" s="1"/>
  <c r="HQ9" i="11"/>
  <c r="HQ4" i="11" s="1"/>
  <c r="HQ3" i="11" s="1"/>
  <c r="HN9" i="11"/>
  <c r="HI9" i="11"/>
  <c r="FT9" i="11"/>
  <c r="EY9" i="11"/>
  <c r="EK9" i="11"/>
  <c r="EG9" i="11"/>
  <c r="EA9" i="11"/>
  <c r="EA4" i="11" s="1"/>
  <c r="EA3" i="11" s="1"/>
  <c r="DZ9" i="11"/>
  <c r="DX9" i="11"/>
  <c r="DT9" i="11"/>
  <c r="DO9" i="11"/>
  <c r="DN9" i="11"/>
  <c r="DM9" i="11"/>
  <c r="DK9" i="11"/>
  <c r="CX9" i="11"/>
  <c r="CW9" i="11"/>
  <c r="CT9" i="11"/>
  <c r="CR9" i="11"/>
  <c r="BR9" i="11"/>
  <c r="BR4" i="11" s="1"/>
  <c r="BR3" i="11" s="1"/>
  <c r="BM9" i="11"/>
  <c r="BL9" i="11"/>
  <c r="AU9" i="11"/>
  <c r="AK9" i="11"/>
  <c r="AE9" i="11"/>
  <c r="AE4" i="11" s="1"/>
  <c r="AE3" i="11" s="1"/>
  <c r="AC9" i="11"/>
  <c r="AB9" i="11"/>
  <c r="AA9" i="11"/>
  <c r="S9" i="11"/>
  <c r="Q9" i="11"/>
  <c r="P9" i="11"/>
  <c r="C9" i="11"/>
  <c r="DK8" i="11"/>
  <c r="BM8" i="11"/>
  <c r="C8" i="11"/>
  <c r="JI7" i="11"/>
  <c r="JE7" i="11"/>
  <c r="JE4" i="11" s="1"/>
  <c r="JE3" i="11" s="1"/>
  <c r="JA7" i="11"/>
  <c r="HI7" i="11"/>
  <c r="EK7" i="11"/>
  <c r="DX7" i="11"/>
  <c r="DK7" i="11"/>
  <c r="CJ7" i="11"/>
  <c r="CJ4" i="11" s="1"/>
  <c r="CJ3" i="11" s="1"/>
  <c r="BJ7" i="11"/>
  <c r="BJ4" i="11" s="1"/>
  <c r="BJ3" i="11" s="1"/>
  <c r="AA7" i="11"/>
  <c r="S7" i="11"/>
  <c r="K7" i="11"/>
  <c r="C7" i="11"/>
  <c r="EK6" i="11"/>
  <c r="CX6" i="11"/>
  <c r="X6" i="11"/>
  <c r="KG5" i="11"/>
  <c r="KC5" i="11"/>
  <c r="JY5" i="11"/>
  <c r="JX5" i="11"/>
  <c r="JX4" i="11" s="1"/>
  <c r="JX3" i="11" s="1"/>
  <c r="JS5" i="11"/>
  <c r="JS4" i="11" s="1"/>
  <c r="JS3" i="11" s="1"/>
  <c r="JP5" i="11"/>
  <c r="JO5" i="11"/>
  <c r="JO4" i="11" s="1"/>
  <c r="JO3" i="11" s="1"/>
  <c r="JH5" i="11"/>
  <c r="JH4" i="11" s="1"/>
  <c r="JH3" i="11" s="1"/>
  <c r="JF5" i="11"/>
  <c r="IZ5" i="11"/>
  <c r="IX5" i="11"/>
  <c r="IV5" i="11"/>
  <c r="IV4" i="11" s="1"/>
  <c r="IV3" i="11" s="1"/>
  <c r="IU5" i="11"/>
  <c r="IU4" i="11" s="1"/>
  <c r="IU3" i="11" s="1"/>
  <c r="IT5" i="11"/>
  <c r="IS5" i="11"/>
  <c r="IR5" i="11"/>
  <c r="IP5" i="11"/>
  <c r="IP4" i="11" s="1"/>
  <c r="IP3" i="11" s="1"/>
  <c r="IN5" i="11"/>
  <c r="IM5" i="11"/>
  <c r="IL5" i="11"/>
  <c r="II5" i="11"/>
  <c r="II4" i="11" s="1"/>
  <c r="II3" i="11" s="1"/>
  <c r="IH5" i="11"/>
  <c r="IG5" i="11"/>
  <c r="IG4" i="11" s="1"/>
  <c r="IG3" i="11" s="1"/>
  <c r="IF5" i="11"/>
  <c r="IF4" i="11" s="1"/>
  <c r="IF3" i="11" s="1"/>
  <c r="ID5" i="11"/>
  <c r="ID4" i="11" s="1"/>
  <c r="ID3" i="11" s="1"/>
  <c r="IC5" i="11"/>
  <c r="HZ5" i="11"/>
  <c r="HU5" i="11"/>
  <c r="HT5" i="11"/>
  <c r="HT4" i="11" s="1"/>
  <c r="HT3" i="11" s="1"/>
  <c r="HS5" i="11"/>
  <c r="HS4" i="11" s="1"/>
  <c r="HS3" i="11" s="1"/>
  <c r="HP5" i="11"/>
  <c r="HO5" i="11"/>
  <c r="HL5" i="11"/>
  <c r="HK5" i="11"/>
  <c r="HI5" i="11"/>
  <c r="HG5" i="11"/>
  <c r="GC5" i="11"/>
  <c r="FU5" i="11"/>
  <c r="FU4" i="11" s="1"/>
  <c r="FU3" i="11" s="1"/>
  <c r="FT5" i="11"/>
  <c r="FS5" i="11"/>
  <c r="FN5" i="11"/>
  <c r="FE5" i="11"/>
  <c r="FB5" i="11"/>
  <c r="FB4" i="11" s="1"/>
  <c r="FB3" i="11" s="1"/>
  <c r="EY5" i="11"/>
  <c r="EU5" i="11"/>
  <c r="EU4" i="11" s="1"/>
  <c r="EU3" i="11" s="1"/>
  <c r="ES5" i="11"/>
  <c r="ES4" i="11" s="1"/>
  <c r="ES3" i="11" s="1"/>
  <c r="EO5" i="11"/>
  <c r="EN5" i="11"/>
  <c r="EN4" i="11" s="1"/>
  <c r="EN3" i="11" s="1"/>
  <c r="EL5" i="11"/>
  <c r="EL4" i="11" s="1"/>
  <c r="EL3" i="11" s="1"/>
  <c r="EJ5" i="11"/>
  <c r="EG5" i="11"/>
  <c r="EF5" i="11"/>
  <c r="EE5" i="11"/>
  <c r="ED5" i="11"/>
  <c r="ED4" i="11" s="1"/>
  <c r="ED3" i="11" s="1"/>
  <c r="EB5" i="11"/>
  <c r="DZ5" i="11"/>
  <c r="DY5" i="11"/>
  <c r="DY4" i="11" s="1"/>
  <c r="DY3" i="11" s="1"/>
  <c r="DT5" i="11"/>
  <c r="DS5" i="11"/>
  <c r="DQ5" i="11"/>
  <c r="DL5" i="11"/>
  <c r="DI5" i="11"/>
  <c r="DE5" i="11"/>
  <c r="DE4" i="11" s="1"/>
  <c r="DE3" i="11" s="1"/>
  <c r="DD5" i="11"/>
  <c r="DB5" i="11"/>
  <c r="CZ5" i="11"/>
  <c r="CZ4" i="11" s="1"/>
  <c r="CZ3" i="11" s="1"/>
  <c r="CX5" i="11"/>
  <c r="CT5" i="11"/>
  <c r="CR5" i="11"/>
  <c r="CM5" i="11"/>
  <c r="CG5" i="11"/>
  <c r="CF5" i="11"/>
  <c r="CC5" i="11"/>
  <c r="CB5" i="11"/>
  <c r="BZ5" i="11"/>
  <c r="BZ4" i="11" s="1"/>
  <c r="BZ3" i="11" s="1"/>
  <c r="BY5" i="11"/>
  <c r="BX5" i="11"/>
  <c r="BV5" i="11"/>
  <c r="BM5" i="11"/>
  <c r="BL5" i="11"/>
  <c r="BK5" i="11"/>
  <c r="BI5" i="11"/>
  <c r="BH5" i="11"/>
  <c r="AZ5" i="11"/>
  <c r="AV5" i="11"/>
  <c r="AV4" i="11" s="1"/>
  <c r="AV3" i="11" s="1"/>
  <c r="AS5" i="11"/>
  <c r="AS4" i="11" s="1"/>
  <c r="AS3" i="11" s="1"/>
  <c r="AP5" i="11"/>
  <c r="AP4" i="11" s="1"/>
  <c r="AP3" i="11" s="1"/>
  <c r="AO5" i="11"/>
  <c r="AO4" i="11" s="1"/>
  <c r="AO3" i="11" s="1"/>
  <c r="AL5" i="11"/>
  <c r="AJ5" i="11"/>
  <c r="AJ4" i="11" s="1"/>
  <c r="AJ3" i="11" s="1"/>
  <c r="AI5" i="11"/>
  <c r="AG5" i="11"/>
  <c r="AG4" i="11" s="1"/>
  <c r="AG3" i="11" s="1"/>
  <c r="AD5" i="11"/>
  <c r="AC5" i="11"/>
  <c r="AB5" i="11"/>
  <c r="Y5" i="11"/>
  <c r="R5" i="11"/>
  <c r="Q5" i="11"/>
  <c r="P5" i="11"/>
  <c r="O5" i="11"/>
  <c r="N5" i="11"/>
  <c r="N4" i="11" s="1"/>
  <c r="N3" i="11" s="1"/>
  <c r="H5" i="11"/>
  <c r="E5" i="11"/>
  <c r="D5" i="11"/>
  <c r="C5" i="11"/>
  <c r="KH4" i="11"/>
  <c r="KH3" i="11" s="1"/>
  <c r="KE4" i="11"/>
  <c r="KE3" i="11" s="1"/>
  <c r="KD4" i="11"/>
  <c r="KD3" i="11" s="1"/>
  <c r="KA4" i="11"/>
  <c r="KA3" i="11" s="1"/>
  <c r="JZ4" i="11"/>
  <c r="JZ3" i="11" s="1"/>
  <c r="JW4" i="11"/>
  <c r="JT4" i="11"/>
  <c r="JT3" i="11" s="1"/>
  <c r="JK4" i="11"/>
  <c r="JK3" i="11" s="1"/>
  <c r="JG4" i="11"/>
  <c r="JG3" i="11" s="1"/>
  <c r="JB4" i="11"/>
  <c r="JB3" i="11" s="1"/>
  <c r="IW4" i="11"/>
  <c r="IW3" i="11" s="1"/>
  <c r="IQ4" i="11"/>
  <c r="IQ3" i="11" s="1"/>
  <c r="IJ4" i="11"/>
  <c r="IJ3" i="11" s="1"/>
  <c r="HX4" i="11"/>
  <c r="HX3" i="11" s="1"/>
  <c r="HV4" i="11"/>
  <c r="HV3" i="11" s="1"/>
  <c r="HM4" i="11"/>
  <c r="HM3" i="11" s="1"/>
  <c r="HF4" i="11"/>
  <c r="HF3" i="11" s="1"/>
  <c r="HD4" i="11"/>
  <c r="HD3" i="11" s="1"/>
  <c r="HC4" i="11"/>
  <c r="HC3" i="11" s="1"/>
  <c r="HB4" i="11"/>
  <c r="HB3" i="11" s="1"/>
  <c r="GZ4" i="11"/>
  <c r="GZ3" i="11" s="1"/>
  <c r="GY4" i="11"/>
  <c r="GY3" i="11" s="1"/>
  <c r="GX4" i="11"/>
  <c r="GX3" i="11" s="1"/>
  <c r="GW4" i="11"/>
  <c r="GW3" i="11" s="1"/>
  <c r="GV4" i="11"/>
  <c r="GV3" i="11" s="1"/>
  <c r="GU4" i="11"/>
  <c r="GU3" i="11" s="1"/>
  <c r="GS4" i="11"/>
  <c r="GS3" i="11" s="1"/>
  <c r="GR4" i="11"/>
  <c r="GR3" i="11" s="1"/>
  <c r="GQ4" i="11"/>
  <c r="GQ3" i="11" s="1"/>
  <c r="GP4" i="11"/>
  <c r="GP3" i="11" s="1"/>
  <c r="GN4" i="11"/>
  <c r="GN3" i="11" s="1"/>
  <c r="GM4" i="11"/>
  <c r="GM3" i="11" s="1"/>
  <c r="GI4" i="11"/>
  <c r="GI3" i="11" s="1"/>
  <c r="GG4" i="11"/>
  <c r="GG3" i="11" s="1"/>
  <c r="GF4" i="11"/>
  <c r="GF3" i="11" s="1"/>
  <c r="FX4" i="11"/>
  <c r="FX3" i="11" s="1"/>
  <c r="FW4" i="11"/>
  <c r="FW3" i="11" s="1"/>
  <c r="FR4" i="11"/>
  <c r="FR3" i="11" s="1"/>
  <c r="FQ4" i="11"/>
  <c r="FQ3" i="11" s="1"/>
  <c r="FP4" i="11"/>
  <c r="FP3" i="11" s="1"/>
  <c r="FJ4" i="11"/>
  <c r="FJ3" i="11" s="1"/>
  <c r="FF4" i="11"/>
  <c r="FF3" i="11" s="1"/>
  <c r="EW4" i="11"/>
  <c r="EW3" i="11" s="1"/>
  <c r="EV4" i="11"/>
  <c r="EV3" i="11" s="1"/>
  <c r="EQ4" i="11"/>
  <c r="EQ3" i="11" s="1"/>
  <c r="EP4" i="11"/>
  <c r="EP3" i="11" s="1"/>
  <c r="EC4" i="11"/>
  <c r="EC3" i="11" s="1"/>
  <c r="DW4" i="11"/>
  <c r="DW3" i="11" s="1"/>
  <c r="DU4" i="11"/>
  <c r="DU3" i="11" s="1"/>
  <c r="DJ4" i="11"/>
  <c r="DJ3" i="11" s="1"/>
  <c r="DH4" i="11"/>
  <c r="DH3" i="11" s="1"/>
  <c r="DF4" i="11"/>
  <c r="DF3" i="11" s="1"/>
  <c r="DC4" i="11"/>
  <c r="DC3" i="11" s="1"/>
  <c r="CU4" i="11"/>
  <c r="CU3" i="11" s="1"/>
  <c r="CP4" i="11"/>
  <c r="CP3" i="11" s="1"/>
  <c r="CO4" i="11"/>
  <c r="CO3" i="11" s="1"/>
  <c r="CL4" i="11"/>
  <c r="CL3" i="11" s="1"/>
  <c r="CK4" i="11"/>
  <c r="CK3" i="11" s="1"/>
  <c r="BW4" i="11"/>
  <c r="BW3" i="11" s="1"/>
  <c r="BT4" i="11"/>
  <c r="BT3" i="11" s="1"/>
  <c r="BN4" i="11"/>
  <c r="BN3" i="11" s="1"/>
  <c r="BB4" i="11"/>
  <c r="BB3" i="11" s="1"/>
  <c r="AR4" i="11"/>
  <c r="AR3" i="11" s="1"/>
  <c r="W4" i="11"/>
  <c r="W3" i="11" s="1"/>
  <c r="IC53" i="10"/>
  <c r="IC57" i="10" s="1"/>
  <c r="IA52" i="10"/>
  <c r="IA57" i="10" s="1"/>
  <c r="HZ44" i="10"/>
  <c r="HN44" i="10"/>
  <c r="HL44" i="10"/>
  <c r="HZ43" i="10"/>
  <c r="HS43" i="10"/>
  <c r="GV43" i="10"/>
  <c r="HZ42" i="10"/>
  <c r="GV41" i="10"/>
  <c r="GV34" i="10"/>
  <c r="GS15" i="10"/>
  <c r="GS14" i="10" s="1"/>
  <c r="GV5" i="10"/>
  <c r="GV4" i="10" s="1"/>
  <c r="GV3" i="10" s="1"/>
  <c r="GV2" i="10" s="1"/>
  <c r="GS4" i="10"/>
  <c r="GS3" i="10" s="1"/>
  <c r="FG75" i="8"/>
  <c r="FG70" i="8" s="1"/>
  <c r="FG68" i="8"/>
  <c r="DV68" i="8"/>
  <c r="DV64" i="8" s="1"/>
  <c r="FG61" i="8"/>
  <c r="FG60" i="8"/>
  <c r="DV56" i="8"/>
  <c r="FG54" i="8"/>
  <c r="DV54" i="8"/>
  <c r="FG52" i="8"/>
  <c r="DV52" i="8"/>
  <c r="DV51" i="8"/>
  <c r="DV57" i="8" s="1"/>
  <c r="DV43" i="8"/>
  <c r="DV40" i="8" s="1"/>
  <c r="DV50" i="8" s="1"/>
  <c r="FG34" i="8"/>
  <c r="FG32" i="8"/>
  <c r="FG28" i="8"/>
  <c r="FG27" i="8"/>
  <c r="DV27" i="8"/>
  <c r="FG26" i="8"/>
  <c r="FG25" i="8"/>
  <c r="FG23" i="8"/>
  <c r="FG10" i="8"/>
  <c r="DV10" i="8"/>
  <c r="FG9" i="8"/>
  <c r="FG5" i="8"/>
  <c r="DV5" i="8"/>
  <c r="FG2" i="8"/>
  <c r="DV2" i="8"/>
  <c r="DV43" i="7"/>
  <c r="DV40" i="7"/>
  <c r="EX4" i="11" l="1"/>
  <c r="EX3" i="11" s="1"/>
  <c r="CL24" i="11"/>
  <c r="IB24" i="11"/>
  <c r="D50" i="11"/>
  <c r="AI24" i="11"/>
  <c r="KF4" i="11"/>
  <c r="KF3" i="11" s="1"/>
  <c r="FK24" i="11"/>
  <c r="FK23" i="11" s="1"/>
  <c r="EJ51" i="11"/>
  <c r="DZ59" i="11"/>
  <c r="AV51" i="11"/>
  <c r="IQ40" i="11"/>
  <c r="AE2" i="11"/>
  <c r="AZ4" i="11"/>
  <c r="AZ3" i="11" s="1"/>
  <c r="DS51" i="11"/>
  <c r="C40" i="11"/>
  <c r="C50" i="11" s="1"/>
  <c r="FL51" i="11"/>
  <c r="HP64" i="11"/>
  <c r="HP59" i="11" s="1"/>
  <c r="CM40" i="11"/>
  <c r="IN51" i="11"/>
  <c r="CR59" i="11"/>
  <c r="HF50" i="11"/>
  <c r="HF58" i="11" s="1"/>
  <c r="HF76" i="11" s="1"/>
  <c r="HF78" i="11" s="1"/>
  <c r="JU51" i="11"/>
  <c r="CW40" i="11"/>
  <c r="CW50" i="11" s="1"/>
  <c r="EP23" i="11"/>
  <c r="DP50" i="11"/>
  <c r="HX59" i="11"/>
  <c r="CW59" i="11"/>
  <c r="KD2" i="11"/>
  <c r="FF51" i="11"/>
  <c r="JT23" i="11"/>
  <c r="GT51" i="11"/>
  <c r="EQ23" i="11"/>
  <c r="JH50" i="11"/>
  <c r="FC51" i="11"/>
  <c r="CT59" i="11"/>
  <c r="CM23" i="11"/>
  <c r="KA23" i="11"/>
  <c r="HT2" i="11"/>
  <c r="EY23" i="11"/>
  <c r="HL23" i="11"/>
  <c r="IO51" i="11"/>
  <c r="FC2" i="11"/>
  <c r="S51" i="11"/>
  <c r="EP51" i="11"/>
  <c r="FD2" i="11"/>
  <c r="DF50" i="11"/>
  <c r="DG23" i="11"/>
  <c r="GY23" i="11"/>
  <c r="KE24" i="11"/>
  <c r="KE23" i="11" s="1"/>
  <c r="FD23" i="11"/>
  <c r="IO23" i="11"/>
  <c r="GC23" i="11"/>
  <c r="DZ4" i="11"/>
  <c r="DZ3" i="11" s="1"/>
  <c r="DZ2" i="11" s="1"/>
  <c r="JK24" i="11"/>
  <c r="JK23" i="11" s="1"/>
  <c r="EO23" i="11"/>
  <c r="DS23" i="11"/>
  <c r="JJ24" i="11"/>
  <c r="JJ23" i="11" s="1"/>
  <c r="BX40" i="11"/>
  <c r="BX50" i="11" s="1"/>
  <c r="FQ50" i="11"/>
  <c r="FQ58" i="11" s="1"/>
  <c r="FQ76" i="11" s="1"/>
  <c r="FQ78" i="11" s="1"/>
  <c r="CN2" i="11"/>
  <c r="FW2" i="11"/>
  <c r="ED2" i="11"/>
  <c r="EQ2" i="11"/>
  <c r="HX23" i="11"/>
  <c r="AI4" i="11"/>
  <c r="AI3" i="11" s="1"/>
  <c r="AI2" i="11" s="1"/>
  <c r="JE23" i="11"/>
  <c r="IR23" i="11"/>
  <c r="GM50" i="11"/>
  <c r="CJ2" i="11"/>
  <c r="AO2" i="11"/>
  <c r="DC50" i="11"/>
  <c r="DC58" i="11" s="1"/>
  <c r="DC76" i="11" s="1"/>
  <c r="DC78" i="11" s="1"/>
  <c r="CB50" i="11"/>
  <c r="X23" i="11"/>
  <c r="FN23" i="11"/>
  <c r="CK24" i="11"/>
  <c r="CK23" i="11" s="1"/>
  <c r="BT23" i="11"/>
  <c r="CR50" i="11"/>
  <c r="FN50" i="11"/>
  <c r="FJ2" i="11"/>
  <c r="CT50" i="11"/>
  <c r="GX2" i="11"/>
  <c r="DB4" i="11"/>
  <c r="DB3" i="11" s="1"/>
  <c r="DB2" i="11" s="1"/>
  <c r="DC23" i="11"/>
  <c r="JZ23" i="11"/>
  <c r="O50" i="11"/>
  <c r="S59" i="11"/>
  <c r="GY2" i="11"/>
  <c r="DE23" i="11"/>
  <c r="CP23" i="11"/>
  <c r="ET23" i="11"/>
  <c r="CG50" i="11"/>
  <c r="CC4" i="11"/>
  <c r="CC3" i="11" s="1"/>
  <c r="CC2" i="11" s="1"/>
  <c r="ID2" i="11"/>
  <c r="AN2" i="11"/>
  <c r="BY50" i="11"/>
  <c r="HM50" i="11"/>
  <c r="BN2" i="11"/>
  <c r="CF23" i="11"/>
  <c r="IV2" i="11"/>
  <c r="GZ2" i="11"/>
  <c r="GF2" i="11"/>
  <c r="DZ24" i="11"/>
  <c r="DZ23" i="11" s="1"/>
  <c r="IW2" i="11"/>
  <c r="EA2" i="11"/>
  <c r="HN23" i="11"/>
  <c r="DL59" i="11"/>
  <c r="BZ50" i="11"/>
  <c r="IY2" i="11"/>
  <c r="CT4" i="11"/>
  <c r="CT3" i="11" s="1"/>
  <c r="CT2" i="11" s="1"/>
  <c r="AV24" i="11"/>
  <c r="AV23" i="11" s="1"/>
  <c r="CZ23" i="11"/>
  <c r="EE24" i="11"/>
  <c r="EE23" i="11" s="1"/>
  <c r="FA23" i="11"/>
  <c r="HO24" i="11"/>
  <c r="HO23" i="11" s="1"/>
  <c r="JV23" i="11"/>
  <c r="AC24" i="11"/>
  <c r="AC23" i="11" s="1"/>
  <c r="IQ50" i="11"/>
  <c r="D58" i="11"/>
  <c r="HB2" i="11"/>
  <c r="IP24" i="11"/>
  <c r="IP23" i="11" s="1"/>
  <c r="DJ2" i="11"/>
  <c r="BH4" i="11"/>
  <c r="BH3" i="11" s="1"/>
  <c r="BH2" i="11" s="1"/>
  <c r="FU23" i="11"/>
  <c r="BE23" i="11"/>
  <c r="P40" i="11"/>
  <c r="P50" i="11" s="1"/>
  <c r="EJ40" i="11"/>
  <c r="EJ50" i="11" s="1"/>
  <c r="HF23" i="11"/>
  <c r="AD23" i="11"/>
  <c r="EW50" i="11"/>
  <c r="HI23" i="11"/>
  <c r="CF50" i="11"/>
  <c r="GR23" i="11"/>
  <c r="EI23" i="11"/>
  <c r="BJ50" i="11"/>
  <c r="JN59" i="11"/>
  <c r="BK50" i="11"/>
  <c r="DF51" i="11"/>
  <c r="EE4" i="11"/>
  <c r="EE3" i="11" s="1"/>
  <c r="EE2" i="11" s="1"/>
  <c r="FL23" i="11"/>
  <c r="AL50" i="11"/>
  <c r="GU2" i="11"/>
  <c r="IP2" i="11"/>
  <c r="EM2" i="11"/>
  <c r="JV2" i="11"/>
  <c r="FP23" i="11"/>
  <c r="GV23" i="11"/>
  <c r="JW23" i="11"/>
  <c r="AJ24" i="11"/>
  <c r="AJ23" i="11" s="1"/>
  <c r="CL23" i="11"/>
  <c r="EL23" i="11"/>
  <c r="JJ50" i="11"/>
  <c r="N50" i="11"/>
  <c r="DR50" i="11"/>
  <c r="BW51" i="11"/>
  <c r="GC51" i="11"/>
  <c r="FK40" i="11"/>
  <c r="FK50" i="11" s="1"/>
  <c r="EV23" i="11"/>
  <c r="GN2" i="11"/>
  <c r="BI50" i="11"/>
  <c r="HX2" i="11"/>
  <c r="E4" i="11"/>
  <c r="E3" i="11" s="1"/>
  <c r="E2" i="11" s="1"/>
  <c r="GQ2" i="11"/>
  <c r="DM4" i="11"/>
  <c r="DM3" i="11" s="1"/>
  <c r="DM2" i="11" s="1"/>
  <c r="JB51" i="11"/>
  <c r="CU2" i="11"/>
  <c r="HK4" i="11"/>
  <c r="HK3" i="11" s="1"/>
  <c r="HK2" i="11" s="1"/>
  <c r="IN4" i="11"/>
  <c r="IN3" i="11" s="1"/>
  <c r="IN2" i="11" s="1"/>
  <c r="GW23" i="11"/>
  <c r="DS50" i="11"/>
  <c r="CM51" i="11"/>
  <c r="EC51" i="11"/>
  <c r="CD50" i="11"/>
  <c r="D4" i="11"/>
  <c r="D3" i="11" s="1"/>
  <c r="D2" i="11" s="1"/>
  <c r="GQ23" i="11"/>
  <c r="D23" i="11"/>
  <c r="CB23" i="11"/>
  <c r="CJ50" i="11"/>
  <c r="CJ58" i="11" s="1"/>
  <c r="CJ76" i="11" s="1"/>
  <c r="CJ78" i="11" s="1"/>
  <c r="AK50" i="11"/>
  <c r="EG50" i="11"/>
  <c r="JB2" i="11"/>
  <c r="JE2" i="11"/>
  <c r="HR2" i="11"/>
  <c r="EH50" i="11"/>
  <c r="BM51" i="11"/>
  <c r="JU2" i="11"/>
  <c r="IR50" i="11"/>
  <c r="EL2" i="11"/>
  <c r="DQ4" i="11"/>
  <c r="DQ3" i="11" s="1"/>
  <c r="DQ2" i="11" s="1"/>
  <c r="DT23" i="11"/>
  <c r="JL24" i="11"/>
  <c r="JL23" i="11" s="1"/>
  <c r="K23" i="11"/>
  <c r="ID51" i="11"/>
  <c r="FK51" i="11"/>
  <c r="EV2" i="11"/>
  <c r="II2" i="11"/>
  <c r="HU4" i="11"/>
  <c r="HU3" i="11" s="1"/>
  <c r="HU2" i="11" s="1"/>
  <c r="DC2" i="11"/>
  <c r="IR4" i="11"/>
  <c r="IR3" i="11" s="1"/>
  <c r="IR2" i="11" s="1"/>
  <c r="FX23" i="11"/>
  <c r="AN24" i="11"/>
  <c r="AN23" i="11" s="1"/>
  <c r="BL23" i="11"/>
  <c r="DW23" i="11"/>
  <c r="GA23" i="11"/>
  <c r="DI23" i="11"/>
  <c r="Q50" i="11"/>
  <c r="HG50" i="11"/>
  <c r="FR51" i="11"/>
  <c r="HM51" i="11"/>
  <c r="HM58" i="11" s="1"/>
  <c r="HM76" i="11" s="1"/>
  <c r="HM78" i="11" s="1"/>
  <c r="KF51" i="11"/>
  <c r="GN23" i="11"/>
  <c r="CU23" i="11"/>
  <c r="AY2" i="11"/>
  <c r="HG4" i="11"/>
  <c r="HG3" i="11" s="1"/>
  <c r="HG2" i="11" s="1"/>
  <c r="JC2" i="11"/>
  <c r="HC2" i="11"/>
  <c r="KH23" i="11"/>
  <c r="CA24" i="11"/>
  <c r="CA23" i="11" s="1"/>
  <c r="N23" i="11"/>
  <c r="DX24" i="11"/>
  <c r="DX23" i="11" s="1"/>
  <c r="GN50" i="11"/>
  <c r="GN58" i="11" s="1"/>
  <c r="GN76" i="11" s="1"/>
  <c r="GN78" i="11" s="1"/>
  <c r="HI50" i="11"/>
  <c r="BM40" i="11"/>
  <c r="BM50" i="11" s="1"/>
  <c r="FS51" i="11"/>
  <c r="AD4" i="11"/>
  <c r="AD3" i="11" s="1"/>
  <c r="AD2" i="11" s="1"/>
  <c r="IF59" i="11"/>
  <c r="GM2" i="11"/>
  <c r="JW3" i="11"/>
  <c r="JW2" i="11" s="1"/>
  <c r="AJ51" i="11"/>
  <c r="EK24" i="11"/>
  <c r="EK23" i="11" s="1"/>
  <c r="BV4" i="11"/>
  <c r="BV3" i="11" s="1"/>
  <c r="BV2" i="11" s="1"/>
  <c r="CT23" i="11"/>
  <c r="EW23" i="11"/>
  <c r="HG23" i="11"/>
  <c r="JO23" i="11"/>
  <c r="EC23" i="11"/>
  <c r="DB50" i="11"/>
  <c r="FP50" i="11"/>
  <c r="GP50" i="11"/>
  <c r="GP58" i="11" s="1"/>
  <c r="GP76" i="11" s="1"/>
  <c r="GP78" i="11" s="1"/>
  <c r="EY51" i="11"/>
  <c r="CB51" i="11"/>
  <c r="GP2" i="11"/>
  <c r="BB2" i="11"/>
  <c r="FQ2" i="11"/>
  <c r="Y4" i="11"/>
  <c r="Y3" i="11" s="1"/>
  <c r="Y2" i="11" s="1"/>
  <c r="AI23" i="11"/>
  <c r="DP23" i="11"/>
  <c r="AG50" i="11"/>
  <c r="BE50" i="11"/>
  <c r="HD23" i="11"/>
  <c r="CR51" i="11"/>
  <c r="AB24" i="11"/>
  <c r="AB23" i="11" s="1"/>
  <c r="BZ23" i="11"/>
  <c r="KC4" i="11"/>
  <c r="KC3" i="11" s="1"/>
  <c r="KC2" i="11" s="1"/>
  <c r="DS4" i="11"/>
  <c r="DS3" i="11" s="1"/>
  <c r="DS2" i="11" s="1"/>
  <c r="AZ23" i="11"/>
  <c r="BH50" i="11"/>
  <c r="EV50" i="11"/>
  <c r="EZ40" i="11"/>
  <c r="EZ50" i="11" s="1"/>
  <c r="HK59" i="11"/>
  <c r="EV51" i="11"/>
  <c r="EW51" i="11"/>
  <c r="IF23" i="11"/>
  <c r="AZ50" i="11"/>
  <c r="IZ4" i="11"/>
  <c r="IZ3" i="11" s="1"/>
  <c r="IZ2" i="11" s="1"/>
  <c r="GK2" i="11"/>
  <c r="AG24" i="11"/>
  <c r="AG23" i="11" s="1"/>
  <c r="DN24" i="11"/>
  <c r="DN23" i="11" s="1"/>
  <c r="JH24" i="11"/>
  <c r="JH23" i="11" s="1"/>
  <c r="AJ50" i="11"/>
  <c r="EC50" i="11"/>
  <c r="IY51" i="11"/>
  <c r="DU51" i="11"/>
  <c r="JH51" i="11"/>
  <c r="EG59" i="11"/>
  <c r="AR2" i="11"/>
  <c r="EZ2" i="11"/>
  <c r="GT2" i="11"/>
  <c r="DO23" i="11"/>
  <c r="FE24" i="11"/>
  <c r="FE23" i="11" s="1"/>
  <c r="CF51" i="11"/>
  <c r="HV51" i="11"/>
  <c r="IZ51" i="11"/>
  <c r="JW51" i="11"/>
  <c r="ER51" i="11"/>
  <c r="CO51" i="11"/>
  <c r="CP51" i="11"/>
  <c r="FM2" i="11"/>
  <c r="JJ51" i="11"/>
  <c r="FE59" i="11"/>
  <c r="IQ2" i="11"/>
  <c r="DX50" i="11"/>
  <c r="AE50" i="11"/>
  <c r="EP2" i="11"/>
  <c r="JW50" i="11"/>
  <c r="AO51" i="11"/>
  <c r="BL51" i="11"/>
  <c r="CG51" i="11"/>
  <c r="DW51" i="11"/>
  <c r="FH51" i="11"/>
  <c r="HX51" i="11"/>
  <c r="IQ51" i="11"/>
  <c r="JA51" i="11"/>
  <c r="JX51" i="11"/>
  <c r="DL51" i="11"/>
  <c r="ES51" i="11"/>
  <c r="JI51" i="11"/>
  <c r="HR59" i="11"/>
  <c r="GK23" i="11"/>
  <c r="JR2" i="11"/>
  <c r="KF2" i="11"/>
  <c r="DW50" i="11"/>
  <c r="AD50" i="11"/>
  <c r="FP2" i="11"/>
  <c r="BB50" i="11"/>
  <c r="BZ2" i="11"/>
  <c r="GG2" i="11"/>
  <c r="HD2" i="11"/>
  <c r="FS23" i="11"/>
  <c r="EF50" i="11"/>
  <c r="AP51" i="11"/>
  <c r="DG51" i="11"/>
  <c r="DX51" i="11"/>
  <c r="EQ51" i="11"/>
  <c r="FJ51" i="11"/>
  <c r="IR51" i="11"/>
  <c r="JY51" i="11"/>
  <c r="AV2" i="11"/>
  <c r="BX51" i="11"/>
  <c r="EE51" i="11"/>
  <c r="Z2" i="11"/>
  <c r="BU2" i="11"/>
  <c r="HF2" i="11"/>
  <c r="DM50" i="11"/>
  <c r="JD50" i="11"/>
  <c r="KE50" i="11"/>
  <c r="KE58" i="11" s="1"/>
  <c r="KE76" i="11" s="1"/>
  <c r="KE78" i="11" s="1"/>
  <c r="HU50" i="11"/>
  <c r="O51" i="11"/>
  <c r="DZ51" i="11"/>
  <c r="BG2" i="11"/>
  <c r="EX24" i="11"/>
  <c r="EX23" i="11" s="1"/>
  <c r="JS2" i="11"/>
  <c r="IK50" i="11"/>
  <c r="Y23" i="11"/>
  <c r="CL2" i="11"/>
  <c r="FM23" i="11"/>
  <c r="FA51" i="11"/>
  <c r="BE2" i="11"/>
  <c r="AY24" i="11"/>
  <c r="AY23" i="11" s="1"/>
  <c r="DN4" i="11"/>
  <c r="DN3" i="11" s="1"/>
  <c r="DN2" i="11" s="1"/>
  <c r="E50" i="11"/>
  <c r="IS23" i="11"/>
  <c r="JZ2" i="11"/>
  <c r="R51" i="11"/>
  <c r="BK51" i="11"/>
  <c r="DE51" i="11"/>
  <c r="C4" i="11"/>
  <c r="C3" i="11" s="1"/>
  <c r="C2" i="11" s="1"/>
  <c r="DY2" i="11"/>
  <c r="KA2" i="11"/>
  <c r="AP2" i="11"/>
  <c r="CG4" i="11"/>
  <c r="CG3" i="11" s="1"/>
  <c r="CG2" i="11" s="1"/>
  <c r="IG2" i="11"/>
  <c r="AC4" i="11"/>
  <c r="AC3" i="11" s="1"/>
  <c r="AC2" i="11" s="1"/>
  <c r="O4" i="11"/>
  <c r="O3" i="11" s="1"/>
  <c r="O2" i="11" s="1"/>
  <c r="AU4" i="11"/>
  <c r="AU3" i="11" s="1"/>
  <c r="AU2" i="11" s="1"/>
  <c r="HO4" i="11"/>
  <c r="HO3" i="11" s="1"/>
  <c r="HO2" i="11" s="1"/>
  <c r="EH23" i="11"/>
  <c r="EM24" i="11"/>
  <c r="EM23" i="11" s="1"/>
  <c r="HD50" i="11"/>
  <c r="HD58" i="11" s="1"/>
  <c r="HD76" i="11" s="1"/>
  <c r="HD78" i="11" s="1"/>
  <c r="KG50" i="11"/>
  <c r="IA50" i="11"/>
  <c r="KF50" i="11"/>
  <c r="P57" i="11"/>
  <c r="P51" i="11" s="1"/>
  <c r="CC51" i="11"/>
  <c r="DB51" i="11"/>
  <c r="DT51" i="11"/>
  <c r="EM51" i="11"/>
  <c r="GK51" i="11"/>
  <c r="K57" i="11"/>
  <c r="K51" i="11" s="1"/>
  <c r="DH51" i="11"/>
  <c r="EI51" i="11"/>
  <c r="KG51" i="11"/>
  <c r="JP51" i="11"/>
  <c r="DP59" i="11"/>
  <c r="IB59" i="11"/>
  <c r="HQ50" i="11"/>
  <c r="JH2" i="11"/>
  <c r="EC2" i="11"/>
  <c r="JJ2" i="11"/>
  <c r="CP2" i="11"/>
  <c r="AS2" i="11"/>
  <c r="FU2" i="11"/>
  <c r="IH4" i="11"/>
  <c r="IH3" i="11" s="1"/>
  <c r="IH2" i="11" s="1"/>
  <c r="JA4" i="11"/>
  <c r="JA3" i="11" s="1"/>
  <c r="JA2" i="11" s="1"/>
  <c r="AW2" i="11"/>
  <c r="EI2" i="11"/>
  <c r="JP4" i="11"/>
  <c r="JP3" i="11" s="1"/>
  <c r="JP2" i="11" s="1"/>
  <c r="IK23" i="11"/>
  <c r="ER23" i="11"/>
  <c r="BH24" i="11"/>
  <c r="BH23" i="11" s="1"/>
  <c r="GF23" i="11"/>
  <c r="GZ23" i="11"/>
  <c r="O23" i="11"/>
  <c r="DE50" i="11"/>
  <c r="DY50" i="11"/>
  <c r="DY58" i="11" s="1"/>
  <c r="DY76" i="11" s="1"/>
  <c r="DY78" i="11" s="1"/>
  <c r="FM50" i="11"/>
  <c r="GK50" i="11"/>
  <c r="IJ50" i="11"/>
  <c r="F40" i="11"/>
  <c r="F50" i="11" s="1"/>
  <c r="DK40" i="11"/>
  <c r="DK50" i="11" s="1"/>
  <c r="DI50" i="11"/>
  <c r="DD51" i="11"/>
  <c r="CZ51" i="11"/>
  <c r="KH51" i="11"/>
  <c r="E57" i="11"/>
  <c r="E51" i="11" s="1"/>
  <c r="EJ59" i="11"/>
  <c r="D64" i="11"/>
  <c r="D59" i="11" s="1"/>
  <c r="BL50" i="11"/>
  <c r="DJ50" i="11"/>
  <c r="R4" i="11"/>
  <c r="R3" i="11" s="1"/>
  <c r="R2" i="11" s="1"/>
  <c r="JX2" i="11"/>
  <c r="BR2" i="11"/>
  <c r="DK24" i="11"/>
  <c r="DK23" i="11" s="1"/>
  <c r="AS23" i="11"/>
  <c r="IY23" i="11"/>
  <c r="DJ24" i="11"/>
  <c r="DJ23" i="11" s="1"/>
  <c r="JD24" i="11"/>
  <c r="JD23" i="11" s="1"/>
  <c r="DL50" i="11"/>
  <c r="EE50" i="11"/>
  <c r="CC50" i="11"/>
  <c r="CC58" i="11" s="1"/>
  <c r="CC76" i="11" s="1"/>
  <c r="CC78" i="11" s="1"/>
  <c r="EB40" i="11"/>
  <c r="EB50" i="11" s="1"/>
  <c r="BU51" i="11"/>
  <c r="AO50" i="11"/>
  <c r="DF2" i="11"/>
  <c r="HV2" i="11"/>
  <c r="BL4" i="11"/>
  <c r="BL3" i="11" s="1"/>
  <c r="BL2" i="11" s="1"/>
  <c r="EN2" i="11"/>
  <c r="GB2" i="11"/>
  <c r="S24" i="11"/>
  <c r="S23" i="11" s="1"/>
  <c r="IL24" i="11"/>
  <c r="IL23" i="11" s="1"/>
  <c r="IT24" i="11"/>
  <c r="IT23" i="11" s="1"/>
  <c r="JG23" i="11"/>
  <c r="DH23" i="11"/>
  <c r="JR23" i="11"/>
  <c r="HR50" i="11"/>
  <c r="IP50" i="11"/>
  <c r="JP50" i="11"/>
  <c r="JI50" i="11"/>
  <c r="BT51" i="11"/>
  <c r="DJ51" i="11"/>
  <c r="EU51" i="11"/>
  <c r="EU58" i="11" s="1"/>
  <c r="EU76" i="11" s="1"/>
  <c r="EU78" i="11" s="1"/>
  <c r="CN50" i="11"/>
  <c r="CN58" i="11" s="1"/>
  <c r="CN76" i="11" s="1"/>
  <c r="CN78" i="11" s="1"/>
  <c r="AA50" i="11"/>
  <c r="BT2" i="11"/>
  <c r="FF2" i="11"/>
  <c r="ES2" i="11"/>
  <c r="HS2" i="11"/>
  <c r="KG4" i="11"/>
  <c r="KG3" i="11" s="1"/>
  <c r="KG2" i="11" s="1"/>
  <c r="CW4" i="11"/>
  <c r="CW3" i="11" s="1"/>
  <c r="CW2" i="11" s="1"/>
  <c r="HQ2" i="11"/>
  <c r="IL4" i="11"/>
  <c r="IL3" i="11" s="1"/>
  <c r="IL2" i="11" s="1"/>
  <c r="ET2" i="11"/>
  <c r="JN2" i="11"/>
  <c r="AW24" i="11"/>
  <c r="AW23" i="11" s="1"/>
  <c r="DD24" i="11"/>
  <c r="DD23" i="11" s="1"/>
  <c r="EF23" i="11"/>
  <c r="FC24" i="11"/>
  <c r="FC23" i="11" s="1"/>
  <c r="HP23" i="11"/>
  <c r="JB23" i="11"/>
  <c r="JX23" i="11"/>
  <c r="DR24" i="11"/>
  <c r="DR23" i="11" s="1"/>
  <c r="JI24" i="11"/>
  <c r="JI23" i="11" s="1"/>
  <c r="E23" i="11"/>
  <c r="CO50" i="11"/>
  <c r="AW51" i="11"/>
  <c r="F59" i="11"/>
  <c r="BG59" i="11"/>
  <c r="IO2" i="11"/>
  <c r="DH2" i="11"/>
  <c r="DE2" i="11"/>
  <c r="EX2" i="11"/>
  <c r="BY24" i="11"/>
  <c r="BY23" i="11" s="1"/>
  <c r="IM24" i="11"/>
  <c r="IM23" i="11" s="1"/>
  <c r="BW2" i="11"/>
  <c r="IK2" i="11"/>
  <c r="BU23" i="11"/>
  <c r="AV50" i="11"/>
  <c r="AV58" i="11" s="1"/>
  <c r="AV76" i="11" s="1"/>
  <c r="AV78" i="11" s="1"/>
  <c r="CP50" i="11"/>
  <c r="HX50" i="11"/>
  <c r="JA50" i="11"/>
  <c r="AC57" i="11"/>
  <c r="AC51" i="11" s="1"/>
  <c r="FK2" i="11"/>
  <c r="GV2" i="11"/>
  <c r="AB50" i="11"/>
  <c r="AW50" i="11"/>
  <c r="BV50" i="11"/>
  <c r="DQ50" i="11"/>
  <c r="GA50" i="11"/>
  <c r="GX50" i="11"/>
  <c r="GX58" i="11" s="1"/>
  <c r="GX76" i="11" s="1"/>
  <c r="GX78" i="11" s="1"/>
  <c r="JB50" i="11"/>
  <c r="CA50" i="11"/>
  <c r="JO50" i="11"/>
  <c r="CT51" i="11"/>
  <c r="FT51" i="11"/>
  <c r="II51" i="11"/>
  <c r="GM23" i="11"/>
  <c r="BU50" i="11"/>
  <c r="GW50" i="11"/>
  <c r="GW58" i="11" s="1"/>
  <c r="GW76" i="11" s="1"/>
  <c r="GW78" i="11" s="1"/>
  <c r="EX51" i="11"/>
  <c r="HN51" i="11"/>
  <c r="BI59" i="11"/>
  <c r="GW2" i="11"/>
  <c r="JT2" i="11"/>
  <c r="HZ4" i="11"/>
  <c r="HZ3" i="11" s="1"/>
  <c r="HZ2" i="11" s="1"/>
  <c r="KH2" i="11"/>
  <c r="BB23" i="11"/>
  <c r="FF24" i="11"/>
  <c r="FF23" i="11" s="1"/>
  <c r="GU23" i="11"/>
  <c r="BW50" i="11"/>
  <c r="FE50" i="11"/>
  <c r="GB50" i="11"/>
  <c r="KD24" i="11"/>
  <c r="KD23" i="11" s="1"/>
  <c r="FF50" i="11"/>
  <c r="CM50" i="11"/>
  <c r="CW51" i="11"/>
  <c r="CK2" i="11"/>
  <c r="DO59" i="11"/>
  <c r="BG24" i="11"/>
  <c r="BG23" i="11" s="1"/>
  <c r="ED23" i="11"/>
  <c r="FR2" i="11"/>
  <c r="AL4" i="11"/>
  <c r="AL3" i="11" s="1"/>
  <c r="AL2" i="11" s="1"/>
  <c r="FN4" i="11"/>
  <c r="FN3" i="11" s="1"/>
  <c r="FN2" i="11" s="1"/>
  <c r="DO4" i="11"/>
  <c r="DO3" i="11" s="1"/>
  <c r="DO2" i="11" s="1"/>
  <c r="DG2" i="11"/>
  <c r="EO50" i="11"/>
  <c r="JX50" i="11"/>
  <c r="W2" i="11"/>
  <c r="CF4" i="11"/>
  <c r="CF3" i="11" s="1"/>
  <c r="CF2" i="11" s="1"/>
  <c r="IF2" i="11"/>
  <c r="AB4" i="11"/>
  <c r="AB3" i="11" s="1"/>
  <c r="AB2" i="11" s="1"/>
  <c r="CA2" i="11"/>
  <c r="EG4" i="11"/>
  <c r="EG3" i="11" s="1"/>
  <c r="EG2" i="11" s="1"/>
  <c r="FH2" i="11"/>
  <c r="HN4" i="11"/>
  <c r="HN3" i="11" s="1"/>
  <c r="HN2" i="11" s="1"/>
  <c r="CG23" i="11"/>
  <c r="AO24" i="11"/>
  <c r="AO23" i="11" s="1"/>
  <c r="BI24" i="11"/>
  <c r="BI23" i="11" s="1"/>
  <c r="EN23" i="11"/>
  <c r="FR24" i="11"/>
  <c r="FR23" i="11" s="1"/>
  <c r="KF23" i="11"/>
  <c r="HS24" i="11"/>
  <c r="HS23" i="11" s="1"/>
  <c r="EP50" i="11"/>
  <c r="JS50" i="11"/>
  <c r="CX50" i="11"/>
  <c r="JY40" i="11"/>
  <c r="JY50" i="11" s="1"/>
  <c r="BH51" i="11"/>
  <c r="DQ51" i="11"/>
  <c r="EH51" i="11"/>
  <c r="IF51" i="11"/>
  <c r="KD51" i="11"/>
  <c r="I2" i="11"/>
  <c r="AZ2" i="11"/>
  <c r="KE2" i="11"/>
  <c r="DD50" i="11"/>
  <c r="CZ40" i="11"/>
  <c r="CZ50" i="11" s="1"/>
  <c r="GS2" i="11"/>
  <c r="DU2" i="11"/>
  <c r="GR2" i="11"/>
  <c r="BJ2" i="11"/>
  <c r="ES23" i="11"/>
  <c r="IB2" i="11"/>
  <c r="BV23" i="11"/>
  <c r="GV40" i="10"/>
  <c r="GV50" i="10" s="1"/>
  <c r="CZ2" i="11"/>
  <c r="JO2" i="11"/>
  <c r="JI4" i="11"/>
  <c r="JI3" i="11" s="1"/>
  <c r="JI2" i="11" s="1"/>
  <c r="BX23" i="11"/>
  <c r="CX24" i="11"/>
  <c r="CX23" i="11" s="1"/>
  <c r="AA24" i="11"/>
  <c r="AA23" i="11" s="1"/>
  <c r="EU2" i="11"/>
  <c r="IU2" i="11"/>
  <c r="N2" i="11"/>
  <c r="GI2" i="11"/>
  <c r="K4" i="11"/>
  <c r="K3" i="11" s="1"/>
  <c r="K2" i="11" s="1"/>
  <c r="DK4" i="11"/>
  <c r="DK3" i="11" s="1"/>
  <c r="DK2" i="11" s="1"/>
  <c r="EA23" i="11"/>
  <c r="HP4" i="11"/>
  <c r="HP3" i="11" s="1"/>
  <c r="HP2" i="11" s="1"/>
  <c r="IX4" i="11"/>
  <c r="IX3" i="11" s="1"/>
  <c r="IX2" i="11" s="1"/>
  <c r="DI4" i="11"/>
  <c r="DI3" i="11" s="1"/>
  <c r="DI2" i="11" s="1"/>
  <c r="CO23" i="11"/>
  <c r="HM2" i="11"/>
  <c r="IT4" i="11"/>
  <c r="IT3" i="11" s="1"/>
  <c r="IT2" i="11" s="1"/>
  <c r="IW23" i="11"/>
  <c r="R24" i="11"/>
  <c r="R23" i="11" s="1"/>
  <c r="FJ24" i="11"/>
  <c r="FJ23" i="11" s="1"/>
  <c r="CD2" i="11"/>
  <c r="FA2" i="11"/>
  <c r="DL4" i="11"/>
  <c r="DL3" i="11" s="1"/>
  <c r="DL2" i="11" s="1"/>
  <c r="DV2" i="11"/>
  <c r="KD50" i="11"/>
  <c r="HZ40" i="11"/>
  <c r="HZ50" i="11" s="1"/>
  <c r="HN50" i="11"/>
  <c r="FX2" i="11"/>
  <c r="Q4" i="11"/>
  <c r="Q3" i="11" s="1"/>
  <c r="Q2" i="11" s="1"/>
  <c r="BW23" i="11"/>
  <c r="DT50" i="11"/>
  <c r="EM50" i="11"/>
  <c r="IJ2" i="11"/>
  <c r="BK4" i="11"/>
  <c r="BK3" i="11" s="1"/>
  <c r="BK2" i="11" s="1"/>
  <c r="HL4" i="11"/>
  <c r="HL3" i="11" s="1"/>
  <c r="HL2" i="11" s="1"/>
  <c r="P23" i="11"/>
  <c r="IA23" i="11"/>
  <c r="BM24" i="11"/>
  <c r="BM23" i="11" s="1"/>
  <c r="DB23" i="11"/>
  <c r="FB23" i="11"/>
  <c r="DU50" i="11"/>
  <c r="CH50" i="11"/>
  <c r="DV4" i="8"/>
  <c r="AJ2" i="11"/>
  <c r="CB4" i="11"/>
  <c r="CB3" i="11" s="1"/>
  <c r="CB2" i="11" s="1"/>
  <c r="FE4" i="11"/>
  <c r="FE3" i="11" s="1"/>
  <c r="FE2" i="11" s="1"/>
  <c r="IC4" i="11"/>
  <c r="IC3" i="11" s="1"/>
  <c r="IC2" i="11" s="1"/>
  <c r="S4" i="11"/>
  <c r="S3" i="11" s="1"/>
  <c r="S2" i="11" s="1"/>
  <c r="F2" i="11"/>
  <c r="IS4" i="11"/>
  <c r="IS3" i="11" s="1"/>
  <c r="IS2" i="11" s="1"/>
  <c r="AP50" i="11"/>
  <c r="CK50" i="11"/>
  <c r="AR50" i="11"/>
  <c r="BN50" i="11"/>
  <c r="KB59" i="11"/>
  <c r="FH23" i="11"/>
  <c r="S50" i="11"/>
  <c r="AS50" i="11"/>
  <c r="BR50" i="11"/>
  <c r="W50" i="11"/>
  <c r="W58" i="11" s="1"/>
  <c r="W76" i="11" s="1"/>
  <c r="W78" i="11" s="1"/>
  <c r="AK57" i="11"/>
  <c r="AK51" i="11" s="1"/>
  <c r="FW50" i="11"/>
  <c r="GU50" i="11"/>
  <c r="GU58" i="11" s="1"/>
  <c r="GU76" i="11" s="1"/>
  <c r="GU78" i="11" s="1"/>
  <c r="AL57" i="11"/>
  <c r="AL51" i="11" s="1"/>
  <c r="GM57" i="11"/>
  <c r="GM51" i="11" s="1"/>
  <c r="BJ51" i="11"/>
  <c r="CD51" i="11"/>
  <c r="CR4" i="11"/>
  <c r="CR3" i="11" s="1"/>
  <c r="CR2" i="11" s="1"/>
  <c r="FX50" i="11"/>
  <c r="JG2" i="11"/>
  <c r="EF4" i="11"/>
  <c r="EF3" i="11" s="1"/>
  <c r="EF2" i="11" s="1"/>
  <c r="FD50" i="11"/>
  <c r="GZ51" i="11"/>
  <c r="Q51" i="11"/>
  <c r="BI51" i="11"/>
  <c r="GC4" i="11"/>
  <c r="GC3" i="11" s="1"/>
  <c r="GC2" i="11" s="1"/>
  <c r="FC50" i="11"/>
  <c r="GS2" i="10"/>
  <c r="H23" i="11"/>
  <c r="BN24" i="11"/>
  <c r="BN23" i="11" s="1"/>
  <c r="F24" i="11"/>
  <c r="F23" i="11" s="1"/>
  <c r="AL24" i="11"/>
  <c r="AL23" i="11" s="1"/>
  <c r="BK23" i="11"/>
  <c r="CN23" i="11"/>
  <c r="DV24" i="11"/>
  <c r="DV23" i="11" s="1"/>
  <c r="FW23" i="11"/>
  <c r="AU24" i="11"/>
  <c r="AU23" i="11" s="1"/>
  <c r="EU24" i="11"/>
  <c r="EU23" i="11" s="1"/>
  <c r="IC24" i="11"/>
  <c r="IC23" i="11" s="1"/>
  <c r="JS24" i="11"/>
  <c r="JS23" i="11" s="1"/>
  <c r="HL51" i="11"/>
  <c r="HQ24" i="11"/>
  <c r="HQ23" i="11" s="1"/>
  <c r="JA23" i="11"/>
  <c r="I50" i="11"/>
  <c r="BG51" i="11"/>
  <c r="CA51" i="11"/>
  <c r="CX51" i="11"/>
  <c r="DR51" i="11"/>
  <c r="FB51" i="11"/>
  <c r="GB51" i="11"/>
  <c r="HR51" i="11"/>
  <c r="IL51" i="11"/>
  <c r="IV51" i="11"/>
  <c r="JR51" i="11"/>
  <c r="HZ51" i="11"/>
  <c r="IX51" i="11"/>
  <c r="K50" i="11"/>
  <c r="JT50" i="11"/>
  <c r="GV40" i="11"/>
  <c r="GV50" i="11" s="1"/>
  <c r="GV58" i="11" s="1"/>
  <c r="EK51" i="11"/>
  <c r="GV59" i="11"/>
  <c r="AA59" i="11"/>
  <c r="FT59" i="11"/>
  <c r="JK2" i="11"/>
  <c r="HI4" i="11"/>
  <c r="HI3" i="11" s="1"/>
  <c r="HI2" i="11" s="1"/>
  <c r="AP24" i="11"/>
  <c r="AP23" i="11" s="1"/>
  <c r="BR24" i="11"/>
  <c r="BR23" i="11" s="1"/>
  <c r="IH23" i="11"/>
  <c r="IV23" i="11"/>
  <c r="IU24" i="11"/>
  <c r="IU23" i="11" s="1"/>
  <c r="Y50" i="11"/>
  <c r="Y58" i="11" s="1"/>
  <c r="Y76" i="11" s="1"/>
  <c r="Y78" i="11" s="1"/>
  <c r="AU50" i="11"/>
  <c r="AU58" i="11" s="1"/>
  <c r="AU76" i="11" s="1"/>
  <c r="AU78" i="11" s="1"/>
  <c r="BT50" i="11"/>
  <c r="CL50" i="11"/>
  <c r="DG50" i="11"/>
  <c r="X51" i="11"/>
  <c r="BN51" i="11"/>
  <c r="CK51" i="11"/>
  <c r="HG51" i="11"/>
  <c r="IS51" i="11"/>
  <c r="JD51" i="11"/>
  <c r="KA51" i="11"/>
  <c r="DK51" i="11"/>
  <c r="EK4" i="11"/>
  <c r="EK3" i="11" s="1"/>
  <c r="EK2" i="11" s="1"/>
  <c r="EY4" i="11"/>
  <c r="EY3" i="11" s="1"/>
  <c r="EY2" i="11" s="1"/>
  <c r="KB2" i="11"/>
  <c r="X4" i="11"/>
  <c r="X3" i="11" s="1"/>
  <c r="X2" i="11" s="1"/>
  <c r="CH2" i="11"/>
  <c r="DP2" i="11"/>
  <c r="IA2" i="11"/>
  <c r="JY4" i="11"/>
  <c r="JY3" i="11" s="1"/>
  <c r="JY2" i="11" s="1"/>
  <c r="H4" i="11"/>
  <c r="H3" i="11" s="1"/>
  <c r="H2" i="11" s="1"/>
  <c r="C23" i="11"/>
  <c r="JC23" i="11"/>
  <c r="AR24" i="11"/>
  <c r="AR23" i="11" s="1"/>
  <c r="HK24" i="11"/>
  <c r="HK23" i="11" s="1"/>
  <c r="IX23" i="11"/>
  <c r="Z23" i="11"/>
  <c r="BJ24" i="11"/>
  <c r="BJ23" i="11" s="1"/>
  <c r="DF23" i="11"/>
  <c r="CW24" i="11"/>
  <c r="CW23" i="11" s="1"/>
  <c r="DH50" i="11"/>
  <c r="IB50" i="11"/>
  <c r="IS50" i="11"/>
  <c r="IZ50" i="11"/>
  <c r="AB51" i="11"/>
  <c r="BR51" i="11"/>
  <c r="CL51" i="11"/>
  <c r="DI51" i="11"/>
  <c r="EB51" i="11"/>
  <c r="ET51" i="11"/>
  <c r="FM51" i="11"/>
  <c r="HI51" i="11"/>
  <c r="IB51" i="11"/>
  <c r="IT51" i="11"/>
  <c r="JE51" i="11"/>
  <c r="DO51" i="11"/>
  <c r="DP51" i="11"/>
  <c r="AJ59" i="11"/>
  <c r="X40" i="11"/>
  <c r="X50" i="11" s="1"/>
  <c r="EK50" i="11"/>
  <c r="HZ59" i="11"/>
  <c r="IJ23" i="11"/>
  <c r="Z40" i="11"/>
  <c r="Z50" i="11" s="1"/>
  <c r="EN40" i="11"/>
  <c r="EN50" i="11" s="1"/>
  <c r="DV50" i="11"/>
  <c r="IU40" i="11"/>
  <c r="IU50" i="11" s="1"/>
  <c r="H59" i="11"/>
  <c r="CG59" i="11"/>
  <c r="HN59" i="11"/>
  <c r="IX50" i="11"/>
  <c r="EN51" i="11"/>
  <c r="FD51" i="11"/>
  <c r="HO59" i="11"/>
  <c r="DR59" i="11"/>
  <c r="IY50" i="11"/>
  <c r="DM51" i="11"/>
  <c r="DM58" i="11" s="1"/>
  <c r="DM76" i="11" s="1"/>
  <c r="DM78" i="11" s="1"/>
  <c r="IG51" i="11"/>
  <c r="FN51" i="11"/>
  <c r="EO51" i="11"/>
  <c r="FE51" i="11"/>
  <c r="JT51" i="11"/>
  <c r="IH50" i="11"/>
  <c r="JL50" i="11"/>
  <c r="JF50" i="11"/>
  <c r="JF58" i="11" s="1"/>
  <c r="JF76" i="11" s="1"/>
  <c r="JF78" i="11" s="1"/>
  <c r="DN51" i="11"/>
  <c r="IH51" i="11"/>
  <c r="JK51" i="11"/>
  <c r="HP51" i="11"/>
  <c r="FP51" i="11"/>
  <c r="BV51" i="11"/>
  <c r="HT51" i="11"/>
  <c r="AG2" i="11"/>
  <c r="BY4" i="11"/>
  <c r="BY3" i="11" s="1"/>
  <c r="BY2" i="11" s="1"/>
  <c r="ER2" i="11"/>
  <c r="IG23" i="11"/>
  <c r="JM23" i="11"/>
  <c r="KG24" i="11"/>
  <c r="KG23" i="11" s="1"/>
  <c r="AI50" i="11"/>
  <c r="BG50" i="11"/>
  <c r="CU50" i="11"/>
  <c r="DN50" i="11"/>
  <c r="EX50" i="11"/>
  <c r="HO50" i="11"/>
  <c r="II50" i="11"/>
  <c r="JG50" i="11"/>
  <c r="BB51" i="11"/>
  <c r="CU51" i="11"/>
  <c r="EZ51" i="11"/>
  <c r="IJ51" i="11"/>
  <c r="ED51" i="11"/>
  <c r="IK51" i="11"/>
  <c r="DV51" i="11"/>
  <c r="HU51" i="11"/>
  <c r="EB59" i="11"/>
  <c r="DW2" i="11"/>
  <c r="EW2" i="11"/>
  <c r="W23" i="11"/>
  <c r="KB23" i="11"/>
  <c r="I24" i="11"/>
  <c r="I23" i="11" s="1"/>
  <c r="CH24" i="11"/>
  <c r="CH23" i="11" s="1"/>
  <c r="DL24" i="11"/>
  <c r="DL23" i="11" s="1"/>
  <c r="HT23" i="11"/>
  <c r="IQ23" i="11"/>
  <c r="JF23" i="11"/>
  <c r="CD23" i="11"/>
  <c r="EG23" i="11"/>
  <c r="H50" i="11"/>
  <c r="DO50" i="11"/>
  <c r="HP50" i="11"/>
  <c r="BZ51" i="11"/>
  <c r="GA51" i="11"/>
  <c r="IU51" i="11"/>
  <c r="JO51" i="11"/>
  <c r="FW51" i="11"/>
  <c r="DZ50" i="11"/>
  <c r="AI57" i="11"/>
  <c r="AI51" i="11" s="1"/>
  <c r="KB57" i="11"/>
  <c r="KB51" i="11" s="1"/>
  <c r="GA2" i="11"/>
  <c r="EO4" i="11"/>
  <c r="EO3" i="11" s="1"/>
  <c r="EO2" i="11" s="1"/>
  <c r="FT4" i="11"/>
  <c r="FT3" i="11" s="1"/>
  <c r="FT2" i="11" s="1"/>
  <c r="IN24" i="11"/>
  <c r="IN23" i="11" s="1"/>
  <c r="CO2" i="11"/>
  <c r="IB23" i="11"/>
  <c r="N57" i="11"/>
  <c r="N51" i="11" s="1"/>
  <c r="AS57" i="11"/>
  <c r="AS51" i="11" s="1"/>
  <c r="BX4" i="11"/>
  <c r="BX3" i="11" s="1"/>
  <c r="BX2" i="11" s="1"/>
  <c r="JF4" i="11"/>
  <c r="JF3" i="11" s="1"/>
  <c r="JF2" i="11" s="1"/>
  <c r="AK4" i="11"/>
  <c r="AK3" i="11" s="1"/>
  <c r="AK2" i="11" s="1"/>
  <c r="EJ4" i="11"/>
  <c r="EJ3" i="11" s="1"/>
  <c r="EJ2" i="11" s="1"/>
  <c r="HM23" i="11"/>
  <c r="FG57" i="8"/>
  <c r="FL2" i="11"/>
  <c r="FB2" i="11"/>
  <c r="DQ23" i="11"/>
  <c r="GG23" i="11"/>
  <c r="HB23" i="11"/>
  <c r="EH2" i="11"/>
  <c r="JM2" i="11"/>
  <c r="GB23" i="11"/>
  <c r="GP23" i="11"/>
  <c r="GX23" i="11"/>
  <c r="AA4" i="11"/>
  <c r="AA3" i="11" s="1"/>
  <c r="AA2" i="11" s="1"/>
  <c r="GS23" i="11"/>
  <c r="R50" i="11"/>
  <c r="HL40" i="11"/>
  <c r="HL50" i="11" s="1"/>
  <c r="JV40" i="11"/>
  <c r="JV50" i="11" s="1"/>
  <c r="DR2" i="11"/>
  <c r="DD4" i="11"/>
  <c r="DD3" i="11" s="1"/>
  <c r="DD2" i="11" s="1"/>
  <c r="FS4" i="11"/>
  <c r="FS3" i="11" s="1"/>
  <c r="FS2" i="11" s="1"/>
  <c r="DT4" i="11"/>
  <c r="DT3" i="11" s="1"/>
  <c r="DT2" i="11" s="1"/>
  <c r="JD4" i="11"/>
  <c r="JD3" i="11" s="1"/>
  <c r="JD2" i="11" s="1"/>
  <c r="BI4" i="11"/>
  <c r="BI3" i="11" s="1"/>
  <c r="BI2" i="11" s="1"/>
  <c r="DM23" i="11"/>
  <c r="FT23" i="11"/>
  <c r="GI23" i="11"/>
  <c r="GT23" i="11"/>
  <c r="HC23" i="11"/>
  <c r="JN23" i="11"/>
  <c r="GY50" i="11"/>
  <c r="GY58" i="11" s="1"/>
  <c r="GY76" i="11" s="1"/>
  <c r="GY78" i="11" s="1"/>
  <c r="HK50" i="11"/>
  <c r="EB4" i="11"/>
  <c r="EB3" i="11" s="1"/>
  <c r="EB2" i="11" s="1"/>
  <c r="CJ24" i="11"/>
  <c r="CJ23" i="11" s="1"/>
  <c r="AE24" i="11"/>
  <c r="AE23" i="11" s="1"/>
  <c r="DY23" i="11"/>
  <c r="EJ23" i="11"/>
  <c r="KC23" i="11"/>
  <c r="FR50" i="11"/>
  <c r="GC50" i="11"/>
  <c r="GQ50" i="11"/>
  <c r="GQ58" i="11" s="1"/>
  <c r="GQ76" i="11" s="1"/>
  <c r="GQ78" i="11" s="1"/>
  <c r="Q23" i="11"/>
  <c r="HU23" i="11"/>
  <c r="II23" i="11"/>
  <c r="JP23" i="11"/>
  <c r="JY23" i="11"/>
  <c r="IC50" i="11"/>
  <c r="IL50" i="11"/>
  <c r="IT50" i="11"/>
  <c r="IV50" i="11"/>
  <c r="EZ23" i="11"/>
  <c r="HZ23" i="11"/>
  <c r="IZ23" i="11"/>
  <c r="HS50" i="11"/>
  <c r="ID50" i="11"/>
  <c r="IM50" i="11"/>
  <c r="HG59" i="11"/>
  <c r="HR23" i="11"/>
  <c r="AK24" i="11"/>
  <c r="AK23" i="11" s="1"/>
  <c r="HT50" i="11"/>
  <c r="JZ50" i="11"/>
  <c r="JZ58" i="11" s="1"/>
  <c r="JZ76" i="11" s="1"/>
  <c r="JZ78" i="11" s="1"/>
  <c r="KH50" i="11"/>
  <c r="KA50" i="11"/>
  <c r="H57" i="11"/>
  <c r="H51" i="11" s="1"/>
  <c r="AD57" i="11"/>
  <c r="AD51" i="11" s="1"/>
  <c r="AZ57" i="11"/>
  <c r="AZ51" i="11" s="1"/>
  <c r="EG51" i="11"/>
  <c r="HO51" i="11"/>
  <c r="CM4" i="11"/>
  <c r="CM3" i="11" s="1"/>
  <c r="CM2" i="11" s="1"/>
  <c r="FQ23" i="11"/>
  <c r="JU23" i="11"/>
  <c r="EQ50" i="11"/>
  <c r="EY50" i="11"/>
  <c r="FH50" i="11"/>
  <c r="FS50" i="11"/>
  <c r="GF50" i="11"/>
  <c r="GF58" i="11" s="1"/>
  <c r="GF76" i="11" s="1"/>
  <c r="GF78" i="11" s="1"/>
  <c r="GR50" i="11"/>
  <c r="GR58" i="11" s="1"/>
  <c r="GR76" i="11" s="1"/>
  <c r="GR78" i="11" s="1"/>
  <c r="GZ50" i="11"/>
  <c r="JK50" i="11"/>
  <c r="JR50" i="11"/>
  <c r="AE57" i="11"/>
  <c r="AE51" i="11" s="1"/>
  <c r="BY51" i="11"/>
  <c r="CH51" i="11"/>
  <c r="FX51" i="11"/>
  <c r="JL51" i="11"/>
  <c r="JL4" i="11"/>
  <c r="JL3" i="11" s="1"/>
  <c r="JL2" i="11" s="1"/>
  <c r="HV23" i="11"/>
  <c r="CR23" i="11"/>
  <c r="ID23" i="11"/>
  <c r="CC24" i="11"/>
  <c r="CC23" i="11" s="1"/>
  <c r="EB24" i="11"/>
  <c r="EB23" i="11" s="1"/>
  <c r="AC50" i="11"/>
  <c r="AN50" i="11"/>
  <c r="AY50" i="11"/>
  <c r="EA50" i="11"/>
  <c r="EA58" i="11" s="1"/>
  <c r="EA76" i="11" s="1"/>
  <c r="EA78" i="11" s="1"/>
  <c r="EI50" i="11"/>
  <c r="ER50" i="11"/>
  <c r="FJ50" i="11"/>
  <c r="JC50" i="11"/>
  <c r="JC58" i="11" s="1"/>
  <c r="JC76" i="11" s="1"/>
  <c r="JC78" i="11" s="1"/>
  <c r="AG51" i="11"/>
  <c r="AR57" i="11"/>
  <c r="AR51" i="11" s="1"/>
  <c r="BE57" i="11"/>
  <c r="BE51" i="11" s="1"/>
  <c r="HQ51" i="11"/>
  <c r="JN51" i="11"/>
  <c r="IW51" i="11"/>
  <c r="ED50" i="11"/>
  <c r="EL50" i="11"/>
  <c r="EL58" i="11" s="1"/>
  <c r="EL76" i="11" s="1"/>
  <c r="EL78" i="11" s="1"/>
  <c r="ET50" i="11"/>
  <c r="FB50" i="11"/>
  <c r="FL50" i="11"/>
  <c r="FL58" i="11" s="1"/>
  <c r="FL76" i="11" s="1"/>
  <c r="FL78" i="11" s="1"/>
  <c r="FU50" i="11"/>
  <c r="FU58" i="11" s="1"/>
  <c r="FU76" i="11" s="1"/>
  <c r="FU78" i="11" s="1"/>
  <c r="GI50" i="11"/>
  <c r="GI58" i="11" s="1"/>
  <c r="GI76" i="11" s="1"/>
  <c r="GI78" i="11" s="1"/>
  <c r="GT50" i="11"/>
  <c r="HC50" i="11"/>
  <c r="HC58" i="11" s="1"/>
  <c r="HC76" i="11" s="1"/>
  <c r="HC78" i="11" s="1"/>
  <c r="HV50" i="11"/>
  <c r="IG50" i="11"/>
  <c r="IO50" i="11"/>
  <c r="JN50" i="11"/>
  <c r="JU50" i="11"/>
  <c r="KC50" i="11"/>
  <c r="F51" i="11"/>
  <c r="AN57" i="11"/>
  <c r="AN51" i="11" s="1"/>
  <c r="AY57" i="11"/>
  <c r="AY51" i="11" s="1"/>
  <c r="EF57" i="11"/>
  <c r="EF51" i="11" s="1"/>
  <c r="JV51" i="11"/>
  <c r="FN59" i="11"/>
  <c r="GA59" i="11"/>
  <c r="JS59" i="11"/>
  <c r="ES50" i="11"/>
  <c r="FA50" i="11"/>
  <c r="FT50" i="11"/>
  <c r="GG50" i="11"/>
  <c r="GG58" i="11" s="1"/>
  <c r="GG76" i="11" s="1"/>
  <c r="GG78" i="11" s="1"/>
  <c r="GS50" i="11"/>
  <c r="GS58" i="11" s="1"/>
  <c r="GS76" i="11" s="1"/>
  <c r="GS78" i="11" s="1"/>
  <c r="HB50" i="11"/>
  <c r="HB58" i="11" s="1"/>
  <c r="HB76" i="11" s="1"/>
  <c r="HB78" i="11" s="1"/>
  <c r="IF50" i="11"/>
  <c r="IN50" i="11"/>
  <c r="IW50" i="11"/>
  <c r="JE50" i="11"/>
  <c r="JM50" i="11"/>
  <c r="JM58" i="11" s="1"/>
  <c r="JM76" i="11" s="1"/>
  <c r="JM78" i="11" s="1"/>
  <c r="KB50" i="11"/>
  <c r="C57" i="11"/>
  <c r="C51" i="11" s="1"/>
  <c r="HK51" i="11"/>
  <c r="HS51" i="11"/>
  <c r="IC51" i="11"/>
  <c r="IM57" i="11"/>
  <c r="IM51" i="11" s="1"/>
  <c r="JG51" i="11"/>
  <c r="JS51" i="11"/>
  <c r="KC51" i="11"/>
  <c r="I57" i="11"/>
  <c r="I51" i="11" s="1"/>
  <c r="P4" i="11"/>
  <c r="P3" i="11" s="1"/>
  <c r="P2" i="11" s="1"/>
  <c r="BM4" i="11"/>
  <c r="BM3" i="11" s="1"/>
  <c r="BM2" i="11" s="1"/>
  <c r="CX4" i="11"/>
  <c r="CX3" i="11" s="1"/>
  <c r="CX2" i="11" s="1"/>
  <c r="IM4" i="11"/>
  <c r="IM3" i="11" s="1"/>
  <c r="IM2" i="11" s="1"/>
  <c r="DX4" i="11"/>
  <c r="DX3" i="11" s="1"/>
  <c r="DX2" i="11" s="1"/>
  <c r="AA57" i="11"/>
  <c r="AA51" i="11" s="1"/>
  <c r="IA57" i="11"/>
  <c r="IA51" i="11" s="1"/>
  <c r="DK59" i="11"/>
  <c r="IP51" i="11"/>
  <c r="Z57" i="11"/>
  <c r="Z51" i="11" s="1"/>
  <c r="EN59" i="11"/>
  <c r="C58" i="11" l="1"/>
  <c r="C76" i="11" s="1"/>
  <c r="C78" i="11" s="1"/>
  <c r="JU58" i="11"/>
  <c r="JU76" i="11" s="1"/>
  <c r="JU78" i="11" s="1"/>
  <c r="EJ58" i="11"/>
  <c r="DS58" i="11"/>
  <c r="DS76" i="11" s="1"/>
  <c r="DS78" i="11" s="1"/>
  <c r="IN58" i="11"/>
  <c r="IN76" i="11" s="1"/>
  <c r="IN78" i="11" s="1"/>
  <c r="HX58" i="11"/>
  <c r="HX76" i="11" s="1"/>
  <c r="HX78" i="11" s="1"/>
  <c r="CF58" i="11"/>
  <c r="CF76" i="11" s="1"/>
  <c r="CF78" i="11" s="1"/>
  <c r="E58" i="11"/>
  <c r="E76" i="11" s="1"/>
  <c r="E78" i="11" s="1"/>
  <c r="JA58" i="11"/>
  <c r="JA76" i="11" s="1"/>
  <c r="JA78" i="11" s="1"/>
  <c r="JH58" i="11"/>
  <c r="JH76" i="11" s="1"/>
  <c r="JH78" i="11" s="1"/>
  <c r="DP58" i="11"/>
  <c r="DP76" i="11" s="1"/>
  <c r="DP78" i="11" s="1"/>
  <c r="DR58" i="11"/>
  <c r="DR76" i="11" s="1"/>
  <c r="DR78" i="11" s="1"/>
  <c r="DG58" i="11"/>
  <c r="DG76" i="11" s="1"/>
  <c r="DG78" i="11" s="1"/>
  <c r="CR58" i="11"/>
  <c r="CR76" i="11" s="1"/>
  <c r="CR78" i="11" s="1"/>
  <c r="DF58" i="11"/>
  <c r="DF76" i="11" s="1"/>
  <c r="DF78" i="11" s="1"/>
  <c r="JP58" i="11"/>
  <c r="JP76" i="11" s="1"/>
  <c r="JP78" i="11" s="1"/>
  <c r="EP58" i="11"/>
  <c r="EP76" i="11" s="1"/>
  <c r="EP78" i="11" s="1"/>
  <c r="IQ58" i="11"/>
  <c r="IQ76" i="11" s="1"/>
  <c r="IQ78" i="11" s="1"/>
  <c r="FC58" i="11"/>
  <c r="FC76" i="11" s="1"/>
  <c r="FC78" i="11" s="1"/>
  <c r="DX58" i="11"/>
  <c r="DX76" i="11" s="1"/>
  <c r="DX78" i="11" s="1"/>
  <c r="S58" i="11"/>
  <c r="S76" i="11" s="1"/>
  <c r="S78" i="11" s="1"/>
  <c r="GT58" i="11"/>
  <c r="GT76" i="11" s="1"/>
  <c r="GT78" i="11" s="1"/>
  <c r="FF58" i="11"/>
  <c r="FF76" i="11" s="1"/>
  <c r="FF78" i="11" s="1"/>
  <c r="CP58" i="11"/>
  <c r="CP76" i="11" s="1"/>
  <c r="CP78" i="11" s="1"/>
  <c r="IO58" i="11"/>
  <c r="IO76" i="11" s="1"/>
  <c r="IO78" i="11" s="1"/>
  <c r="AB58" i="11"/>
  <c r="AB76" i="11" s="1"/>
  <c r="AB78" i="11" s="1"/>
  <c r="AL58" i="11"/>
  <c r="AL76" i="11" s="1"/>
  <c r="AL78" i="11" s="1"/>
  <c r="Q58" i="11"/>
  <c r="Q76" i="11" s="1"/>
  <c r="Q78" i="11" s="1"/>
  <c r="HO58" i="11"/>
  <c r="HO76" i="11" s="1"/>
  <c r="HO78" i="11" s="1"/>
  <c r="BH58" i="11"/>
  <c r="BH76" i="11" s="1"/>
  <c r="BH78" i="11" s="1"/>
  <c r="JX58" i="11"/>
  <c r="JX76" i="11" s="1"/>
  <c r="JX78" i="11" s="1"/>
  <c r="CO58" i="11"/>
  <c r="CO76" i="11" s="1"/>
  <c r="CO78" i="11" s="1"/>
  <c r="CG58" i="11"/>
  <c r="CG76" i="11" s="1"/>
  <c r="CG78" i="11" s="1"/>
  <c r="BM58" i="11"/>
  <c r="BM76" i="11" s="1"/>
  <c r="BM78" i="11" s="1"/>
  <c r="IR58" i="11"/>
  <c r="IR76" i="11" s="1"/>
  <c r="IR78" i="11" s="1"/>
  <c r="CT58" i="11"/>
  <c r="CT76" i="11" s="1"/>
  <c r="CT78" i="11" s="1"/>
  <c r="JB58" i="11"/>
  <c r="JB76" i="11" s="1"/>
  <c r="JB78" i="11" s="1"/>
  <c r="JJ58" i="11"/>
  <c r="JJ76" i="11" s="1"/>
  <c r="JJ78" i="11" s="1"/>
  <c r="FH58" i="11"/>
  <c r="FH76" i="11" s="1"/>
  <c r="FH78" i="11" s="1"/>
  <c r="JD58" i="11"/>
  <c r="JD76" i="11" s="1"/>
  <c r="JD78" i="11" s="1"/>
  <c r="GC58" i="11"/>
  <c r="GC76" i="11" s="1"/>
  <c r="GC78" i="11" s="1"/>
  <c r="AJ58" i="11"/>
  <c r="AJ76" i="11" s="1"/>
  <c r="AJ78" i="11" s="1"/>
  <c r="CB58" i="11"/>
  <c r="CB76" i="11" s="1"/>
  <c r="CB78" i="11" s="1"/>
  <c r="AK58" i="11"/>
  <c r="AK76" i="11" s="1"/>
  <c r="AK78" i="11" s="1"/>
  <c r="ID58" i="11"/>
  <c r="ID76" i="11" s="1"/>
  <c r="ID78" i="11" s="1"/>
  <c r="GM58" i="11"/>
  <c r="GM76" i="11" s="1"/>
  <c r="GM78" i="11" s="1"/>
  <c r="BX58" i="11"/>
  <c r="BX76" i="11" s="1"/>
  <c r="BX78" i="11" s="1"/>
  <c r="EY58" i="11"/>
  <c r="EY76" i="11" s="1"/>
  <c r="EY78" i="11" s="1"/>
  <c r="BL58" i="11"/>
  <c r="BL76" i="11" s="1"/>
  <c r="BL78" i="11" s="1"/>
  <c r="AP58" i="11"/>
  <c r="AP76" i="11" s="1"/>
  <c r="AP78" i="11" s="1"/>
  <c r="IJ58" i="11"/>
  <c r="IJ76" i="11" s="1"/>
  <c r="IJ78" i="11" s="1"/>
  <c r="FA58" i="11"/>
  <c r="FA76" i="11" s="1"/>
  <c r="FA78" i="11" s="1"/>
  <c r="CW58" i="11"/>
  <c r="CW76" i="11" s="1"/>
  <c r="CW78" i="11" s="1"/>
  <c r="CM58" i="11"/>
  <c r="CM76" i="11" s="1"/>
  <c r="CM78" i="11" s="1"/>
  <c r="EE58" i="11"/>
  <c r="EE76" i="11" s="1"/>
  <c r="EE78" i="11" s="1"/>
  <c r="EH58" i="11"/>
  <c r="EH76" i="11" s="1"/>
  <c r="EH78" i="11" s="1"/>
  <c r="ER58" i="11"/>
  <c r="ER76" i="11" s="1"/>
  <c r="ER78" i="11" s="1"/>
  <c r="CA58" i="11"/>
  <c r="CA76" i="11" s="1"/>
  <c r="CA78" i="11" s="1"/>
  <c r="DQ58" i="11"/>
  <c r="DQ76" i="11" s="1"/>
  <c r="DQ78" i="11" s="1"/>
  <c r="FN58" i="11"/>
  <c r="FN76" i="11" s="1"/>
  <c r="FN78" i="11" s="1"/>
  <c r="II58" i="11"/>
  <c r="II76" i="11" s="1"/>
  <c r="II78" i="11" s="1"/>
  <c r="DW58" i="11"/>
  <c r="DW76" i="11" s="1"/>
  <c r="DW78" i="11" s="1"/>
  <c r="KG58" i="11"/>
  <c r="KG76" i="11" s="1"/>
  <c r="KG78" i="11" s="1"/>
  <c r="P58" i="11"/>
  <c r="P76" i="11" s="1"/>
  <c r="P78" i="11" s="1"/>
  <c r="BI58" i="11"/>
  <c r="BI76" i="11" s="1"/>
  <c r="BI78" i="11" s="1"/>
  <c r="DK58" i="11"/>
  <c r="DK76" i="11" s="1"/>
  <c r="DK78" i="11" s="1"/>
  <c r="BY58" i="11"/>
  <c r="BY76" i="11" s="1"/>
  <c r="BY78" i="11" s="1"/>
  <c r="IA58" i="11"/>
  <c r="IA76" i="11" s="1"/>
  <c r="IA78" i="11" s="1"/>
  <c r="EF58" i="11"/>
  <c r="EF76" i="11" s="1"/>
  <c r="EF78" i="11" s="1"/>
  <c r="GK58" i="11"/>
  <c r="GK76" i="11" s="1"/>
  <c r="GK78" i="11" s="1"/>
  <c r="EC58" i="11"/>
  <c r="EC76" i="11" s="1"/>
  <c r="EC78" i="11" s="1"/>
  <c r="EZ58" i="11"/>
  <c r="EZ76" i="11" s="1"/>
  <c r="EZ78" i="11" s="1"/>
  <c r="O58" i="11"/>
  <c r="O76" i="11" s="1"/>
  <c r="O78" i="11" s="1"/>
  <c r="EG58" i="11"/>
  <c r="EG76" i="11" s="1"/>
  <c r="EG78" i="11" s="1"/>
  <c r="BE58" i="11"/>
  <c r="BE76" i="11" s="1"/>
  <c r="BE78" i="11" s="1"/>
  <c r="HG58" i="11"/>
  <c r="HG76" i="11" s="1"/>
  <c r="HG78" i="11" s="1"/>
  <c r="HI58" i="11"/>
  <c r="HI76" i="11" s="1"/>
  <c r="HI78" i="11" s="1"/>
  <c r="BZ58" i="11"/>
  <c r="BZ76" i="11" s="1"/>
  <c r="BZ78" i="11" s="1"/>
  <c r="AR58" i="11"/>
  <c r="AR76" i="11" s="1"/>
  <c r="AR78" i="11" s="1"/>
  <c r="HR58" i="11"/>
  <c r="HR76" i="11" s="1"/>
  <c r="HR78" i="11" s="1"/>
  <c r="BU58" i="11"/>
  <c r="BU76" i="11" s="1"/>
  <c r="BU78" i="11" s="1"/>
  <c r="FB58" i="11"/>
  <c r="FB76" i="11" s="1"/>
  <c r="FB78" i="11" s="1"/>
  <c r="ET58" i="11"/>
  <c r="ET76" i="11" s="1"/>
  <c r="ET78" i="11" s="1"/>
  <c r="IB58" i="11"/>
  <c r="IB76" i="11" s="1"/>
  <c r="IB78" i="11" s="1"/>
  <c r="EB58" i="11"/>
  <c r="EB76" i="11" s="1"/>
  <c r="EB78" i="11" s="1"/>
  <c r="D76" i="11"/>
  <c r="D78" i="11" s="1"/>
  <c r="EW58" i="11"/>
  <c r="EW76" i="11" s="1"/>
  <c r="EW78" i="11" s="1"/>
  <c r="BJ58" i="11"/>
  <c r="BJ76" i="11" s="1"/>
  <c r="BJ78" i="11" s="1"/>
  <c r="EI58" i="11"/>
  <c r="EI76" i="11" s="1"/>
  <c r="EI78" i="11" s="1"/>
  <c r="EQ58" i="11"/>
  <c r="EQ76" i="11" s="1"/>
  <c r="EQ78" i="11" s="1"/>
  <c r="KH58" i="11"/>
  <c r="KH76" i="11" s="1"/>
  <c r="KH78" i="11" s="1"/>
  <c r="FR58" i="11"/>
  <c r="FR76" i="11" s="1"/>
  <c r="FR78" i="11" s="1"/>
  <c r="BB58" i="11"/>
  <c r="BB76" i="11" s="1"/>
  <c r="BB78" i="11" s="1"/>
  <c r="BW58" i="11"/>
  <c r="BW76" i="11" s="1"/>
  <c r="BW78" i="11" s="1"/>
  <c r="DB58" i="11"/>
  <c r="DB76" i="11" s="1"/>
  <c r="DB78" i="11" s="1"/>
  <c r="KD58" i="11"/>
  <c r="KD76" i="11" s="1"/>
  <c r="KD78" i="11" s="1"/>
  <c r="FP58" i="11"/>
  <c r="FP76" i="11" s="1"/>
  <c r="FP78" i="11" s="1"/>
  <c r="FS58" i="11"/>
  <c r="FS76" i="11" s="1"/>
  <c r="FS78" i="11" s="1"/>
  <c r="HP58" i="11"/>
  <c r="HP76" i="11" s="1"/>
  <c r="HP78" i="11" s="1"/>
  <c r="N58" i="11"/>
  <c r="N76" i="11" s="1"/>
  <c r="N78" i="11" s="1"/>
  <c r="EO58" i="11"/>
  <c r="EO76" i="11" s="1"/>
  <c r="EO78" i="11" s="1"/>
  <c r="JY58" i="11"/>
  <c r="JY76" i="11" s="1"/>
  <c r="JY78" i="11" s="1"/>
  <c r="CD58" i="11"/>
  <c r="CD76" i="11" s="1"/>
  <c r="CD78" i="11" s="1"/>
  <c r="HT58" i="11"/>
  <c r="HT76" i="11" s="1"/>
  <c r="HT78" i="11" s="1"/>
  <c r="FK58" i="11"/>
  <c r="FK76" i="11" s="1"/>
  <c r="FK78" i="11" s="1"/>
  <c r="KF58" i="11"/>
  <c r="KF76" i="11" s="1"/>
  <c r="KF78" i="11" s="1"/>
  <c r="BK58" i="11"/>
  <c r="BK76" i="11" s="1"/>
  <c r="BK78" i="11" s="1"/>
  <c r="IY58" i="11"/>
  <c r="IY76" i="11" s="1"/>
  <c r="IY78" i="11" s="1"/>
  <c r="GB58" i="11"/>
  <c r="GB76" i="11" s="1"/>
  <c r="GB78" i="11" s="1"/>
  <c r="JW58" i="11"/>
  <c r="JW76" i="11" s="1"/>
  <c r="JW78" i="11" s="1"/>
  <c r="AA58" i="11"/>
  <c r="AA76" i="11" s="1"/>
  <c r="AA78" i="11" s="1"/>
  <c r="AE58" i="11"/>
  <c r="AE76" i="11" s="1"/>
  <c r="AE78" i="11" s="1"/>
  <c r="DH58" i="11"/>
  <c r="DH76" i="11" s="1"/>
  <c r="DH78" i="11" s="1"/>
  <c r="JK58" i="11"/>
  <c r="JK76" i="11" s="1"/>
  <c r="JK78" i="11" s="1"/>
  <c r="AW58" i="11"/>
  <c r="AW76" i="11" s="1"/>
  <c r="AW78" i="11" s="1"/>
  <c r="EV58" i="11"/>
  <c r="EV76" i="11" s="1"/>
  <c r="EV78" i="11" s="1"/>
  <c r="AZ58" i="11"/>
  <c r="AZ76" i="11" s="1"/>
  <c r="AZ78" i="11" s="1"/>
  <c r="IL58" i="11"/>
  <c r="IL76" i="11" s="1"/>
  <c r="IL78" i="11" s="1"/>
  <c r="DZ58" i="11"/>
  <c r="DZ76" i="11" s="1"/>
  <c r="DZ78" i="11" s="1"/>
  <c r="HU58" i="11"/>
  <c r="HU76" i="11" s="1"/>
  <c r="HU78" i="11" s="1"/>
  <c r="EX58" i="11"/>
  <c r="EX76" i="11" s="1"/>
  <c r="EX78" i="11" s="1"/>
  <c r="DJ58" i="11"/>
  <c r="DJ76" i="11" s="1"/>
  <c r="DJ78" i="11" s="1"/>
  <c r="IZ58" i="11"/>
  <c r="IZ76" i="11" s="1"/>
  <c r="IZ78" i="11" s="1"/>
  <c r="DO58" i="11"/>
  <c r="DO76" i="11" s="1"/>
  <c r="DO78" i="11" s="1"/>
  <c r="H58" i="11"/>
  <c r="H76" i="11" s="1"/>
  <c r="H78" i="11" s="1"/>
  <c r="DL58" i="11"/>
  <c r="DL76" i="11" s="1"/>
  <c r="DL78" i="11" s="1"/>
  <c r="IH58" i="11"/>
  <c r="IH76" i="11" s="1"/>
  <c r="IH78" i="11" s="1"/>
  <c r="AD58" i="11"/>
  <c r="AD76" i="11" s="1"/>
  <c r="AD78" i="11" s="1"/>
  <c r="DU58" i="11"/>
  <c r="DU76" i="11" s="1"/>
  <c r="DU78" i="11" s="1"/>
  <c r="BT58" i="11"/>
  <c r="BT76" i="11" s="1"/>
  <c r="BT78" i="11" s="1"/>
  <c r="DI58" i="11"/>
  <c r="DI76" i="11" s="1"/>
  <c r="DI78" i="11" s="1"/>
  <c r="JS58" i="11"/>
  <c r="JS76" i="11" s="1"/>
  <c r="JS78" i="11" s="1"/>
  <c r="JE58" i="11"/>
  <c r="JE76" i="11" s="1"/>
  <c r="JE78" i="11" s="1"/>
  <c r="BV58" i="11"/>
  <c r="BV76" i="11" s="1"/>
  <c r="BV78" i="11" s="1"/>
  <c r="JI58" i="11"/>
  <c r="JI76" i="11" s="1"/>
  <c r="JI78" i="11" s="1"/>
  <c r="FJ58" i="11"/>
  <c r="FJ76" i="11" s="1"/>
  <c r="FJ78" i="11" s="1"/>
  <c r="CX58" i="11"/>
  <c r="CX76" i="11" s="1"/>
  <c r="CX78" i="11" s="1"/>
  <c r="AO58" i="11"/>
  <c r="AO76" i="11" s="1"/>
  <c r="AO78" i="11" s="1"/>
  <c r="HV58" i="11"/>
  <c r="HV76" i="11" s="1"/>
  <c r="HV78" i="11" s="1"/>
  <c r="CZ58" i="11"/>
  <c r="CZ76" i="11" s="1"/>
  <c r="CZ78" i="11" s="1"/>
  <c r="ES58" i="11"/>
  <c r="ES76" i="11" s="1"/>
  <c r="ES78" i="11" s="1"/>
  <c r="IW58" i="11"/>
  <c r="IW76" i="11" s="1"/>
  <c r="IW78" i="11" s="1"/>
  <c r="IP58" i="11"/>
  <c r="IP76" i="11" s="1"/>
  <c r="IP78" i="11" s="1"/>
  <c r="FE58" i="11"/>
  <c r="FE76" i="11" s="1"/>
  <c r="FE78" i="11" s="1"/>
  <c r="HN58" i="11"/>
  <c r="HN76" i="11" s="1"/>
  <c r="HN78" i="11" s="1"/>
  <c r="IS58" i="11"/>
  <c r="IS76" i="11" s="1"/>
  <c r="IS78" i="11" s="1"/>
  <c r="AG58" i="11"/>
  <c r="AG76" i="11" s="1"/>
  <c r="AG78" i="11" s="1"/>
  <c r="IM58" i="11"/>
  <c r="IM76" i="11" s="1"/>
  <c r="IM78" i="11" s="1"/>
  <c r="JL58" i="11"/>
  <c r="JL76" i="11" s="1"/>
  <c r="JL78" i="11" s="1"/>
  <c r="GA58" i="11"/>
  <c r="GA76" i="11" s="1"/>
  <c r="GA78" i="11" s="1"/>
  <c r="BR58" i="11"/>
  <c r="BR76" i="11" s="1"/>
  <c r="BR78" i="11" s="1"/>
  <c r="EM58" i="11"/>
  <c r="EM76" i="11" s="1"/>
  <c r="EM78" i="11" s="1"/>
  <c r="JO58" i="11"/>
  <c r="JO76" i="11" s="1"/>
  <c r="JO78" i="11" s="1"/>
  <c r="DN58" i="11"/>
  <c r="DN76" i="11" s="1"/>
  <c r="DN78" i="11" s="1"/>
  <c r="IX58" i="11"/>
  <c r="IX76" i="11" s="1"/>
  <c r="IX78" i="11" s="1"/>
  <c r="IF58" i="11"/>
  <c r="IF76" i="11" s="1"/>
  <c r="IF78" i="11" s="1"/>
  <c r="JR58" i="11"/>
  <c r="JR76" i="11" s="1"/>
  <c r="JR78" i="11" s="1"/>
  <c r="R58" i="11"/>
  <c r="R76" i="11" s="1"/>
  <c r="R78" i="11" s="1"/>
  <c r="BG58" i="11"/>
  <c r="BG76" i="11" s="1"/>
  <c r="BG78" i="11" s="1"/>
  <c r="FM58" i="11"/>
  <c r="FM76" i="11" s="1"/>
  <c r="FM78" i="11" s="1"/>
  <c r="JG58" i="11"/>
  <c r="JG76" i="11" s="1"/>
  <c r="JG78" i="11" s="1"/>
  <c r="KC58" i="11"/>
  <c r="KC76" i="11" s="1"/>
  <c r="KC78" i="11" s="1"/>
  <c r="IK58" i="11"/>
  <c r="IK76" i="11" s="1"/>
  <c r="IK78" i="11" s="1"/>
  <c r="CU58" i="11"/>
  <c r="CU76" i="11" s="1"/>
  <c r="CU78" i="11" s="1"/>
  <c r="DD58" i="11"/>
  <c r="DD76" i="11" s="1"/>
  <c r="DD78" i="11" s="1"/>
  <c r="DE58" i="11"/>
  <c r="DE76" i="11" s="1"/>
  <c r="DE78" i="11" s="1"/>
  <c r="Z58" i="11"/>
  <c r="Z76" i="11" s="1"/>
  <c r="Z78" i="11" s="1"/>
  <c r="DT58" i="11"/>
  <c r="DT76" i="11" s="1"/>
  <c r="DT78" i="11" s="1"/>
  <c r="K58" i="11"/>
  <c r="K76" i="11" s="1"/>
  <c r="K78" i="11" s="1"/>
  <c r="FT58" i="11"/>
  <c r="FT76" i="11" s="1"/>
  <c r="FT78" i="11" s="1"/>
  <c r="HQ58" i="11"/>
  <c r="HQ76" i="11" s="1"/>
  <c r="HQ78" i="11" s="1"/>
  <c r="GZ58" i="11"/>
  <c r="GZ76" i="11" s="1"/>
  <c r="GZ78" i="11" s="1"/>
  <c r="CL58" i="11"/>
  <c r="CL76" i="11" s="1"/>
  <c r="CL78" i="11" s="1"/>
  <c r="GV76" i="11"/>
  <c r="GV78" i="11" s="1"/>
  <c r="IG58" i="11"/>
  <c r="IG76" i="11" s="1"/>
  <c r="IG78" i="11" s="1"/>
  <c r="EJ76" i="11"/>
  <c r="EJ78" i="11" s="1"/>
  <c r="HZ58" i="11"/>
  <c r="HZ76" i="11" s="1"/>
  <c r="HZ78" i="11" s="1"/>
  <c r="I58" i="11"/>
  <c r="I76" i="11" s="1"/>
  <c r="I78" i="11" s="1"/>
  <c r="HL58" i="11"/>
  <c r="HL76" i="11" s="1"/>
  <c r="HL78" i="11" s="1"/>
  <c r="CK58" i="11"/>
  <c r="CK76" i="11" s="1"/>
  <c r="CK78" i="11" s="1"/>
  <c r="IT58" i="11"/>
  <c r="IT76" i="11" s="1"/>
  <c r="IT78" i="11" s="1"/>
  <c r="KA58" i="11"/>
  <c r="KA76" i="11" s="1"/>
  <c r="KA78" i="11" s="1"/>
  <c r="EK58" i="11"/>
  <c r="EK76" i="11" s="1"/>
  <c r="EK78" i="11" s="1"/>
  <c r="AI58" i="11"/>
  <c r="AI76" i="11" s="1"/>
  <c r="AI78" i="11" s="1"/>
  <c r="IU58" i="11"/>
  <c r="IU76" i="11" s="1"/>
  <c r="IU78" i="11" s="1"/>
  <c r="X58" i="11"/>
  <c r="X76" i="11" s="1"/>
  <c r="X78" i="11" s="1"/>
  <c r="FD58" i="11"/>
  <c r="FD76" i="11" s="1"/>
  <c r="FD78" i="11" s="1"/>
  <c r="FW58" i="11"/>
  <c r="FW76" i="11" s="1"/>
  <c r="FW78" i="11" s="1"/>
  <c r="BN58" i="11"/>
  <c r="BN76" i="11" s="1"/>
  <c r="BN78" i="11" s="1"/>
  <c r="DV58" i="11"/>
  <c r="DV76" i="11" s="1"/>
  <c r="DV78" i="11" s="1"/>
  <c r="EN58" i="11"/>
  <c r="EN76" i="11" s="1"/>
  <c r="EN78" i="11" s="1"/>
  <c r="AC58" i="11"/>
  <c r="AC76" i="11" s="1"/>
  <c r="AC78" i="11" s="1"/>
  <c r="IV58" i="11"/>
  <c r="IV76" i="11" s="1"/>
  <c r="IV78" i="11" s="1"/>
  <c r="ED58" i="11"/>
  <c r="ED76" i="11" s="1"/>
  <c r="ED78" i="11" s="1"/>
  <c r="FX58" i="11"/>
  <c r="FX76" i="11" s="1"/>
  <c r="FX78" i="11" s="1"/>
  <c r="AS58" i="11"/>
  <c r="AS76" i="11" s="1"/>
  <c r="AS78" i="11" s="1"/>
  <c r="JT58" i="11"/>
  <c r="JT76" i="11" s="1"/>
  <c r="JT78" i="11" s="1"/>
  <c r="CH58" i="11"/>
  <c r="CH76" i="11" s="1"/>
  <c r="CH78" i="11" s="1"/>
  <c r="KB58" i="11"/>
  <c r="KB76" i="11" s="1"/>
  <c r="KB78" i="11" s="1"/>
  <c r="IC58" i="11"/>
  <c r="IC76" i="11" s="1"/>
  <c r="IC78" i="11" s="1"/>
  <c r="AY58" i="11"/>
  <c r="AY76" i="11" s="1"/>
  <c r="AY78" i="11" s="1"/>
  <c r="AN58" i="11"/>
  <c r="AN76" i="11" s="1"/>
  <c r="AN78" i="11" s="1"/>
  <c r="HK58" i="11"/>
  <c r="HK76" i="11" s="1"/>
  <c r="HK78" i="11" s="1"/>
  <c r="JV58" i="11"/>
  <c r="JV76" i="11" s="1"/>
  <c r="JV78" i="11" s="1"/>
  <c r="JN58" i="11"/>
  <c r="JN76" i="11" s="1"/>
  <c r="JN78" i="11" s="1"/>
  <c r="F58" i="11"/>
  <c r="F76" i="11" s="1"/>
  <c r="F78" i="11" s="1"/>
  <c r="HS58" i="11"/>
  <c r="HS76" i="11" s="1"/>
  <c r="HS78" i="11" s="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Seung Jun Hur</author>
    <author>notebiz340</author>
  </authors>
  <commentList>
    <comment ref="A32747" authorId="0" shapeId="0" xr:uid="{00000000-0006-0000-0100-000004000000}">
      <text>
        <r>
          <rPr>
            <b/>
            <sz val="9"/>
            <color rgb="FF000000"/>
            <rFont val="Tahoma"/>
            <family val="2"/>
          </rPr>
          <t>Seung Jun Hur:</t>
        </r>
        <r>
          <rPr>
            <sz val="9"/>
            <color rgb="FF000000"/>
            <rFont val="Tahoma"/>
            <family val="2"/>
          </rPr>
          <t xml:space="preserve">
</t>
        </r>
        <r>
          <rPr>
            <sz val="9"/>
            <color rgb="FF000000"/>
            <rFont val="돋움"/>
            <family val="3"/>
            <charset val="129"/>
          </rPr>
          <t>표준산업분류</t>
        </r>
      </text>
    </comment>
    <comment ref="A32749" authorId="1" shapeId="0" xr:uid="{00000000-0006-0000-0100-000005000000}">
      <text>
        <r>
          <rPr>
            <sz val="10"/>
            <color rgb="FF000000"/>
            <rFont val="맑은 고딕"/>
            <family val="3"/>
            <charset val="129"/>
          </rPr>
          <t>2018년 5월말 기준으로 작성</t>
        </r>
      </text>
    </comment>
    <comment ref="A32750" authorId="1" shapeId="0" xr:uid="{00000000-0006-0000-0100-000006000000}">
      <text>
        <r>
          <rPr>
            <sz val="9"/>
            <color rgb="FF000000"/>
            <rFont val="맑은 고딕"/>
            <family val="3"/>
            <charset val="129"/>
          </rPr>
          <t>2017년도에 근무이력이 있는 모든 인원 (퇴사자 포함)</t>
        </r>
      </text>
    </comment>
    <comment ref="A49131" authorId="0" shapeId="0" xr:uid="{00000000-0006-0000-0100-000007000000}">
      <text>
        <r>
          <rPr>
            <b/>
            <sz val="9"/>
            <color rgb="FF000000"/>
            <rFont val="Tahoma"/>
            <family val="2"/>
          </rPr>
          <t>Seung Jun Hur:</t>
        </r>
        <r>
          <rPr>
            <sz val="9"/>
            <color rgb="FF000000"/>
            <rFont val="Tahoma"/>
            <family val="2"/>
          </rPr>
          <t xml:space="preserve">
</t>
        </r>
        <r>
          <rPr>
            <sz val="9"/>
            <color rgb="FF000000"/>
            <rFont val="돋움"/>
            <family val="3"/>
            <charset val="129"/>
          </rPr>
          <t>표준산업분류</t>
        </r>
      </text>
    </comment>
    <comment ref="A49133" authorId="1" shapeId="0" xr:uid="{00000000-0006-0000-0100-000008000000}">
      <text>
        <r>
          <rPr>
            <sz val="10"/>
            <color rgb="FF000000"/>
            <rFont val="맑은 고딕"/>
            <family val="3"/>
            <charset val="129"/>
          </rPr>
          <t>2018년 5월말 기준으로 작성</t>
        </r>
      </text>
    </comment>
    <comment ref="A49134" authorId="1" shapeId="0" xr:uid="{00000000-0006-0000-0100-000009000000}">
      <text>
        <r>
          <rPr>
            <sz val="9"/>
            <color rgb="FF000000"/>
            <rFont val="맑은 고딕"/>
            <family val="3"/>
            <charset val="129"/>
          </rPr>
          <t>2017년도에 근무이력이 있는 모든 인원 (퇴사자 포함)</t>
        </r>
      </text>
    </comment>
    <comment ref="A65515" authorId="0" shapeId="0" xr:uid="{00000000-0006-0000-0100-00000A000000}">
      <text>
        <r>
          <rPr>
            <b/>
            <sz val="9"/>
            <color rgb="FF000000"/>
            <rFont val="Tahoma"/>
            <family val="2"/>
          </rPr>
          <t>Seung Jun Hur:</t>
        </r>
        <r>
          <rPr>
            <sz val="9"/>
            <color rgb="FF000000"/>
            <rFont val="Tahoma"/>
            <family val="2"/>
          </rPr>
          <t xml:space="preserve">
</t>
        </r>
        <r>
          <rPr>
            <sz val="9"/>
            <color rgb="FF000000"/>
            <rFont val="돋움"/>
            <family val="3"/>
            <charset val="129"/>
          </rPr>
          <t>표준산업분류</t>
        </r>
      </text>
    </comment>
    <comment ref="A65517" authorId="1" shapeId="0" xr:uid="{00000000-0006-0000-0100-00000B000000}">
      <text>
        <r>
          <rPr>
            <sz val="10"/>
            <color rgb="FF000000"/>
            <rFont val="맑은 고딕"/>
            <family val="3"/>
            <charset val="129"/>
          </rPr>
          <t>2018년 5월말 기준으로 작성</t>
        </r>
      </text>
    </comment>
    <comment ref="A65518" authorId="1" shapeId="0" xr:uid="{00000000-0006-0000-0100-00000C000000}">
      <text>
        <r>
          <rPr>
            <sz val="9"/>
            <color rgb="FF000000"/>
            <rFont val="맑은 고딕"/>
            <family val="3"/>
            <charset val="129"/>
          </rPr>
          <t>2017년도에 근무이력이 있는 모든 인원 (퇴사자 포함)</t>
        </r>
      </text>
    </comment>
    <comment ref="A81899" authorId="0" shapeId="0" xr:uid="{00000000-0006-0000-0100-00000D000000}">
      <text>
        <r>
          <rPr>
            <b/>
            <sz val="9"/>
            <color rgb="FF000000"/>
            <rFont val="Tahoma"/>
            <family val="2"/>
          </rPr>
          <t>Seung Jun Hur:</t>
        </r>
        <r>
          <rPr>
            <sz val="9"/>
            <color rgb="FF000000"/>
            <rFont val="Tahoma"/>
            <family val="2"/>
          </rPr>
          <t xml:space="preserve">
</t>
        </r>
        <r>
          <rPr>
            <sz val="9"/>
            <color rgb="FF000000"/>
            <rFont val="돋움"/>
            <family val="3"/>
            <charset val="129"/>
          </rPr>
          <t>표준산업분류</t>
        </r>
      </text>
    </comment>
    <comment ref="A81901" authorId="1" shapeId="0" xr:uid="{00000000-0006-0000-0100-00000E000000}">
      <text>
        <r>
          <rPr>
            <sz val="10"/>
            <color rgb="FF000000"/>
            <rFont val="맑은 고딕"/>
            <family val="3"/>
            <charset val="129"/>
          </rPr>
          <t>2018년 5월말 기준으로 작성</t>
        </r>
      </text>
    </comment>
    <comment ref="A81902" authorId="1" shapeId="0" xr:uid="{00000000-0006-0000-0100-00000F000000}">
      <text>
        <r>
          <rPr>
            <sz val="9"/>
            <color rgb="FF000000"/>
            <rFont val="맑은 고딕"/>
            <family val="3"/>
            <charset val="129"/>
          </rPr>
          <t>2017년도에 근무이력이 있는 모든 인원 (퇴사자 포함)</t>
        </r>
      </text>
    </comment>
    <comment ref="A98283" authorId="0" shapeId="0" xr:uid="{00000000-0006-0000-0100-000010000000}">
      <text>
        <r>
          <rPr>
            <b/>
            <sz val="9"/>
            <color rgb="FF000000"/>
            <rFont val="Tahoma"/>
            <family val="2"/>
          </rPr>
          <t>Seung Jun Hur:</t>
        </r>
        <r>
          <rPr>
            <sz val="9"/>
            <color rgb="FF000000"/>
            <rFont val="Tahoma"/>
            <family val="2"/>
          </rPr>
          <t xml:space="preserve">
</t>
        </r>
        <r>
          <rPr>
            <sz val="9"/>
            <color rgb="FF000000"/>
            <rFont val="돋움"/>
            <family val="3"/>
            <charset val="129"/>
          </rPr>
          <t>표준산업분류</t>
        </r>
      </text>
    </comment>
    <comment ref="A98285" authorId="1" shapeId="0" xr:uid="{00000000-0006-0000-0100-000011000000}">
      <text>
        <r>
          <rPr>
            <sz val="10"/>
            <color rgb="FF000000"/>
            <rFont val="맑은 고딕"/>
            <family val="3"/>
            <charset val="129"/>
          </rPr>
          <t>2018년 5월말 기준으로 작성</t>
        </r>
      </text>
    </comment>
    <comment ref="A98286" authorId="1" shapeId="0" xr:uid="{00000000-0006-0000-0100-000012000000}">
      <text>
        <r>
          <rPr>
            <sz val="9"/>
            <color rgb="FF000000"/>
            <rFont val="맑은 고딕"/>
            <family val="3"/>
            <charset val="129"/>
          </rPr>
          <t>2017년도에 근무이력이 있는 모든 인원 (퇴사자 포함)</t>
        </r>
      </text>
    </comment>
    <comment ref="A114667" authorId="0" shapeId="0" xr:uid="{00000000-0006-0000-0100-000013000000}">
      <text>
        <r>
          <rPr>
            <b/>
            <sz val="9"/>
            <color rgb="FF000000"/>
            <rFont val="Tahoma"/>
            <family val="2"/>
          </rPr>
          <t>Seung Jun Hur:</t>
        </r>
        <r>
          <rPr>
            <sz val="9"/>
            <color rgb="FF000000"/>
            <rFont val="Tahoma"/>
            <family val="2"/>
          </rPr>
          <t xml:space="preserve">
</t>
        </r>
        <r>
          <rPr>
            <sz val="9"/>
            <color rgb="FF000000"/>
            <rFont val="돋움"/>
            <family val="3"/>
            <charset val="129"/>
          </rPr>
          <t>표준산업분류</t>
        </r>
      </text>
    </comment>
    <comment ref="A114669" authorId="1" shapeId="0" xr:uid="{00000000-0006-0000-0100-000014000000}">
      <text>
        <r>
          <rPr>
            <sz val="10"/>
            <color rgb="FF000000"/>
            <rFont val="맑은 고딕"/>
            <family val="3"/>
            <charset val="129"/>
          </rPr>
          <t>2018년 5월말 기준으로 작성</t>
        </r>
      </text>
    </comment>
    <comment ref="A114670" authorId="1" shapeId="0" xr:uid="{00000000-0006-0000-0100-000015000000}">
      <text>
        <r>
          <rPr>
            <sz val="9"/>
            <color rgb="FF000000"/>
            <rFont val="맑은 고딕"/>
            <family val="3"/>
            <charset val="129"/>
          </rPr>
          <t>2017년도에 근무이력이 있는 모든 인원 (퇴사자 포함)</t>
        </r>
      </text>
    </comment>
    <comment ref="A131051" authorId="0" shapeId="0" xr:uid="{00000000-0006-0000-0100-000016000000}">
      <text>
        <r>
          <rPr>
            <b/>
            <sz val="9"/>
            <color rgb="FF000000"/>
            <rFont val="Tahoma"/>
            <family val="2"/>
          </rPr>
          <t>Seung Jun Hur:</t>
        </r>
        <r>
          <rPr>
            <sz val="9"/>
            <color rgb="FF000000"/>
            <rFont val="Tahoma"/>
            <family val="2"/>
          </rPr>
          <t xml:space="preserve">
</t>
        </r>
        <r>
          <rPr>
            <sz val="9"/>
            <color rgb="FF000000"/>
            <rFont val="돋움"/>
            <family val="3"/>
            <charset val="129"/>
          </rPr>
          <t>표준산업분류</t>
        </r>
      </text>
    </comment>
    <comment ref="A131053" authorId="1" shapeId="0" xr:uid="{00000000-0006-0000-0100-000017000000}">
      <text>
        <r>
          <rPr>
            <sz val="10"/>
            <color rgb="FF000000"/>
            <rFont val="맑은 고딕"/>
            <family val="3"/>
            <charset val="129"/>
          </rPr>
          <t>2018년 5월말 기준으로 작성</t>
        </r>
      </text>
    </comment>
    <comment ref="A131054" authorId="1" shapeId="0" xr:uid="{00000000-0006-0000-0100-000018000000}">
      <text>
        <r>
          <rPr>
            <sz val="9"/>
            <color rgb="FF000000"/>
            <rFont val="맑은 고딕"/>
            <family val="3"/>
            <charset val="129"/>
          </rPr>
          <t>2017년도에 근무이력이 있는 모든 인원 (퇴사자 포함)</t>
        </r>
      </text>
    </comment>
    <comment ref="A147435" authorId="0" shapeId="0" xr:uid="{00000000-0006-0000-0100-000019000000}">
      <text>
        <r>
          <rPr>
            <b/>
            <sz val="9"/>
            <color rgb="FF000000"/>
            <rFont val="Tahoma"/>
            <family val="2"/>
          </rPr>
          <t>Seung Jun Hur:</t>
        </r>
        <r>
          <rPr>
            <sz val="9"/>
            <color rgb="FF000000"/>
            <rFont val="Tahoma"/>
            <family val="2"/>
          </rPr>
          <t xml:space="preserve">
</t>
        </r>
        <r>
          <rPr>
            <sz val="9"/>
            <color rgb="FF000000"/>
            <rFont val="돋움"/>
            <family val="3"/>
            <charset val="129"/>
          </rPr>
          <t>표준산업분류</t>
        </r>
      </text>
    </comment>
    <comment ref="A147437" authorId="1" shapeId="0" xr:uid="{00000000-0006-0000-0100-00001A000000}">
      <text>
        <r>
          <rPr>
            <sz val="10"/>
            <color rgb="FF000000"/>
            <rFont val="맑은 고딕"/>
            <family val="3"/>
            <charset val="129"/>
          </rPr>
          <t>2018년 5월말 기준으로 작성</t>
        </r>
      </text>
    </comment>
    <comment ref="A147438" authorId="1" shapeId="0" xr:uid="{00000000-0006-0000-0100-00001B000000}">
      <text>
        <r>
          <rPr>
            <sz val="9"/>
            <color rgb="FF000000"/>
            <rFont val="맑은 고딕"/>
            <family val="3"/>
            <charset val="129"/>
          </rPr>
          <t>2017년도에 근무이력이 있는 모든 인원 (퇴사자 포함)</t>
        </r>
      </text>
    </comment>
    <comment ref="A163819" authorId="0" shapeId="0" xr:uid="{00000000-0006-0000-0100-00001C000000}">
      <text>
        <r>
          <rPr>
            <b/>
            <sz val="9"/>
            <color rgb="FF000000"/>
            <rFont val="Tahoma"/>
            <family val="2"/>
          </rPr>
          <t>Seung Jun Hur:</t>
        </r>
        <r>
          <rPr>
            <sz val="9"/>
            <color rgb="FF000000"/>
            <rFont val="Tahoma"/>
            <family val="2"/>
          </rPr>
          <t xml:space="preserve">
</t>
        </r>
        <r>
          <rPr>
            <sz val="9"/>
            <color rgb="FF000000"/>
            <rFont val="돋움"/>
            <family val="3"/>
            <charset val="129"/>
          </rPr>
          <t>표준산업분류</t>
        </r>
      </text>
    </comment>
    <comment ref="A163821" authorId="1" shapeId="0" xr:uid="{00000000-0006-0000-0100-00001D000000}">
      <text>
        <r>
          <rPr>
            <sz val="10"/>
            <color rgb="FF000000"/>
            <rFont val="맑은 고딕"/>
            <family val="3"/>
            <charset val="129"/>
          </rPr>
          <t>2018년 5월말 기준으로 작성</t>
        </r>
      </text>
    </comment>
    <comment ref="A163822" authorId="1" shapeId="0" xr:uid="{00000000-0006-0000-0100-00001E000000}">
      <text>
        <r>
          <rPr>
            <sz val="9"/>
            <color rgb="FF000000"/>
            <rFont val="맑은 고딕"/>
            <family val="3"/>
            <charset val="129"/>
          </rPr>
          <t>2017년도에 근무이력이 있는 모든 인원 (퇴사자 포함)</t>
        </r>
      </text>
    </comment>
    <comment ref="A180203" authorId="0" shapeId="0" xr:uid="{00000000-0006-0000-0100-00001F000000}">
      <text>
        <r>
          <rPr>
            <b/>
            <sz val="9"/>
            <color rgb="FF000000"/>
            <rFont val="Tahoma"/>
            <family val="2"/>
          </rPr>
          <t>Seung Jun Hur:</t>
        </r>
        <r>
          <rPr>
            <sz val="9"/>
            <color rgb="FF000000"/>
            <rFont val="Tahoma"/>
            <family val="2"/>
          </rPr>
          <t xml:space="preserve">
</t>
        </r>
        <r>
          <rPr>
            <sz val="9"/>
            <color rgb="FF000000"/>
            <rFont val="돋움"/>
            <family val="3"/>
            <charset val="129"/>
          </rPr>
          <t>표준산업분류</t>
        </r>
      </text>
    </comment>
    <comment ref="A180205" authorId="1" shapeId="0" xr:uid="{00000000-0006-0000-0100-000020000000}">
      <text>
        <r>
          <rPr>
            <sz val="10"/>
            <color rgb="FF000000"/>
            <rFont val="맑은 고딕"/>
            <family val="3"/>
            <charset val="129"/>
          </rPr>
          <t>2018년 5월말 기준으로 작성</t>
        </r>
      </text>
    </comment>
    <comment ref="A180206" authorId="1" shapeId="0" xr:uid="{00000000-0006-0000-0100-000021000000}">
      <text>
        <r>
          <rPr>
            <sz val="9"/>
            <color rgb="FF000000"/>
            <rFont val="맑은 고딕"/>
            <family val="3"/>
            <charset val="129"/>
          </rPr>
          <t>2017년도에 근무이력이 있는 모든 인원 (퇴사자 포함)</t>
        </r>
      </text>
    </comment>
    <comment ref="A196587" authorId="0" shapeId="0" xr:uid="{00000000-0006-0000-0100-000022000000}">
      <text>
        <r>
          <rPr>
            <b/>
            <sz val="9"/>
            <color rgb="FF000000"/>
            <rFont val="Tahoma"/>
            <family val="2"/>
          </rPr>
          <t>Seung Jun Hur:</t>
        </r>
        <r>
          <rPr>
            <sz val="9"/>
            <color rgb="FF000000"/>
            <rFont val="Tahoma"/>
            <family val="2"/>
          </rPr>
          <t xml:space="preserve">
</t>
        </r>
        <r>
          <rPr>
            <sz val="9"/>
            <color rgb="FF000000"/>
            <rFont val="돋움"/>
            <family val="3"/>
            <charset val="129"/>
          </rPr>
          <t>표준산업분류</t>
        </r>
      </text>
    </comment>
    <comment ref="A196589" authorId="1" shapeId="0" xr:uid="{00000000-0006-0000-0100-000023000000}">
      <text>
        <r>
          <rPr>
            <sz val="10"/>
            <color rgb="FF000000"/>
            <rFont val="맑은 고딕"/>
            <family val="3"/>
            <charset val="129"/>
          </rPr>
          <t>2018년 5월말 기준으로 작성</t>
        </r>
      </text>
    </comment>
    <comment ref="A196590" authorId="1" shapeId="0" xr:uid="{00000000-0006-0000-0100-000024000000}">
      <text>
        <r>
          <rPr>
            <sz val="9"/>
            <color rgb="FF000000"/>
            <rFont val="맑은 고딕"/>
            <family val="3"/>
            <charset val="129"/>
          </rPr>
          <t>2017년도에 근무이력이 있는 모든 인원 (퇴사자 포함)</t>
        </r>
      </text>
    </comment>
    <comment ref="A212971" authorId="0" shapeId="0" xr:uid="{00000000-0006-0000-0100-000025000000}">
      <text>
        <r>
          <rPr>
            <b/>
            <sz val="9"/>
            <color rgb="FF000000"/>
            <rFont val="Tahoma"/>
            <family val="2"/>
          </rPr>
          <t>Seung Jun Hur:</t>
        </r>
        <r>
          <rPr>
            <sz val="9"/>
            <color rgb="FF000000"/>
            <rFont val="Tahoma"/>
            <family val="2"/>
          </rPr>
          <t xml:space="preserve">
</t>
        </r>
        <r>
          <rPr>
            <sz val="9"/>
            <color rgb="FF000000"/>
            <rFont val="돋움"/>
            <family val="3"/>
            <charset val="129"/>
          </rPr>
          <t>표준산업분류</t>
        </r>
      </text>
    </comment>
    <comment ref="A212973" authorId="1" shapeId="0" xr:uid="{00000000-0006-0000-0100-000026000000}">
      <text>
        <r>
          <rPr>
            <sz val="10"/>
            <color rgb="FF000000"/>
            <rFont val="맑은 고딕"/>
            <family val="3"/>
            <charset val="129"/>
          </rPr>
          <t>2018년 5월말 기준으로 작성</t>
        </r>
      </text>
    </comment>
    <comment ref="A212974" authorId="1" shapeId="0" xr:uid="{00000000-0006-0000-0100-000027000000}">
      <text>
        <r>
          <rPr>
            <sz val="9"/>
            <color rgb="FF000000"/>
            <rFont val="맑은 고딕"/>
            <family val="3"/>
            <charset val="129"/>
          </rPr>
          <t>2017년도에 근무이력이 있는 모든 인원 (퇴사자 포함)</t>
        </r>
      </text>
    </comment>
    <comment ref="A229355" authorId="0" shapeId="0" xr:uid="{00000000-0006-0000-0100-000028000000}">
      <text>
        <r>
          <rPr>
            <b/>
            <sz val="9"/>
            <color rgb="FF000000"/>
            <rFont val="Tahoma"/>
            <family val="2"/>
          </rPr>
          <t>Seung Jun Hur:</t>
        </r>
        <r>
          <rPr>
            <sz val="9"/>
            <color rgb="FF000000"/>
            <rFont val="Tahoma"/>
            <family val="2"/>
          </rPr>
          <t xml:space="preserve">
</t>
        </r>
        <r>
          <rPr>
            <sz val="9"/>
            <color rgb="FF000000"/>
            <rFont val="돋움"/>
            <family val="3"/>
            <charset val="129"/>
          </rPr>
          <t>표준산업분류</t>
        </r>
      </text>
    </comment>
    <comment ref="A229357" authorId="1" shapeId="0" xr:uid="{00000000-0006-0000-0100-000029000000}">
      <text>
        <r>
          <rPr>
            <sz val="10"/>
            <color rgb="FF000000"/>
            <rFont val="맑은 고딕"/>
            <family val="3"/>
            <charset val="129"/>
          </rPr>
          <t>2018년 5월말 기준으로 작성</t>
        </r>
      </text>
    </comment>
    <comment ref="A229358" authorId="1" shapeId="0" xr:uid="{00000000-0006-0000-0100-00002A000000}">
      <text>
        <r>
          <rPr>
            <sz val="9"/>
            <color rgb="FF000000"/>
            <rFont val="맑은 고딕"/>
            <family val="3"/>
            <charset val="129"/>
          </rPr>
          <t>2017년도에 근무이력이 있는 모든 인원 (퇴사자 포함)</t>
        </r>
      </text>
    </comment>
    <comment ref="A245739" authorId="0" shapeId="0" xr:uid="{00000000-0006-0000-0100-00002B000000}">
      <text>
        <r>
          <rPr>
            <b/>
            <sz val="9"/>
            <color rgb="FF000000"/>
            <rFont val="Tahoma"/>
            <family val="2"/>
          </rPr>
          <t>Seung Jun Hur:</t>
        </r>
        <r>
          <rPr>
            <sz val="9"/>
            <color rgb="FF000000"/>
            <rFont val="Tahoma"/>
            <family val="2"/>
          </rPr>
          <t xml:space="preserve">
</t>
        </r>
        <r>
          <rPr>
            <sz val="9"/>
            <color rgb="FF000000"/>
            <rFont val="돋움"/>
            <family val="3"/>
            <charset val="129"/>
          </rPr>
          <t>표준산업분류</t>
        </r>
      </text>
    </comment>
    <comment ref="A245741" authorId="1" shapeId="0" xr:uid="{00000000-0006-0000-0100-00002C000000}">
      <text>
        <r>
          <rPr>
            <sz val="10"/>
            <color rgb="FF000000"/>
            <rFont val="맑은 고딕"/>
            <family val="3"/>
            <charset val="129"/>
          </rPr>
          <t>2018년 5월말 기준으로 작성</t>
        </r>
      </text>
    </comment>
    <comment ref="A245742" authorId="1" shapeId="0" xr:uid="{00000000-0006-0000-0100-00002D000000}">
      <text>
        <r>
          <rPr>
            <sz val="9"/>
            <color rgb="FF000000"/>
            <rFont val="맑은 고딕"/>
            <family val="3"/>
            <charset val="129"/>
          </rPr>
          <t>2017년도에 근무이력이 있는 모든 인원 (퇴사자 포함)</t>
        </r>
      </text>
    </comment>
    <comment ref="A262123" authorId="0" shapeId="0" xr:uid="{00000000-0006-0000-0100-00002E000000}">
      <text>
        <r>
          <rPr>
            <b/>
            <sz val="9"/>
            <color rgb="FF000000"/>
            <rFont val="Tahoma"/>
            <family val="2"/>
          </rPr>
          <t>Seung Jun Hur:</t>
        </r>
        <r>
          <rPr>
            <sz val="9"/>
            <color rgb="FF000000"/>
            <rFont val="Tahoma"/>
            <family val="2"/>
          </rPr>
          <t xml:space="preserve">
</t>
        </r>
        <r>
          <rPr>
            <sz val="9"/>
            <color rgb="FF000000"/>
            <rFont val="돋움"/>
            <family val="3"/>
            <charset val="129"/>
          </rPr>
          <t>표준산업분류</t>
        </r>
      </text>
    </comment>
    <comment ref="A262125" authorId="1" shapeId="0" xr:uid="{00000000-0006-0000-0100-00002F000000}">
      <text>
        <r>
          <rPr>
            <sz val="10"/>
            <color rgb="FF000000"/>
            <rFont val="맑은 고딕"/>
            <family val="3"/>
            <charset val="129"/>
          </rPr>
          <t>2018년 5월말 기준으로 작성</t>
        </r>
      </text>
    </comment>
    <comment ref="A262126" authorId="1" shapeId="0" xr:uid="{00000000-0006-0000-0100-000030000000}">
      <text>
        <r>
          <rPr>
            <sz val="9"/>
            <color rgb="FF000000"/>
            <rFont val="맑은 고딕"/>
            <family val="3"/>
            <charset val="129"/>
          </rPr>
          <t>2017년도에 근무이력이 있는 모든 인원 (퇴사자 포함)</t>
        </r>
      </text>
    </comment>
    <comment ref="A278507" authorId="0" shapeId="0" xr:uid="{00000000-0006-0000-0100-000031000000}">
      <text>
        <r>
          <rPr>
            <b/>
            <sz val="9"/>
            <color rgb="FF000000"/>
            <rFont val="Tahoma"/>
            <family val="2"/>
          </rPr>
          <t>Seung Jun Hur:</t>
        </r>
        <r>
          <rPr>
            <sz val="9"/>
            <color rgb="FF000000"/>
            <rFont val="Tahoma"/>
            <family val="2"/>
          </rPr>
          <t xml:space="preserve">
</t>
        </r>
        <r>
          <rPr>
            <sz val="9"/>
            <color rgb="FF000000"/>
            <rFont val="돋움"/>
            <family val="3"/>
            <charset val="129"/>
          </rPr>
          <t>표준산업분류</t>
        </r>
      </text>
    </comment>
    <comment ref="A278509" authorId="1" shapeId="0" xr:uid="{00000000-0006-0000-0100-000032000000}">
      <text>
        <r>
          <rPr>
            <sz val="10"/>
            <color rgb="FF000000"/>
            <rFont val="맑은 고딕"/>
            <family val="3"/>
            <charset val="129"/>
          </rPr>
          <t>2018년 5월말 기준으로 작성</t>
        </r>
      </text>
    </comment>
    <comment ref="A278510" authorId="1" shapeId="0" xr:uid="{00000000-0006-0000-0100-000033000000}">
      <text>
        <r>
          <rPr>
            <sz val="9"/>
            <color rgb="FF000000"/>
            <rFont val="맑은 고딕"/>
            <family val="3"/>
            <charset val="129"/>
          </rPr>
          <t>2017년도에 근무이력이 있는 모든 인원 (퇴사자 포함)</t>
        </r>
      </text>
    </comment>
    <comment ref="A294891" authorId="0" shapeId="0" xr:uid="{00000000-0006-0000-0100-000034000000}">
      <text>
        <r>
          <rPr>
            <b/>
            <sz val="9"/>
            <color rgb="FF000000"/>
            <rFont val="Tahoma"/>
            <family val="2"/>
          </rPr>
          <t>Seung Jun Hur:</t>
        </r>
        <r>
          <rPr>
            <sz val="9"/>
            <color rgb="FF000000"/>
            <rFont val="Tahoma"/>
            <family val="2"/>
          </rPr>
          <t xml:space="preserve">
</t>
        </r>
        <r>
          <rPr>
            <sz val="9"/>
            <color rgb="FF000000"/>
            <rFont val="돋움"/>
            <family val="3"/>
            <charset val="129"/>
          </rPr>
          <t>표준산업분류</t>
        </r>
      </text>
    </comment>
    <comment ref="A294893" authorId="1" shapeId="0" xr:uid="{00000000-0006-0000-0100-000035000000}">
      <text>
        <r>
          <rPr>
            <sz val="10"/>
            <color rgb="FF000000"/>
            <rFont val="맑은 고딕"/>
            <family val="3"/>
            <charset val="129"/>
          </rPr>
          <t>2018년 5월말 기준으로 작성</t>
        </r>
      </text>
    </comment>
    <comment ref="A294894" authorId="1" shapeId="0" xr:uid="{00000000-0006-0000-0100-000036000000}">
      <text>
        <r>
          <rPr>
            <sz val="9"/>
            <color rgb="FF000000"/>
            <rFont val="맑은 고딕"/>
            <family val="3"/>
            <charset val="129"/>
          </rPr>
          <t>2017년도에 근무이력이 있는 모든 인원 (퇴사자 포함)</t>
        </r>
      </text>
    </comment>
    <comment ref="A311275" authorId="0" shapeId="0" xr:uid="{00000000-0006-0000-0100-000037000000}">
      <text>
        <r>
          <rPr>
            <b/>
            <sz val="9"/>
            <color rgb="FF000000"/>
            <rFont val="Tahoma"/>
            <family val="2"/>
          </rPr>
          <t>Seung Jun Hur:</t>
        </r>
        <r>
          <rPr>
            <sz val="9"/>
            <color rgb="FF000000"/>
            <rFont val="Tahoma"/>
            <family val="2"/>
          </rPr>
          <t xml:space="preserve">
</t>
        </r>
        <r>
          <rPr>
            <sz val="9"/>
            <color rgb="FF000000"/>
            <rFont val="돋움"/>
            <family val="3"/>
            <charset val="129"/>
          </rPr>
          <t>표준산업분류</t>
        </r>
      </text>
    </comment>
    <comment ref="A311277" authorId="1" shapeId="0" xr:uid="{00000000-0006-0000-0100-000038000000}">
      <text>
        <r>
          <rPr>
            <sz val="10"/>
            <color rgb="FF000000"/>
            <rFont val="맑은 고딕"/>
            <family val="3"/>
            <charset val="129"/>
          </rPr>
          <t>2018년 5월말 기준으로 작성</t>
        </r>
      </text>
    </comment>
    <comment ref="A311278" authorId="1" shapeId="0" xr:uid="{00000000-0006-0000-0100-000039000000}">
      <text>
        <r>
          <rPr>
            <sz val="9"/>
            <color rgb="FF000000"/>
            <rFont val="맑은 고딕"/>
            <family val="3"/>
            <charset val="129"/>
          </rPr>
          <t>2017년도에 근무이력이 있는 모든 인원 (퇴사자 포함)</t>
        </r>
      </text>
    </comment>
    <comment ref="A327659" authorId="0" shapeId="0" xr:uid="{00000000-0006-0000-0100-00003A000000}">
      <text>
        <r>
          <rPr>
            <b/>
            <sz val="9"/>
            <color rgb="FF000000"/>
            <rFont val="Tahoma"/>
            <family val="2"/>
          </rPr>
          <t>Seung Jun Hur:</t>
        </r>
        <r>
          <rPr>
            <sz val="9"/>
            <color rgb="FF000000"/>
            <rFont val="Tahoma"/>
            <family val="2"/>
          </rPr>
          <t xml:space="preserve">
</t>
        </r>
        <r>
          <rPr>
            <sz val="9"/>
            <color rgb="FF000000"/>
            <rFont val="돋움"/>
            <family val="3"/>
            <charset val="129"/>
          </rPr>
          <t>표준산업분류</t>
        </r>
      </text>
    </comment>
    <comment ref="A327661" authorId="1" shapeId="0" xr:uid="{00000000-0006-0000-0100-00003B000000}">
      <text>
        <r>
          <rPr>
            <sz val="10"/>
            <color rgb="FF000000"/>
            <rFont val="맑은 고딕"/>
            <family val="3"/>
            <charset val="129"/>
          </rPr>
          <t>2018년 5월말 기준으로 작성</t>
        </r>
      </text>
    </comment>
    <comment ref="A327662" authorId="1" shapeId="0" xr:uid="{00000000-0006-0000-0100-00003C000000}">
      <text>
        <r>
          <rPr>
            <sz val="9"/>
            <color rgb="FF000000"/>
            <rFont val="맑은 고딕"/>
            <family val="3"/>
            <charset val="129"/>
          </rPr>
          <t>2017년도에 근무이력이 있는 모든 인원 (퇴사자 포함)</t>
        </r>
      </text>
    </comment>
    <comment ref="A344043" authorId="0" shapeId="0" xr:uid="{00000000-0006-0000-0100-00003D000000}">
      <text>
        <r>
          <rPr>
            <b/>
            <sz val="9"/>
            <color rgb="FF000000"/>
            <rFont val="Tahoma"/>
            <family val="2"/>
          </rPr>
          <t>Seung Jun Hur:</t>
        </r>
        <r>
          <rPr>
            <sz val="9"/>
            <color rgb="FF000000"/>
            <rFont val="Tahoma"/>
            <family val="2"/>
          </rPr>
          <t xml:space="preserve">
</t>
        </r>
        <r>
          <rPr>
            <sz val="9"/>
            <color rgb="FF000000"/>
            <rFont val="돋움"/>
            <family val="3"/>
            <charset val="129"/>
          </rPr>
          <t>표준산업분류</t>
        </r>
      </text>
    </comment>
    <comment ref="A344045" authorId="1" shapeId="0" xr:uid="{00000000-0006-0000-0100-00003E000000}">
      <text>
        <r>
          <rPr>
            <sz val="10"/>
            <color rgb="FF000000"/>
            <rFont val="맑은 고딕"/>
            <family val="3"/>
            <charset val="129"/>
          </rPr>
          <t>2018년 5월말 기준으로 작성</t>
        </r>
      </text>
    </comment>
    <comment ref="A344046" authorId="1" shapeId="0" xr:uid="{00000000-0006-0000-0100-00003F000000}">
      <text>
        <r>
          <rPr>
            <sz val="9"/>
            <color rgb="FF000000"/>
            <rFont val="맑은 고딕"/>
            <family val="3"/>
            <charset val="129"/>
          </rPr>
          <t>2017년도에 근무이력이 있는 모든 인원 (퇴사자 포함)</t>
        </r>
      </text>
    </comment>
    <comment ref="A360427" authorId="0" shapeId="0" xr:uid="{00000000-0006-0000-0100-000040000000}">
      <text>
        <r>
          <rPr>
            <b/>
            <sz val="9"/>
            <color rgb="FF000000"/>
            <rFont val="Tahoma"/>
            <family val="2"/>
          </rPr>
          <t>Seung Jun Hur:</t>
        </r>
        <r>
          <rPr>
            <sz val="9"/>
            <color rgb="FF000000"/>
            <rFont val="Tahoma"/>
            <family val="2"/>
          </rPr>
          <t xml:space="preserve">
</t>
        </r>
        <r>
          <rPr>
            <sz val="9"/>
            <color rgb="FF000000"/>
            <rFont val="돋움"/>
            <family val="3"/>
            <charset val="129"/>
          </rPr>
          <t>표준산업분류</t>
        </r>
      </text>
    </comment>
    <comment ref="A360429" authorId="1" shapeId="0" xr:uid="{00000000-0006-0000-0100-000041000000}">
      <text>
        <r>
          <rPr>
            <sz val="10"/>
            <color rgb="FF000000"/>
            <rFont val="맑은 고딕"/>
            <family val="3"/>
            <charset val="129"/>
          </rPr>
          <t>2018년 5월말 기준으로 작성</t>
        </r>
      </text>
    </comment>
    <comment ref="A360430" authorId="1" shapeId="0" xr:uid="{00000000-0006-0000-0100-000042000000}">
      <text>
        <r>
          <rPr>
            <sz val="9"/>
            <color rgb="FF000000"/>
            <rFont val="맑은 고딕"/>
            <family val="3"/>
            <charset val="129"/>
          </rPr>
          <t>2017년도에 근무이력이 있는 모든 인원 (퇴사자 포함)</t>
        </r>
      </text>
    </comment>
    <comment ref="A376811" authorId="0" shapeId="0" xr:uid="{00000000-0006-0000-0100-000043000000}">
      <text>
        <r>
          <rPr>
            <b/>
            <sz val="9"/>
            <color rgb="FF000000"/>
            <rFont val="Tahoma"/>
            <family val="2"/>
          </rPr>
          <t>Seung Jun Hur:</t>
        </r>
        <r>
          <rPr>
            <sz val="9"/>
            <color rgb="FF000000"/>
            <rFont val="Tahoma"/>
            <family val="2"/>
          </rPr>
          <t xml:space="preserve">
</t>
        </r>
        <r>
          <rPr>
            <sz val="9"/>
            <color rgb="FF000000"/>
            <rFont val="돋움"/>
            <family val="3"/>
            <charset val="129"/>
          </rPr>
          <t>표준산업분류</t>
        </r>
      </text>
    </comment>
    <comment ref="A376813" authorId="1" shapeId="0" xr:uid="{00000000-0006-0000-0100-000044000000}">
      <text>
        <r>
          <rPr>
            <sz val="10"/>
            <color rgb="FF000000"/>
            <rFont val="맑은 고딕"/>
            <family val="3"/>
            <charset val="129"/>
          </rPr>
          <t>2018년 5월말 기준으로 작성</t>
        </r>
      </text>
    </comment>
    <comment ref="A376814" authorId="1" shapeId="0" xr:uid="{00000000-0006-0000-0100-000045000000}">
      <text>
        <r>
          <rPr>
            <sz val="9"/>
            <color rgb="FF000000"/>
            <rFont val="맑은 고딕"/>
            <family val="3"/>
            <charset val="129"/>
          </rPr>
          <t>2017년도에 근무이력이 있는 모든 인원 (퇴사자 포함)</t>
        </r>
      </text>
    </comment>
    <comment ref="A393195" authorId="0" shapeId="0" xr:uid="{00000000-0006-0000-0100-000046000000}">
      <text>
        <r>
          <rPr>
            <b/>
            <sz val="9"/>
            <color rgb="FF000000"/>
            <rFont val="Tahoma"/>
            <family val="2"/>
          </rPr>
          <t>Seung Jun Hur:</t>
        </r>
        <r>
          <rPr>
            <sz val="9"/>
            <color rgb="FF000000"/>
            <rFont val="Tahoma"/>
            <family val="2"/>
          </rPr>
          <t xml:space="preserve">
</t>
        </r>
        <r>
          <rPr>
            <sz val="9"/>
            <color rgb="FF000000"/>
            <rFont val="돋움"/>
            <family val="3"/>
            <charset val="129"/>
          </rPr>
          <t>표준산업분류</t>
        </r>
      </text>
    </comment>
    <comment ref="A393197" authorId="1" shapeId="0" xr:uid="{00000000-0006-0000-0100-000047000000}">
      <text>
        <r>
          <rPr>
            <sz val="10"/>
            <color rgb="FF000000"/>
            <rFont val="맑은 고딕"/>
            <family val="3"/>
            <charset val="129"/>
          </rPr>
          <t>2018년 5월말 기준으로 작성</t>
        </r>
      </text>
    </comment>
    <comment ref="A393198" authorId="1" shapeId="0" xr:uid="{00000000-0006-0000-0100-000048000000}">
      <text>
        <r>
          <rPr>
            <sz val="9"/>
            <color rgb="FF000000"/>
            <rFont val="맑은 고딕"/>
            <family val="3"/>
            <charset val="129"/>
          </rPr>
          <t>2017년도에 근무이력이 있는 모든 인원 (퇴사자 포함)</t>
        </r>
      </text>
    </comment>
    <comment ref="A409579" authorId="0" shapeId="0" xr:uid="{00000000-0006-0000-0100-000049000000}">
      <text>
        <r>
          <rPr>
            <b/>
            <sz val="9"/>
            <color rgb="FF000000"/>
            <rFont val="Tahoma"/>
            <family val="2"/>
          </rPr>
          <t>Seung Jun Hur:</t>
        </r>
        <r>
          <rPr>
            <sz val="9"/>
            <color rgb="FF000000"/>
            <rFont val="Tahoma"/>
            <family val="2"/>
          </rPr>
          <t xml:space="preserve">
</t>
        </r>
        <r>
          <rPr>
            <sz val="9"/>
            <color rgb="FF000000"/>
            <rFont val="돋움"/>
            <family val="3"/>
            <charset val="129"/>
          </rPr>
          <t>표준산업분류</t>
        </r>
      </text>
    </comment>
    <comment ref="A409581" authorId="1" shapeId="0" xr:uid="{00000000-0006-0000-0100-00004A000000}">
      <text>
        <r>
          <rPr>
            <sz val="10"/>
            <color rgb="FF000000"/>
            <rFont val="맑은 고딕"/>
            <family val="3"/>
            <charset val="129"/>
          </rPr>
          <t>2018년 5월말 기준으로 작성</t>
        </r>
      </text>
    </comment>
    <comment ref="A409582" authorId="1" shapeId="0" xr:uid="{00000000-0006-0000-0100-00004B000000}">
      <text>
        <r>
          <rPr>
            <sz val="9"/>
            <color rgb="FF000000"/>
            <rFont val="맑은 고딕"/>
            <family val="3"/>
            <charset val="129"/>
          </rPr>
          <t>2017년도에 근무이력이 있는 모든 인원 (퇴사자 포함)</t>
        </r>
      </text>
    </comment>
    <comment ref="A425963" authorId="0" shapeId="0" xr:uid="{00000000-0006-0000-0100-00004C000000}">
      <text>
        <r>
          <rPr>
            <b/>
            <sz val="9"/>
            <color rgb="FF000000"/>
            <rFont val="Tahoma"/>
            <family val="2"/>
          </rPr>
          <t>Seung Jun Hur:</t>
        </r>
        <r>
          <rPr>
            <sz val="9"/>
            <color rgb="FF000000"/>
            <rFont val="Tahoma"/>
            <family val="2"/>
          </rPr>
          <t xml:space="preserve">
</t>
        </r>
        <r>
          <rPr>
            <sz val="9"/>
            <color rgb="FF000000"/>
            <rFont val="돋움"/>
            <family val="3"/>
            <charset val="129"/>
          </rPr>
          <t>표준산업분류</t>
        </r>
      </text>
    </comment>
    <comment ref="A425965" authorId="1" shapeId="0" xr:uid="{00000000-0006-0000-0100-00004D000000}">
      <text>
        <r>
          <rPr>
            <sz val="10"/>
            <color rgb="FF000000"/>
            <rFont val="맑은 고딕"/>
            <family val="3"/>
            <charset val="129"/>
          </rPr>
          <t>2018년 5월말 기준으로 작성</t>
        </r>
      </text>
    </comment>
    <comment ref="A425966" authorId="1" shapeId="0" xr:uid="{00000000-0006-0000-0100-00004E000000}">
      <text>
        <r>
          <rPr>
            <sz val="9"/>
            <color rgb="FF000000"/>
            <rFont val="맑은 고딕"/>
            <family val="3"/>
            <charset val="129"/>
          </rPr>
          <t>2017년도에 근무이력이 있는 모든 인원 (퇴사자 포함)</t>
        </r>
      </text>
    </comment>
    <comment ref="A442347" authorId="0" shapeId="0" xr:uid="{00000000-0006-0000-0100-00004F000000}">
      <text>
        <r>
          <rPr>
            <b/>
            <sz val="9"/>
            <color rgb="FF000000"/>
            <rFont val="Tahoma"/>
            <family val="2"/>
          </rPr>
          <t>Seung Jun Hur:</t>
        </r>
        <r>
          <rPr>
            <sz val="9"/>
            <color rgb="FF000000"/>
            <rFont val="Tahoma"/>
            <family val="2"/>
          </rPr>
          <t xml:space="preserve">
</t>
        </r>
        <r>
          <rPr>
            <sz val="9"/>
            <color rgb="FF000000"/>
            <rFont val="돋움"/>
            <family val="3"/>
            <charset val="129"/>
          </rPr>
          <t>표준산업분류</t>
        </r>
      </text>
    </comment>
    <comment ref="A442349" authorId="1" shapeId="0" xr:uid="{00000000-0006-0000-0100-000050000000}">
      <text>
        <r>
          <rPr>
            <sz val="10"/>
            <color rgb="FF000000"/>
            <rFont val="맑은 고딕"/>
            <family val="3"/>
            <charset val="129"/>
          </rPr>
          <t>2018년 5월말 기준으로 작성</t>
        </r>
      </text>
    </comment>
    <comment ref="A442350" authorId="1" shapeId="0" xr:uid="{00000000-0006-0000-0100-000051000000}">
      <text>
        <r>
          <rPr>
            <sz val="9"/>
            <color rgb="FF000000"/>
            <rFont val="맑은 고딕"/>
            <family val="3"/>
            <charset val="129"/>
          </rPr>
          <t>2017년도에 근무이력이 있는 모든 인원 (퇴사자 포함)</t>
        </r>
      </text>
    </comment>
    <comment ref="A458731" authorId="0" shapeId="0" xr:uid="{00000000-0006-0000-0100-000052000000}">
      <text>
        <r>
          <rPr>
            <b/>
            <sz val="9"/>
            <color rgb="FF000000"/>
            <rFont val="Tahoma"/>
            <family val="2"/>
          </rPr>
          <t>Seung Jun Hur:</t>
        </r>
        <r>
          <rPr>
            <sz val="9"/>
            <color rgb="FF000000"/>
            <rFont val="Tahoma"/>
            <family val="2"/>
          </rPr>
          <t xml:space="preserve">
</t>
        </r>
        <r>
          <rPr>
            <sz val="9"/>
            <color rgb="FF000000"/>
            <rFont val="돋움"/>
            <family val="3"/>
            <charset val="129"/>
          </rPr>
          <t>표준산업분류</t>
        </r>
      </text>
    </comment>
    <comment ref="A458733" authorId="1" shapeId="0" xr:uid="{00000000-0006-0000-0100-000053000000}">
      <text>
        <r>
          <rPr>
            <sz val="10"/>
            <color rgb="FF000000"/>
            <rFont val="맑은 고딕"/>
            <family val="3"/>
            <charset val="129"/>
          </rPr>
          <t>2018년 5월말 기준으로 작성</t>
        </r>
      </text>
    </comment>
    <comment ref="A458734" authorId="1" shapeId="0" xr:uid="{00000000-0006-0000-0100-000054000000}">
      <text>
        <r>
          <rPr>
            <sz val="9"/>
            <color rgb="FF000000"/>
            <rFont val="맑은 고딕"/>
            <family val="3"/>
            <charset val="129"/>
          </rPr>
          <t>2017년도에 근무이력이 있는 모든 인원 (퇴사자 포함)</t>
        </r>
      </text>
    </comment>
    <comment ref="A475115" authorId="0" shapeId="0" xr:uid="{00000000-0006-0000-0100-000055000000}">
      <text>
        <r>
          <rPr>
            <b/>
            <sz val="9"/>
            <color rgb="FF000000"/>
            <rFont val="Tahoma"/>
            <family val="2"/>
          </rPr>
          <t>Seung Jun Hur:</t>
        </r>
        <r>
          <rPr>
            <sz val="9"/>
            <color rgb="FF000000"/>
            <rFont val="Tahoma"/>
            <family val="2"/>
          </rPr>
          <t xml:space="preserve">
</t>
        </r>
        <r>
          <rPr>
            <sz val="9"/>
            <color rgb="FF000000"/>
            <rFont val="돋움"/>
            <family val="3"/>
            <charset val="129"/>
          </rPr>
          <t>표준산업분류</t>
        </r>
      </text>
    </comment>
    <comment ref="A475117" authorId="1" shapeId="0" xr:uid="{00000000-0006-0000-0100-000056000000}">
      <text>
        <r>
          <rPr>
            <sz val="10"/>
            <color rgb="FF000000"/>
            <rFont val="맑은 고딕"/>
            <family val="3"/>
            <charset val="129"/>
          </rPr>
          <t>2018년 5월말 기준으로 작성</t>
        </r>
      </text>
    </comment>
    <comment ref="A475118" authorId="1" shapeId="0" xr:uid="{00000000-0006-0000-0100-000057000000}">
      <text>
        <r>
          <rPr>
            <sz val="9"/>
            <color rgb="FF000000"/>
            <rFont val="맑은 고딕"/>
            <family val="3"/>
            <charset val="129"/>
          </rPr>
          <t>2017년도에 근무이력이 있는 모든 인원 (퇴사자 포함)</t>
        </r>
      </text>
    </comment>
    <comment ref="A491499" authorId="0" shapeId="0" xr:uid="{00000000-0006-0000-0100-000058000000}">
      <text>
        <r>
          <rPr>
            <b/>
            <sz val="9"/>
            <color rgb="FF000000"/>
            <rFont val="Tahoma"/>
            <family val="2"/>
          </rPr>
          <t>Seung Jun Hur:</t>
        </r>
        <r>
          <rPr>
            <sz val="9"/>
            <color rgb="FF000000"/>
            <rFont val="Tahoma"/>
            <family val="2"/>
          </rPr>
          <t xml:space="preserve">
</t>
        </r>
        <r>
          <rPr>
            <sz val="9"/>
            <color rgb="FF000000"/>
            <rFont val="돋움"/>
            <family val="3"/>
            <charset val="129"/>
          </rPr>
          <t>표준산업분류</t>
        </r>
      </text>
    </comment>
    <comment ref="A491501" authorId="1" shapeId="0" xr:uid="{00000000-0006-0000-0100-000059000000}">
      <text>
        <r>
          <rPr>
            <sz val="10"/>
            <color rgb="FF000000"/>
            <rFont val="맑은 고딕"/>
            <family val="3"/>
            <charset val="129"/>
          </rPr>
          <t>2018년 5월말 기준으로 작성</t>
        </r>
      </text>
    </comment>
    <comment ref="A491502" authorId="1" shapeId="0" xr:uid="{00000000-0006-0000-0100-00005A000000}">
      <text>
        <r>
          <rPr>
            <sz val="9"/>
            <color rgb="FF000000"/>
            <rFont val="맑은 고딕"/>
            <family val="3"/>
            <charset val="129"/>
          </rPr>
          <t>2017년도에 근무이력이 있는 모든 인원 (퇴사자 포함)</t>
        </r>
      </text>
    </comment>
    <comment ref="A507883" authorId="0" shapeId="0" xr:uid="{00000000-0006-0000-0100-00005B000000}">
      <text>
        <r>
          <rPr>
            <b/>
            <sz val="9"/>
            <color rgb="FF000000"/>
            <rFont val="Tahoma"/>
            <family val="2"/>
          </rPr>
          <t>Seung Jun Hur:</t>
        </r>
        <r>
          <rPr>
            <sz val="9"/>
            <color rgb="FF000000"/>
            <rFont val="Tahoma"/>
            <family val="2"/>
          </rPr>
          <t xml:space="preserve">
</t>
        </r>
        <r>
          <rPr>
            <sz val="9"/>
            <color rgb="FF000000"/>
            <rFont val="돋움"/>
            <family val="3"/>
            <charset val="129"/>
          </rPr>
          <t>표준산업분류</t>
        </r>
      </text>
    </comment>
    <comment ref="A507885" authorId="1" shapeId="0" xr:uid="{00000000-0006-0000-0100-00005C000000}">
      <text>
        <r>
          <rPr>
            <sz val="10"/>
            <color rgb="FF000000"/>
            <rFont val="맑은 고딕"/>
            <family val="3"/>
            <charset val="129"/>
          </rPr>
          <t>2018년 5월말 기준으로 작성</t>
        </r>
      </text>
    </comment>
    <comment ref="A507886" authorId="1" shapeId="0" xr:uid="{00000000-0006-0000-0100-00005D000000}">
      <text>
        <r>
          <rPr>
            <sz val="9"/>
            <color rgb="FF000000"/>
            <rFont val="맑은 고딕"/>
            <family val="3"/>
            <charset val="129"/>
          </rPr>
          <t>2017년도에 근무이력이 있는 모든 인원 (퇴사자 포함)</t>
        </r>
      </text>
    </comment>
    <comment ref="A524267" authorId="0" shapeId="0" xr:uid="{00000000-0006-0000-0100-00005E000000}">
      <text>
        <r>
          <rPr>
            <b/>
            <sz val="9"/>
            <color rgb="FF000000"/>
            <rFont val="Tahoma"/>
            <family val="2"/>
          </rPr>
          <t>Seung Jun Hur:</t>
        </r>
        <r>
          <rPr>
            <sz val="9"/>
            <color rgb="FF000000"/>
            <rFont val="Tahoma"/>
            <family val="2"/>
          </rPr>
          <t xml:space="preserve">
</t>
        </r>
        <r>
          <rPr>
            <sz val="9"/>
            <color rgb="FF000000"/>
            <rFont val="돋움"/>
            <family val="3"/>
            <charset val="129"/>
          </rPr>
          <t>표준산업분류</t>
        </r>
      </text>
    </comment>
    <comment ref="A524269" authorId="1" shapeId="0" xr:uid="{00000000-0006-0000-0100-00005F000000}">
      <text>
        <r>
          <rPr>
            <sz val="10"/>
            <color rgb="FF000000"/>
            <rFont val="맑은 고딕"/>
            <family val="3"/>
            <charset val="129"/>
          </rPr>
          <t>2018년 5월말 기준으로 작성</t>
        </r>
      </text>
    </comment>
    <comment ref="A524270" authorId="1" shapeId="0" xr:uid="{00000000-0006-0000-0100-000060000000}">
      <text>
        <r>
          <rPr>
            <sz val="9"/>
            <color rgb="FF000000"/>
            <rFont val="맑은 고딕"/>
            <family val="3"/>
            <charset val="129"/>
          </rPr>
          <t>2017년도에 근무이력이 있는 모든 인원 (퇴사자 포함)</t>
        </r>
      </text>
    </comment>
    <comment ref="A540651" authorId="0" shapeId="0" xr:uid="{00000000-0006-0000-0100-000061000000}">
      <text>
        <r>
          <rPr>
            <b/>
            <sz val="9"/>
            <color rgb="FF000000"/>
            <rFont val="Tahoma"/>
            <family val="2"/>
          </rPr>
          <t>Seung Jun Hur:</t>
        </r>
        <r>
          <rPr>
            <sz val="9"/>
            <color rgb="FF000000"/>
            <rFont val="Tahoma"/>
            <family val="2"/>
          </rPr>
          <t xml:space="preserve">
</t>
        </r>
        <r>
          <rPr>
            <sz val="9"/>
            <color rgb="FF000000"/>
            <rFont val="돋움"/>
            <family val="3"/>
            <charset val="129"/>
          </rPr>
          <t>표준산업분류</t>
        </r>
      </text>
    </comment>
    <comment ref="A540653" authorId="1" shapeId="0" xr:uid="{00000000-0006-0000-0100-000062000000}">
      <text>
        <r>
          <rPr>
            <sz val="10"/>
            <color rgb="FF000000"/>
            <rFont val="맑은 고딕"/>
            <family val="3"/>
            <charset val="129"/>
          </rPr>
          <t>2018년 5월말 기준으로 작성</t>
        </r>
      </text>
    </comment>
    <comment ref="A540654" authorId="1" shapeId="0" xr:uid="{00000000-0006-0000-0100-000063000000}">
      <text>
        <r>
          <rPr>
            <sz val="9"/>
            <color rgb="FF000000"/>
            <rFont val="맑은 고딕"/>
            <family val="3"/>
            <charset val="129"/>
          </rPr>
          <t>2017년도에 근무이력이 있는 모든 인원 (퇴사자 포함)</t>
        </r>
      </text>
    </comment>
    <comment ref="A557035" authorId="0" shapeId="0" xr:uid="{00000000-0006-0000-0100-000064000000}">
      <text>
        <r>
          <rPr>
            <b/>
            <sz val="9"/>
            <color rgb="FF000000"/>
            <rFont val="Tahoma"/>
            <family val="2"/>
          </rPr>
          <t>Seung Jun Hur:</t>
        </r>
        <r>
          <rPr>
            <sz val="9"/>
            <color rgb="FF000000"/>
            <rFont val="Tahoma"/>
            <family val="2"/>
          </rPr>
          <t xml:space="preserve">
</t>
        </r>
        <r>
          <rPr>
            <sz val="9"/>
            <color rgb="FF000000"/>
            <rFont val="돋움"/>
            <family val="3"/>
            <charset val="129"/>
          </rPr>
          <t>표준산업분류</t>
        </r>
      </text>
    </comment>
    <comment ref="A557037" authorId="1" shapeId="0" xr:uid="{00000000-0006-0000-0100-000065000000}">
      <text>
        <r>
          <rPr>
            <sz val="10"/>
            <color rgb="FF000000"/>
            <rFont val="맑은 고딕"/>
            <family val="3"/>
            <charset val="129"/>
          </rPr>
          <t>2018년 5월말 기준으로 작성</t>
        </r>
      </text>
    </comment>
    <comment ref="A557038" authorId="1" shapeId="0" xr:uid="{00000000-0006-0000-0100-000066000000}">
      <text>
        <r>
          <rPr>
            <sz val="9"/>
            <color rgb="FF000000"/>
            <rFont val="맑은 고딕"/>
            <family val="3"/>
            <charset val="129"/>
          </rPr>
          <t>2017년도에 근무이력이 있는 모든 인원 (퇴사자 포함)</t>
        </r>
      </text>
    </comment>
    <comment ref="A573419" authorId="0" shapeId="0" xr:uid="{00000000-0006-0000-0100-000067000000}">
      <text>
        <r>
          <rPr>
            <b/>
            <sz val="9"/>
            <color rgb="FF000000"/>
            <rFont val="Tahoma"/>
            <family val="2"/>
          </rPr>
          <t>Seung Jun Hur:</t>
        </r>
        <r>
          <rPr>
            <sz val="9"/>
            <color rgb="FF000000"/>
            <rFont val="Tahoma"/>
            <family val="2"/>
          </rPr>
          <t xml:space="preserve">
</t>
        </r>
        <r>
          <rPr>
            <sz val="9"/>
            <color rgb="FF000000"/>
            <rFont val="돋움"/>
            <family val="3"/>
            <charset val="129"/>
          </rPr>
          <t>표준산업분류</t>
        </r>
      </text>
    </comment>
    <comment ref="A573421" authorId="1" shapeId="0" xr:uid="{00000000-0006-0000-0100-000068000000}">
      <text>
        <r>
          <rPr>
            <sz val="10"/>
            <color rgb="FF000000"/>
            <rFont val="맑은 고딕"/>
            <family val="3"/>
            <charset val="129"/>
          </rPr>
          <t>2018년 5월말 기준으로 작성</t>
        </r>
      </text>
    </comment>
    <comment ref="A573422" authorId="1" shapeId="0" xr:uid="{00000000-0006-0000-0100-000069000000}">
      <text>
        <r>
          <rPr>
            <sz val="9"/>
            <color rgb="FF000000"/>
            <rFont val="맑은 고딕"/>
            <family val="3"/>
            <charset val="129"/>
          </rPr>
          <t>2017년도에 근무이력이 있는 모든 인원 (퇴사자 포함)</t>
        </r>
      </text>
    </comment>
    <comment ref="A589803" authorId="0" shapeId="0" xr:uid="{00000000-0006-0000-0100-00006A000000}">
      <text>
        <r>
          <rPr>
            <b/>
            <sz val="9"/>
            <color rgb="FF000000"/>
            <rFont val="Tahoma"/>
            <family val="2"/>
          </rPr>
          <t>Seung Jun Hur:</t>
        </r>
        <r>
          <rPr>
            <sz val="9"/>
            <color rgb="FF000000"/>
            <rFont val="Tahoma"/>
            <family val="2"/>
          </rPr>
          <t xml:space="preserve">
</t>
        </r>
        <r>
          <rPr>
            <sz val="9"/>
            <color rgb="FF000000"/>
            <rFont val="돋움"/>
            <family val="3"/>
            <charset val="129"/>
          </rPr>
          <t>표준산업분류</t>
        </r>
      </text>
    </comment>
    <comment ref="A589805" authorId="1" shapeId="0" xr:uid="{00000000-0006-0000-0100-00006B000000}">
      <text>
        <r>
          <rPr>
            <sz val="10"/>
            <color rgb="FF000000"/>
            <rFont val="맑은 고딕"/>
            <family val="3"/>
            <charset val="129"/>
          </rPr>
          <t>2018년 5월말 기준으로 작성</t>
        </r>
      </text>
    </comment>
    <comment ref="A589806" authorId="1" shapeId="0" xr:uid="{00000000-0006-0000-0100-00006C000000}">
      <text>
        <r>
          <rPr>
            <sz val="9"/>
            <color rgb="FF000000"/>
            <rFont val="맑은 고딕"/>
            <family val="3"/>
            <charset val="129"/>
          </rPr>
          <t>2017년도에 근무이력이 있는 모든 인원 (퇴사자 포함)</t>
        </r>
      </text>
    </comment>
    <comment ref="A606187" authorId="0" shapeId="0" xr:uid="{00000000-0006-0000-0100-00006D000000}">
      <text>
        <r>
          <rPr>
            <b/>
            <sz val="9"/>
            <color rgb="FF000000"/>
            <rFont val="Tahoma"/>
            <family val="2"/>
          </rPr>
          <t>Seung Jun Hur:</t>
        </r>
        <r>
          <rPr>
            <sz val="9"/>
            <color rgb="FF000000"/>
            <rFont val="Tahoma"/>
            <family val="2"/>
          </rPr>
          <t xml:space="preserve">
</t>
        </r>
        <r>
          <rPr>
            <sz val="9"/>
            <color rgb="FF000000"/>
            <rFont val="돋움"/>
            <family val="3"/>
            <charset val="129"/>
          </rPr>
          <t>표준산업분류</t>
        </r>
      </text>
    </comment>
    <comment ref="A606189" authorId="1" shapeId="0" xr:uid="{00000000-0006-0000-0100-00006E000000}">
      <text>
        <r>
          <rPr>
            <sz val="10"/>
            <color rgb="FF000000"/>
            <rFont val="맑은 고딕"/>
            <family val="3"/>
            <charset val="129"/>
          </rPr>
          <t>2018년 5월말 기준으로 작성</t>
        </r>
      </text>
    </comment>
    <comment ref="A606190" authorId="1" shapeId="0" xr:uid="{00000000-0006-0000-0100-00006F000000}">
      <text>
        <r>
          <rPr>
            <sz val="9"/>
            <color rgb="FF000000"/>
            <rFont val="맑은 고딕"/>
            <family val="3"/>
            <charset val="129"/>
          </rPr>
          <t>2017년도에 근무이력이 있는 모든 인원 (퇴사자 포함)</t>
        </r>
      </text>
    </comment>
    <comment ref="A622571" authorId="0" shapeId="0" xr:uid="{00000000-0006-0000-0100-000070000000}">
      <text>
        <r>
          <rPr>
            <b/>
            <sz val="9"/>
            <color rgb="FF000000"/>
            <rFont val="Tahoma"/>
            <family val="2"/>
          </rPr>
          <t>Seung Jun Hur:</t>
        </r>
        <r>
          <rPr>
            <sz val="9"/>
            <color rgb="FF000000"/>
            <rFont val="Tahoma"/>
            <family val="2"/>
          </rPr>
          <t xml:space="preserve">
</t>
        </r>
        <r>
          <rPr>
            <sz val="9"/>
            <color rgb="FF000000"/>
            <rFont val="돋움"/>
            <family val="3"/>
            <charset val="129"/>
          </rPr>
          <t>표준산업분류</t>
        </r>
      </text>
    </comment>
    <comment ref="A622573" authorId="1" shapeId="0" xr:uid="{00000000-0006-0000-0100-000071000000}">
      <text>
        <r>
          <rPr>
            <sz val="10"/>
            <color rgb="FF000000"/>
            <rFont val="맑은 고딕"/>
            <family val="3"/>
            <charset val="129"/>
          </rPr>
          <t>2018년 5월말 기준으로 작성</t>
        </r>
      </text>
    </comment>
    <comment ref="A622574" authorId="1" shapeId="0" xr:uid="{00000000-0006-0000-0100-000072000000}">
      <text>
        <r>
          <rPr>
            <sz val="9"/>
            <color rgb="FF000000"/>
            <rFont val="맑은 고딕"/>
            <family val="3"/>
            <charset val="129"/>
          </rPr>
          <t>2017년도에 근무이력이 있는 모든 인원 (퇴사자 포함)</t>
        </r>
      </text>
    </comment>
    <comment ref="A638955" authorId="0" shapeId="0" xr:uid="{00000000-0006-0000-0100-000073000000}">
      <text>
        <r>
          <rPr>
            <b/>
            <sz val="9"/>
            <color rgb="FF000000"/>
            <rFont val="Tahoma"/>
            <family val="2"/>
          </rPr>
          <t>Seung Jun Hur:</t>
        </r>
        <r>
          <rPr>
            <sz val="9"/>
            <color rgb="FF000000"/>
            <rFont val="Tahoma"/>
            <family val="2"/>
          </rPr>
          <t xml:space="preserve">
</t>
        </r>
        <r>
          <rPr>
            <sz val="9"/>
            <color rgb="FF000000"/>
            <rFont val="돋움"/>
            <family val="3"/>
            <charset val="129"/>
          </rPr>
          <t>표준산업분류</t>
        </r>
      </text>
    </comment>
    <comment ref="A638957" authorId="1" shapeId="0" xr:uid="{00000000-0006-0000-0100-000074000000}">
      <text>
        <r>
          <rPr>
            <sz val="10"/>
            <color rgb="FF000000"/>
            <rFont val="맑은 고딕"/>
            <family val="3"/>
            <charset val="129"/>
          </rPr>
          <t>2018년 5월말 기준으로 작성</t>
        </r>
      </text>
    </comment>
    <comment ref="A638958" authorId="1" shapeId="0" xr:uid="{00000000-0006-0000-0100-000075000000}">
      <text>
        <r>
          <rPr>
            <sz val="9"/>
            <color rgb="FF000000"/>
            <rFont val="맑은 고딕"/>
            <family val="3"/>
            <charset val="129"/>
          </rPr>
          <t>2017년도에 근무이력이 있는 모든 인원 (퇴사자 포함)</t>
        </r>
      </text>
    </comment>
    <comment ref="A655339" authorId="0" shapeId="0" xr:uid="{00000000-0006-0000-0100-000076000000}">
      <text>
        <r>
          <rPr>
            <b/>
            <sz val="9"/>
            <color rgb="FF000000"/>
            <rFont val="Tahoma"/>
            <family val="2"/>
          </rPr>
          <t>Seung Jun Hur:</t>
        </r>
        <r>
          <rPr>
            <sz val="9"/>
            <color rgb="FF000000"/>
            <rFont val="Tahoma"/>
            <family val="2"/>
          </rPr>
          <t xml:space="preserve">
</t>
        </r>
        <r>
          <rPr>
            <sz val="9"/>
            <color rgb="FF000000"/>
            <rFont val="돋움"/>
            <family val="3"/>
            <charset val="129"/>
          </rPr>
          <t>표준산업분류</t>
        </r>
      </text>
    </comment>
    <comment ref="A655341" authorId="1" shapeId="0" xr:uid="{00000000-0006-0000-0100-000077000000}">
      <text>
        <r>
          <rPr>
            <sz val="10"/>
            <color rgb="FF000000"/>
            <rFont val="맑은 고딕"/>
            <family val="3"/>
            <charset val="129"/>
          </rPr>
          <t>2018년 5월말 기준으로 작성</t>
        </r>
      </text>
    </comment>
    <comment ref="A655342" authorId="1" shapeId="0" xr:uid="{00000000-0006-0000-0100-000078000000}">
      <text>
        <r>
          <rPr>
            <sz val="9"/>
            <color rgb="FF000000"/>
            <rFont val="맑은 고딕"/>
            <family val="3"/>
            <charset val="129"/>
          </rPr>
          <t>2017년도에 근무이력이 있는 모든 인원 (퇴사자 포함)</t>
        </r>
      </text>
    </comment>
    <comment ref="A671723" authorId="0" shapeId="0" xr:uid="{00000000-0006-0000-0100-000079000000}">
      <text>
        <r>
          <rPr>
            <b/>
            <sz val="9"/>
            <color rgb="FF000000"/>
            <rFont val="Tahoma"/>
            <family val="2"/>
          </rPr>
          <t>Seung Jun Hur:</t>
        </r>
        <r>
          <rPr>
            <sz val="9"/>
            <color rgb="FF000000"/>
            <rFont val="Tahoma"/>
            <family val="2"/>
          </rPr>
          <t xml:space="preserve">
</t>
        </r>
        <r>
          <rPr>
            <sz val="9"/>
            <color rgb="FF000000"/>
            <rFont val="돋움"/>
            <family val="3"/>
            <charset val="129"/>
          </rPr>
          <t>표준산업분류</t>
        </r>
      </text>
    </comment>
    <comment ref="A671725" authorId="1" shapeId="0" xr:uid="{00000000-0006-0000-0100-00007A000000}">
      <text>
        <r>
          <rPr>
            <sz val="10"/>
            <color rgb="FF000000"/>
            <rFont val="맑은 고딕"/>
            <family val="3"/>
            <charset val="129"/>
          </rPr>
          <t>2018년 5월말 기준으로 작성</t>
        </r>
      </text>
    </comment>
    <comment ref="A671726" authorId="1" shapeId="0" xr:uid="{00000000-0006-0000-0100-00007B000000}">
      <text>
        <r>
          <rPr>
            <sz val="9"/>
            <color rgb="FF000000"/>
            <rFont val="맑은 고딕"/>
            <family val="3"/>
            <charset val="129"/>
          </rPr>
          <t>2017년도에 근무이력이 있는 모든 인원 (퇴사자 포함)</t>
        </r>
      </text>
    </comment>
    <comment ref="A688107" authorId="0" shapeId="0" xr:uid="{00000000-0006-0000-0100-00007C000000}">
      <text>
        <r>
          <rPr>
            <b/>
            <sz val="9"/>
            <color rgb="FF000000"/>
            <rFont val="Tahoma"/>
            <family val="2"/>
          </rPr>
          <t>Seung Jun Hur:</t>
        </r>
        <r>
          <rPr>
            <sz val="9"/>
            <color rgb="FF000000"/>
            <rFont val="Tahoma"/>
            <family val="2"/>
          </rPr>
          <t xml:space="preserve">
</t>
        </r>
        <r>
          <rPr>
            <sz val="9"/>
            <color rgb="FF000000"/>
            <rFont val="돋움"/>
            <family val="3"/>
            <charset val="129"/>
          </rPr>
          <t>표준산업분류</t>
        </r>
      </text>
    </comment>
    <comment ref="A688109" authorId="1" shapeId="0" xr:uid="{00000000-0006-0000-0100-00007D000000}">
      <text>
        <r>
          <rPr>
            <sz val="10"/>
            <color rgb="FF000000"/>
            <rFont val="맑은 고딕"/>
            <family val="3"/>
            <charset val="129"/>
          </rPr>
          <t>2018년 5월말 기준으로 작성</t>
        </r>
      </text>
    </comment>
    <comment ref="A688110" authorId="1" shapeId="0" xr:uid="{00000000-0006-0000-0100-00007E000000}">
      <text>
        <r>
          <rPr>
            <sz val="9"/>
            <color rgb="FF000000"/>
            <rFont val="맑은 고딕"/>
            <family val="3"/>
            <charset val="129"/>
          </rPr>
          <t>2017년도에 근무이력이 있는 모든 인원 (퇴사자 포함)</t>
        </r>
      </text>
    </comment>
    <comment ref="A704491" authorId="0" shapeId="0" xr:uid="{00000000-0006-0000-0100-00007F000000}">
      <text>
        <r>
          <rPr>
            <b/>
            <sz val="9"/>
            <color rgb="FF000000"/>
            <rFont val="Tahoma"/>
            <family val="2"/>
          </rPr>
          <t>Seung Jun Hur:</t>
        </r>
        <r>
          <rPr>
            <sz val="9"/>
            <color rgb="FF000000"/>
            <rFont val="Tahoma"/>
            <family val="2"/>
          </rPr>
          <t xml:space="preserve">
</t>
        </r>
        <r>
          <rPr>
            <sz val="9"/>
            <color rgb="FF000000"/>
            <rFont val="돋움"/>
            <family val="3"/>
            <charset val="129"/>
          </rPr>
          <t>표준산업분류</t>
        </r>
      </text>
    </comment>
    <comment ref="A704493" authorId="1" shapeId="0" xr:uid="{00000000-0006-0000-0100-000080000000}">
      <text>
        <r>
          <rPr>
            <sz val="10"/>
            <color rgb="FF000000"/>
            <rFont val="맑은 고딕"/>
            <family val="3"/>
            <charset val="129"/>
          </rPr>
          <t>2018년 5월말 기준으로 작성</t>
        </r>
      </text>
    </comment>
    <comment ref="A704494" authorId="1" shapeId="0" xr:uid="{00000000-0006-0000-0100-000081000000}">
      <text>
        <r>
          <rPr>
            <sz val="9"/>
            <color rgb="FF000000"/>
            <rFont val="맑은 고딕"/>
            <family val="3"/>
            <charset val="129"/>
          </rPr>
          <t>2017년도에 근무이력이 있는 모든 인원 (퇴사자 포함)</t>
        </r>
      </text>
    </comment>
    <comment ref="A720875" authorId="0" shapeId="0" xr:uid="{00000000-0006-0000-0100-000082000000}">
      <text>
        <r>
          <rPr>
            <b/>
            <sz val="9"/>
            <color rgb="FF000000"/>
            <rFont val="Tahoma"/>
            <family val="2"/>
          </rPr>
          <t>Seung Jun Hur:</t>
        </r>
        <r>
          <rPr>
            <sz val="9"/>
            <color rgb="FF000000"/>
            <rFont val="Tahoma"/>
            <family val="2"/>
          </rPr>
          <t xml:space="preserve">
</t>
        </r>
        <r>
          <rPr>
            <sz val="9"/>
            <color rgb="FF000000"/>
            <rFont val="돋움"/>
            <family val="3"/>
            <charset val="129"/>
          </rPr>
          <t>표준산업분류</t>
        </r>
      </text>
    </comment>
    <comment ref="A720877" authorId="1" shapeId="0" xr:uid="{00000000-0006-0000-0100-000083000000}">
      <text>
        <r>
          <rPr>
            <sz val="10"/>
            <color rgb="FF000000"/>
            <rFont val="맑은 고딕"/>
            <family val="3"/>
            <charset val="129"/>
          </rPr>
          <t>2018년 5월말 기준으로 작성</t>
        </r>
      </text>
    </comment>
    <comment ref="A720878" authorId="1" shapeId="0" xr:uid="{00000000-0006-0000-0100-000084000000}">
      <text>
        <r>
          <rPr>
            <sz val="9"/>
            <color rgb="FF000000"/>
            <rFont val="맑은 고딕"/>
            <family val="3"/>
            <charset val="129"/>
          </rPr>
          <t>2017년도에 근무이력이 있는 모든 인원 (퇴사자 포함)</t>
        </r>
      </text>
    </comment>
    <comment ref="A737259" authorId="0" shapeId="0" xr:uid="{00000000-0006-0000-0100-000085000000}">
      <text>
        <r>
          <rPr>
            <b/>
            <sz val="9"/>
            <color rgb="FF000000"/>
            <rFont val="Tahoma"/>
            <family val="2"/>
          </rPr>
          <t>Seung Jun Hur:</t>
        </r>
        <r>
          <rPr>
            <sz val="9"/>
            <color rgb="FF000000"/>
            <rFont val="Tahoma"/>
            <family val="2"/>
          </rPr>
          <t xml:space="preserve">
</t>
        </r>
        <r>
          <rPr>
            <sz val="9"/>
            <color rgb="FF000000"/>
            <rFont val="돋움"/>
            <family val="3"/>
            <charset val="129"/>
          </rPr>
          <t>표준산업분류</t>
        </r>
      </text>
    </comment>
    <comment ref="A737261" authorId="1" shapeId="0" xr:uid="{00000000-0006-0000-0100-000086000000}">
      <text>
        <r>
          <rPr>
            <sz val="10"/>
            <color rgb="FF000000"/>
            <rFont val="맑은 고딕"/>
            <family val="3"/>
            <charset val="129"/>
          </rPr>
          <t>2018년 5월말 기준으로 작성</t>
        </r>
      </text>
    </comment>
    <comment ref="A737262" authorId="1" shapeId="0" xr:uid="{00000000-0006-0000-0100-000087000000}">
      <text>
        <r>
          <rPr>
            <sz val="9"/>
            <color rgb="FF000000"/>
            <rFont val="맑은 고딕"/>
            <family val="3"/>
            <charset val="129"/>
          </rPr>
          <t>2017년도에 근무이력이 있는 모든 인원 (퇴사자 포함)</t>
        </r>
      </text>
    </comment>
    <comment ref="A753643" authorId="0" shapeId="0" xr:uid="{00000000-0006-0000-0100-000088000000}">
      <text>
        <r>
          <rPr>
            <b/>
            <sz val="9"/>
            <color rgb="FF000000"/>
            <rFont val="Tahoma"/>
            <family val="2"/>
          </rPr>
          <t>Seung Jun Hur:</t>
        </r>
        <r>
          <rPr>
            <sz val="9"/>
            <color rgb="FF000000"/>
            <rFont val="Tahoma"/>
            <family val="2"/>
          </rPr>
          <t xml:space="preserve">
</t>
        </r>
        <r>
          <rPr>
            <sz val="9"/>
            <color rgb="FF000000"/>
            <rFont val="돋움"/>
            <family val="3"/>
            <charset val="129"/>
          </rPr>
          <t>표준산업분류</t>
        </r>
      </text>
    </comment>
    <comment ref="A753645" authorId="1" shapeId="0" xr:uid="{00000000-0006-0000-0100-000089000000}">
      <text>
        <r>
          <rPr>
            <sz val="10"/>
            <color rgb="FF000000"/>
            <rFont val="맑은 고딕"/>
            <family val="3"/>
            <charset val="129"/>
          </rPr>
          <t>2018년 5월말 기준으로 작성</t>
        </r>
      </text>
    </comment>
    <comment ref="A753646" authorId="1" shapeId="0" xr:uid="{00000000-0006-0000-0100-00008A000000}">
      <text>
        <r>
          <rPr>
            <sz val="9"/>
            <color rgb="FF000000"/>
            <rFont val="맑은 고딕"/>
            <family val="3"/>
            <charset val="129"/>
          </rPr>
          <t>2017년도에 근무이력이 있는 모든 인원 (퇴사자 포함)</t>
        </r>
      </text>
    </comment>
    <comment ref="A770027" authorId="0" shapeId="0" xr:uid="{00000000-0006-0000-0100-00008B000000}">
      <text>
        <r>
          <rPr>
            <b/>
            <sz val="9"/>
            <color rgb="FF000000"/>
            <rFont val="Tahoma"/>
            <family val="2"/>
          </rPr>
          <t>Seung Jun Hur:</t>
        </r>
        <r>
          <rPr>
            <sz val="9"/>
            <color rgb="FF000000"/>
            <rFont val="Tahoma"/>
            <family val="2"/>
          </rPr>
          <t xml:space="preserve">
</t>
        </r>
        <r>
          <rPr>
            <sz val="9"/>
            <color rgb="FF000000"/>
            <rFont val="돋움"/>
            <family val="3"/>
            <charset val="129"/>
          </rPr>
          <t>표준산업분류</t>
        </r>
      </text>
    </comment>
    <comment ref="A770029" authorId="1" shapeId="0" xr:uid="{00000000-0006-0000-0100-00008C000000}">
      <text>
        <r>
          <rPr>
            <sz val="10"/>
            <color rgb="FF000000"/>
            <rFont val="맑은 고딕"/>
            <family val="3"/>
            <charset val="129"/>
          </rPr>
          <t>2018년 5월말 기준으로 작성</t>
        </r>
      </text>
    </comment>
    <comment ref="A770030" authorId="1" shapeId="0" xr:uid="{00000000-0006-0000-0100-00008D000000}">
      <text>
        <r>
          <rPr>
            <sz val="9"/>
            <color rgb="FF000000"/>
            <rFont val="맑은 고딕"/>
            <family val="3"/>
            <charset val="129"/>
          </rPr>
          <t>2017년도에 근무이력이 있는 모든 인원 (퇴사자 포함)</t>
        </r>
      </text>
    </comment>
    <comment ref="A786411" authorId="0" shapeId="0" xr:uid="{00000000-0006-0000-0100-00008E000000}">
      <text>
        <r>
          <rPr>
            <b/>
            <sz val="9"/>
            <color rgb="FF000000"/>
            <rFont val="Tahoma"/>
            <family val="2"/>
          </rPr>
          <t>Seung Jun Hur:</t>
        </r>
        <r>
          <rPr>
            <sz val="9"/>
            <color rgb="FF000000"/>
            <rFont val="Tahoma"/>
            <family val="2"/>
          </rPr>
          <t xml:space="preserve">
</t>
        </r>
        <r>
          <rPr>
            <sz val="9"/>
            <color rgb="FF000000"/>
            <rFont val="돋움"/>
            <family val="3"/>
            <charset val="129"/>
          </rPr>
          <t>표준산업분류</t>
        </r>
      </text>
    </comment>
    <comment ref="A786413" authorId="1" shapeId="0" xr:uid="{00000000-0006-0000-0100-00008F000000}">
      <text>
        <r>
          <rPr>
            <sz val="10"/>
            <color rgb="FF000000"/>
            <rFont val="맑은 고딕"/>
            <family val="3"/>
            <charset val="129"/>
          </rPr>
          <t>2018년 5월말 기준으로 작성</t>
        </r>
      </text>
    </comment>
    <comment ref="A786414" authorId="1" shapeId="0" xr:uid="{00000000-0006-0000-0100-000090000000}">
      <text>
        <r>
          <rPr>
            <sz val="9"/>
            <color rgb="FF000000"/>
            <rFont val="맑은 고딕"/>
            <family val="3"/>
            <charset val="129"/>
          </rPr>
          <t>2017년도에 근무이력이 있는 모든 인원 (퇴사자 포함)</t>
        </r>
      </text>
    </comment>
    <comment ref="A802795" authorId="0" shapeId="0" xr:uid="{00000000-0006-0000-0100-000091000000}">
      <text>
        <r>
          <rPr>
            <b/>
            <sz val="9"/>
            <color rgb="FF000000"/>
            <rFont val="Tahoma"/>
            <family val="2"/>
          </rPr>
          <t>Seung Jun Hur:</t>
        </r>
        <r>
          <rPr>
            <sz val="9"/>
            <color rgb="FF000000"/>
            <rFont val="Tahoma"/>
            <family val="2"/>
          </rPr>
          <t xml:space="preserve">
</t>
        </r>
        <r>
          <rPr>
            <sz val="9"/>
            <color rgb="FF000000"/>
            <rFont val="돋움"/>
            <family val="3"/>
            <charset val="129"/>
          </rPr>
          <t>표준산업분류</t>
        </r>
      </text>
    </comment>
    <comment ref="A802797" authorId="1" shapeId="0" xr:uid="{00000000-0006-0000-0100-000092000000}">
      <text>
        <r>
          <rPr>
            <sz val="10"/>
            <color rgb="FF000000"/>
            <rFont val="맑은 고딕"/>
            <family val="3"/>
            <charset val="129"/>
          </rPr>
          <t>2018년 5월말 기준으로 작성</t>
        </r>
      </text>
    </comment>
    <comment ref="A802798" authorId="1" shapeId="0" xr:uid="{00000000-0006-0000-0100-000093000000}">
      <text>
        <r>
          <rPr>
            <sz val="9"/>
            <color rgb="FF000000"/>
            <rFont val="맑은 고딕"/>
            <family val="3"/>
            <charset val="129"/>
          </rPr>
          <t>2017년도에 근무이력이 있는 모든 인원 (퇴사자 포함)</t>
        </r>
      </text>
    </comment>
    <comment ref="A819179" authorId="0" shapeId="0" xr:uid="{00000000-0006-0000-0100-000094000000}">
      <text>
        <r>
          <rPr>
            <b/>
            <sz val="9"/>
            <color rgb="FF000000"/>
            <rFont val="Tahoma"/>
            <family val="2"/>
          </rPr>
          <t>Seung Jun Hur:</t>
        </r>
        <r>
          <rPr>
            <sz val="9"/>
            <color rgb="FF000000"/>
            <rFont val="Tahoma"/>
            <family val="2"/>
          </rPr>
          <t xml:space="preserve">
</t>
        </r>
        <r>
          <rPr>
            <sz val="9"/>
            <color rgb="FF000000"/>
            <rFont val="돋움"/>
            <family val="3"/>
            <charset val="129"/>
          </rPr>
          <t>표준산업분류</t>
        </r>
      </text>
    </comment>
    <comment ref="A819181" authorId="1" shapeId="0" xr:uid="{00000000-0006-0000-0100-000095000000}">
      <text>
        <r>
          <rPr>
            <sz val="10"/>
            <color rgb="FF000000"/>
            <rFont val="맑은 고딕"/>
            <family val="3"/>
            <charset val="129"/>
          </rPr>
          <t>2018년 5월말 기준으로 작성</t>
        </r>
      </text>
    </comment>
    <comment ref="A819182" authorId="1" shapeId="0" xr:uid="{00000000-0006-0000-0100-000096000000}">
      <text>
        <r>
          <rPr>
            <sz val="9"/>
            <color rgb="FF000000"/>
            <rFont val="맑은 고딕"/>
            <family val="3"/>
            <charset val="129"/>
          </rPr>
          <t>2017년도에 근무이력이 있는 모든 인원 (퇴사자 포함)</t>
        </r>
      </text>
    </comment>
    <comment ref="A835563" authorId="0" shapeId="0" xr:uid="{00000000-0006-0000-0100-000097000000}">
      <text>
        <r>
          <rPr>
            <b/>
            <sz val="9"/>
            <color rgb="FF000000"/>
            <rFont val="Tahoma"/>
            <family val="2"/>
          </rPr>
          <t>Seung Jun Hur:</t>
        </r>
        <r>
          <rPr>
            <sz val="9"/>
            <color rgb="FF000000"/>
            <rFont val="Tahoma"/>
            <family val="2"/>
          </rPr>
          <t xml:space="preserve">
</t>
        </r>
        <r>
          <rPr>
            <sz val="9"/>
            <color rgb="FF000000"/>
            <rFont val="돋움"/>
            <family val="3"/>
            <charset val="129"/>
          </rPr>
          <t>표준산업분류</t>
        </r>
      </text>
    </comment>
    <comment ref="A835565" authorId="1" shapeId="0" xr:uid="{00000000-0006-0000-0100-000098000000}">
      <text>
        <r>
          <rPr>
            <sz val="10"/>
            <color rgb="FF000000"/>
            <rFont val="맑은 고딕"/>
            <family val="3"/>
            <charset val="129"/>
          </rPr>
          <t>2018년 5월말 기준으로 작성</t>
        </r>
      </text>
    </comment>
    <comment ref="A835566" authorId="1" shapeId="0" xr:uid="{00000000-0006-0000-0100-000099000000}">
      <text>
        <r>
          <rPr>
            <sz val="9"/>
            <color rgb="FF000000"/>
            <rFont val="맑은 고딕"/>
            <family val="3"/>
            <charset val="129"/>
          </rPr>
          <t>2017년도에 근무이력이 있는 모든 인원 (퇴사자 포함)</t>
        </r>
      </text>
    </comment>
    <comment ref="A851947" authorId="0" shapeId="0" xr:uid="{00000000-0006-0000-0100-00009A000000}">
      <text>
        <r>
          <rPr>
            <b/>
            <sz val="9"/>
            <color rgb="FF000000"/>
            <rFont val="Tahoma"/>
            <family val="2"/>
          </rPr>
          <t>Seung Jun Hur:</t>
        </r>
        <r>
          <rPr>
            <sz val="9"/>
            <color rgb="FF000000"/>
            <rFont val="Tahoma"/>
            <family val="2"/>
          </rPr>
          <t xml:space="preserve">
</t>
        </r>
        <r>
          <rPr>
            <sz val="9"/>
            <color rgb="FF000000"/>
            <rFont val="돋움"/>
            <family val="3"/>
            <charset val="129"/>
          </rPr>
          <t>표준산업분류</t>
        </r>
      </text>
    </comment>
    <comment ref="A851949" authorId="1" shapeId="0" xr:uid="{00000000-0006-0000-0100-00009B000000}">
      <text>
        <r>
          <rPr>
            <sz val="10"/>
            <color rgb="FF000000"/>
            <rFont val="맑은 고딕"/>
            <family val="3"/>
            <charset val="129"/>
          </rPr>
          <t>2018년 5월말 기준으로 작성</t>
        </r>
      </text>
    </comment>
    <comment ref="A851950" authorId="1" shapeId="0" xr:uid="{00000000-0006-0000-0100-00009C000000}">
      <text>
        <r>
          <rPr>
            <sz val="9"/>
            <color rgb="FF000000"/>
            <rFont val="맑은 고딕"/>
            <family val="3"/>
            <charset val="129"/>
          </rPr>
          <t>2017년도에 근무이력이 있는 모든 인원 (퇴사자 포함)</t>
        </r>
      </text>
    </comment>
    <comment ref="A868331" authorId="0" shapeId="0" xr:uid="{00000000-0006-0000-0100-00009D000000}">
      <text>
        <r>
          <rPr>
            <b/>
            <sz val="9"/>
            <color rgb="FF000000"/>
            <rFont val="Tahoma"/>
            <family val="2"/>
          </rPr>
          <t>Seung Jun Hur:</t>
        </r>
        <r>
          <rPr>
            <sz val="9"/>
            <color rgb="FF000000"/>
            <rFont val="Tahoma"/>
            <family val="2"/>
          </rPr>
          <t xml:space="preserve">
</t>
        </r>
        <r>
          <rPr>
            <sz val="9"/>
            <color rgb="FF000000"/>
            <rFont val="돋움"/>
            <family val="3"/>
            <charset val="129"/>
          </rPr>
          <t>표준산업분류</t>
        </r>
      </text>
    </comment>
    <comment ref="A868333" authorId="1" shapeId="0" xr:uid="{00000000-0006-0000-0100-00009E000000}">
      <text>
        <r>
          <rPr>
            <sz val="10"/>
            <color rgb="FF000000"/>
            <rFont val="맑은 고딕"/>
            <family val="3"/>
            <charset val="129"/>
          </rPr>
          <t>2018년 5월말 기준으로 작성</t>
        </r>
      </text>
    </comment>
    <comment ref="A868334" authorId="1" shapeId="0" xr:uid="{00000000-0006-0000-0100-00009F000000}">
      <text>
        <r>
          <rPr>
            <sz val="9"/>
            <color rgb="FF000000"/>
            <rFont val="맑은 고딕"/>
            <family val="3"/>
            <charset val="129"/>
          </rPr>
          <t>2017년도에 근무이력이 있는 모든 인원 (퇴사자 포함)</t>
        </r>
      </text>
    </comment>
    <comment ref="A884715" authorId="0" shapeId="0" xr:uid="{00000000-0006-0000-0100-0000A0000000}">
      <text>
        <r>
          <rPr>
            <b/>
            <sz val="9"/>
            <color rgb="FF000000"/>
            <rFont val="Tahoma"/>
            <family val="2"/>
          </rPr>
          <t>Seung Jun Hur:</t>
        </r>
        <r>
          <rPr>
            <sz val="9"/>
            <color rgb="FF000000"/>
            <rFont val="Tahoma"/>
            <family val="2"/>
          </rPr>
          <t xml:space="preserve">
</t>
        </r>
        <r>
          <rPr>
            <sz val="9"/>
            <color rgb="FF000000"/>
            <rFont val="돋움"/>
            <family val="3"/>
            <charset val="129"/>
          </rPr>
          <t>표준산업분류</t>
        </r>
      </text>
    </comment>
    <comment ref="A884717" authorId="1" shapeId="0" xr:uid="{00000000-0006-0000-0100-0000A1000000}">
      <text>
        <r>
          <rPr>
            <sz val="10"/>
            <color rgb="FF000000"/>
            <rFont val="맑은 고딕"/>
            <family val="3"/>
            <charset val="129"/>
          </rPr>
          <t>2018년 5월말 기준으로 작성</t>
        </r>
      </text>
    </comment>
    <comment ref="A884718" authorId="1" shapeId="0" xr:uid="{00000000-0006-0000-0100-0000A2000000}">
      <text>
        <r>
          <rPr>
            <sz val="9"/>
            <color rgb="FF000000"/>
            <rFont val="맑은 고딕"/>
            <family val="3"/>
            <charset val="129"/>
          </rPr>
          <t>2017년도에 근무이력이 있는 모든 인원 (퇴사자 포함)</t>
        </r>
      </text>
    </comment>
    <comment ref="A901099" authorId="0" shapeId="0" xr:uid="{00000000-0006-0000-0100-0000A3000000}">
      <text>
        <r>
          <rPr>
            <b/>
            <sz val="9"/>
            <color rgb="FF000000"/>
            <rFont val="Tahoma"/>
            <family val="2"/>
          </rPr>
          <t>Seung Jun Hur:</t>
        </r>
        <r>
          <rPr>
            <sz val="9"/>
            <color rgb="FF000000"/>
            <rFont val="Tahoma"/>
            <family val="2"/>
          </rPr>
          <t xml:space="preserve">
</t>
        </r>
        <r>
          <rPr>
            <sz val="9"/>
            <color rgb="FF000000"/>
            <rFont val="돋움"/>
            <family val="3"/>
            <charset val="129"/>
          </rPr>
          <t>표준산업분류</t>
        </r>
      </text>
    </comment>
    <comment ref="A901101" authorId="1" shapeId="0" xr:uid="{00000000-0006-0000-0100-0000A4000000}">
      <text>
        <r>
          <rPr>
            <sz val="10"/>
            <color rgb="FF000000"/>
            <rFont val="맑은 고딕"/>
            <family val="3"/>
            <charset val="129"/>
          </rPr>
          <t>2018년 5월말 기준으로 작성</t>
        </r>
      </text>
    </comment>
    <comment ref="A901102" authorId="1" shapeId="0" xr:uid="{00000000-0006-0000-0100-0000A5000000}">
      <text>
        <r>
          <rPr>
            <sz val="9"/>
            <color rgb="FF000000"/>
            <rFont val="맑은 고딕"/>
            <family val="3"/>
            <charset val="129"/>
          </rPr>
          <t>2017년도에 근무이력이 있는 모든 인원 (퇴사자 포함)</t>
        </r>
      </text>
    </comment>
    <comment ref="A917483" authorId="0" shapeId="0" xr:uid="{00000000-0006-0000-0100-0000A6000000}">
      <text>
        <r>
          <rPr>
            <b/>
            <sz val="9"/>
            <color rgb="FF000000"/>
            <rFont val="Tahoma"/>
            <family val="2"/>
          </rPr>
          <t>Seung Jun Hur:</t>
        </r>
        <r>
          <rPr>
            <sz val="9"/>
            <color rgb="FF000000"/>
            <rFont val="Tahoma"/>
            <family val="2"/>
          </rPr>
          <t xml:space="preserve">
</t>
        </r>
        <r>
          <rPr>
            <sz val="9"/>
            <color rgb="FF000000"/>
            <rFont val="돋움"/>
            <family val="3"/>
            <charset val="129"/>
          </rPr>
          <t>표준산업분류</t>
        </r>
      </text>
    </comment>
    <comment ref="A917485" authorId="1" shapeId="0" xr:uid="{00000000-0006-0000-0100-0000A7000000}">
      <text>
        <r>
          <rPr>
            <sz val="10"/>
            <color rgb="FF000000"/>
            <rFont val="맑은 고딕"/>
            <family val="3"/>
            <charset val="129"/>
          </rPr>
          <t>2018년 5월말 기준으로 작성</t>
        </r>
      </text>
    </comment>
    <comment ref="A917486" authorId="1" shapeId="0" xr:uid="{00000000-0006-0000-0100-0000A8000000}">
      <text>
        <r>
          <rPr>
            <sz val="9"/>
            <color rgb="FF000000"/>
            <rFont val="맑은 고딕"/>
            <family val="3"/>
            <charset val="129"/>
          </rPr>
          <t>2017년도에 근무이력이 있는 모든 인원 (퇴사자 포함)</t>
        </r>
      </text>
    </comment>
    <comment ref="A933867" authorId="0" shapeId="0" xr:uid="{00000000-0006-0000-0100-0000A9000000}">
      <text>
        <r>
          <rPr>
            <b/>
            <sz val="9"/>
            <color rgb="FF000000"/>
            <rFont val="Tahoma"/>
            <family val="2"/>
          </rPr>
          <t>Seung Jun Hur:</t>
        </r>
        <r>
          <rPr>
            <sz val="9"/>
            <color rgb="FF000000"/>
            <rFont val="Tahoma"/>
            <family val="2"/>
          </rPr>
          <t xml:space="preserve">
</t>
        </r>
        <r>
          <rPr>
            <sz val="9"/>
            <color rgb="FF000000"/>
            <rFont val="돋움"/>
            <family val="3"/>
            <charset val="129"/>
          </rPr>
          <t>표준산업분류</t>
        </r>
      </text>
    </comment>
    <comment ref="A933869" authorId="1" shapeId="0" xr:uid="{00000000-0006-0000-0100-0000AA000000}">
      <text>
        <r>
          <rPr>
            <sz val="10"/>
            <color rgb="FF000000"/>
            <rFont val="맑은 고딕"/>
            <family val="3"/>
            <charset val="129"/>
          </rPr>
          <t>2018년 5월말 기준으로 작성</t>
        </r>
      </text>
    </comment>
    <comment ref="A933870" authorId="1" shapeId="0" xr:uid="{00000000-0006-0000-0100-0000AB000000}">
      <text>
        <r>
          <rPr>
            <sz val="9"/>
            <color rgb="FF000000"/>
            <rFont val="맑은 고딕"/>
            <family val="3"/>
            <charset val="129"/>
          </rPr>
          <t>2017년도에 근무이력이 있는 모든 인원 (퇴사자 포함)</t>
        </r>
      </text>
    </comment>
    <comment ref="A950251" authorId="0" shapeId="0" xr:uid="{00000000-0006-0000-0100-0000AC000000}">
      <text>
        <r>
          <rPr>
            <b/>
            <sz val="9"/>
            <color rgb="FF000000"/>
            <rFont val="Tahoma"/>
            <family val="2"/>
          </rPr>
          <t>Seung Jun Hur:</t>
        </r>
        <r>
          <rPr>
            <sz val="9"/>
            <color rgb="FF000000"/>
            <rFont val="Tahoma"/>
            <family val="2"/>
          </rPr>
          <t xml:space="preserve">
</t>
        </r>
        <r>
          <rPr>
            <sz val="9"/>
            <color rgb="FF000000"/>
            <rFont val="돋움"/>
            <family val="3"/>
            <charset val="129"/>
          </rPr>
          <t>표준산업분류</t>
        </r>
      </text>
    </comment>
    <comment ref="A950253" authorId="1" shapeId="0" xr:uid="{00000000-0006-0000-0100-0000AD000000}">
      <text>
        <r>
          <rPr>
            <sz val="10"/>
            <color rgb="FF000000"/>
            <rFont val="맑은 고딕"/>
            <family val="3"/>
            <charset val="129"/>
          </rPr>
          <t>2018년 5월말 기준으로 작성</t>
        </r>
      </text>
    </comment>
    <comment ref="A950254" authorId="1" shapeId="0" xr:uid="{00000000-0006-0000-0100-0000AE000000}">
      <text>
        <r>
          <rPr>
            <sz val="9"/>
            <color rgb="FF000000"/>
            <rFont val="맑은 고딕"/>
            <family val="3"/>
            <charset val="129"/>
          </rPr>
          <t>2017년도에 근무이력이 있는 모든 인원 (퇴사자 포함)</t>
        </r>
      </text>
    </comment>
    <comment ref="A966635" authorId="0" shapeId="0" xr:uid="{00000000-0006-0000-0100-0000AF000000}">
      <text>
        <r>
          <rPr>
            <b/>
            <sz val="9"/>
            <color rgb="FF000000"/>
            <rFont val="Tahoma"/>
            <family val="2"/>
          </rPr>
          <t>Seung Jun Hur:</t>
        </r>
        <r>
          <rPr>
            <sz val="9"/>
            <color rgb="FF000000"/>
            <rFont val="Tahoma"/>
            <family val="2"/>
          </rPr>
          <t xml:space="preserve">
</t>
        </r>
        <r>
          <rPr>
            <sz val="9"/>
            <color rgb="FF000000"/>
            <rFont val="돋움"/>
            <family val="3"/>
            <charset val="129"/>
          </rPr>
          <t>표준산업분류</t>
        </r>
      </text>
    </comment>
    <comment ref="A966637" authorId="1" shapeId="0" xr:uid="{00000000-0006-0000-0100-0000B0000000}">
      <text>
        <r>
          <rPr>
            <sz val="10"/>
            <color rgb="FF000000"/>
            <rFont val="맑은 고딕"/>
            <family val="3"/>
            <charset val="129"/>
          </rPr>
          <t>2018년 5월말 기준으로 작성</t>
        </r>
      </text>
    </comment>
    <comment ref="A966638" authorId="1" shapeId="0" xr:uid="{00000000-0006-0000-0100-0000B1000000}">
      <text>
        <r>
          <rPr>
            <sz val="9"/>
            <color rgb="FF000000"/>
            <rFont val="맑은 고딕"/>
            <family val="3"/>
            <charset val="129"/>
          </rPr>
          <t>2017년도에 근무이력이 있는 모든 인원 (퇴사자 포함)</t>
        </r>
      </text>
    </comment>
    <comment ref="A983019" authorId="0" shapeId="0" xr:uid="{00000000-0006-0000-0100-0000B2000000}">
      <text>
        <r>
          <rPr>
            <b/>
            <sz val="9"/>
            <color rgb="FF000000"/>
            <rFont val="Tahoma"/>
            <family val="2"/>
          </rPr>
          <t>Seung Jun Hur:</t>
        </r>
        <r>
          <rPr>
            <sz val="9"/>
            <color rgb="FF000000"/>
            <rFont val="Tahoma"/>
            <family val="2"/>
          </rPr>
          <t xml:space="preserve">
</t>
        </r>
        <r>
          <rPr>
            <sz val="9"/>
            <color rgb="FF000000"/>
            <rFont val="돋움"/>
            <family val="3"/>
            <charset val="129"/>
          </rPr>
          <t>표준산업분류</t>
        </r>
      </text>
    </comment>
    <comment ref="A983021" authorId="1" shapeId="0" xr:uid="{00000000-0006-0000-0100-0000B3000000}">
      <text>
        <r>
          <rPr>
            <sz val="10"/>
            <color rgb="FF000000"/>
            <rFont val="맑은 고딕"/>
            <family val="3"/>
            <charset val="129"/>
          </rPr>
          <t>2018년 5월말 기준으로 작성</t>
        </r>
      </text>
    </comment>
    <comment ref="A983022" authorId="1" shapeId="0" xr:uid="{00000000-0006-0000-0100-0000B4000000}">
      <text>
        <r>
          <rPr>
            <sz val="9"/>
            <color rgb="FF000000"/>
            <rFont val="맑은 고딕"/>
            <family val="3"/>
            <charset val="129"/>
          </rPr>
          <t>2017년도에 근무이력이 있는 모든 인원 (퇴사자 포함)</t>
        </r>
      </text>
    </comment>
    <comment ref="A999403" authorId="0" shapeId="0" xr:uid="{00000000-0006-0000-0100-0000B5000000}">
      <text>
        <r>
          <rPr>
            <b/>
            <sz val="9"/>
            <color rgb="FF000000"/>
            <rFont val="Tahoma"/>
            <family val="2"/>
          </rPr>
          <t>Seung Jun Hur:</t>
        </r>
        <r>
          <rPr>
            <sz val="9"/>
            <color rgb="FF000000"/>
            <rFont val="Tahoma"/>
            <family val="2"/>
          </rPr>
          <t xml:space="preserve">
</t>
        </r>
        <r>
          <rPr>
            <sz val="9"/>
            <color rgb="FF000000"/>
            <rFont val="돋움"/>
            <family val="3"/>
            <charset val="129"/>
          </rPr>
          <t>표준산업분류</t>
        </r>
      </text>
    </comment>
    <comment ref="A999405" authorId="1" shapeId="0" xr:uid="{00000000-0006-0000-0100-0000B6000000}">
      <text>
        <r>
          <rPr>
            <sz val="10"/>
            <color rgb="FF000000"/>
            <rFont val="맑은 고딕"/>
            <family val="3"/>
            <charset val="129"/>
          </rPr>
          <t>2018년 5월말 기준으로 작성</t>
        </r>
      </text>
    </comment>
    <comment ref="A999406" authorId="1" shapeId="0" xr:uid="{00000000-0006-0000-0100-0000B7000000}">
      <text>
        <r>
          <rPr>
            <sz val="9"/>
            <color rgb="FF000000"/>
            <rFont val="맑은 고딕"/>
            <family val="3"/>
            <charset val="129"/>
          </rPr>
          <t>2017년도에 근무이력이 있는 모든 인원 (퇴사자 포함)</t>
        </r>
      </text>
    </comment>
    <comment ref="A1015787" authorId="0" shapeId="0" xr:uid="{00000000-0006-0000-0100-0000B8000000}">
      <text>
        <r>
          <rPr>
            <b/>
            <sz val="9"/>
            <color rgb="FF000000"/>
            <rFont val="Tahoma"/>
            <family val="2"/>
          </rPr>
          <t>Seung Jun Hur:</t>
        </r>
        <r>
          <rPr>
            <sz val="9"/>
            <color rgb="FF000000"/>
            <rFont val="Tahoma"/>
            <family val="2"/>
          </rPr>
          <t xml:space="preserve">
</t>
        </r>
        <r>
          <rPr>
            <sz val="9"/>
            <color rgb="FF000000"/>
            <rFont val="돋움"/>
            <family val="3"/>
            <charset val="129"/>
          </rPr>
          <t>표준산업분류</t>
        </r>
      </text>
    </comment>
    <comment ref="A1015789" authorId="1" shapeId="0" xr:uid="{00000000-0006-0000-0100-0000B9000000}">
      <text>
        <r>
          <rPr>
            <sz val="10"/>
            <color rgb="FF000000"/>
            <rFont val="맑은 고딕"/>
            <family val="3"/>
            <charset val="129"/>
          </rPr>
          <t>2018년 5월말 기준으로 작성</t>
        </r>
      </text>
    </comment>
    <comment ref="A1015790" authorId="1" shapeId="0" xr:uid="{00000000-0006-0000-0100-0000BA000000}">
      <text>
        <r>
          <rPr>
            <sz val="9"/>
            <color rgb="FF000000"/>
            <rFont val="맑은 고딕"/>
            <family val="3"/>
            <charset val="129"/>
          </rPr>
          <t>2017년도에 근무이력이 있는 모든 인원 (퇴사자 포함)</t>
        </r>
      </text>
    </comment>
    <comment ref="A1032171" authorId="0" shapeId="0" xr:uid="{00000000-0006-0000-0100-0000BB000000}">
      <text>
        <r>
          <rPr>
            <b/>
            <sz val="9"/>
            <color rgb="FF000000"/>
            <rFont val="Tahoma"/>
            <family val="2"/>
          </rPr>
          <t>Seung Jun Hur:</t>
        </r>
        <r>
          <rPr>
            <sz val="9"/>
            <color rgb="FF000000"/>
            <rFont val="Tahoma"/>
            <family val="2"/>
          </rPr>
          <t xml:space="preserve">
</t>
        </r>
        <r>
          <rPr>
            <sz val="9"/>
            <color rgb="FF000000"/>
            <rFont val="돋움"/>
            <family val="3"/>
            <charset val="129"/>
          </rPr>
          <t>표준산업분류</t>
        </r>
      </text>
    </comment>
    <comment ref="A1032173" authorId="1" shapeId="0" xr:uid="{00000000-0006-0000-0100-0000BC000000}">
      <text>
        <r>
          <rPr>
            <sz val="10"/>
            <color rgb="FF000000"/>
            <rFont val="맑은 고딕"/>
            <family val="3"/>
            <charset val="129"/>
          </rPr>
          <t>2018년 5월말 기준으로 작성</t>
        </r>
      </text>
    </comment>
    <comment ref="A1032174" authorId="1" shapeId="0" xr:uid="{00000000-0006-0000-0100-0000BD000000}">
      <text>
        <r>
          <rPr>
            <sz val="9"/>
            <color rgb="FF000000"/>
            <rFont val="맑은 고딕"/>
            <family val="3"/>
            <charset val="129"/>
          </rPr>
          <t>2017년도에 근무이력이 있는 모든 인원 (퇴사자 포함)</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미래</author>
  </authors>
  <commentList>
    <comment ref="KL51" authorId="0" shapeId="0" xr:uid="{61307BB7-2588-42B8-B86F-FE610BE7C419}">
      <text>
        <r>
          <rPr>
            <b/>
            <sz val="9"/>
            <color indexed="81"/>
            <rFont val="Tahoma"/>
            <family val="2"/>
          </rPr>
          <t xml:space="preserve">103p </t>
        </r>
        <r>
          <rPr>
            <b/>
            <sz val="9"/>
            <color indexed="81"/>
            <rFont val="돋움"/>
            <family val="3"/>
            <charset val="129"/>
          </rPr>
          <t>기준으로</t>
        </r>
        <r>
          <rPr>
            <b/>
            <sz val="9"/>
            <color indexed="81"/>
            <rFont val="Tahoma"/>
            <family val="2"/>
          </rPr>
          <t xml:space="preserve"> </t>
        </r>
        <r>
          <rPr>
            <b/>
            <sz val="9"/>
            <color indexed="81"/>
            <rFont val="돋움"/>
            <family val="3"/>
            <charset val="129"/>
          </rPr>
          <t>코딩</t>
        </r>
      </text>
    </comment>
    <comment ref="KL59" authorId="0" shapeId="0" xr:uid="{BAE2B215-FA6B-4187-91EC-F1DE31476A08}">
      <text>
        <r>
          <rPr>
            <b/>
            <sz val="9"/>
            <color indexed="81"/>
            <rFont val="Tahoma"/>
            <family val="2"/>
          </rPr>
          <t xml:space="preserve">105~106p </t>
        </r>
        <r>
          <rPr>
            <b/>
            <sz val="9"/>
            <color indexed="81"/>
            <rFont val="돋움"/>
            <family val="3"/>
            <charset val="129"/>
          </rPr>
          <t>기준으로</t>
        </r>
        <r>
          <rPr>
            <b/>
            <sz val="9"/>
            <color indexed="81"/>
            <rFont val="Tahoma"/>
            <family val="2"/>
          </rPr>
          <t xml:space="preserve"> </t>
        </r>
        <r>
          <rPr>
            <b/>
            <sz val="9"/>
            <color indexed="81"/>
            <rFont val="돋움"/>
            <family val="3"/>
            <charset val="129"/>
          </rPr>
          <t>코딩</t>
        </r>
      </text>
    </comment>
    <comment ref="KL70" authorId="0" shapeId="0" xr:uid="{94C0C27F-A4DD-42FA-A354-4E7308B8C358}">
      <text>
        <r>
          <rPr>
            <b/>
            <sz val="9"/>
            <color indexed="81"/>
            <rFont val="Tahoma"/>
            <family val="2"/>
          </rPr>
          <t xml:space="preserve">105~106p </t>
        </r>
        <r>
          <rPr>
            <b/>
            <sz val="9"/>
            <color indexed="81"/>
            <rFont val="돋움"/>
            <family val="3"/>
            <charset val="129"/>
          </rPr>
          <t>기준으로</t>
        </r>
        <r>
          <rPr>
            <b/>
            <sz val="9"/>
            <color indexed="81"/>
            <rFont val="Tahoma"/>
            <family val="2"/>
          </rPr>
          <t xml:space="preserve"> </t>
        </r>
        <r>
          <rPr>
            <b/>
            <sz val="9"/>
            <color indexed="81"/>
            <rFont val="돋움"/>
            <family val="3"/>
            <charset val="129"/>
          </rPr>
          <t>코딩</t>
        </r>
        <r>
          <rPr>
            <sz val="9"/>
            <color indexed="81"/>
            <rFont val="Tahoma"/>
            <family val="2"/>
          </rPr>
          <t xml:space="preserve">
</t>
        </r>
      </text>
    </comment>
    <comment ref="KL77" authorId="0" shapeId="0" xr:uid="{B8F6F8CF-A0C6-47E4-9F01-14888EB40C0B}">
      <text>
        <r>
          <rPr>
            <b/>
            <sz val="9"/>
            <color indexed="81"/>
            <rFont val="Tahoma"/>
            <family val="2"/>
          </rPr>
          <t xml:space="preserve">107p </t>
        </r>
        <r>
          <rPr>
            <b/>
            <sz val="9"/>
            <color indexed="81"/>
            <rFont val="돋움"/>
            <family val="3"/>
            <charset val="129"/>
          </rPr>
          <t>기준으로</t>
        </r>
        <r>
          <rPr>
            <b/>
            <sz val="9"/>
            <color indexed="81"/>
            <rFont val="Tahoma"/>
            <family val="2"/>
          </rPr>
          <t xml:space="preserve"> </t>
        </r>
        <r>
          <rPr>
            <b/>
            <sz val="9"/>
            <color indexed="81"/>
            <rFont val="돋움"/>
            <family val="3"/>
            <charset val="129"/>
          </rPr>
          <t xml:space="preserve">코딩
</t>
        </r>
      </text>
    </comment>
  </commentList>
</comments>
</file>

<file path=xl/comments3.xml><?xml version="1.0" encoding="utf-8"?>
<comments xmlns="http://schemas.openxmlformats.org/spreadsheetml/2006/main" xmlns:mc="http://schemas.openxmlformats.org/markup-compatibility/2006" xmlns:xr="http://schemas.microsoft.com/office/spreadsheetml/2014/revision" mc:Ignorable="xr">
  <authors>
    <author>미래</author>
  </authors>
  <commentList>
    <comment ref="KI1" authorId="0" shapeId="0" xr:uid="{9C82484C-C3F1-4EF3-BBA1-BF1FF53D2D91}">
      <text>
        <r>
          <rPr>
            <b/>
            <sz val="9"/>
            <color indexed="81"/>
            <rFont val="돋움"/>
            <family val="3"/>
            <charset val="129"/>
          </rPr>
          <t>유 미현:
2310369 ~ 2310412 기업은 당기, 전기 재무제표 코딩 필요</t>
        </r>
        <r>
          <rPr>
            <sz val="9"/>
            <color indexed="81"/>
            <rFont val="Tahoma"/>
            <family val="2"/>
          </rPr>
          <t xml:space="preserve">
</t>
        </r>
      </text>
    </comment>
  </commentList>
</comments>
</file>

<file path=xl/comments4.xml><?xml version="1.0" encoding="utf-8"?>
<comments xmlns="http://schemas.openxmlformats.org/spreadsheetml/2006/main" xmlns:mc="http://schemas.openxmlformats.org/markup-compatibility/2006" xmlns:xr="http://schemas.microsoft.com/office/spreadsheetml/2014/revision" mc:Ignorable="xr">
  <authors>
    <author>미래</author>
  </authors>
  <commentList>
    <comment ref="DC1" authorId="0" shapeId="0" xr:uid="{74448369-9983-459C-AC5D-F1134EB328AF}">
      <text>
        <r>
          <rPr>
            <b/>
            <sz val="9"/>
            <color indexed="81"/>
            <rFont val="돋움"/>
            <family val="3"/>
            <charset val="129"/>
          </rPr>
          <t>유 미현:
2310369 ~ 2310412 기업은 당기, 전기 재무제표 코딩 필요</t>
        </r>
        <r>
          <rPr>
            <sz val="9"/>
            <color indexed="81"/>
            <rFont val="Tahoma"/>
            <family val="2"/>
          </rPr>
          <t xml:space="preserve">
</t>
        </r>
      </text>
    </comment>
  </commentList>
</comments>
</file>

<file path=xl/sharedStrings.xml><?xml version="1.0" encoding="utf-8"?>
<sst xmlns="http://schemas.openxmlformats.org/spreadsheetml/2006/main" count="22440" uniqueCount="198">
  <si>
    <t>2017손익</t>
  </si>
  <si>
    <t>2017재무</t>
  </si>
  <si>
    <t>설립년도</t>
  </si>
  <si>
    <t>2020손익</t>
  </si>
  <si>
    <t>협약 해지</t>
  </si>
  <si>
    <t>2018재무</t>
  </si>
  <si>
    <t>I-(2)단기차입금</t>
  </si>
  <si>
    <t>보조금 (합계)</t>
  </si>
  <si>
    <t>II-(1)투자자산</t>
  </si>
  <si>
    <t>VII-(4) 잡손실</t>
  </si>
  <si>
    <t>VII. 영업외비용</t>
  </si>
  <si>
    <t>II.자본잉여금</t>
  </si>
  <si>
    <t>I-(1) 상품매출</t>
  </si>
  <si>
    <t>I-(5)가수금</t>
  </si>
  <si>
    <t>III. 매출총이익</t>
  </si>
  <si>
    <t>II-(1)장기차입금</t>
  </si>
  <si>
    <t>VI. 영업외수익</t>
  </si>
  <si>
    <t>지원금 (합계)</t>
  </si>
  <si>
    <t>II.비유동부채</t>
  </si>
  <si>
    <t>II.비유동자산</t>
  </si>
  <si>
    <t>VI-(3) 잡이익</t>
  </si>
  <si>
    <t>I-(1)매입채무</t>
  </si>
  <si>
    <t>I-(2) 제품매출</t>
  </si>
  <si>
    <t>I-(1)당좌좌산</t>
  </si>
  <si>
    <t>I-(4) 기타 매출</t>
  </si>
  <si>
    <t>후원금 (합계)</t>
  </si>
  <si>
    <t>IV-(1) 급여 등</t>
  </si>
  <si>
    <t>II-(3)무형자산</t>
  </si>
  <si>
    <t>I-(3) 서비스매출</t>
  </si>
  <si>
    <t>VII-(2) 기부금</t>
  </si>
  <si>
    <t>I-(2) 재고자산</t>
  </si>
  <si>
    <t>III.자본조정</t>
  </si>
  <si>
    <t>데이터 추가: 2022-09-07
1) 2010223-2010288 (6기) - EV 추가</t>
  </si>
  <si>
    <r>
      <t>인건비지원금, 전문인력지원금 등 급여에 대한 지원금 총액</t>
    </r>
    <r>
      <rPr>
        <sz val="11"/>
        <color rgb="FFFF0000"/>
        <rFont val="맑은 고딕"/>
        <family val="3"/>
        <charset val="129"/>
      </rPr>
      <t>(음의 값으로 기술)</t>
    </r>
  </si>
  <si>
    <t>EV지표 업데이트
1) 2016년 - 1510029 / 1612095 / 1612097 / 1612100 / 1612101 / 1708124
2) 2017년 - 1608082 / 1810167
3) 2018년 - 1810168 / 1818171 / 1818181 / 1818182</t>
  </si>
  <si>
    <t>IV-(1)-①인건비 지원금(-)</t>
  </si>
  <si>
    <t>IV-(5) 이외 기타 판관비</t>
  </si>
  <si>
    <t>국고보조금 이외의 보조금을 의미함</t>
  </si>
  <si>
    <t>부가세예수금 등 예수금 관련 총액</t>
  </si>
  <si>
    <t>II-(3)-④이외 기타 무형자산</t>
  </si>
  <si>
    <t xml:space="preserve">I-(1)-⑥이외 기타 당좌자산 </t>
  </si>
  <si>
    <t>VI-(6)이외 기타 영업외수익</t>
  </si>
  <si>
    <t>미지급세금, 등 미지급 관련 총액</t>
  </si>
  <si>
    <t>VII-(5)이외 기타 영업외 비용</t>
  </si>
  <si>
    <t>선급세금, 선급 관련 금액 총액</t>
  </si>
  <si>
    <t>II-(2)이외 기타 비유동부채</t>
  </si>
  <si>
    <r>
      <t>II-(3)-</t>
    </r>
    <r>
      <rPr>
        <b/>
        <sz val="10"/>
        <color rgb="FF000000"/>
        <rFont val="맑은 고딕"/>
        <family val="3"/>
        <charset val="129"/>
      </rPr>
      <t>④이외 기타 무형자산</t>
    </r>
  </si>
  <si>
    <r>
      <t>I-(1)-</t>
    </r>
    <r>
      <rPr>
        <b/>
        <sz val="10"/>
        <color rgb="FF000000"/>
        <rFont val="맑은 고딕"/>
        <family val="3"/>
        <charset val="129"/>
      </rPr>
      <t xml:space="preserve">⑥이외 기타 당좌자산 </t>
    </r>
  </si>
  <si>
    <t>데이터 수정: 2023-01-18
1) 1808161(2019년) - 전체 데이터 추가
2) 1708124(2019년) - 재무상태 영역 전체 데이터 수정, 손익계산서 영역 데이터 추가
3) 1708124(2018년) - [I-(3) 서비스매출] 추가, [VI-(5) 보조금 총액, 후원금 (합계) 수정
I. 매출액, I-(4) 기타 매출] 수정</t>
  </si>
  <si>
    <t>데이터 수정
1) 1604053(2017년) - [I. 매출액, I-(3). 서비스매출, III. 매출총이익, IV. 판관비, IV-(5) 기타 판관비, V. 영업이익, IV. 영업외수익, VII. 영업외비용, VIII. 법인세차감전이익, IX. 법인세등, X. 당기순이익]
2) 1510023(2019년) - [VI-(6). 이외 기타 영업외수익, 지원금(합계)]
3) 1510036(2014-2016년) - [I-(1) 상품매출, I-(4) 기타매출] 
               (2018년) - [I-(1) 상품매출, I-(2) 제품매출, I-(3) 서비스매출, I-(4) 기타 매출]
4) 1510041(2015년) - [I-(1)-①현금 및 예금, I-(1)당좌좌산]</t>
  </si>
  <si>
    <t>데이터 수정: 2022-05-04
1) 1612101(2018년) - [IV-(1)-①인건비 지원금(-), IV-(5) 기타 판관비]</t>
  </si>
  <si>
    <t>I-(1)-②매출채권</t>
  </si>
  <si>
    <r>
      <t>I-(1)-</t>
    </r>
    <r>
      <rPr>
        <b/>
        <sz val="10"/>
        <color rgb="FF000000"/>
        <rFont val="맑은 고딕"/>
        <family val="3"/>
        <charset val="129"/>
      </rPr>
      <t>⑤선급금</t>
    </r>
  </si>
  <si>
    <r>
      <t>II-(3)-</t>
    </r>
    <r>
      <rPr>
        <b/>
        <sz val="10"/>
        <color rgb="FF000000"/>
        <rFont val="맑은 고딕"/>
        <family val="3"/>
        <charset val="129"/>
      </rPr>
      <t>③개발비</t>
    </r>
  </si>
  <si>
    <t>II-(3)-①소프트웨어</t>
  </si>
  <si>
    <t>IV-(4) 세금과 공과금</t>
  </si>
  <si>
    <t>IV.기타포괄손익누계액</t>
  </si>
  <si>
    <t>VII-(3) 자산처분손실</t>
  </si>
  <si>
    <t>IV-(3) 대손상각비</t>
  </si>
  <si>
    <t>I-(5)이외 기타 유동부채</t>
  </si>
  <si>
    <t>VII-(1) 이자비용</t>
  </si>
  <si>
    <t>I-(1)-①현금 및 예금</t>
  </si>
  <si>
    <t>VI-(2) 자산수증이익</t>
  </si>
  <si>
    <t>II-(3) 서비스매출원가</t>
  </si>
  <si>
    <t>II-(4) 기타 매출원가</t>
  </si>
  <si>
    <t>VIII.법인세차감전이익</t>
  </si>
  <si>
    <t>I-(3) 기타유동자산</t>
  </si>
  <si>
    <t>II-(1) 상품매출원가</t>
  </si>
  <si>
    <t>II-(4)기타비유동자산</t>
  </si>
  <si>
    <t>I-(1)-③단기대여금</t>
  </si>
  <si>
    <t>VIII. 법인세차감전이익</t>
  </si>
  <si>
    <t>취약계층
근로자 수(명)</t>
  </si>
  <si>
    <t>II-(2) 제품매출원가</t>
  </si>
  <si>
    <t>IV-(2) 감가상각비</t>
  </si>
  <si>
    <t>II-(3)-②산업재산권</t>
  </si>
  <si>
    <t>I-(1)-①단기매도가능증권</t>
  </si>
  <si>
    <t>2019 DB에서 개선된 점</t>
  </si>
  <si>
    <t>IV-(5) 기타 판관비</t>
  </si>
  <si>
    <t>VI-(5) 보조금 총액</t>
  </si>
  <si>
    <t>IV. 기타포괄손익누계액</t>
  </si>
  <si>
    <t>국고보조금</t>
  </si>
  <si>
    <t>I.자본금</t>
  </si>
  <si>
    <t>V.이익잉여금</t>
  </si>
  <si>
    <t>V.영업이익</t>
  </si>
  <si>
    <t>I. 유동자산</t>
  </si>
  <si>
    <t>I. 매출액</t>
  </si>
  <si>
    <t>2016손익</t>
  </si>
  <si>
    <t>V. 영업이익</t>
  </si>
  <si>
    <t>2014재무</t>
  </si>
  <si>
    <t>자료 미제출</t>
  </si>
  <si>
    <t>2015재무</t>
  </si>
  <si>
    <t>인증
유형</t>
  </si>
  <si>
    <t>2018손익</t>
  </si>
  <si>
    <t>2015손익</t>
  </si>
  <si>
    <t>2020재무</t>
  </si>
  <si>
    <t>산업 분류</t>
  </si>
  <si>
    <t>협약 종료</t>
  </si>
  <si>
    <t>I. 자본금</t>
  </si>
  <si>
    <t>2016재무</t>
  </si>
  <si>
    <t>I.유동부채</t>
  </si>
  <si>
    <t>2022재무</t>
  </si>
  <si>
    <t>IX.법인세등</t>
  </si>
  <si>
    <t>IV. 판관비</t>
  </si>
  <si>
    <t>2022손익</t>
  </si>
  <si>
    <r>
      <t>I-(1)-</t>
    </r>
    <r>
      <rPr>
        <b/>
        <sz val="10"/>
        <color rgb="FF000000"/>
        <rFont val="맑은 고딕"/>
        <family val="3"/>
        <charset val="129"/>
      </rPr>
      <t>①현금 및 예금</t>
    </r>
  </si>
  <si>
    <r>
      <t>II-(3)-</t>
    </r>
    <r>
      <rPr>
        <b/>
        <sz val="10"/>
        <color rgb="FF000000"/>
        <rFont val="맑은 고딕"/>
        <family val="3"/>
        <charset val="129"/>
      </rPr>
      <t>②산업재산권</t>
    </r>
  </si>
  <si>
    <t>설명</t>
  </si>
  <si>
    <t>미측정</t>
  </si>
  <si>
    <t>종목</t>
  </si>
  <si>
    <t>부채</t>
  </si>
  <si>
    <t>자본</t>
  </si>
  <si>
    <t>ID</t>
  </si>
  <si>
    <t>자산</t>
  </si>
  <si>
    <t>지역</t>
  </si>
  <si>
    <t>미협약</t>
  </si>
  <si>
    <t>법인격</t>
  </si>
  <si>
    <t>업태</t>
  </si>
  <si>
    <t>변수명</t>
  </si>
  <si>
    <t xml:space="preserve"> </t>
  </si>
  <si>
    <t>No</t>
  </si>
  <si>
    <t>2019재무</t>
  </si>
  <si>
    <t>파일취합중</t>
  </si>
  <si>
    <t>2019손익</t>
  </si>
  <si>
    <t>사업 영역</t>
  </si>
  <si>
    <t>2014손익</t>
  </si>
  <si>
    <t>재무성과</t>
  </si>
  <si>
    <t>차입관련 총액</t>
  </si>
  <si>
    <t>측정 유예</t>
  </si>
  <si>
    <t>측정제외</t>
  </si>
  <si>
    <t>비즈니스유형</t>
  </si>
  <si>
    <t>측정 제외</t>
  </si>
  <si>
    <t>추가 설명
1) 1810184 - 폐업에 따른 협약종료</t>
  </si>
  <si>
    <t>가지급금 등 위에 속하지 않는 금액, 자세한 항목 기재</t>
  </si>
  <si>
    <t xml:space="preserve">급여, 임원급여, 상여금, 퇴직급여, 직원급여, 잡급 </t>
  </si>
  <si>
    <t>I-(1)-④미수금</t>
  </si>
  <si>
    <t>I-(1)-⑤선급금</t>
  </si>
  <si>
    <t>2021 DB 이슈</t>
  </si>
  <si>
    <t>II-(3)-③개발비</t>
  </si>
  <si>
    <t xml:space="preserve">직원수
(명) </t>
  </si>
  <si>
    <t>2015년말 설립</t>
  </si>
  <si>
    <t>IX. 법인세등</t>
  </si>
  <si>
    <t>2020 DB 이슈</t>
  </si>
  <si>
    <t>기타 비유동자산 총액</t>
  </si>
  <si>
    <t>V. 이익잉여금</t>
  </si>
  <si>
    <t>II. 매출원가</t>
  </si>
  <si>
    <t>VI-(4) 운용수익</t>
  </si>
  <si>
    <t>매출채권, 외상매출금</t>
  </si>
  <si>
    <t>I-(3)미지급금</t>
  </si>
  <si>
    <t>VI-(1) 이자수익</t>
  </si>
  <si>
    <t>X. 당기순이익</t>
  </si>
  <si>
    <t>I-(4)예수금</t>
  </si>
  <si>
    <t>II-(2)유형자산</t>
  </si>
  <si>
    <t>재무 정보 없음</t>
  </si>
  <si>
    <t>III. 자본조정</t>
  </si>
  <si>
    <t>II. 자본잉여금</t>
  </si>
  <si>
    <t>SPC 인증
여부</t>
  </si>
  <si>
    <t>II. 비유동부채</t>
  </si>
  <si>
    <t>2018년 설립</t>
  </si>
  <si>
    <t>codebook_SPC의 ID와 동일함</t>
  </si>
  <si>
    <t>단기, 매매, 증권 관련 계정과목 총액</t>
  </si>
  <si>
    <t>EV지표가 없는 이유를 구체적으로 명시함</t>
  </si>
  <si>
    <r>
      <t xml:space="preserve">데이터 수정: 2022-10-25
1) 1608093(2015년) - 자료 미제출 → 협약 종료
2) 1608093(2016년) - 자료 미제출 → 협약 종료
3) 1608082(2016년) - 자료 미제출 → 협약 종료
2) 1510048(2017년) - 협약 종료 </t>
    </r>
    <r>
      <rPr>
        <sz val="9"/>
        <color rgb="FF000000"/>
        <rFont val="맑은 고딕"/>
        <family val="3"/>
        <charset val="129"/>
      </rPr>
      <t>→ 협약 해지
2) 1608093(2017년) - 자료 미제출 → 협약 종료
3) 1608093(2017년) - 측정 제외 -&gt; 협약 종료
4) 1510008(2018년) - 협약 종료 → 협약 해지
5) 1510037(2018년) - 협약 종료 → 협약 해지
6) 1510041(2018년) - 협약 종료 → 협약 해지
7) 1510048(2018년) - 협약 종료 → 협약 해지
8) 1510008(2019년) - 협약 종료 → 협약 해지
9) 1510037(2019년) - 협약 종료 → 협약 해지
10) 1510041(2019년) - 협약 종료 → 협약 해지
11) 1510048(2019년) - 협약 종료 → 협약 해지
12) 1604053(2019년) - 협약 종료 → 협약 해지
13) 1608067(2019년) - 협약 해지 → 협약 종료
14) 1510008(2020년) - 협약 종료 → 협약 해지
15) 1510020(2020년) - 협약 종료 → 협약 해지
16) 1510041(2020년) - 협약 종료 → 협약 해지
17) 1608067(2020년) - 협약 해지 → 협약 종료
18) 1909192(2020년) - 협약 해지 → 협약 종료
19) 2010231(2020년) - 미협약 → 협약 종료(미협약)
20) 2010237(2020년) - 협약 해지 → 협약 종료
20) 2010256(2020년) - 미협약 → 협약 종료(미협약)
21) 2010263(2020년) - 미협약 → 협약 종료(미협약)
22) 2011274(2020년) - 협약 해지 → 협약 종료
23) 1510008(2021년) - 협약 종료 → 협약 해지
24) 1510020(2021년) - 협약 종료 → 협약 해지
25) 1510041(2021년) - 협약 종료 → 협약 해지
26) 1510044(2021년) - 협약 해지 → 협약종료(미협약)
27) 1608066(2021년) - 폐업 → 협약 종료
28) 1608067(2021년) - 협약 해지 → 협약 종료
29) 1810169(2021년) - 협약 종료 → 협약 해지(미협약)
30) 1810180(2021년) - 협약 종료 → 협약 해지
31) 1810184(2021년) - 폐업 → 협약 종료
32) 1810185(2021년) - 협약 종료 → 협약 해지(미협약)
33) 1810188(2021년) - 협약 종료 → 협약 해지(미협약)
34) 1810192(2021년) - 협약 해지 → 협약 종료
35) 2010229(2021년) - 협약 해지 → 협약 종료
36) 2010231(2021년) - 미협약 → 협약 종료(미협약)
37) 2010237(2021년) - 협약 해지 → 협약 
38) 2010256(2021년) - 미협약 → 협약 종료(미협약)
39) 2010256(2021년) - 미협약 → 협약 종료(미협약)
40) 2011274(2021년) - 협약 해지 → 협약 종료</t>
    </r>
  </si>
  <si>
    <t>서비스 수입, 컨설팅, 교육 매출 모두 기입</t>
  </si>
  <si>
    <t>국고보조금, 보조금, 후원금, 지원금 등의 총합</t>
  </si>
  <si>
    <t>미수수익, 부가세 미수금, 미수 관련 금액 총액</t>
  </si>
  <si>
    <t>재고자산 총액(제품, 재공품, 원재료 모두)</t>
  </si>
  <si>
    <t>현금, 보통예금, 정기적금 등 현금성 자산 모두</t>
  </si>
  <si>
    <t>자료없음</t>
  </si>
  <si>
    <t xml:space="preserve">   </t>
  </si>
  <si>
    <t>데이터 추가: 2023-09-27
1) 2010223-2010288 (6기) - EV 추가</t>
    <phoneticPr fontId="15" type="noConversion"/>
  </si>
  <si>
    <t>2022 DB 이슈</t>
    <phoneticPr fontId="15" type="noConversion"/>
  </si>
  <si>
    <t>1. 대차대조표, 손익계산서 값을 토대로 코딩함
2. 당해연도 사회성과 미측정 기업의 경우(기업 사정 등으로 인해) 재무성과도 미입력된 경우가 있음(대차대조표, 손익계산서 미제출)
3. SPC 참여 시작 직전년도의 EV는 SPC 참여연도에 제출한 재무제표의 전기자료를 토대로 코딩함
4. 재무제표에 '0'으로 기재된 경우는 그대로 '0'으로 코딩함</t>
    <phoneticPr fontId="14" type="noConversion"/>
  </si>
  <si>
    <t>협약 종료</t>
    <phoneticPr fontId="14" type="noConversion"/>
  </si>
  <si>
    <t>데이터 수정: 2023-09-27
1) 1612099(2020년) - 제품매출원가로 코딩한 금액을 상품매출원가로 재분류
2) 1708128(2020년) - 제품매출원가로 코딩한 금액을 서비스매출원가로 재분류
3) 1808146(2020년) - 상품매출원가로 코딩한 금액을 서비스매출원가로 재분류
4) 1808149(2020년) - 단기매도가능증권으로 코딩한 금액을 이외 기타 당좌자산으로 재분류</t>
    <phoneticPr fontId="15" type="noConversion"/>
  </si>
  <si>
    <t xml:space="preserve">데이터 수정: 2023-09-27
1) 2111327~2210368(2021년) - 전체 데이터 추가
2) 1510003(2021년) - 기타매출로 코딩한 금액을 제품매출로 재분류
3) 1510006(2021년) - 개발비로 코딩한 금액을 소프트웨어로 재분류
4) 1510013(2021년) - 기타포괄손익누계에 기입된 금액을 이익잉여금으로 재분류, 자산수증이익으로 코딩한 금액을 이외기타영업외수익으로 재분류
5) 1510047(2021년) - 상품매출로 코딩한 금액을 서비스매출로 재분류
6) 1510057(2021년) - 예수금으로 코딩한 금액 중 일부를 이외 기타 유동부채로 재분류
7) 1608063(2021년) - 기타 매출로 코딩한 금액을 제품 및 서비스 매출로 재분류
8) 1608064(2021년) - 이자비용으로 코딩한 금액을 기부금으로 재분류, 예수금으로 코딩한 금액 중 일부를 이외기타유동부채로 재분류
9) 1608076(2021년) - 기타당좌자산으로 코딩한 금액을 단기매도가능증권으로 재분류
10) 1608083(2021년) - 매입채무로 코딩한 금액의 일부를 예수금으로 재분류, 자본잉여금으로 코딩한 금액을 이익잉여금으로 재분류
11) 1612099(2021년) - 제품매출원가로 코딩한 금액을 상품매출원가로 재분류
12) 1708117(2021년) - 보조금으로 코딩한 금액을 지원금으로 재분류
13) 1708128(2021년) - 제품매출원가로 코딩한 금액을 서비스매출원가로 재분류
14) 1808132(2021년) - 급여 등으로 코딩한 금액 중 일부를 기타 판관비로 재분류
15) 1808133(2021년) - 현금 및 예금으로 코딩한 금액 중 일부를 이외기타당좌자산으로 재분류
16) 1808135(2021년) - 기타 매출원가로 코딩한 금액을 서비스매출원가로 재분류
17) 1808139(2021년) - 기타판관비로 코딩한 금액 중 일부를 인건비지원금으로 재분류
18) 1808143(2021년) - 대손상각비로 코딩한 금액을 세금과 공과금으로 재분류
19) 1808154(2021년) - 급여 등으로 코딩한 금액 중 일부를 기타 판관비로 재분류
20) 1808157(2021년) - 예수금으로 코딩한 금액 중 일부를 이외기타유동부채로 재분류
21) 1909199(2021년) - 당좌자산으로 코딩한 금액 중 일부를 투자자산으로 재분류, 이외 기타 당좌자산으로 코딩한 금액을 기타비유동자산으로 재분류
22) 1909201(2021년) - 이익잉여금 부호 변경 (기존 +에서 -로 변경)
23) 1909202(2021년) - 자산/유동자산/현금 및 예금/자본금/이익잉여금/매출총이익 수정, 서비스매출로 코딩한 금액 중 일부를 상품매출로 재분류
24) 1909208(2021년) - 매출액 수정
25) 1909217(2021년) - 상품매출로 코딩한 금액 중 일부를 기타 매출로 재분류
26) 1909218(2021년) - 제품매출로 코딩한 금액 중 일부를 기타 매출로 재분류
27) 1909220(2021년) - 서미스매출로 코딩한 금액을 기타 매출로 재분류
28) 2010225(2021년) - 기타 매출로 코딩한 금액을 서비스매출로 재분류, 이외 기타 당좌자산으로 코딩한 금액을 단기매도가능증권으로 재분류
29) 2010232(2021년) - 상품매출로 코딩한 금액을 제품매출, 서비스매출, 기타 매출로 재분류, 상품매출원가로 코딩한 금액을 제품매출원가로 재분류
30) 2010233(2021년) -  급여 등으로 코딩한 금액 중 일부를 기타 판관비로 재분류
31) 2010235(2021년) - 인건비지원금으로 코딩한 금액 중 일부를 기타 판관비로 재분류
32) 2011287(2021년) - 상품매출원가로 코딩한 금액을 기타매출원가로 재분류
33) 2110298(2021년) - 지원금으로 코딩한 금액을 보조금으로 재분류
34) 2111321(2021년) - 기타 매출원가로 코딩한 금액을 서비스매출원가로 재분류, 후원금으로 코딩한 금액을 이외 기타 영업외수익으로 재분류
35) 2111322(2021년) - 기타 매출로 코딩한 금액을 서비스매출로 재분류
</t>
    <phoneticPr fontId="15" type="noConversion"/>
  </si>
  <si>
    <t>협약 해지</t>
    <phoneticPr fontId="14" type="noConversion"/>
  </si>
  <si>
    <t>협약 해지</t>
    <phoneticPr fontId="14" type="noConversion"/>
  </si>
  <si>
    <t>VI-(1) 이자수익</t>
    <phoneticPr fontId="14" type="noConversion"/>
  </si>
  <si>
    <t>국고보조금</t>
    <phoneticPr fontId="14" type="noConversion"/>
  </si>
  <si>
    <t>2023 DB 이슈</t>
    <phoneticPr fontId="15" type="noConversion"/>
  </si>
  <si>
    <t>데이터 수정: 2024-11-02
1) 2023년 데이터 오류 점검 및 수정</t>
    <phoneticPr fontId="15" type="noConversion"/>
  </si>
  <si>
    <t>데이터 업데이트: 2024-09-09
1) 2010008 (2021년, 2022년) - 협약 종료 → 협약 해지</t>
    <phoneticPr fontId="15" type="noConversion"/>
  </si>
  <si>
    <t>2021재무</t>
    <phoneticPr fontId="14" type="noConversion"/>
  </si>
  <si>
    <t>2021손익</t>
    <phoneticPr fontId="14" type="noConversion"/>
  </si>
  <si>
    <t>2023재무</t>
    <phoneticPr fontId="14" type="noConversion"/>
  </si>
  <si>
    <t>2023손익</t>
    <phoneticPr fontId="14" type="noConversion"/>
  </si>
  <si>
    <t>데이터 수정: 2025-02-15
1) 2023년 데이터 오류 점검 및 수정(완료)</t>
    <phoneticPr fontId="14" type="noConversion"/>
  </si>
  <si>
    <t>자료미제출</t>
    <phoneticPr fontId="14" type="noConversion"/>
  </si>
  <si>
    <t>협약종료</t>
    <phoneticPr fontId="26" type="noConversion"/>
  </si>
  <si>
    <t>측정제외</t>
    <phoneticPr fontId="26" type="noConversion"/>
  </si>
  <si>
    <t>협약해지</t>
    <phoneticPr fontId="26" type="noConversion"/>
  </si>
  <si>
    <t>448,796 </t>
  </si>
  <si>
    <t>69,485,842 </t>
  </si>
  <si>
    <t>2024재무</t>
    <phoneticPr fontId="14" type="noConversion"/>
  </si>
  <si>
    <t>2024손익</t>
    <phoneticPr fontId="14" type="noConversion"/>
  </si>
  <si>
    <t>2024 DB 이슈</t>
    <phoneticPr fontId="15" type="noConversion"/>
  </si>
  <si>
    <t>1808135</t>
    <phoneticPr fontId="14" type="noConversion"/>
  </si>
  <si>
    <t>데이터 수정 : 2025-09-24
1) 측정 제외기업 
 - 150001 ~ 1810188 협약종료
 - 2410427 협약해지</t>
    <phoneticPr fontId="14" type="noConversion"/>
  </si>
</sst>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numFmts count="6">
    <numFmt numFmtId="41" formatCode="_-* #,##0_-;\-* #,##0_-;_-* &quot;-&quot;_-;_-@_-"/>
    <numFmt numFmtId="43" formatCode="_-* #,##0.00_-;\-* #,##0.00_-;_-* &quot;-&quot;??_-;_-@_-"/>
    <numFmt numFmtId="176" formatCode="#,##0_ ;[Red]\-#,##0\ "/>
    <numFmt numFmtId="177" formatCode="#,##0_);[Red]\(#,##0\)"/>
    <numFmt numFmtId="178" formatCode="0_);[Red]\(0\)"/>
    <numFmt numFmtId="179" formatCode="#,##0_ "/>
  </numFmts>
  <fonts count="29">
    <font>
      <sz val="11"/>
      <color rgb="FF000000"/>
      <name val="맑은 고딕"/>
    </font>
    <font>
      <sz val="11"/>
      <color theme="1"/>
      <name val="맑은 고딕"/>
      <family val="2"/>
      <charset val="129"/>
      <scheme val="minor"/>
    </font>
    <font>
      <sz val="10"/>
      <color rgb="FF000000"/>
      <name val="Arial"/>
      <family val="2"/>
    </font>
    <font>
      <sz val="11"/>
      <color rgb="FF000000"/>
      <name val="나눔명조"/>
      <family val="3"/>
      <charset val="129"/>
    </font>
    <font>
      <sz val="10"/>
      <color rgb="FF000000"/>
      <name val="맑은 고딕"/>
      <family val="3"/>
      <charset val="129"/>
    </font>
    <font>
      <b/>
      <sz val="10"/>
      <color rgb="FF000000"/>
      <name val="맑은 고딕"/>
      <family val="3"/>
      <charset val="129"/>
    </font>
    <font>
      <b/>
      <sz val="11"/>
      <color rgb="FF000000"/>
      <name val="맑은 고딕"/>
      <family val="3"/>
      <charset val="129"/>
    </font>
    <font>
      <sz val="9"/>
      <color rgb="FF000000"/>
      <name val="맑은 고딕"/>
      <family val="3"/>
      <charset val="129"/>
    </font>
    <font>
      <sz val="10"/>
      <color rgb="FFFF0000"/>
      <name val="맑은 고딕"/>
      <family val="3"/>
      <charset val="129"/>
    </font>
    <font>
      <sz val="11"/>
      <color rgb="FFFF0000"/>
      <name val="맑은 고딕"/>
      <family val="3"/>
      <charset val="129"/>
    </font>
    <font>
      <b/>
      <sz val="9"/>
      <color rgb="FF000000"/>
      <name val="Tahoma"/>
      <family val="2"/>
    </font>
    <font>
      <sz val="9"/>
      <color rgb="FF000000"/>
      <name val="Tahoma"/>
      <family val="2"/>
    </font>
    <font>
      <sz val="9"/>
      <color rgb="FF000000"/>
      <name val="돋움"/>
      <family val="3"/>
      <charset val="129"/>
    </font>
    <font>
      <sz val="11"/>
      <color rgb="FF000000"/>
      <name val="맑은 고딕"/>
      <family val="3"/>
      <charset val="129"/>
    </font>
    <font>
      <sz val="8"/>
      <name val="돋움"/>
      <family val="3"/>
      <charset val="129"/>
    </font>
    <font>
      <sz val="8"/>
      <name val="맑은 고딕"/>
      <family val="3"/>
      <charset val="129"/>
    </font>
    <font>
      <sz val="10"/>
      <name val="Arial"/>
      <family val="2"/>
    </font>
    <font>
      <b/>
      <sz val="10"/>
      <name val="맑은 고딕"/>
      <family val="3"/>
      <charset val="129"/>
    </font>
    <font>
      <b/>
      <sz val="9"/>
      <color indexed="81"/>
      <name val="Tahoma"/>
      <family val="2"/>
    </font>
    <font>
      <b/>
      <sz val="9"/>
      <color indexed="81"/>
      <name val="돋움"/>
      <family val="3"/>
      <charset val="129"/>
    </font>
    <font>
      <sz val="9"/>
      <color indexed="81"/>
      <name val="Tahoma"/>
      <family val="2"/>
    </font>
    <font>
      <sz val="10"/>
      <color rgb="FF000000"/>
      <name val="맑은 고딕"/>
      <family val="3"/>
      <charset val="129"/>
      <scheme val="minor"/>
    </font>
    <font>
      <b/>
      <sz val="10"/>
      <color rgb="FF000000"/>
      <name val="맑은 고딕"/>
      <family val="3"/>
      <charset val="129"/>
      <scheme val="minor"/>
    </font>
    <font>
      <sz val="11"/>
      <color rgb="FF000000"/>
      <name val="맑은 고딕"/>
      <family val="3"/>
      <charset val="129"/>
    </font>
    <font>
      <sz val="11"/>
      <color theme="1"/>
      <name val="Malgun Gothic"/>
      <family val="3"/>
      <charset val="129"/>
    </font>
    <font>
      <sz val="9"/>
      <color theme="1"/>
      <name val="맑은 고딕"/>
      <family val="2"/>
      <charset val="129"/>
      <scheme val="minor"/>
    </font>
    <font>
      <sz val="8"/>
      <name val="맑은 고딕"/>
      <family val="2"/>
      <charset val="129"/>
      <scheme val="minor"/>
    </font>
    <font>
      <sz val="10"/>
      <color rgb="FF000000"/>
      <name val="맑은 고딕"/>
      <family val="2"/>
      <charset val="129"/>
      <scheme val="minor"/>
    </font>
    <font>
      <sz val="10"/>
      <color rgb="FF000000"/>
      <name val="맑은 고딕"/>
      <family val="2"/>
      <charset val="129"/>
    </font>
  </fonts>
  <fills count="13">
    <fill>
      <patternFill patternType="none"/>
    </fill>
    <fill>
      <patternFill patternType="gray125"/>
    </fill>
    <fill>
      <patternFill patternType="solid">
        <fgColor rgb="FFFFFFCC"/>
        <bgColor indexed="64"/>
      </patternFill>
    </fill>
    <fill>
      <patternFill patternType="solid">
        <fgColor rgb="FFD9D9D9"/>
        <bgColor indexed="64"/>
      </patternFill>
    </fill>
    <fill>
      <patternFill patternType="solid">
        <fgColor rgb="FFFFD966"/>
        <bgColor indexed="64"/>
      </patternFill>
    </fill>
    <fill>
      <patternFill patternType="solid">
        <fgColor rgb="FFFFE699"/>
        <bgColor indexed="64"/>
      </patternFill>
    </fill>
    <fill>
      <patternFill patternType="solid">
        <fgColor rgb="FF9CC3E6"/>
        <bgColor indexed="64"/>
      </patternFill>
    </fill>
    <fill>
      <patternFill patternType="solid">
        <fgColor rgb="FFBED7EE"/>
        <bgColor indexed="64"/>
      </patternFill>
    </fill>
    <fill>
      <patternFill patternType="solid">
        <fgColor rgb="FFFFFFFF"/>
        <bgColor indexed="64"/>
      </patternFill>
    </fill>
    <fill>
      <patternFill patternType="solid">
        <fgColor rgb="FFFFFF00"/>
        <bgColor indexed="64"/>
      </patternFill>
    </fill>
    <fill>
      <patternFill patternType="solid">
        <fgColor theme="7" tint="0.79998168889431442"/>
        <bgColor indexed="64"/>
      </patternFill>
    </fill>
    <fill>
      <patternFill patternType="solid">
        <fgColor theme="0" tint="-0.14999847407452621"/>
        <bgColor indexed="64"/>
      </patternFill>
    </fill>
    <fill>
      <patternFill patternType="solid">
        <fgColor theme="0"/>
        <bgColor indexed="64"/>
      </patternFill>
    </fill>
  </fills>
  <borders count="21">
    <border>
      <left/>
      <right/>
      <top/>
      <bottom/>
      <diagonal/>
    </border>
    <border>
      <left style="thin">
        <color rgb="FFB2B2B2"/>
      </left>
      <right style="thin">
        <color rgb="FFB2B2B2"/>
      </right>
      <top style="thin">
        <color rgb="FFB2B2B2"/>
      </top>
      <bottom style="thin">
        <color rgb="FFB2B2B2"/>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style="thin">
        <color auto="1"/>
      </right>
      <top style="thin">
        <color auto="1"/>
      </top>
      <bottom style="double">
        <color auto="1"/>
      </bottom>
      <diagonal/>
    </border>
    <border>
      <left style="thin">
        <color auto="1"/>
      </left>
      <right style="thin">
        <color auto="1"/>
      </right>
      <top style="thin">
        <color auto="1"/>
      </top>
      <bottom style="double">
        <color auto="1"/>
      </bottom>
      <diagonal/>
    </border>
    <border>
      <left style="thin">
        <color auto="1"/>
      </left>
      <right style="thin">
        <color auto="1"/>
      </right>
      <top style="double">
        <color auto="1"/>
      </top>
      <bottom style="thin">
        <color rgb="FFB2B2B2"/>
      </bottom>
      <diagonal/>
    </border>
    <border>
      <left/>
      <right style="thin">
        <color auto="1"/>
      </right>
      <top style="thin">
        <color rgb="FFB2B2B2"/>
      </top>
      <bottom style="thin">
        <color rgb="FFB2B2B2"/>
      </bottom>
      <diagonal/>
    </border>
    <border>
      <left/>
      <right style="thin">
        <color auto="1"/>
      </right>
      <top/>
      <bottom/>
      <diagonal/>
    </border>
    <border>
      <left style="thin">
        <color auto="1"/>
      </left>
      <right style="thin">
        <color auto="1"/>
      </right>
      <top/>
      <bottom/>
      <diagonal/>
    </border>
    <border>
      <left/>
      <right style="thin">
        <color auto="1"/>
      </right>
      <top/>
      <bottom style="thin">
        <color auto="1"/>
      </bottom>
      <diagonal/>
    </border>
    <border>
      <left style="thin">
        <color auto="1"/>
      </left>
      <right style="thin">
        <color auto="1"/>
      </right>
      <top/>
      <bottom style="thin">
        <color auto="1"/>
      </bottom>
      <diagonal/>
    </border>
    <border>
      <left style="thin">
        <color auto="1"/>
      </left>
      <right style="thin">
        <color auto="1"/>
      </right>
      <top style="thin">
        <color auto="1"/>
      </top>
      <bottom/>
      <diagonal/>
    </border>
    <border>
      <left/>
      <right/>
      <top/>
      <bottom style="thin">
        <color auto="1"/>
      </bottom>
      <diagonal/>
    </border>
    <border>
      <left/>
      <right style="thin">
        <color auto="1"/>
      </right>
      <top style="thin">
        <color auto="1"/>
      </top>
      <bottom style="thin">
        <color auto="1"/>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bottom style="thin">
        <color rgb="FF000000"/>
      </bottom>
      <diagonal/>
    </border>
    <border>
      <left style="thin">
        <color rgb="FF000000"/>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theme="1" tint="0.499984740745262"/>
      </left>
      <right style="thin">
        <color theme="1" tint="0.499984740745262"/>
      </right>
      <top style="thin">
        <color theme="1" tint="0.499984740745262"/>
      </top>
      <bottom style="thin">
        <color theme="1" tint="0.499984740745262"/>
      </bottom>
      <diagonal/>
    </border>
    <border>
      <left style="thin">
        <color rgb="FF000000"/>
      </left>
      <right style="thin">
        <color rgb="FF000000"/>
      </right>
      <top style="thin">
        <color rgb="FF000000"/>
      </top>
      <bottom/>
      <diagonal/>
    </border>
  </borders>
  <cellStyleXfs count="16">
    <xf numFmtId="0" fontId="0" fillId="0" borderId="0">
      <alignment vertical="center"/>
    </xf>
    <xf numFmtId="41" fontId="13" fillId="0" borderId="0">
      <alignment vertical="center"/>
    </xf>
    <xf numFmtId="43" fontId="23" fillId="0" borderId="0" applyFont="0" applyFill="0" applyBorder="0" applyAlignment="0" applyProtection="0">
      <alignment vertical="center"/>
    </xf>
    <xf numFmtId="0" fontId="2" fillId="0" borderId="0"/>
    <xf numFmtId="0" fontId="3" fillId="0" borderId="0">
      <alignment vertical="center"/>
    </xf>
    <xf numFmtId="0" fontId="13" fillId="2" borderId="1">
      <alignment vertical="center"/>
    </xf>
    <xf numFmtId="0" fontId="13" fillId="0" borderId="0"/>
    <xf numFmtId="0" fontId="13" fillId="0" borderId="0">
      <alignment vertical="center"/>
    </xf>
    <xf numFmtId="41" fontId="13" fillId="0" borderId="0">
      <alignment vertical="center"/>
    </xf>
    <xf numFmtId="0" fontId="13" fillId="0" borderId="0">
      <alignment vertical="center"/>
    </xf>
    <xf numFmtId="41" fontId="13" fillId="0" borderId="0">
      <alignment vertical="center"/>
    </xf>
    <xf numFmtId="0" fontId="16" fillId="0" borderId="0"/>
    <xf numFmtId="41" fontId="13" fillId="0" borderId="0">
      <alignment vertical="center"/>
    </xf>
    <xf numFmtId="41" fontId="13" fillId="0" borderId="0">
      <alignment vertical="center"/>
    </xf>
    <xf numFmtId="41" fontId="13" fillId="0" borderId="0">
      <alignment vertical="center"/>
    </xf>
    <xf numFmtId="0" fontId="1" fillId="0" borderId="0">
      <alignment vertical="center"/>
    </xf>
  </cellStyleXfs>
  <cellXfs count="127">
    <xf numFmtId="0" fontId="0" fillId="0" borderId="0" xfId="0">
      <alignment vertical="center"/>
    </xf>
    <xf numFmtId="0" fontId="13" fillId="0" borderId="0" xfId="6"/>
    <xf numFmtId="0" fontId="13" fillId="0" borderId="0" xfId="6" applyAlignment="1">
      <alignment vertical="center"/>
    </xf>
    <xf numFmtId="0" fontId="13" fillId="0" borderId="0" xfId="6" applyAlignment="1">
      <alignment vertical="center" wrapText="1"/>
    </xf>
    <xf numFmtId="0" fontId="13" fillId="0" borderId="0" xfId="6" applyAlignment="1">
      <alignment wrapText="1"/>
    </xf>
    <xf numFmtId="0" fontId="4" fillId="0" borderId="2" xfId="4" applyFont="1" applyBorder="1">
      <alignment vertical="center"/>
    </xf>
    <xf numFmtId="0" fontId="5" fillId="3" borderId="2" xfId="3" applyFont="1" applyFill="1" applyBorder="1" applyAlignment="1">
      <alignment horizontal="center" vertical="center"/>
    </xf>
    <xf numFmtId="0" fontId="4" fillId="4" borderId="2" xfId="4" applyFont="1" applyFill="1" applyBorder="1" applyAlignment="1">
      <alignment horizontal="center" vertical="center" wrapText="1"/>
    </xf>
    <xf numFmtId="176" fontId="5" fillId="5" borderId="3" xfId="0" applyNumberFormat="1" applyFont="1" applyFill="1" applyBorder="1" applyAlignment="1">
      <alignment horizontal="left" vertical="center" wrapText="1"/>
    </xf>
    <xf numFmtId="0" fontId="4" fillId="6" borderId="2" xfId="4" applyFont="1" applyFill="1" applyBorder="1" applyAlignment="1">
      <alignment horizontal="center" vertical="center" wrapText="1"/>
    </xf>
    <xf numFmtId="176" fontId="5" fillId="7" borderId="3" xfId="0" applyNumberFormat="1" applyFont="1" applyFill="1" applyBorder="1" applyAlignment="1">
      <alignment horizontal="left" vertical="center" wrapText="1"/>
    </xf>
    <xf numFmtId="176" fontId="5" fillId="5" borderId="3" xfId="0" applyNumberFormat="1" applyFont="1" applyFill="1" applyBorder="1" applyAlignment="1">
      <alignment horizontal="left" vertical="center" wrapText="1" indent="1"/>
    </xf>
    <xf numFmtId="176" fontId="5" fillId="5" borderId="3" xfId="0" applyNumberFormat="1" applyFont="1" applyFill="1" applyBorder="1" applyAlignment="1">
      <alignment horizontal="left" vertical="center" wrapText="1" indent="2"/>
    </xf>
    <xf numFmtId="176" fontId="5" fillId="5" borderId="0" xfId="0" applyNumberFormat="1" applyFont="1" applyFill="1" applyAlignment="1">
      <alignment horizontal="left" vertical="center" wrapText="1" indent="2"/>
    </xf>
    <xf numFmtId="176" fontId="5" fillId="5" borderId="0" xfId="0" applyNumberFormat="1" applyFont="1" applyFill="1" applyAlignment="1">
      <alignment horizontal="left" vertical="center" wrapText="1" indent="1"/>
    </xf>
    <xf numFmtId="176" fontId="5" fillId="7" borderId="3" xfId="0" applyNumberFormat="1" applyFont="1" applyFill="1" applyBorder="1" applyAlignment="1">
      <alignment horizontal="left" vertical="center" wrapText="1" indent="1"/>
    </xf>
    <xf numFmtId="176" fontId="5" fillId="7" borderId="2" xfId="0" applyNumberFormat="1" applyFont="1" applyFill="1" applyBorder="1" applyAlignment="1">
      <alignment horizontal="left" vertical="center" wrapText="1" indent="1"/>
    </xf>
    <xf numFmtId="176" fontId="4" fillId="7" borderId="2" xfId="0" applyNumberFormat="1" applyFont="1" applyFill="1" applyBorder="1" applyAlignment="1">
      <alignment horizontal="left" vertical="center" wrapText="1" indent="2"/>
    </xf>
    <xf numFmtId="176" fontId="4" fillId="7" borderId="3" xfId="0" applyNumberFormat="1" applyFont="1" applyFill="1" applyBorder="1" applyAlignment="1">
      <alignment horizontal="left" vertical="center" wrapText="1" indent="1"/>
    </xf>
    <xf numFmtId="38" fontId="4" fillId="0" borderId="2" xfId="1" applyNumberFormat="1" applyFont="1" applyBorder="1" applyAlignment="1">
      <alignment horizontal="center" vertical="center"/>
    </xf>
    <xf numFmtId="0" fontId="5" fillId="8" borderId="2" xfId="3" applyFont="1" applyFill="1" applyBorder="1" applyAlignment="1">
      <alignment horizontal="center" vertical="center"/>
    </xf>
    <xf numFmtId="176" fontId="5" fillId="5" borderId="2" xfId="0" applyNumberFormat="1" applyFont="1" applyFill="1" applyBorder="1" applyAlignment="1">
      <alignment horizontal="left" vertical="center" wrapText="1"/>
    </xf>
    <xf numFmtId="176" fontId="5" fillId="5" borderId="2" xfId="0" applyNumberFormat="1" applyFont="1" applyFill="1" applyBorder="1" applyAlignment="1">
      <alignment horizontal="left" vertical="center" wrapText="1" indent="1"/>
    </xf>
    <xf numFmtId="176" fontId="5" fillId="7" borderId="2" xfId="0" applyNumberFormat="1" applyFont="1" applyFill="1" applyBorder="1" applyAlignment="1">
      <alignment horizontal="left" vertical="center" wrapText="1"/>
    </xf>
    <xf numFmtId="0" fontId="0" fillId="2" borderId="6" xfId="5" applyFont="1" applyBorder="1">
      <alignment vertical="center"/>
    </xf>
    <xf numFmtId="0" fontId="0" fillId="2" borderId="7" xfId="5" applyFont="1" applyBorder="1" applyAlignment="1">
      <alignment vertical="center" wrapText="1"/>
    </xf>
    <xf numFmtId="0" fontId="0" fillId="0" borderId="8" xfId="0" applyBorder="1">
      <alignment vertical="center"/>
    </xf>
    <xf numFmtId="176" fontId="5" fillId="5" borderId="9" xfId="0" applyNumberFormat="1" applyFont="1" applyFill="1" applyBorder="1" applyAlignment="1">
      <alignment horizontal="left" vertical="center" wrapText="1" indent="2"/>
    </xf>
    <xf numFmtId="176" fontId="5" fillId="5" borderId="9" xfId="0" applyNumberFormat="1" applyFont="1" applyFill="1" applyBorder="1" applyAlignment="1">
      <alignment horizontal="left" vertical="center" wrapText="1" indent="1"/>
    </xf>
    <xf numFmtId="0" fontId="0" fillId="0" borderId="10" xfId="0" applyBorder="1">
      <alignment vertical="center"/>
    </xf>
    <xf numFmtId="176" fontId="5" fillId="7" borderId="11" xfId="0" applyNumberFormat="1" applyFont="1" applyFill="1" applyBorder="1" applyAlignment="1">
      <alignment horizontal="left" vertical="center" wrapText="1" indent="1"/>
    </xf>
    <xf numFmtId="176" fontId="4" fillId="7" borderId="12" xfId="0" applyNumberFormat="1" applyFont="1" applyFill="1" applyBorder="1" applyAlignment="1">
      <alignment horizontal="left" vertical="center" wrapText="1" indent="2"/>
    </xf>
    <xf numFmtId="176" fontId="4" fillId="7" borderId="9" xfId="0" applyNumberFormat="1" applyFont="1" applyFill="1" applyBorder="1" applyAlignment="1">
      <alignment horizontal="left" vertical="center" wrapText="1" indent="2"/>
    </xf>
    <xf numFmtId="176" fontId="4" fillId="7" borderId="11" xfId="0" applyNumberFormat="1" applyFont="1" applyFill="1" applyBorder="1" applyAlignment="1">
      <alignment horizontal="left" vertical="center" wrapText="1" indent="2"/>
    </xf>
    <xf numFmtId="0" fontId="0" fillId="0" borderId="0" xfId="0" applyAlignment="1">
      <alignment horizontal="center" vertical="center"/>
    </xf>
    <xf numFmtId="0" fontId="4" fillId="0" borderId="2" xfId="4" applyFont="1" applyBorder="1" applyAlignment="1">
      <alignment horizontal="center" vertical="center"/>
    </xf>
    <xf numFmtId="0" fontId="5" fillId="9" borderId="2" xfId="3" applyFont="1" applyFill="1" applyBorder="1" applyAlignment="1">
      <alignment horizontal="center" vertical="center"/>
    </xf>
    <xf numFmtId="38" fontId="4" fillId="9" borderId="2" xfId="1" applyNumberFormat="1" applyFont="1" applyFill="1" applyBorder="1" applyAlignment="1">
      <alignment horizontal="center" vertical="center"/>
    </xf>
    <xf numFmtId="0" fontId="0" fillId="9" borderId="0" xfId="0" applyFill="1">
      <alignment vertical="center"/>
    </xf>
    <xf numFmtId="0" fontId="5" fillId="0" borderId="2" xfId="3" applyFont="1" applyBorder="1" applyAlignment="1">
      <alignment horizontal="center" vertical="center"/>
    </xf>
    <xf numFmtId="38" fontId="4" fillId="0" borderId="9" xfId="1" applyNumberFormat="1" applyFont="1" applyBorder="1" applyAlignment="1">
      <alignment horizontal="center" vertical="center"/>
    </xf>
    <xf numFmtId="41" fontId="4" fillId="0" borderId="2" xfId="1" applyFont="1" applyBorder="1">
      <alignment vertical="center"/>
    </xf>
    <xf numFmtId="0" fontId="0" fillId="8" borderId="0" xfId="0" applyFill="1">
      <alignment vertical="center"/>
    </xf>
    <xf numFmtId="3" fontId="0" fillId="0" borderId="0" xfId="0" applyNumberFormat="1">
      <alignment vertical="center"/>
    </xf>
    <xf numFmtId="0" fontId="6" fillId="0" borderId="2" xfId="0" applyFont="1" applyBorder="1" applyAlignment="1">
      <alignment horizontal="center" vertical="center"/>
    </xf>
    <xf numFmtId="38" fontId="7" fillId="0" borderId="2" xfId="1" applyNumberFormat="1" applyFont="1" applyBorder="1" applyAlignment="1">
      <alignment horizontal="center" vertical="center"/>
    </xf>
    <xf numFmtId="38" fontId="0" fillId="0" borderId="2" xfId="0" applyNumberFormat="1" applyBorder="1">
      <alignment vertical="center"/>
    </xf>
    <xf numFmtId="0" fontId="4" fillId="0" borderId="2" xfId="1" applyNumberFormat="1" applyFont="1" applyBorder="1" applyAlignment="1">
      <alignment horizontal="center" vertical="center"/>
    </xf>
    <xf numFmtId="0" fontId="4" fillId="8" borderId="2" xfId="1" applyNumberFormat="1" applyFont="1" applyFill="1" applyBorder="1" applyAlignment="1">
      <alignment horizontal="center" vertical="center"/>
    </xf>
    <xf numFmtId="0" fontId="13" fillId="0" borderId="0" xfId="9">
      <alignment vertical="center"/>
    </xf>
    <xf numFmtId="0" fontId="13" fillId="0" borderId="0" xfId="9" applyAlignment="1">
      <alignment horizontal="center" vertical="center"/>
    </xf>
    <xf numFmtId="0" fontId="7" fillId="0" borderId="0" xfId="9" applyFont="1" applyAlignment="1">
      <alignment horizontal="left" vertical="center" wrapText="1"/>
    </xf>
    <xf numFmtId="0" fontId="7" fillId="0" borderId="0" xfId="9" applyFont="1" applyAlignment="1">
      <alignment horizontal="center" vertical="center"/>
    </xf>
    <xf numFmtId="0" fontId="6" fillId="0" borderId="13" xfId="9" applyFont="1" applyBorder="1" applyAlignment="1">
      <alignment horizontal="center" vertical="center"/>
    </xf>
    <xf numFmtId="0" fontId="7" fillId="0" borderId="0" xfId="9" applyFont="1" applyAlignment="1">
      <alignment horizontal="left" vertical="center"/>
    </xf>
    <xf numFmtId="0" fontId="5" fillId="0" borderId="9" xfId="3" applyFont="1" applyBorder="1" applyAlignment="1">
      <alignment horizontal="center" vertical="center"/>
    </xf>
    <xf numFmtId="38" fontId="4" fillId="0" borderId="2" xfId="1" applyNumberFormat="1" applyFont="1" applyBorder="1" applyAlignment="1">
      <alignment horizontal="center" vertical="center" shrinkToFit="1"/>
    </xf>
    <xf numFmtId="38" fontId="8" fillId="0" borderId="2" xfId="1" applyNumberFormat="1" applyFont="1" applyBorder="1" applyAlignment="1">
      <alignment horizontal="center" vertical="center"/>
    </xf>
    <xf numFmtId="38" fontId="4" fillId="0" borderId="3" xfId="1" applyNumberFormat="1" applyFont="1" applyBorder="1" applyAlignment="1">
      <alignment horizontal="center" vertical="center"/>
    </xf>
    <xf numFmtId="38" fontId="4" fillId="0" borderId="14" xfId="1" applyNumberFormat="1" applyFont="1" applyBorder="1" applyAlignment="1">
      <alignment horizontal="center" vertical="center"/>
    </xf>
    <xf numFmtId="0" fontId="0" fillId="0" borderId="0" xfId="2" applyNumberFormat="1" applyFont="1">
      <alignment vertical="center"/>
    </xf>
    <xf numFmtId="0" fontId="0" fillId="0" borderId="13" xfId="0" applyBorder="1">
      <alignment vertical="center"/>
    </xf>
    <xf numFmtId="0" fontId="17" fillId="0" borderId="9" xfId="3" applyFont="1" applyBorder="1" applyAlignment="1">
      <alignment horizontal="center" vertical="center"/>
    </xf>
    <xf numFmtId="0" fontId="13" fillId="0" borderId="2" xfId="0" applyFont="1" applyBorder="1" applyAlignment="1">
      <alignment horizontal="center" vertical="center"/>
    </xf>
    <xf numFmtId="0" fontId="5" fillId="10" borderId="2" xfId="3" applyFont="1" applyFill="1" applyBorder="1" applyAlignment="1">
      <alignment horizontal="center" vertical="center"/>
    </xf>
    <xf numFmtId="49" fontId="21" fillId="0" borderId="2" xfId="4" applyNumberFormat="1" applyFont="1" applyBorder="1" applyAlignment="1">
      <alignment horizontal="center" vertical="center"/>
    </xf>
    <xf numFmtId="49" fontId="22" fillId="3" borderId="2" xfId="3" applyNumberFormat="1" applyFont="1" applyFill="1" applyBorder="1" applyAlignment="1">
      <alignment horizontal="center" vertical="center"/>
    </xf>
    <xf numFmtId="49" fontId="21" fillId="4" borderId="2" xfId="4" applyNumberFormat="1" applyFont="1" applyFill="1" applyBorder="1" applyAlignment="1">
      <alignment horizontal="center" vertical="center" wrapText="1"/>
    </xf>
    <xf numFmtId="177" fontId="21" fillId="0" borderId="2" xfId="1" applyNumberFormat="1" applyFont="1" applyBorder="1" applyAlignment="1">
      <alignment horizontal="center" vertical="center"/>
    </xf>
    <xf numFmtId="49" fontId="21" fillId="6" borderId="2" xfId="4" applyNumberFormat="1" applyFont="1" applyFill="1" applyBorder="1" applyAlignment="1">
      <alignment horizontal="center" vertical="center" wrapText="1"/>
    </xf>
    <xf numFmtId="3" fontId="4" fillId="0" borderId="2" xfId="12" applyNumberFormat="1" applyFont="1" applyBorder="1" applyAlignment="1">
      <alignment horizontal="center" vertical="center"/>
    </xf>
    <xf numFmtId="38" fontId="4" fillId="0" borderId="3" xfId="0" applyNumberFormat="1" applyFont="1" applyBorder="1" applyAlignment="1">
      <alignment horizontal="center" vertical="center"/>
    </xf>
    <xf numFmtId="0" fontId="4" fillId="0" borderId="3" xfId="0" applyFont="1" applyBorder="1" applyAlignment="1">
      <alignment horizontal="center" vertical="center"/>
    </xf>
    <xf numFmtId="0" fontId="4" fillId="0" borderId="2" xfId="0" applyFont="1" applyBorder="1" applyAlignment="1">
      <alignment horizontal="center" vertical="center"/>
    </xf>
    <xf numFmtId="38" fontId="4" fillId="0" borderId="2" xfId="12" applyNumberFormat="1" applyFont="1" applyBorder="1" applyAlignment="1">
      <alignment horizontal="center" vertical="center"/>
    </xf>
    <xf numFmtId="3" fontId="4" fillId="0" borderId="2" xfId="9" applyNumberFormat="1" applyFont="1" applyBorder="1" applyAlignment="1">
      <alignment horizontal="center" vertical="center"/>
    </xf>
    <xf numFmtId="176" fontId="4" fillId="0" borderId="2" xfId="12" applyNumberFormat="1" applyFont="1" applyBorder="1" applyAlignment="1">
      <alignment horizontal="center" vertical="center"/>
    </xf>
    <xf numFmtId="0" fontId="6" fillId="0" borderId="5" xfId="6" applyFont="1" applyBorder="1" applyAlignment="1">
      <alignment vertical="center"/>
    </xf>
    <xf numFmtId="0" fontId="6" fillId="0" borderId="4" xfId="6" applyFont="1" applyBorder="1" applyAlignment="1">
      <alignment vertical="center"/>
    </xf>
    <xf numFmtId="0" fontId="24" fillId="0" borderId="0" xfId="0" applyFont="1" applyAlignment="1">
      <alignment horizontal="center" vertical="center"/>
    </xf>
    <xf numFmtId="0" fontId="25" fillId="0" borderId="0" xfId="15" applyFont="1" applyAlignment="1">
      <alignment horizontal="left" vertical="center" wrapText="1"/>
    </xf>
    <xf numFmtId="178" fontId="13" fillId="0" borderId="0" xfId="9" applyNumberFormat="1">
      <alignment vertical="center"/>
    </xf>
    <xf numFmtId="49" fontId="13" fillId="0" borderId="0" xfId="9" applyNumberFormat="1">
      <alignment vertical="center"/>
    </xf>
    <xf numFmtId="49" fontId="22" fillId="5" borderId="3" xfId="9" applyNumberFormat="1" applyFont="1" applyFill="1" applyBorder="1" applyAlignment="1">
      <alignment horizontal="left" vertical="center" wrapText="1"/>
    </xf>
    <xf numFmtId="177" fontId="21" fillId="0" borderId="15" xfId="9" applyNumberFormat="1" applyFont="1" applyBorder="1" applyAlignment="1">
      <alignment horizontal="center" vertical="center"/>
    </xf>
    <xf numFmtId="177" fontId="21" fillId="0" borderId="16" xfId="9" applyNumberFormat="1" applyFont="1" applyBorder="1" applyAlignment="1">
      <alignment horizontal="center" vertical="center"/>
    </xf>
    <xf numFmtId="177" fontId="21" fillId="0" borderId="0" xfId="9" applyNumberFormat="1" applyFont="1" applyAlignment="1">
      <alignment horizontal="center" vertical="center"/>
    </xf>
    <xf numFmtId="176" fontId="5" fillId="5" borderId="3" xfId="9" applyNumberFormat="1" applyFont="1" applyFill="1" applyBorder="1" applyAlignment="1">
      <alignment horizontal="left" vertical="center" wrapText="1" indent="1"/>
    </xf>
    <xf numFmtId="176" fontId="5" fillId="5" borderId="3" xfId="9" applyNumberFormat="1" applyFont="1" applyFill="1" applyBorder="1" applyAlignment="1">
      <alignment horizontal="left" vertical="center" wrapText="1" indent="2"/>
    </xf>
    <xf numFmtId="176" fontId="5" fillId="5" borderId="0" xfId="9" applyNumberFormat="1" applyFont="1" applyFill="1" applyAlignment="1">
      <alignment horizontal="left" vertical="center" wrapText="1" indent="2"/>
    </xf>
    <xf numFmtId="176" fontId="5" fillId="5" borderId="0" xfId="9" applyNumberFormat="1" applyFont="1" applyFill="1" applyAlignment="1">
      <alignment horizontal="left" vertical="center" wrapText="1" indent="1"/>
    </xf>
    <xf numFmtId="176" fontId="5" fillId="5" borderId="3" xfId="9" applyNumberFormat="1" applyFont="1" applyFill="1" applyBorder="1" applyAlignment="1">
      <alignment horizontal="left" vertical="center" wrapText="1"/>
    </xf>
    <xf numFmtId="176" fontId="5" fillId="7" borderId="3" xfId="9" applyNumberFormat="1" applyFont="1" applyFill="1" applyBorder="1" applyAlignment="1">
      <alignment horizontal="left" vertical="center" wrapText="1"/>
    </xf>
    <xf numFmtId="176" fontId="5" fillId="7" borderId="3" xfId="9" applyNumberFormat="1" applyFont="1" applyFill="1" applyBorder="1" applyAlignment="1">
      <alignment horizontal="left" vertical="center" wrapText="1" indent="1"/>
    </xf>
    <xf numFmtId="176" fontId="5" fillId="7" borderId="2" xfId="9" applyNumberFormat="1" applyFont="1" applyFill="1" applyBorder="1" applyAlignment="1">
      <alignment horizontal="left" vertical="center" wrapText="1" indent="1"/>
    </xf>
    <xf numFmtId="176" fontId="4" fillId="7" borderId="2" xfId="9" applyNumberFormat="1" applyFont="1" applyFill="1" applyBorder="1" applyAlignment="1">
      <alignment horizontal="left" vertical="center" wrapText="1" indent="2"/>
    </xf>
    <xf numFmtId="177" fontId="21" fillId="0" borderId="17" xfId="9" applyNumberFormat="1" applyFont="1" applyBorder="1" applyAlignment="1">
      <alignment horizontal="center" vertical="center"/>
    </xf>
    <xf numFmtId="177" fontId="21" fillId="0" borderId="18" xfId="9" applyNumberFormat="1" applyFont="1" applyBorder="1" applyAlignment="1">
      <alignment horizontal="center" vertical="center"/>
    </xf>
    <xf numFmtId="177" fontId="21" fillId="0" borderId="20" xfId="9" applyNumberFormat="1" applyFont="1" applyBorder="1" applyAlignment="1">
      <alignment horizontal="center" vertical="center"/>
    </xf>
    <xf numFmtId="177" fontId="21" fillId="0" borderId="19" xfId="9" applyNumberFormat="1" applyFont="1" applyBorder="1" applyAlignment="1">
      <alignment horizontal="center" vertical="center"/>
    </xf>
    <xf numFmtId="178" fontId="5" fillId="11" borderId="0" xfId="9" applyNumberFormat="1" applyFont="1" applyFill="1" applyAlignment="1">
      <alignment horizontal="center" vertical="center"/>
    </xf>
    <xf numFmtId="0" fontId="4" fillId="0" borderId="0" xfId="9" applyFont="1" applyAlignment="1">
      <alignment horizontal="center" vertical="center"/>
    </xf>
    <xf numFmtId="38" fontId="4" fillId="0" borderId="2" xfId="9" applyNumberFormat="1" applyFont="1" applyBorder="1">
      <alignment vertical="center"/>
    </xf>
    <xf numFmtId="38" fontId="4" fillId="0" borderId="2" xfId="9" applyNumberFormat="1" applyFont="1" applyBorder="1" applyAlignment="1">
      <alignment horizontal="right" vertical="center"/>
    </xf>
    <xf numFmtId="38" fontId="13" fillId="0" borderId="2" xfId="9" applyNumberFormat="1" applyBorder="1" applyAlignment="1">
      <alignment horizontal="right" vertical="center"/>
    </xf>
    <xf numFmtId="38" fontId="4" fillId="0" borderId="2" xfId="1" applyNumberFormat="1" applyFont="1" applyBorder="1" applyAlignment="1">
      <alignment horizontal="right" vertical="center"/>
    </xf>
    <xf numFmtId="177" fontId="4" fillId="0" borderId="2" xfId="1" applyNumberFormat="1" applyFont="1" applyBorder="1" applyAlignment="1">
      <alignment horizontal="right" vertical="center"/>
    </xf>
    <xf numFmtId="176" fontId="4" fillId="0" borderId="2" xfId="1" applyNumberFormat="1" applyFont="1" applyBorder="1" applyAlignment="1">
      <alignment horizontal="right" vertical="center"/>
    </xf>
    <xf numFmtId="38" fontId="4" fillId="0" borderId="2" xfId="1" applyNumberFormat="1" applyFont="1" applyBorder="1">
      <alignment vertical="center"/>
    </xf>
    <xf numFmtId="38" fontId="27" fillId="0" borderId="2" xfId="9" applyNumberFormat="1" applyFont="1" applyBorder="1" applyAlignment="1">
      <alignment horizontal="right" vertical="center"/>
    </xf>
    <xf numFmtId="0" fontId="28" fillId="0" borderId="2" xfId="9" applyFont="1" applyBorder="1" applyAlignment="1">
      <alignment horizontal="center" vertical="center" wrapText="1"/>
    </xf>
    <xf numFmtId="0" fontId="4" fillId="0" borderId="2" xfId="9" applyFont="1" applyBorder="1" applyAlignment="1">
      <alignment horizontal="center" vertical="center"/>
    </xf>
    <xf numFmtId="38" fontId="27" fillId="0" borderId="2" xfId="1" applyNumberFormat="1" applyFont="1" applyBorder="1" applyAlignment="1">
      <alignment horizontal="right" vertical="center"/>
    </xf>
    <xf numFmtId="176" fontId="4" fillId="0" borderId="2" xfId="1" applyNumberFormat="1" applyFont="1" applyBorder="1" applyAlignment="1">
      <alignment horizontal="center" vertical="center"/>
    </xf>
    <xf numFmtId="38" fontId="27" fillId="0" borderId="2" xfId="9" applyNumberFormat="1" applyFont="1" applyBorder="1" applyAlignment="1">
      <alignment horizontal="center" vertical="center"/>
    </xf>
    <xf numFmtId="38" fontId="4" fillId="0" borderId="2" xfId="9" applyNumberFormat="1" applyFont="1" applyBorder="1" applyAlignment="1">
      <alignment horizontal="center" vertical="center"/>
    </xf>
    <xf numFmtId="0" fontId="13" fillId="0" borderId="0" xfId="9" applyAlignment="1">
      <alignment horizontal="right" vertical="center"/>
    </xf>
    <xf numFmtId="177" fontId="4" fillId="0" borderId="0" xfId="1" applyNumberFormat="1" applyFont="1">
      <alignment vertical="center"/>
    </xf>
    <xf numFmtId="177" fontId="4" fillId="0" borderId="2" xfId="1" applyNumberFormat="1" applyFont="1" applyBorder="1" applyAlignment="1">
      <alignment horizontal="center" vertical="center"/>
    </xf>
    <xf numFmtId="38" fontId="27" fillId="0" borderId="2" xfId="1" applyNumberFormat="1" applyFont="1" applyBorder="1" applyAlignment="1">
      <alignment horizontal="center" vertical="center"/>
    </xf>
    <xf numFmtId="3" fontId="4" fillId="0" borderId="0" xfId="9" applyNumberFormat="1" applyFont="1">
      <alignment vertical="center"/>
    </xf>
    <xf numFmtId="177" fontId="4" fillId="0" borderId="2" xfId="1" applyNumberFormat="1" applyFont="1" applyBorder="1">
      <alignment vertical="center"/>
    </xf>
    <xf numFmtId="176" fontId="4" fillId="0" borderId="2" xfId="1" applyNumberFormat="1" applyFont="1" applyBorder="1">
      <alignment vertical="center"/>
    </xf>
    <xf numFmtId="38" fontId="8" fillId="0" borderId="2" xfId="1" applyNumberFormat="1" applyFont="1" applyBorder="1" applyAlignment="1">
      <alignment horizontal="right" vertical="center"/>
    </xf>
    <xf numFmtId="38" fontId="4" fillId="12" borderId="2" xfId="1" applyNumberFormat="1" applyFont="1" applyFill="1" applyBorder="1" applyAlignment="1">
      <alignment horizontal="center" vertical="center"/>
    </xf>
    <xf numFmtId="179" fontId="4" fillId="0" borderId="2" xfId="1" applyNumberFormat="1" applyFont="1" applyBorder="1" applyAlignment="1">
      <alignment horizontal="right" vertical="center"/>
    </xf>
    <xf numFmtId="38" fontId="4" fillId="0" borderId="14" xfId="1" applyNumberFormat="1" applyFont="1" applyBorder="1" applyAlignment="1">
      <alignment horizontal="right" vertical="center"/>
    </xf>
  </cellXfs>
  <cellStyles count="16">
    <cellStyle name="Normal" xfId="6" xr:uid="{00000000-0005-0000-0000-000000000000}"/>
    <cellStyle name="메모 2" xfId="5" xr:uid="{00000000-0005-0000-0000-000001000000}"/>
    <cellStyle name="쉼표" xfId="2" builtinId="3"/>
    <cellStyle name="쉼표 [0]" xfId="1" builtinId="6"/>
    <cellStyle name="쉼표 [0] 2" xfId="10" xr:uid="{6529BC5C-F1BD-4B12-B2F5-F44EE355D196}"/>
    <cellStyle name="쉼표 [0] 2 2" xfId="14" xr:uid="{E3EAACFF-2194-4814-863B-12F009B3417C}"/>
    <cellStyle name="쉼표 [0] 3" xfId="8" xr:uid="{1127A0EE-D45B-454B-A553-E2C116DA7C08}"/>
    <cellStyle name="쉼표 [0] 3 2" xfId="13" xr:uid="{5EE235AA-62AA-447D-9930-1710F01A07FD}"/>
    <cellStyle name="쉼표 [0] 4" xfId="12" xr:uid="{0D9ADE2F-1DDA-43C3-9989-10FC9AA5CDD8}"/>
    <cellStyle name="표준" xfId="0" builtinId="0"/>
    <cellStyle name="표준 2" xfId="9" xr:uid="{7FD5DAEF-DF8A-4E43-A2B6-440D6C81A66D}"/>
    <cellStyle name="표준 2 3" xfId="4" xr:uid="{00000000-0005-0000-0000-000004000000}"/>
    <cellStyle name="표준 3" xfId="7" xr:uid="{396AAAB6-75B9-44FD-8306-720070766658}"/>
    <cellStyle name="표준 31" xfId="15" xr:uid="{39B94F97-8B69-45A9-A8A2-62250A1A2209}"/>
    <cellStyle name="표준 4" xfId="3" xr:uid="{00000000-0005-0000-0000-000005000000}"/>
    <cellStyle name="표준 4 2" xfId="11" xr:uid="{8B3A3760-D82B-4410-A272-127105001790}"/>
  </cellStyles>
  <dxfs count="14">
    <dxf>
      <fill>
        <patternFill patternType="solid">
          <fgColor rgb="FF6182D6"/>
          <bgColor rgb="FF6182D6"/>
        </patternFill>
      </fill>
    </dxf>
    <dxf>
      <fill>
        <patternFill patternType="solid">
          <fgColor rgb="FF94A5DF"/>
          <bgColor rgb="FF94A5DF"/>
        </patternFill>
      </fill>
      <border>
        <top style="thin">
          <color rgb="FF6182D6"/>
        </top>
        <bottom style="thin">
          <color rgb="FF6182D6"/>
        </bottom>
      </border>
    </dxf>
    <dxf>
      <font>
        <b/>
      </font>
    </dxf>
    <dxf>
      <font>
        <b/>
      </font>
    </dxf>
    <dxf>
      <font>
        <b/>
      </font>
      <border>
        <top style="thin">
          <color rgb="FF6182D6"/>
        </top>
      </border>
    </dxf>
    <dxf>
      <font>
        <b/>
      </font>
      <border>
        <bottom style="medium">
          <color rgb="FF6182D6"/>
        </bottom>
      </border>
    </dxf>
    <dxf>
      <font>
        <color rgb="FF000000"/>
      </font>
      <border>
        <left/>
        <right/>
        <top style="medium">
          <color rgb="FF6182D6"/>
        </top>
        <bottom style="medium">
          <color rgb="FF6182D6"/>
        </bottom>
        <vertical/>
        <horizontal/>
      </border>
    </dxf>
    <dxf>
      <fill>
        <patternFill patternType="solid">
          <fgColor rgb="FFAEBFEA"/>
          <bgColor rgb="FFAEBFEA"/>
        </patternFill>
      </fill>
    </dxf>
    <dxf>
      <fill>
        <patternFill patternType="solid">
          <fgColor rgb="FFAEBFEA"/>
          <bgColor rgb="FFAEBFEA"/>
        </patternFill>
      </fill>
    </dxf>
    <dxf>
      <font>
        <b/>
        <color rgb="FFFFFFFF"/>
      </font>
      <fill>
        <patternFill patternType="solid">
          <fgColor rgb="FF6182D6"/>
          <bgColor rgb="FF6182D6"/>
        </patternFill>
      </fill>
    </dxf>
    <dxf>
      <font>
        <b/>
        <color rgb="FFFFFFFF"/>
      </font>
      <fill>
        <patternFill patternType="solid">
          <fgColor rgb="FF6182D6"/>
          <bgColor rgb="FF6182D6"/>
        </patternFill>
      </fill>
    </dxf>
    <dxf>
      <font>
        <b/>
        <color rgb="FFFFFFFF"/>
      </font>
      <fill>
        <patternFill patternType="solid">
          <fgColor rgb="FF6182D6"/>
          <bgColor rgb="FF6182D6"/>
        </patternFill>
      </fill>
      <border>
        <top style="thick">
          <color rgb="FFFFFFFF"/>
        </top>
      </border>
    </dxf>
    <dxf>
      <font>
        <b/>
        <color rgb="FFFFFFFF"/>
      </font>
      <fill>
        <patternFill patternType="solid">
          <fgColor rgb="FF6182D6"/>
          <bgColor rgb="FF6182D6"/>
        </patternFill>
      </fill>
      <border>
        <bottom style="thick">
          <color rgb="FFFFFFFF"/>
        </bottom>
      </border>
    </dxf>
    <dxf>
      <font>
        <color rgb="FF000000"/>
      </font>
      <fill>
        <patternFill patternType="solid">
          <fgColor rgb="FFD7DFF4"/>
          <bgColor rgb="FFD7DFF4"/>
        </patternFill>
      </fill>
      <border>
        <left style="thin">
          <color rgb="FFFFFFFF"/>
        </left>
        <right style="thin">
          <color rgb="FFFFFFFF"/>
        </right>
        <top style="thin">
          <color rgb="FFFFFFFF"/>
        </top>
        <bottom style="thin">
          <color rgb="FFFFFFFF"/>
        </bottom>
        <vertical style="thin">
          <color rgb="FFFFFFFF"/>
        </vertical>
        <horizontal style="thin">
          <color rgb="FFFFFFFF"/>
        </horizontal>
      </border>
    </dxf>
  </dxfs>
  <tableStyles count="2" defaultTableStyle="TableStyleMedium2" defaultPivotStyle="PivotStyleLight16">
    <tableStyle name="Normal Style 1 - Accent 1" pivot="0" count="7" xr9:uid="{00000000-0011-0000-FFFF-FFFF00000000}">
      <tableStyleElement type="wholeTable" dxfId="13"/>
      <tableStyleElement type="headerRow" dxfId="12"/>
      <tableStyleElement type="totalRow" dxfId="11"/>
      <tableStyleElement type="firstColumn" dxfId="10"/>
      <tableStyleElement type="lastColumn" dxfId="9"/>
      <tableStyleElement type="firstRowStripe" dxfId="8"/>
      <tableStyleElement type="firstColumnStripe" dxfId="7"/>
    </tableStyle>
    <tableStyle name="Light Style 1 - Accent 1" table="0" count="7" xr9:uid="{00000000-0011-0000-FFFF-FFFF01000000}">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s>
  <colors>
    <mruColors>
      <color rgb="FF00FF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calcChain" Target="calcChain.xml"/><Relationship Id="rId2" Type="http://schemas.openxmlformats.org/officeDocument/2006/relationships/worksheet" Target="worksheets/sheet2.xml"/><Relationship Id="rId16"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tyles" Target="styles.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theme" Target="theme/theme1.xml"/></Relationships>
</file>

<file path=xl/theme/theme1.xml><?xml version="1.0" encoding="utf-8"?>
<a:theme xmlns:a="http://schemas.openxmlformats.org/drawingml/2006/main" name="Office 테마">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a:ln>
        <a:ln w="12700" cap="flat" cmpd="sng" algn="ctr">
          <a:solidFill>
            <a:schemeClr val="phClr"/>
          </a:solidFill>
          <a:prstDash val="solid"/>
          <a:miter/>
        </a:ln>
        <a:ln w="19050" cap="flat" cmpd="sng" algn="ctr">
          <a:solidFill>
            <a:schemeClr val="phClr"/>
          </a:solidFill>
          <a:prstDash val="solid"/>
          <a:miter/>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2.xml.rels><?xml version="1.0" encoding="UTF-8" standalone="yes"?>
<Relationships xmlns="http://schemas.openxmlformats.org/package/2006/relationships"><Relationship Id="rId2" Type="http://schemas.openxmlformats.org/officeDocument/2006/relationships/comments" Target="../comments1.xml"/><Relationship Id="rId1" Type="http://schemas.openxmlformats.org/officeDocument/2006/relationships/vmlDrawing" Target="../drawings/vmlDrawing1.vml"/></Relationships>
</file>

<file path=xl/worksheets/_rels/sheet11.xml.rels><?xml version="1.0" encoding="UTF-8" standalone="yes"?>
<Relationships xmlns="http://schemas.openxmlformats.org/package/2006/relationships"><Relationship Id="rId3" Type="http://schemas.openxmlformats.org/officeDocument/2006/relationships/comments" Target="../comments2.xml"/><Relationship Id="rId2" Type="http://schemas.openxmlformats.org/officeDocument/2006/relationships/vmlDrawing" Target="../drawings/vmlDrawing2.vml"/><Relationship Id="rId1" Type="http://schemas.openxmlformats.org/officeDocument/2006/relationships/printerSettings" Target="../printerSettings/printerSettings1.bin"/></Relationships>
</file>

<file path=xl/worksheets/_rels/sheet12.xml.rels><?xml version="1.0" encoding="UTF-8" standalone="yes"?>
<Relationships xmlns="http://schemas.openxmlformats.org/package/2006/relationships"><Relationship Id="rId3" Type="http://schemas.openxmlformats.org/officeDocument/2006/relationships/comments" Target="../comments3.xml"/><Relationship Id="rId2" Type="http://schemas.openxmlformats.org/officeDocument/2006/relationships/vmlDrawing" Target="../drawings/vmlDrawing3.vml"/><Relationship Id="rId1" Type="http://schemas.openxmlformats.org/officeDocument/2006/relationships/printerSettings" Target="../printerSettings/printerSettings2.bin"/></Relationships>
</file>

<file path=xl/worksheets/_rels/sheet13.xml.rels><?xml version="1.0" encoding="UTF-8" standalone="yes"?>
<Relationships xmlns="http://schemas.openxmlformats.org/package/2006/relationships"><Relationship Id="rId3" Type="http://schemas.openxmlformats.org/officeDocument/2006/relationships/comments" Target="../comments4.xml"/><Relationship Id="rId2" Type="http://schemas.openxmlformats.org/officeDocument/2006/relationships/vmlDrawing" Target="../drawings/vmlDrawing4.vml"/><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38EC084-EB83-4145-9CDB-4F43539933C7}">
  <dimension ref="A2:B31"/>
  <sheetViews>
    <sheetView topLeftCell="A23" zoomScaleNormal="100" zoomScaleSheetLayoutView="100" workbookViewId="0">
      <selection activeCell="B32" sqref="B32"/>
    </sheetView>
  </sheetViews>
  <sheetFormatPr defaultColWidth="8.796875" defaultRowHeight="17.399999999999999"/>
  <cols>
    <col min="1" max="1" width="8.796875" style="50"/>
    <col min="2" max="2" width="62" style="50" customWidth="1"/>
    <col min="3" max="16384" width="8.796875" style="49"/>
  </cols>
  <sheetData>
    <row r="2" spans="1:2">
      <c r="A2" s="53" t="s">
        <v>119</v>
      </c>
      <c r="B2" s="53" t="s">
        <v>76</v>
      </c>
    </row>
    <row r="3" spans="1:2">
      <c r="A3" s="52">
        <v>1</v>
      </c>
      <c r="B3" s="54" t="s">
        <v>160</v>
      </c>
    </row>
    <row r="4" spans="1:2" ht="80.55" customHeight="1">
      <c r="A4" s="52">
        <v>2</v>
      </c>
      <c r="B4" s="51" t="s">
        <v>34</v>
      </c>
    </row>
    <row r="5" spans="1:2">
      <c r="A5" s="52"/>
      <c r="B5" s="54"/>
    </row>
    <row r="6" spans="1:2">
      <c r="A6" s="53" t="s">
        <v>119</v>
      </c>
      <c r="B6" s="53" t="s">
        <v>141</v>
      </c>
    </row>
    <row r="7" spans="1:2" ht="118.8">
      <c r="A7" s="52">
        <v>1</v>
      </c>
      <c r="B7" s="51" t="s">
        <v>49</v>
      </c>
    </row>
    <row r="8" spans="1:2" ht="39.6">
      <c r="A8" s="52">
        <v>2</v>
      </c>
      <c r="B8" s="51" t="s">
        <v>131</v>
      </c>
    </row>
    <row r="9" spans="1:2" ht="39.6">
      <c r="A9" s="52">
        <v>3</v>
      </c>
      <c r="B9" s="51" t="s">
        <v>50</v>
      </c>
    </row>
    <row r="11" spans="1:2">
      <c r="A11" s="52"/>
      <c r="B11" s="54"/>
    </row>
    <row r="12" spans="1:2">
      <c r="A12" s="53" t="s">
        <v>119</v>
      </c>
      <c r="B12" s="53" t="s">
        <v>136</v>
      </c>
    </row>
    <row r="13" spans="1:2" ht="39.6">
      <c r="A13" s="52">
        <v>1</v>
      </c>
      <c r="B13" s="51" t="s">
        <v>32</v>
      </c>
    </row>
    <row r="14" spans="1:2" ht="409.6">
      <c r="A14" s="50">
        <v>2</v>
      </c>
      <c r="B14" s="51" t="s">
        <v>161</v>
      </c>
    </row>
    <row r="15" spans="1:2" ht="79.2">
      <c r="A15" s="50">
        <v>3</v>
      </c>
      <c r="B15" s="51" t="s">
        <v>48</v>
      </c>
    </row>
    <row r="18" spans="1:2">
      <c r="A18" s="53" t="s">
        <v>119</v>
      </c>
      <c r="B18" s="53" t="s">
        <v>170</v>
      </c>
    </row>
    <row r="19" spans="1:2" ht="39.6">
      <c r="A19" s="52">
        <v>1</v>
      </c>
      <c r="B19" s="51" t="s">
        <v>169</v>
      </c>
    </row>
    <row r="20" spans="1:2" ht="79.2">
      <c r="A20" s="50">
        <v>2</v>
      </c>
      <c r="B20" s="51" t="s">
        <v>173</v>
      </c>
    </row>
    <row r="21" spans="1:2" ht="409.6">
      <c r="A21" s="50">
        <v>3</v>
      </c>
      <c r="B21" s="51" t="s">
        <v>174</v>
      </c>
    </row>
    <row r="24" spans="1:2">
      <c r="A24" s="53" t="s">
        <v>119</v>
      </c>
      <c r="B24" s="53" t="s">
        <v>179</v>
      </c>
    </row>
    <row r="25" spans="1:2" ht="39.6">
      <c r="A25" s="52">
        <v>1</v>
      </c>
      <c r="B25" s="51" t="s">
        <v>181</v>
      </c>
    </row>
    <row r="26" spans="1:2" ht="39.6">
      <c r="A26" s="50">
        <v>2</v>
      </c>
      <c r="B26" s="51" t="s">
        <v>180</v>
      </c>
    </row>
    <row r="27" spans="1:2" ht="39.6">
      <c r="A27" s="79">
        <v>3</v>
      </c>
      <c r="B27" s="80" t="s">
        <v>186</v>
      </c>
    </row>
    <row r="30" spans="1:2">
      <c r="A30" s="53" t="s">
        <v>119</v>
      </c>
      <c r="B30" s="53" t="s">
        <v>195</v>
      </c>
    </row>
    <row r="31" spans="1:2" ht="66">
      <c r="A31" s="52">
        <v>1</v>
      </c>
      <c r="B31" s="51" t="s">
        <v>197</v>
      </c>
    </row>
  </sheetData>
  <phoneticPr fontId="14" type="noConversion"/>
  <pageMargins left="0.69972223043441772" right="0.69972223043441772" top="0.75" bottom="0.75" header="0.30000001192092896" footer="0.30000001192092896"/>
  <pageSetup paperSize="9" fitToWidth="0" fitToHeight="0" orientation="portrait" horizontalDpi="0" verticalDpi="0"/>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tabColor rgb="FF00B050"/>
  </sheetPr>
  <dimension ref="A1:I1032174"/>
  <sheetViews>
    <sheetView zoomScale="70" zoomScaleNormal="70" zoomScaleSheetLayoutView="85" workbookViewId="0">
      <selection activeCell="G28" sqref="G28"/>
    </sheetView>
  </sheetViews>
  <sheetFormatPr defaultColWidth="8.69921875" defaultRowHeight="17.399999999999999"/>
  <cols>
    <col min="1" max="1" width="30.59765625" style="2" customWidth="1"/>
    <col min="2" max="2" width="63.69921875" style="1" customWidth="1"/>
    <col min="3" max="7" width="18.69921875" style="1" customWidth="1"/>
    <col min="8" max="16384" width="8.69921875" style="1"/>
  </cols>
  <sheetData>
    <row r="1" spans="1:9" ht="104.4">
      <c r="A1" s="2" t="s">
        <v>125</v>
      </c>
      <c r="B1" s="3" t="s">
        <v>171</v>
      </c>
      <c r="C1" s="3"/>
      <c r="D1" s="3"/>
      <c r="E1" s="3"/>
      <c r="F1" s="3"/>
      <c r="G1" s="3"/>
      <c r="H1" s="3"/>
      <c r="I1" s="3"/>
    </row>
    <row r="2" spans="1:9">
      <c r="B2" s="4"/>
    </row>
    <row r="4" spans="1:9" s="2" customFormat="1">
      <c r="A4" s="77" t="s">
        <v>117</v>
      </c>
      <c r="B4" s="78" t="s">
        <v>106</v>
      </c>
    </row>
    <row r="5" spans="1:9" s="2" customFormat="1">
      <c r="A5" s="24" t="s">
        <v>111</v>
      </c>
      <c r="B5" s="25" t="s">
        <v>158</v>
      </c>
    </row>
    <row r="6" spans="1:9" ht="18" customHeight="1">
      <c r="A6" s="21" t="s">
        <v>112</v>
      </c>
      <c r="B6" s="26"/>
      <c r="E6" s="2"/>
      <c r="F6" s="2"/>
      <c r="G6" s="2"/>
    </row>
    <row r="7" spans="1:9" ht="18" customHeight="1">
      <c r="A7" s="21" t="s">
        <v>84</v>
      </c>
      <c r="B7" s="26"/>
      <c r="E7" s="2"/>
      <c r="F7" s="2"/>
      <c r="G7" s="2"/>
    </row>
    <row r="8" spans="1:9" ht="18" customHeight="1">
      <c r="A8" s="22" t="s">
        <v>23</v>
      </c>
      <c r="B8" s="26"/>
      <c r="E8" s="2"/>
      <c r="F8" s="2"/>
      <c r="G8" s="2"/>
    </row>
    <row r="9" spans="1:9" ht="18" customHeight="1">
      <c r="A9" s="27" t="s">
        <v>104</v>
      </c>
      <c r="B9" s="26" t="s">
        <v>166</v>
      </c>
      <c r="E9" s="2"/>
      <c r="F9" s="2"/>
      <c r="G9" s="2"/>
    </row>
    <row r="10" spans="1:9" ht="18" customHeight="1">
      <c r="A10" s="27" t="s">
        <v>75</v>
      </c>
      <c r="B10" s="26" t="s">
        <v>159</v>
      </c>
      <c r="E10" s="2"/>
      <c r="F10" s="2"/>
      <c r="G10" s="2"/>
    </row>
    <row r="11" spans="1:9" ht="18" customHeight="1">
      <c r="A11" s="27" t="s">
        <v>51</v>
      </c>
      <c r="B11" s="26" t="s">
        <v>146</v>
      </c>
      <c r="E11" s="2"/>
      <c r="F11" s="2"/>
      <c r="G11" s="2"/>
    </row>
    <row r="12" spans="1:9" ht="18" customHeight="1">
      <c r="A12" s="27" t="s">
        <v>69</v>
      </c>
      <c r="B12" s="26"/>
      <c r="E12" s="2"/>
      <c r="F12" s="2"/>
      <c r="G12" s="2"/>
    </row>
    <row r="13" spans="1:9" ht="18" customHeight="1">
      <c r="A13" s="27" t="s">
        <v>134</v>
      </c>
      <c r="B13" s="26" t="s">
        <v>164</v>
      </c>
      <c r="E13" s="2"/>
      <c r="F13" s="2"/>
      <c r="G13" s="2"/>
    </row>
    <row r="14" spans="1:9" ht="18" customHeight="1">
      <c r="A14" s="27" t="s">
        <v>52</v>
      </c>
      <c r="B14" s="26" t="s">
        <v>44</v>
      </c>
      <c r="E14" s="2"/>
      <c r="F14" s="2"/>
      <c r="G14" s="2"/>
    </row>
    <row r="15" spans="1:9" ht="18" customHeight="1">
      <c r="A15" s="27" t="s">
        <v>47</v>
      </c>
      <c r="B15" s="26" t="s">
        <v>132</v>
      </c>
      <c r="E15" s="2"/>
      <c r="F15" s="2"/>
      <c r="G15" s="2"/>
    </row>
    <row r="16" spans="1:9" ht="18" customHeight="1">
      <c r="A16" s="22" t="s">
        <v>30</v>
      </c>
      <c r="B16" s="26" t="s">
        <v>165</v>
      </c>
      <c r="E16" s="2"/>
      <c r="F16" s="2"/>
      <c r="G16" s="2"/>
    </row>
    <row r="17" spans="1:7" ht="18" customHeight="1">
      <c r="A17" s="28" t="s">
        <v>66</v>
      </c>
      <c r="B17" s="26"/>
      <c r="E17" s="2"/>
      <c r="F17" s="2"/>
      <c r="G17" s="2"/>
    </row>
    <row r="18" spans="1:7" ht="18" customHeight="1">
      <c r="A18" s="21" t="s">
        <v>19</v>
      </c>
      <c r="B18" s="26"/>
      <c r="E18" s="2"/>
      <c r="F18" s="2"/>
      <c r="G18" s="2"/>
    </row>
    <row r="19" spans="1:7" ht="18" customHeight="1">
      <c r="A19" s="22" t="s">
        <v>8</v>
      </c>
      <c r="B19" s="26"/>
      <c r="E19" s="2"/>
      <c r="F19" s="2"/>
      <c r="G19" s="2"/>
    </row>
    <row r="20" spans="1:7" ht="18" customHeight="1">
      <c r="A20" s="22" t="s">
        <v>151</v>
      </c>
      <c r="B20" s="26"/>
      <c r="E20" s="2"/>
      <c r="F20" s="2"/>
      <c r="G20" s="2"/>
    </row>
    <row r="21" spans="1:7" ht="18" customHeight="1">
      <c r="A21" s="22" t="s">
        <v>27</v>
      </c>
      <c r="B21" s="26"/>
      <c r="E21" s="2"/>
      <c r="F21" s="2"/>
      <c r="G21" s="2"/>
    </row>
    <row r="22" spans="1:7" ht="18" customHeight="1">
      <c r="A22" s="27" t="s">
        <v>54</v>
      </c>
      <c r="B22" s="26"/>
      <c r="E22" s="2"/>
      <c r="F22" s="2"/>
      <c r="G22" s="2"/>
    </row>
    <row r="23" spans="1:7" ht="18" customHeight="1">
      <c r="A23" s="27" t="s">
        <v>105</v>
      </c>
      <c r="B23" s="26"/>
      <c r="E23" s="2"/>
      <c r="F23" s="2"/>
      <c r="G23" s="2"/>
    </row>
    <row r="24" spans="1:7" ht="18" customHeight="1">
      <c r="A24" s="27" t="s">
        <v>53</v>
      </c>
      <c r="B24" s="26"/>
      <c r="E24" s="2"/>
      <c r="F24" s="2"/>
      <c r="G24" s="2"/>
    </row>
    <row r="25" spans="1:7" ht="18" customHeight="1">
      <c r="A25" s="27" t="s">
        <v>46</v>
      </c>
      <c r="B25" s="26"/>
      <c r="E25" s="2"/>
      <c r="F25" s="2"/>
      <c r="G25" s="2"/>
    </row>
    <row r="26" spans="1:7" ht="18" customHeight="1">
      <c r="A26" s="22" t="s">
        <v>68</v>
      </c>
      <c r="B26" s="26" t="s">
        <v>142</v>
      </c>
      <c r="E26" s="2"/>
      <c r="F26" s="2"/>
      <c r="G26" s="2"/>
    </row>
    <row r="27" spans="1:7" ht="18" customHeight="1">
      <c r="A27" s="21" t="s">
        <v>109</v>
      </c>
      <c r="B27" s="26"/>
      <c r="E27" s="2"/>
      <c r="F27" s="2"/>
      <c r="G27" s="2"/>
    </row>
    <row r="28" spans="1:7" ht="18" customHeight="1">
      <c r="A28" s="21" t="s">
        <v>99</v>
      </c>
      <c r="B28" s="26"/>
      <c r="E28" s="2"/>
      <c r="F28" s="2"/>
      <c r="G28" s="2"/>
    </row>
    <row r="29" spans="1:7" ht="18" customHeight="1">
      <c r="A29" s="22" t="s">
        <v>21</v>
      </c>
      <c r="B29" s="26"/>
      <c r="E29" s="2"/>
      <c r="F29" s="2"/>
      <c r="G29" s="2"/>
    </row>
    <row r="30" spans="1:7" ht="18" customHeight="1">
      <c r="A30" s="22" t="s">
        <v>6</v>
      </c>
      <c r="B30" s="26" t="s">
        <v>126</v>
      </c>
      <c r="E30" s="2"/>
      <c r="F30" s="2"/>
      <c r="G30" s="2"/>
    </row>
    <row r="31" spans="1:7" ht="18" customHeight="1">
      <c r="A31" s="22" t="s">
        <v>147</v>
      </c>
      <c r="B31" s="26" t="s">
        <v>42</v>
      </c>
      <c r="E31" s="2"/>
      <c r="F31" s="2"/>
      <c r="G31" s="2"/>
    </row>
    <row r="32" spans="1:7" ht="18" customHeight="1">
      <c r="A32" s="22" t="s">
        <v>150</v>
      </c>
      <c r="B32" s="26" t="s">
        <v>38</v>
      </c>
      <c r="E32" s="2"/>
      <c r="F32" s="2"/>
      <c r="G32" s="2"/>
    </row>
    <row r="33" spans="1:7" ht="18" customHeight="1">
      <c r="A33" s="22" t="s">
        <v>13</v>
      </c>
      <c r="B33" s="26"/>
      <c r="E33" s="2"/>
      <c r="F33" s="2"/>
      <c r="G33" s="2"/>
    </row>
    <row r="34" spans="1:7" ht="18" customHeight="1">
      <c r="A34" s="22" t="s">
        <v>59</v>
      </c>
      <c r="B34" s="26"/>
      <c r="E34" s="2"/>
      <c r="F34" s="2"/>
      <c r="G34" s="2"/>
    </row>
    <row r="35" spans="1:7" ht="18" customHeight="1">
      <c r="A35" s="21" t="s">
        <v>156</v>
      </c>
      <c r="B35" s="26"/>
      <c r="E35" s="2"/>
      <c r="F35" s="2"/>
      <c r="G35" s="2"/>
    </row>
    <row r="36" spans="1:7" ht="18" customHeight="1">
      <c r="A36" s="22" t="s">
        <v>15</v>
      </c>
      <c r="B36" s="26"/>
      <c r="E36" s="2"/>
      <c r="F36" s="2"/>
      <c r="G36" s="2"/>
    </row>
    <row r="37" spans="1:7" ht="18" customHeight="1">
      <c r="A37" s="22" t="s">
        <v>45</v>
      </c>
      <c r="B37" s="26"/>
    </row>
    <row r="38" spans="1:7" ht="18" customHeight="1">
      <c r="A38" s="21" t="s">
        <v>110</v>
      </c>
      <c r="B38" s="26"/>
    </row>
    <row r="39" spans="1:7" ht="18" customHeight="1">
      <c r="A39" s="21" t="s">
        <v>97</v>
      </c>
      <c r="B39" s="26"/>
    </row>
    <row r="40" spans="1:7" ht="18" customHeight="1">
      <c r="A40" s="21" t="s">
        <v>154</v>
      </c>
      <c r="B40" s="26"/>
    </row>
    <row r="41" spans="1:7" ht="18" customHeight="1">
      <c r="A41" s="21" t="s">
        <v>153</v>
      </c>
      <c r="B41" s="26"/>
    </row>
    <row r="42" spans="1:7" ht="18" customHeight="1">
      <c r="A42" s="21" t="s">
        <v>79</v>
      </c>
      <c r="B42" s="26"/>
    </row>
    <row r="43" spans="1:7" ht="18" customHeight="1">
      <c r="A43" s="21" t="s">
        <v>143</v>
      </c>
      <c r="B43" s="26"/>
    </row>
    <row r="44" spans="1:7" ht="18" customHeight="1">
      <c r="A44" s="23" t="s">
        <v>85</v>
      </c>
      <c r="B44" s="26"/>
    </row>
    <row r="45" spans="1:7" ht="18" customHeight="1">
      <c r="A45" s="16" t="s">
        <v>12</v>
      </c>
      <c r="B45" s="26"/>
    </row>
    <row r="46" spans="1:7" ht="18" customHeight="1">
      <c r="A46" s="16" t="s">
        <v>22</v>
      </c>
      <c r="B46" s="26"/>
    </row>
    <row r="47" spans="1:7" ht="18" customHeight="1">
      <c r="A47" s="16" t="s">
        <v>28</v>
      </c>
      <c r="B47" s="26" t="s">
        <v>162</v>
      </c>
    </row>
    <row r="48" spans="1:7" ht="18" customHeight="1">
      <c r="A48" s="16" t="s">
        <v>24</v>
      </c>
      <c r="B48" s="26"/>
    </row>
    <row r="49" spans="1:2" ht="18" customHeight="1">
      <c r="A49" s="23" t="s">
        <v>144</v>
      </c>
      <c r="B49" s="26"/>
    </row>
    <row r="50" spans="1:2" ht="18" customHeight="1">
      <c r="A50" s="16" t="s">
        <v>67</v>
      </c>
      <c r="B50" s="26"/>
    </row>
    <row r="51" spans="1:2" ht="18" customHeight="1">
      <c r="A51" s="16" t="s">
        <v>72</v>
      </c>
      <c r="B51" s="26"/>
    </row>
    <row r="52" spans="1:2" ht="18" customHeight="1">
      <c r="A52" s="16" t="s">
        <v>63</v>
      </c>
      <c r="B52" s="26"/>
    </row>
    <row r="53" spans="1:2" ht="18" customHeight="1">
      <c r="A53" s="16" t="s">
        <v>64</v>
      </c>
      <c r="B53" s="26"/>
    </row>
    <row r="54" spans="1:2" ht="18" customHeight="1">
      <c r="A54" s="23" t="s">
        <v>14</v>
      </c>
      <c r="B54" s="26"/>
    </row>
    <row r="55" spans="1:2" ht="18" customHeight="1">
      <c r="A55" s="23" t="s">
        <v>102</v>
      </c>
      <c r="B55" s="26"/>
    </row>
    <row r="56" spans="1:2" ht="18" customHeight="1">
      <c r="A56" s="16" t="s">
        <v>26</v>
      </c>
      <c r="B56" s="26" t="s">
        <v>133</v>
      </c>
    </row>
    <row r="57" spans="1:2" ht="18" customHeight="1">
      <c r="A57" s="16" t="s">
        <v>35</v>
      </c>
      <c r="B57" s="26" t="s">
        <v>33</v>
      </c>
    </row>
    <row r="58" spans="1:2" ht="18" customHeight="1">
      <c r="A58" s="16" t="s">
        <v>73</v>
      </c>
      <c r="B58" s="26"/>
    </row>
    <row r="59" spans="1:2" ht="18" customHeight="1">
      <c r="A59" s="16" t="s">
        <v>58</v>
      </c>
      <c r="B59" s="26"/>
    </row>
    <row r="60" spans="1:2" ht="18" customHeight="1">
      <c r="A60" s="16" t="s">
        <v>55</v>
      </c>
      <c r="B60" s="26"/>
    </row>
    <row r="61" spans="1:2" ht="18" customHeight="1">
      <c r="A61" s="16" t="s">
        <v>36</v>
      </c>
      <c r="B61" s="26"/>
    </row>
    <row r="62" spans="1:2" ht="18" customHeight="1">
      <c r="A62" s="23" t="s">
        <v>87</v>
      </c>
      <c r="B62" s="26"/>
    </row>
    <row r="63" spans="1:2" ht="18" customHeight="1">
      <c r="A63" s="23" t="s">
        <v>16</v>
      </c>
      <c r="B63" s="26"/>
    </row>
    <row r="64" spans="1:2" ht="18" customHeight="1">
      <c r="A64" s="16" t="s">
        <v>148</v>
      </c>
      <c r="B64" s="26"/>
    </row>
    <row r="65" spans="1:2" ht="18" customHeight="1">
      <c r="A65" s="16" t="s">
        <v>62</v>
      </c>
      <c r="B65" s="26"/>
    </row>
    <row r="66" spans="1:2" ht="18" customHeight="1">
      <c r="A66" s="16" t="s">
        <v>20</v>
      </c>
      <c r="B66" s="26"/>
    </row>
    <row r="67" spans="1:2" ht="18" customHeight="1">
      <c r="A67" s="16" t="s">
        <v>145</v>
      </c>
      <c r="B67" s="26"/>
    </row>
    <row r="68" spans="1:2" ht="18" customHeight="1">
      <c r="A68" s="16" t="s">
        <v>78</v>
      </c>
      <c r="B68" s="26" t="s">
        <v>163</v>
      </c>
    </row>
    <row r="69" spans="1:2" ht="18" customHeight="1">
      <c r="A69" s="31" t="s">
        <v>80</v>
      </c>
      <c r="B69" s="26"/>
    </row>
    <row r="70" spans="1:2" ht="18" customHeight="1">
      <c r="A70" s="32" t="s">
        <v>7</v>
      </c>
      <c r="B70" s="26" t="s">
        <v>37</v>
      </c>
    </row>
    <row r="71" spans="1:2" ht="18" customHeight="1">
      <c r="A71" s="32" t="s">
        <v>25</v>
      </c>
      <c r="B71" s="26"/>
    </row>
    <row r="72" spans="1:2" ht="18" customHeight="1">
      <c r="A72" s="33" t="s">
        <v>17</v>
      </c>
      <c r="B72" s="26"/>
    </row>
    <row r="73" spans="1:2" ht="18" customHeight="1">
      <c r="A73" s="30" t="s">
        <v>41</v>
      </c>
      <c r="B73" s="26"/>
    </row>
    <row r="74" spans="1:2" ht="18" customHeight="1">
      <c r="A74" s="23" t="s">
        <v>10</v>
      </c>
      <c r="B74" s="26"/>
    </row>
    <row r="75" spans="1:2" ht="18" customHeight="1">
      <c r="A75" s="16" t="s">
        <v>60</v>
      </c>
      <c r="B75" s="26"/>
    </row>
    <row r="76" spans="1:2" ht="18" customHeight="1">
      <c r="A76" s="16" t="s">
        <v>29</v>
      </c>
      <c r="B76" s="26"/>
    </row>
    <row r="77" spans="1:2" ht="18" customHeight="1">
      <c r="A77" s="16" t="s">
        <v>57</v>
      </c>
      <c r="B77" s="26"/>
    </row>
    <row r="78" spans="1:2" ht="18" customHeight="1">
      <c r="A78" s="16" t="s">
        <v>9</v>
      </c>
      <c r="B78" s="26"/>
    </row>
    <row r="79" spans="1:2" ht="18" customHeight="1">
      <c r="A79" s="16" t="s">
        <v>43</v>
      </c>
      <c r="B79" s="26"/>
    </row>
    <row r="80" spans="1:2" ht="18" customHeight="1">
      <c r="A80" s="23" t="s">
        <v>70</v>
      </c>
      <c r="B80" s="26"/>
    </row>
    <row r="81" spans="1:2" ht="18" customHeight="1">
      <c r="A81" s="23" t="s">
        <v>140</v>
      </c>
      <c r="B81" s="26"/>
    </row>
    <row r="82" spans="1:2" ht="18" customHeight="1">
      <c r="A82" s="23" t="s">
        <v>149</v>
      </c>
      <c r="B82" s="29"/>
    </row>
    <row r="32738" spans="1:1">
      <c r="A32738" s="2" t="s">
        <v>111</v>
      </c>
    </row>
    <row r="32739" spans="1:1">
      <c r="A32739" s="2" t="s">
        <v>116</v>
      </c>
    </row>
    <row r="32740" spans="1:1">
      <c r="A32740" s="2" t="s">
        <v>108</v>
      </c>
    </row>
    <row r="32741" spans="1:1">
      <c r="A32741" s="2" t="s">
        <v>113</v>
      </c>
    </row>
    <row r="32742" spans="1:1">
      <c r="A32742" s="2" t="s">
        <v>115</v>
      </c>
    </row>
    <row r="32743" spans="1:1" ht="34.799999999999997">
      <c r="A32743" s="3" t="s">
        <v>155</v>
      </c>
    </row>
    <row r="32744" spans="1:1">
      <c r="A32744" s="2" t="s">
        <v>91</v>
      </c>
    </row>
    <row r="32745" spans="1:1">
      <c r="A32745" s="2" t="s">
        <v>2</v>
      </c>
    </row>
    <row r="32746" spans="1:1">
      <c r="A32746" s="2" t="s">
        <v>123</v>
      </c>
    </row>
    <row r="32747" spans="1:1">
      <c r="A32747" s="2" t="s">
        <v>95</v>
      </c>
    </row>
    <row r="32748" spans="1:1">
      <c r="A32748" s="2" t="s">
        <v>129</v>
      </c>
    </row>
    <row r="32749" spans="1:1">
      <c r="A32749" s="2" t="s">
        <v>138</v>
      </c>
    </row>
    <row r="32750" spans="1:1">
      <c r="A32750" s="2" t="s">
        <v>71</v>
      </c>
    </row>
    <row r="49122" spans="1:1">
      <c r="A49122" s="2" t="s">
        <v>111</v>
      </c>
    </row>
    <row r="49123" spans="1:1">
      <c r="A49123" s="2" t="s">
        <v>116</v>
      </c>
    </row>
    <row r="49124" spans="1:1">
      <c r="A49124" s="2" t="s">
        <v>108</v>
      </c>
    </row>
    <row r="49125" spans="1:1">
      <c r="A49125" s="2" t="s">
        <v>113</v>
      </c>
    </row>
    <row r="49126" spans="1:1">
      <c r="A49126" s="2" t="s">
        <v>115</v>
      </c>
    </row>
    <row r="49127" spans="1:1" ht="34.799999999999997">
      <c r="A49127" s="3" t="s">
        <v>155</v>
      </c>
    </row>
    <row r="49128" spans="1:1">
      <c r="A49128" s="2" t="s">
        <v>91</v>
      </c>
    </row>
    <row r="49129" spans="1:1">
      <c r="A49129" s="2" t="s">
        <v>2</v>
      </c>
    </row>
    <row r="49130" spans="1:1">
      <c r="A49130" s="2" t="s">
        <v>123</v>
      </c>
    </row>
    <row r="49131" spans="1:1">
      <c r="A49131" s="2" t="s">
        <v>95</v>
      </c>
    </row>
    <row r="49132" spans="1:1">
      <c r="A49132" s="2" t="s">
        <v>129</v>
      </c>
    </row>
    <row r="49133" spans="1:1">
      <c r="A49133" s="2" t="s">
        <v>138</v>
      </c>
    </row>
    <row r="49134" spans="1:1">
      <c r="A49134" s="2" t="s">
        <v>71</v>
      </c>
    </row>
    <row r="65506" spans="1:1">
      <c r="A65506" s="2" t="s">
        <v>111</v>
      </c>
    </row>
    <row r="65507" spans="1:1">
      <c r="A65507" s="2" t="s">
        <v>116</v>
      </c>
    </row>
    <row r="65508" spans="1:1">
      <c r="A65508" s="2" t="s">
        <v>108</v>
      </c>
    </row>
    <row r="65509" spans="1:1">
      <c r="A65509" s="2" t="s">
        <v>113</v>
      </c>
    </row>
    <row r="65510" spans="1:1">
      <c r="A65510" s="2" t="s">
        <v>115</v>
      </c>
    </row>
    <row r="65511" spans="1:1" ht="34.799999999999997">
      <c r="A65511" s="3" t="s">
        <v>155</v>
      </c>
    </row>
    <row r="65512" spans="1:1">
      <c r="A65512" s="2" t="s">
        <v>91</v>
      </c>
    </row>
    <row r="65513" spans="1:1">
      <c r="A65513" s="2" t="s">
        <v>2</v>
      </c>
    </row>
    <row r="65514" spans="1:1">
      <c r="A65514" s="2" t="s">
        <v>123</v>
      </c>
    </row>
    <row r="65515" spans="1:1">
      <c r="A65515" s="2" t="s">
        <v>95</v>
      </c>
    </row>
    <row r="65516" spans="1:1">
      <c r="A65516" s="2" t="s">
        <v>129</v>
      </c>
    </row>
    <row r="65517" spans="1:1">
      <c r="A65517" s="2" t="s">
        <v>138</v>
      </c>
    </row>
    <row r="65518" spans="1:1">
      <c r="A65518" s="2" t="s">
        <v>71</v>
      </c>
    </row>
    <row r="81890" spans="1:1">
      <c r="A81890" s="2" t="s">
        <v>111</v>
      </c>
    </row>
    <row r="81891" spans="1:1">
      <c r="A81891" s="2" t="s">
        <v>116</v>
      </c>
    </row>
    <row r="81892" spans="1:1">
      <c r="A81892" s="2" t="s">
        <v>108</v>
      </c>
    </row>
    <row r="81893" spans="1:1">
      <c r="A81893" s="2" t="s">
        <v>113</v>
      </c>
    </row>
    <row r="81894" spans="1:1">
      <c r="A81894" s="2" t="s">
        <v>115</v>
      </c>
    </row>
    <row r="81895" spans="1:1" ht="34.799999999999997">
      <c r="A81895" s="3" t="s">
        <v>155</v>
      </c>
    </row>
    <row r="81896" spans="1:1">
      <c r="A81896" s="2" t="s">
        <v>91</v>
      </c>
    </row>
    <row r="81897" spans="1:1">
      <c r="A81897" s="2" t="s">
        <v>2</v>
      </c>
    </row>
    <row r="81898" spans="1:1">
      <c r="A81898" s="2" t="s">
        <v>123</v>
      </c>
    </row>
    <row r="81899" spans="1:1">
      <c r="A81899" s="2" t="s">
        <v>95</v>
      </c>
    </row>
    <row r="81900" spans="1:1">
      <c r="A81900" s="2" t="s">
        <v>129</v>
      </c>
    </row>
    <row r="81901" spans="1:1">
      <c r="A81901" s="2" t="s">
        <v>138</v>
      </c>
    </row>
    <row r="81902" spans="1:1">
      <c r="A81902" s="2" t="s">
        <v>71</v>
      </c>
    </row>
    <row r="98274" spans="1:1">
      <c r="A98274" s="2" t="s">
        <v>111</v>
      </c>
    </row>
    <row r="98275" spans="1:1">
      <c r="A98275" s="2" t="s">
        <v>116</v>
      </c>
    </row>
    <row r="98276" spans="1:1">
      <c r="A98276" s="2" t="s">
        <v>108</v>
      </c>
    </row>
    <row r="98277" spans="1:1">
      <c r="A98277" s="2" t="s">
        <v>113</v>
      </c>
    </row>
    <row r="98278" spans="1:1">
      <c r="A98278" s="2" t="s">
        <v>115</v>
      </c>
    </row>
    <row r="98279" spans="1:1" ht="34.799999999999997">
      <c r="A98279" s="3" t="s">
        <v>155</v>
      </c>
    </row>
    <row r="98280" spans="1:1">
      <c r="A98280" s="2" t="s">
        <v>91</v>
      </c>
    </row>
    <row r="98281" spans="1:1">
      <c r="A98281" s="2" t="s">
        <v>2</v>
      </c>
    </row>
    <row r="98282" spans="1:1">
      <c r="A98282" s="2" t="s">
        <v>123</v>
      </c>
    </row>
    <row r="98283" spans="1:1">
      <c r="A98283" s="2" t="s">
        <v>95</v>
      </c>
    </row>
    <row r="98284" spans="1:1">
      <c r="A98284" s="2" t="s">
        <v>129</v>
      </c>
    </row>
    <row r="98285" spans="1:1">
      <c r="A98285" s="2" t="s">
        <v>138</v>
      </c>
    </row>
    <row r="98286" spans="1:1">
      <c r="A98286" s="2" t="s">
        <v>71</v>
      </c>
    </row>
    <row r="114658" spans="1:1">
      <c r="A114658" s="2" t="s">
        <v>111</v>
      </c>
    </row>
    <row r="114659" spans="1:1">
      <c r="A114659" s="2" t="s">
        <v>116</v>
      </c>
    </row>
    <row r="114660" spans="1:1">
      <c r="A114660" s="2" t="s">
        <v>108</v>
      </c>
    </row>
    <row r="114661" spans="1:1">
      <c r="A114661" s="2" t="s">
        <v>113</v>
      </c>
    </row>
    <row r="114662" spans="1:1">
      <c r="A114662" s="2" t="s">
        <v>115</v>
      </c>
    </row>
    <row r="114663" spans="1:1" ht="34.799999999999997">
      <c r="A114663" s="3" t="s">
        <v>155</v>
      </c>
    </row>
    <row r="114664" spans="1:1">
      <c r="A114664" s="2" t="s">
        <v>91</v>
      </c>
    </row>
    <row r="114665" spans="1:1">
      <c r="A114665" s="2" t="s">
        <v>2</v>
      </c>
    </row>
    <row r="114666" spans="1:1">
      <c r="A114666" s="2" t="s">
        <v>123</v>
      </c>
    </row>
    <row r="114667" spans="1:1">
      <c r="A114667" s="2" t="s">
        <v>95</v>
      </c>
    </row>
    <row r="114668" spans="1:1">
      <c r="A114668" s="2" t="s">
        <v>129</v>
      </c>
    </row>
    <row r="114669" spans="1:1">
      <c r="A114669" s="2" t="s">
        <v>138</v>
      </c>
    </row>
    <row r="114670" spans="1:1">
      <c r="A114670" s="2" t="s">
        <v>71</v>
      </c>
    </row>
    <row r="131042" spans="1:1">
      <c r="A131042" s="2" t="s">
        <v>111</v>
      </c>
    </row>
    <row r="131043" spans="1:1">
      <c r="A131043" s="2" t="s">
        <v>116</v>
      </c>
    </row>
    <row r="131044" spans="1:1">
      <c r="A131044" s="2" t="s">
        <v>108</v>
      </c>
    </row>
    <row r="131045" spans="1:1">
      <c r="A131045" s="2" t="s">
        <v>113</v>
      </c>
    </row>
    <row r="131046" spans="1:1">
      <c r="A131046" s="2" t="s">
        <v>115</v>
      </c>
    </row>
    <row r="131047" spans="1:1" ht="34.799999999999997">
      <c r="A131047" s="3" t="s">
        <v>155</v>
      </c>
    </row>
    <row r="131048" spans="1:1">
      <c r="A131048" s="2" t="s">
        <v>91</v>
      </c>
    </row>
    <row r="131049" spans="1:1">
      <c r="A131049" s="2" t="s">
        <v>2</v>
      </c>
    </row>
    <row r="131050" spans="1:1">
      <c r="A131050" s="2" t="s">
        <v>123</v>
      </c>
    </row>
    <row r="131051" spans="1:1">
      <c r="A131051" s="2" t="s">
        <v>95</v>
      </c>
    </row>
    <row r="131052" spans="1:1">
      <c r="A131052" s="2" t="s">
        <v>129</v>
      </c>
    </row>
    <row r="131053" spans="1:1">
      <c r="A131053" s="2" t="s">
        <v>138</v>
      </c>
    </row>
    <row r="131054" spans="1:1">
      <c r="A131054" s="2" t="s">
        <v>71</v>
      </c>
    </row>
    <row r="147426" spans="1:1">
      <c r="A147426" s="2" t="s">
        <v>111</v>
      </c>
    </row>
    <row r="147427" spans="1:1">
      <c r="A147427" s="2" t="s">
        <v>116</v>
      </c>
    </row>
    <row r="147428" spans="1:1">
      <c r="A147428" s="2" t="s">
        <v>108</v>
      </c>
    </row>
    <row r="147429" spans="1:1">
      <c r="A147429" s="2" t="s">
        <v>113</v>
      </c>
    </row>
    <row r="147430" spans="1:1">
      <c r="A147430" s="2" t="s">
        <v>115</v>
      </c>
    </row>
    <row r="147431" spans="1:1" ht="34.799999999999997">
      <c r="A147431" s="3" t="s">
        <v>155</v>
      </c>
    </row>
    <row r="147432" spans="1:1">
      <c r="A147432" s="2" t="s">
        <v>91</v>
      </c>
    </row>
    <row r="147433" spans="1:1">
      <c r="A147433" s="2" t="s">
        <v>2</v>
      </c>
    </row>
    <row r="147434" spans="1:1">
      <c r="A147434" s="2" t="s">
        <v>123</v>
      </c>
    </row>
    <row r="147435" spans="1:1">
      <c r="A147435" s="2" t="s">
        <v>95</v>
      </c>
    </row>
    <row r="147436" spans="1:1">
      <c r="A147436" s="2" t="s">
        <v>129</v>
      </c>
    </row>
    <row r="147437" spans="1:1">
      <c r="A147437" s="2" t="s">
        <v>138</v>
      </c>
    </row>
    <row r="147438" spans="1:1">
      <c r="A147438" s="2" t="s">
        <v>71</v>
      </c>
    </row>
    <row r="163810" spans="1:1">
      <c r="A163810" s="2" t="s">
        <v>111</v>
      </c>
    </row>
    <row r="163811" spans="1:1">
      <c r="A163811" s="2" t="s">
        <v>116</v>
      </c>
    </row>
    <row r="163812" spans="1:1">
      <c r="A163812" s="2" t="s">
        <v>108</v>
      </c>
    </row>
    <row r="163813" spans="1:1">
      <c r="A163813" s="2" t="s">
        <v>113</v>
      </c>
    </row>
    <row r="163814" spans="1:1">
      <c r="A163814" s="2" t="s">
        <v>115</v>
      </c>
    </row>
    <row r="163815" spans="1:1" ht="34.799999999999997">
      <c r="A163815" s="3" t="s">
        <v>155</v>
      </c>
    </row>
    <row r="163816" spans="1:1">
      <c r="A163816" s="2" t="s">
        <v>91</v>
      </c>
    </row>
    <row r="163817" spans="1:1">
      <c r="A163817" s="2" t="s">
        <v>2</v>
      </c>
    </row>
    <row r="163818" spans="1:1">
      <c r="A163818" s="2" t="s">
        <v>123</v>
      </c>
    </row>
    <row r="163819" spans="1:1">
      <c r="A163819" s="2" t="s">
        <v>95</v>
      </c>
    </row>
    <row r="163820" spans="1:1">
      <c r="A163820" s="2" t="s">
        <v>129</v>
      </c>
    </row>
    <row r="163821" spans="1:1">
      <c r="A163821" s="2" t="s">
        <v>138</v>
      </c>
    </row>
    <row r="163822" spans="1:1">
      <c r="A163822" s="2" t="s">
        <v>71</v>
      </c>
    </row>
    <row r="180194" spans="1:1">
      <c r="A180194" s="2" t="s">
        <v>111</v>
      </c>
    </row>
    <row r="180195" spans="1:1">
      <c r="A180195" s="2" t="s">
        <v>116</v>
      </c>
    </row>
    <row r="180196" spans="1:1">
      <c r="A180196" s="2" t="s">
        <v>108</v>
      </c>
    </row>
    <row r="180197" spans="1:1">
      <c r="A180197" s="2" t="s">
        <v>113</v>
      </c>
    </row>
    <row r="180198" spans="1:1">
      <c r="A180198" s="2" t="s">
        <v>115</v>
      </c>
    </row>
    <row r="180199" spans="1:1" ht="34.799999999999997">
      <c r="A180199" s="3" t="s">
        <v>155</v>
      </c>
    </row>
    <row r="180200" spans="1:1">
      <c r="A180200" s="2" t="s">
        <v>91</v>
      </c>
    </row>
    <row r="180201" spans="1:1">
      <c r="A180201" s="2" t="s">
        <v>2</v>
      </c>
    </row>
    <row r="180202" spans="1:1">
      <c r="A180202" s="2" t="s">
        <v>123</v>
      </c>
    </row>
    <row r="180203" spans="1:1">
      <c r="A180203" s="2" t="s">
        <v>95</v>
      </c>
    </row>
    <row r="180204" spans="1:1">
      <c r="A180204" s="2" t="s">
        <v>129</v>
      </c>
    </row>
    <row r="180205" spans="1:1">
      <c r="A180205" s="2" t="s">
        <v>138</v>
      </c>
    </row>
    <row r="180206" spans="1:1">
      <c r="A180206" s="2" t="s">
        <v>71</v>
      </c>
    </row>
    <row r="196578" spans="1:1">
      <c r="A196578" s="2" t="s">
        <v>111</v>
      </c>
    </row>
    <row r="196579" spans="1:1">
      <c r="A196579" s="2" t="s">
        <v>116</v>
      </c>
    </row>
    <row r="196580" spans="1:1">
      <c r="A196580" s="2" t="s">
        <v>108</v>
      </c>
    </row>
    <row r="196581" spans="1:1">
      <c r="A196581" s="2" t="s">
        <v>113</v>
      </c>
    </row>
    <row r="196582" spans="1:1">
      <c r="A196582" s="2" t="s">
        <v>115</v>
      </c>
    </row>
    <row r="196583" spans="1:1" ht="34.799999999999997">
      <c r="A196583" s="3" t="s">
        <v>155</v>
      </c>
    </row>
    <row r="196584" spans="1:1">
      <c r="A196584" s="2" t="s">
        <v>91</v>
      </c>
    </row>
    <row r="196585" spans="1:1">
      <c r="A196585" s="2" t="s">
        <v>2</v>
      </c>
    </row>
    <row r="196586" spans="1:1">
      <c r="A196586" s="2" t="s">
        <v>123</v>
      </c>
    </row>
    <row r="196587" spans="1:1">
      <c r="A196587" s="2" t="s">
        <v>95</v>
      </c>
    </row>
    <row r="196588" spans="1:1">
      <c r="A196588" s="2" t="s">
        <v>129</v>
      </c>
    </row>
    <row r="196589" spans="1:1">
      <c r="A196589" s="2" t="s">
        <v>138</v>
      </c>
    </row>
    <row r="196590" spans="1:1">
      <c r="A196590" s="2" t="s">
        <v>71</v>
      </c>
    </row>
    <row r="212962" spans="1:1">
      <c r="A212962" s="2" t="s">
        <v>111</v>
      </c>
    </row>
    <row r="212963" spans="1:1">
      <c r="A212963" s="2" t="s">
        <v>116</v>
      </c>
    </row>
    <row r="212964" spans="1:1">
      <c r="A212964" s="2" t="s">
        <v>108</v>
      </c>
    </row>
    <row r="212965" spans="1:1">
      <c r="A212965" s="2" t="s">
        <v>113</v>
      </c>
    </row>
    <row r="212966" spans="1:1">
      <c r="A212966" s="2" t="s">
        <v>115</v>
      </c>
    </row>
    <row r="212967" spans="1:1" ht="34.799999999999997">
      <c r="A212967" s="3" t="s">
        <v>155</v>
      </c>
    </row>
    <row r="212968" spans="1:1">
      <c r="A212968" s="2" t="s">
        <v>91</v>
      </c>
    </row>
    <row r="212969" spans="1:1">
      <c r="A212969" s="2" t="s">
        <v>2</v>
      </c>
    </row>
    <row r="212970" spans="1:1">
      <c r="A212970" s="2" t="s">
        <v>123</v>
      </c>
    </row>
    <row r="212971" spans="1:1">
      <c r="A212971" s="2" t="s">
        <v>95</v>
      </c>
    </row>
    <row r="212972" spans="1:1">
      <c r="A212972" s="2" t="s">
        <v>129</v>
      </c>
    </row>
    <row r="212973" spans="1:1">
      <c r="A212973" s="2" t="s">
        <v>138</v>
      </c>
    </row>
    <row r="212974" spans="1:1">
      <c r="A212974" s="2" t="s">
        <v>71</v>
      </c>
    </row>
    <row r="229346" spans="1:1">
      <c r="A229346" s="2" t="s">
        <v>111</v>
      </c>
    </row>
    <row r="229347" spans="1:1">
      <c r="A229347" s="2" t="s">
        <v>116</v>
      </c>
    </row>
    <row r="229348" spans="1:1">
      <c r="A229348" s="2" t="s">
        <v>108</v>
      </c>
    </row>
    <row r="229349" spans="1:1">
      <c r="A229349" s="2" t="s">
        <v>113</v>
      </c>
    </row>
    <row r="229350" spans="1:1">
      <c r="A229350" s="2" t="s">
        <v>115</v>
      </c>
    </row>
    <row r="229351" spans="1:1" ht="34.799999999999997">
      <c r="A229351" s="3" t="s">
        <v>155</v>
      </c>
    </row>
    <row r="229352" spans="1:1">
      <c r="A229352" s="2" t="s">
        <v>91</v>
      </c>
    </row>
    <row r="229353" spans="1:1">
      <c r="A229353" s="2" t="s">
        <v>2</v>
      </c>
    </row>
    <row r="229354" spans="1:1">
      <c r="A229354" s="2" t="s">
        <v>123</v>
      </c>
    </row>
    <row r="229355" spans="1:1">
      <c r="A229355" s="2" t="s">
        <v>95</v>
      </c>
    </row>
    <row r="229356" spans="1:1">
      <c r="A229356" s="2" t="s">
        <v>129</v>
      </c>
    </row>
    <row r="229357" spans="1:1">
      <c r="A229357" s="2" t="s">
        <v>138</v>
      </c>
    </row>
    <row r="229358" spans="1:1">
      <c r="A229358" s="2" t="s">
        <v>71</v>
      </c>
    </row>
    <row r="245730" spans="1:1">
      <c r="A245730" s="2" t="s">
        <v>111</v>
      </c>
    </row>
    <row r="245731" spans="1:1">
      <c r="A245731" s="2" t="s">
        <v>116</v>
      </c>
    </row>
    <row r="245732" spans="1:1">
      <c r="A245732" s="2" t="s">
        <v>108</v>
      </c>
    </row>
    <row r="245733" spans="1:1">
      <c r="A245733" s="2" t="s">
        <v>113</v>
      </c>
    </row>
    <row r="245734" spans="1:1">
      <c r="A245734" s="2" t="s">
        <v>115</v>
      </c>
    </row>
    <row r="245735" spans="1:1" ht="34.799999999999997">
      <c r="A245735" s="3" t="s">
        <v>155</v>
      </c>
    </row>
    <row r="245736" spans="1:1">
      <c r="A245736" s="2" t="s">
        <v>91</v>
      </c>
    </row>
    <row r="245737" spans="1:1">
      <c r="A245737" s="2" t="s">
        <v>2</v>
      </c>
    </row>
    <row r="245738" spans="1:1">
      <c r="A245738" s="2" t="s">
        <v>123</v>
      </c>
    </row>
    <row r="245739" spans="1:1">
      <c r="A245739" s="2" t="s">
        <v>95</v>
      </c>
    </row>
    <row r="245740" spans="1:1">
      <c r="A245740" s="2" t="s">
        <v>129</v>
      </c>
    </row>
    <row r="245741" spans="1:1">
      <c r="A245741" s="2" t="s">
        <v>138</v>
      </c>
    </row>
    <row r="245742" spans="1:1">
      <c r="A245742" s="2" t="s">
        <v>71</v>
      </c>
    </row>
    <row r="262114" spans="1:1">
      <c r="A262114" s="2" t="s">
        <v>111</v>
      </c>
    </row>
    <row r="262115" spans="1:1">
      <c r="A262115" s="2" t="s">
        <v>116</v>
      </c>
    </row>
    <row r="262116" spans="1:1">
      <c r="A262116" s="2" t="s">
        <v>108</v>
      </c>
    </row>
    <row r="262117" spans="1:1">
      <c r="A262117" s="2" t="s">
        <v>113</v>
      </c>
    </row>
    <row r="262118" spans="1:1">
      <c r="A262118" s="2" t="s">
        <v>115</v>
      </c>
    </row>
    <row r="262119" spans="1:1" ht="34.799999999999997">
      <c r="A262119" s="3" t="s">
        <v>155</v>
      </c>
    </row>
    <row r="262120" spans="1:1">
      <c r="A262120" s="2" t="s">
        <v>91</v>
      </c>
    </row>
    <row r="262121" spans="1:1">
      <c r="A262121" s="2" t="s">
        <v>2</v>
      </c>
    </row>
    <row r="262122" spans="1:1">
      <c r="A262122" s="2" t="s">
        <v>123</v>
      </c>
    </row>
    <row r="262123" spans="1:1">
      <c r="A262123" s="2" t="s">
        <v>95</v>
      </c>
    </row>
    <row r="262124" spans="1:1">
      <c r="A262124" s="2" t="s">
        <v>129</v>
      </c>
    </row>
    <row r="262125" spans="1:1">
      <c r="A262125" s="2" t="s">
        <v>138</v>
      </c>
    </row>
    <row r="262126" spans="1:1">
      <c r="A262126" s="2" t="s">
        <v>71</v>
      </c>
    </row>
    <row r="278498" spans="1:1">
      <c r="A278498" s="2" t="s">
        <v>111</v>
      </c>
    </row>
    <row r="278499" spans="1:1">
      <c r="A278499" s="2" t="s">
        <v>116</v>
      </c>
    </row>
    <row r="278500" spans="1:1">
      <c r="A278500" s="2" t="s">
        <v>108</v>
      </c>
    </row>
    <row r="278501" spans="1:1">
      <c r="A278501" s="2" t="s">
        <v>113</v>
      </c>
    </row>
    <row r="278502" spans="1:1">
      <c r="A278502" s="2" t="s">
        <v>115</v>
      </c>
    </row>
    <row r="278503" spans="1:1" ht="34.799999999999997">
      <c r="A278503" s="3" t="s">
        <v>155</v>
      </c>
    </row>
    <row r="278504" spans="1:1">
      <c r="A278504" s="2" t="s">
        <v>91</v>
      </c>
    </row>
    <row r="278505" spans="1:1">
      <c r="A278505" s="2" t="s">
        <v>2</v>
      </c>
    </row>
    <row r="278506" spans="1:1">
      <c r="A278506" s="2" t="s">
        <v>123</v>
      </c>
    </row>
    <row r="278507" spans="1:1">
      <c r="A278507" s="2" t="s">
        <v>95</v>
      </c>
    </row>
    <row r="278508" spans="1:1">
      <c r="A278508" s="2" t="s">
        <v>129</v>
      </c>
    </row>
    <row r="278509" spans="1:1">
      <c r="A278509" s="2" t="s">
        <v>138</v>
      </c>
    </row>
    <row r="278510" spans="1:1">
      <c r="A278510" s="2" t="s">
        <v>71</v>
      </c>
    </row>
    <row r="294882" spans="1:1">
      <c r="A294882" s="2" t="s">
        <v>111</v>
      </c>
    </row>
    <row r="294883" spans="1:1">
      <c r="A294883" s="2" t="s">
        <v>116</v>
      </c>
    </row>
    <row r="294884" spans="1:1">
      <c r="A294884" s="2" t="s">
        <v>108</v>
      </c>
    </row>
    <row r="294885" spans="1:1">
      <c r="A294885" s="2" t="s">
        <v>113</v>
      </c>
    </row>
    <row r="294886" spans="1:1">
      <c r="A294886" s="2" t="s">
        <v>115</v>
      </c>
    </row>
    <row r="294887" spans="1:1" ht="34.799999999999997">
      <c r="A294887" s="3" t="s">
        <v>155</v>
      </c>
    </row>
    <row r="294888" spans="1:1">
      <c r="A294888" s="2" t="s">
        <v>91</v>
      </c>
    </row>
    <row r="294889" spans="1:1">
      <c r="A294889" s="2" t="s">
        <v>2</v>
      </c>
    </row>
    <row r="294890" spans="1:1">
      <c r="A294890" s="2" t="s">
        <v>123</v>
      </c>
    </row>
    <row r="294891" spans="1:1">
      <c r="A294891" s="2" t="s">
        <v>95</v>
      </c>
    </row>
    <row r="294892" spans="1:1">
      <c r="A294892" s="2" t="s">
        <v>129</v>
      </c>
    </row>
    <row r="294893" spans="1:1">
      <c r="A294893" s="2" t="s">
        <v>138</v>
      </c>
    </row>
    <row r="294894" spans="1:1">
      <c r="A294894" s="2" t="s">
        <v>71</v>
      </c>
    </row>
    <row r="311266" spans="1:1">
      <c r="A311266" s="2" t="s">
        <v>111</v>
      </c>
    </row>
    <row r="311267" spans="1:1">
      <c r="A311267" s="2" t="s">
        <v>116</v>
      </c>
    </row>
    <row r="311268" spans="1:1">
      <c r="A311268" s="2" t="s">
        <v>108</v>
      </c>
    </row>
    <row r="311269" spans="1:1">
      <c r="A311269" s="2" t="s">
        <v>113</v>
      </c>
    </row>
    <row r="311270" spans="1:1">
      <c r="A311270" s="2" t="s">
        <v>115</v>
      </c>
    </row>
    <row r="311271" spans="1:1" ht="34.799999999999997">
      <c r="A311271" s="3" t="s">
        <v>155</v>
      </c>
    </row>
    <row r="311272" spans="1:1">
      <c r="A311272" s="2" t="s">
        <v>91</v>
      </c>
    </row>
    <row r="311273" spans="1:1">
      <c r="A311273" s="2" t="s">
        <v>2</v>
      </c>
    </row>
    <row r="311274" spans="1:1">
      <c r="A311274" s="2" t="s">
        <v>123</v>
      </c>
    </row>
    <row r="311275" spans="1:1">
      <c r="A311275" s="2" t="s">
        <v>95</v>
      </c>
    </row>
    <row r="311276" spans="1:1">
      <c r="A311276" s="2" t="s">
        <v>129</v>
      </c>
    </row>
    <row r="311277" spans="1:1">
      <c r="A311277" s="2" t="s">
        <v>138</v>
      </c>
    </row>
    <row r="311278" spans="1:1">
      <c r="A311278" s="2" t="s">
        <v>71</v>
      </c>
    </row>
    <row r="327650" spans="1:1">
      <c r="A327650" s="2" t="s">
        <v>111</v>
      </c>
    </row>
    <row r="327651" spans="1:1">
      <c r="A327651" s="2" t="s">
        <v>116</v>
      </c>
    </row>
    <row r="327652" spans="1:1">
      <c r="A327652" s="2" t="s">
        <v>108</v>
      </c>
    </row>
    <row r="327653" spans="1:1">
      <c r="A327653" s="2" t="s">
        <v>113</v>
      </c>
    </row>
    <row r="327654" spans="1:1">
      <c r="A327654" s="2" t="s">
        <v>115</v>
      </c>
    </row>
    <row r="327655" spans="1:1" ht="34.799999999999997">
      <c r="A327655" s="3" t="s">
        <v>155</v>
      </c>
    </row>
    <row r="327656" spans="1:1">
      <c r="A327656" s="2" t="s">
        <v>91</v>
      </c>
    </row>
    <row r="327657" spans="1:1">
      <c r="A327657" s="2" t="s">
        <v>2</v>
      </c>
    </row>
    <row r="327658" spans="1:1">
      <c r="A327658" s="2" t="s">
        <v>123</v>
      </c>
    </row>
    <row r="327659" spans="1:1">
      <c r="A327659" s="2" t="s">
        <v>95</v>
      </c>
    </row>
    <row r="327660" spans="1:1">
      <c r="A327660" s="2" t="s">
        <v>129</v>
      </c>
    </row>
    <row r="327661" spans="1:1">
      <c r="A327661" s="2" t="s">
        <v>138</v>
      </c>
    </row>
    <row r="327662" spans="1:1">
      <c r="A327662" s="2" t="s">
        <v>71</v>
      </c>
    </row>
    <row r="344034" spans="1:1">
      <c r="A344034" s="2" t="s">
        <v>111</v>
      </c>
    </row>
    <row r="344035" spans="1:1">
      <c r="A344035" s="2" t="s">
        <v>116</v>
      </c>
    </row>
    <row r="344036" spans="1:1">
      <c r="A344036" s="2" t="s">
        <v>108</v>
      </c>
    </row>
    <row r="344037" spans="1:1">
      <c r="A344037" s="2" t="s">
        <v>113</v>
      </c>
    </row>
    <row r="344038" spans="1:1">
      <c r="A344038" s="2" t="s">
        <v>115</v>
      </c>
    </row>
    <row r="344039" spans="1:1" ht="34.799999999999997">
      <c r="A344039" s="3" t="s">
        <v>155</v>
      </c>
    </row>
    <row r="344040" spans="1:1">
      <c r="A344040" s="2" t="s">
        <v>91</v>
      </c>
    </row>
    <row r="344041" spans="1:1">
      <c r="A344041" s="2" t="s">
        <v>2</v>
      </c>
    </row>
    <row r="344042" spans="1:1">
      <c r="A344042" s="2" t="s">
        <v>123</v>
      </c>
    </row>
    <row r="344043" spans="1:1">
      <c r="A344043" s="2" t="s">
        <v>95</v>
      </c>
    </row>
    <row r="344044" spans="1:1">
      <c r="A344044" s="2" t="s">
        <v>129</v>
      </c>
    </row>
    <row r="344045" spans="1:1">
      <c r="A344045" s="2" t="s">
        <v>138</v>
      </c>
    </row>
    <row r="344046" spans="1:1">
      <c r="A344046" s="2" t="s">
        <v>71</v>
      </c>
    </row>
    <row r="360418" spans="1:1">
      <c r="A360418" s="2" t="s">
        <v>111</v>
      </c>
    </row>
    <row r="360419" spans="1:1">
      <c r="A360419" s="2" t="s">
        <v>116</v>
      </c>
    </row>
    <row r="360420" spans="1:1">
      <c r="A360420" s="2" t="s">
        <v>108</v>
      </c>
    </row>
    <row r="360421" spans="1:1">
      <c r="A360421" s="2" t="s">
        <v>113</v>
      </c>
    </row>
    <row r="360422" spans="1:1">
      <c r="A360422" s="2" t="s">
        <v>115</v>
      </c>
    </row>
    <row r="360423" spans="1:1" ht="34.799999999999997">
      <c r="A360423" s="3" t="s">
        <v>155</v>
      </c>
    </row>
    <row r="360424" spans="1:1">
      <c r="A360424" s="2" t="s">
        <v>91</v>
      </c>
    </row>
    <row r="360425" spans="1:1">
      <c r="A360425" s="2" t="s">
        <v>2</v>
      </c>
    </row>
    <row r="360426" spans="1:1">
      <c r="A360426" s="2" t="s">
        <v>123</v>
      </c>
    </row>
    <row r="360427" spans="1:1">
      <c r="A360427" s="2" t="s">
        <v>95</v>
      </c>
    </row>
    <row r="360428" spans="1:1">
      <c r="A360428" s="2" t="s">
        <v>129</v>
      </c>
    </row>
    <row r="360429" spans="1:1">
      <c r="A360429" s="2" t="s">
        <v>138</v>
      </c>
    </row>
    <row r="360430" spans="1:1">
      <c r="A360430" s="2" t="s">
        <v>71</v>
      </c>
    </row>
    <row r="376802" spans="1:1">
      <c r="A376802" s="2" t="s">
        <v>111</v>
      </c>
    </row>
    <row r="376803" spans="1:1">
      <c r="A376803" s="2" t="s">
        <v>116</v>
      </c>
    </row>
    <row r="376804" spans="1:1">
      <c r="A376804" s="2" t="s">
        <v>108</v>
      </c>
    </row>
    <row r="376805" spans="1:1">
      <c r="A376805" s="2" t="s">
        <v>113</v>
      </c>
    </row>
    <row r="376806" spans="1:1">
      <c r="A376806" s="2" t="s">
        <v>115</v>
      </c>
    </row>
    <row r="376807" spans="1:1" ht="34.799999999999997">
      <c r="A376807" s="3" t="s">
        <v>155</v>
      </c>
    </row>
    <row r="376808" spans="1:1">
      <c r="A376808" s="2" t="s">
        <v>91</v>
      </c>
    </row>
    <row r="376809" spans="1:1">
      <c r="A376809" s="2" t="s">
        <v>2</v>
      </c>
    </row>
    <row r="376810" spans="1:1">
      <c r="A376810" s="2" t="s">
        <v>123</v>
      </c>
    </row>
    <row r="376811" spans="1:1">
      <c r="A376811" s="2" t="s">
        <v>95</v>
      </c>
    </row>
    <row r="376812" spans="1:1">
      <c r="A376812" s="2" t="s">
        <v>129</v>
      </c>
    </row>
    <row r="376813" spans="1:1">
      <c r="A376813" s="2" t="s">
        <v>138</v>
      </c>
    </row>
    <row r="376814" spans="1:1">
      <c r="A376814" s="2" t="s">
        <v>71</v>
      </c>
    </row>
    <row r="393186" spans="1:1">
      <c r="A393186" s="2" t="s">
        <v>111</v>
      </c>
    </row>
    <row r="393187" spans="1:1">
      <c r="A393187" s="2" t="s">
        <v>116</v>
      </c>
    </row>
    <row r="393188" spans="1:1">
      <c r="A393188" s="2" t="s">
        <v>108</v>
      </c>
    </row>
    <row r="393189" spans="1:1">
      <c r="A393189" s="2" t="s">
        <v>113</v>
      </c>
    </row>
    <row r="393190" spans="1:1">
      <c r="A393190" s="2" t="s">
        <v>115</v>
      </c>
    </row>
    <row r="393191" spans="1:1" ht="34.799999999999997">
      <c r="A393191" s="3" t="s">
        <v>155</v>
      </c>
    </row>
    <row r="393192" spans="1:1">
      <c r="A393192" s="2" t="s">
        <v>91</v>
      </c>
    </row>
    <row r="393193" spans="1:1">
      <c r="A393193" s="2" t="s">
        <v>2</v>
      </c>
    </row>
    <row r="393194" spans="1:1">
      <c r="A393194" s="2" t="s">
        <v>123</v>
      </c>
    </row>
    <row r="393195" spans="1:1">
      <c r="A393195" s="2" t="s">
        <v>95</v>
      </c>
    </row>
    <row r="393196" spans="1:1">
      <c r="A393196" s="2" t="s">
        <v>129</v>
      </c>
    </row>
    <row r="393197" spans="1:1">
      <c r="A393197" s="2" t="s">
        <v>138</v>
      </c>
    </row>
    <row r="393198" spans="1:1">
      <c r="A393198" s="2" t="s">
        <v>71</v>
      </c>
    </row>
    <row r="409570" spans="1:1">
      <c r="A409570" s="2" t="s">
        <v>111</v>
      </c>
    </row>
    <row r="409571" spans="1:1">
      <c r="A409571" s="2" t="s">
        <v>116</v>
      </c>
    </row>
    <row r="409572" spans="1:1">
      <c r="A409572" s="2" t="s">
        <v>108</v>
      </c>
    </row>
    <row r="409573" spans="1:1">
      <c r="A409573" s="2" t="s">
        <v>113</v>
      </c>
    </row>
    <row r="409574" spans="1:1">
      <c r="A409574" s="2" t="s">
        <v>115</v>
      </c>
    </row>
    <row r="409575" spans="1:1" ht="34.799999999999997">
      <c r="A409575" s="3" t="s">
        <v>155</v>
      </c>
    </row>
    <row r="409576" spans="1:1">
      <c r="A409576" s="2" t="s">
        <v>91</v>
      </c>
    </row>
    <row r="409577" spans="1:1">
      <c r="A409577" s="2" t="s">
        <v>2</v>
      </c>
    </row>
    <row r="409578" spans="1:1">
      <c r="A409578" s="2" t="s">
        <v>123</v>
      </c>
    </row>
    <row r="409579" spans="1:1">
      <c r="A409579" s="2" t="s">
        <v>95</v>
      </c>
    </row>
    <row r="409580" spans="1:1">
      <c r="A409580" s="2" t="s">
        <v>129</v>
      </c>
    </row>
    <row r="409581" spans="1:1">
      <c r="A409581" s="2" t="s">
        <v>138</v>
      </c>
    </row>
    <row r="409582" spans="1:1">
      <c r="A409582" s="2" t="s">
        <v>71</v>
      </c>
    </row>
    <row r="425954" spans="1:1">
      <c r="A425954" s="2" t="s">
        <v>111</v>
      </c>
    </row>
    <row r="425955" spans="1:1">
      <c r="A425955" s="2" t="s">
        <v>116</v>
      </c>
    </row>
    <row r="425956" spans="1:1">
      <c r="A425956" s="2" t="s">
        <v>108</v>
      </c>
    </row>
    <row r="425957" spans="1:1">
      <c r="A425957" s="2" t="s">
        <v>113</v>
      </c>
    </row>
    <row r="425958" spans="1:1">
      <c r="A425958" s="2" t="s">
        <v>115</v>
      </c>
    </row>
    <row r="425959" spans="1:1" ht="34.799999999999997">
      <c r="A425959" s="3" t="s">
        <v>155</v>
      </c>
    </row>
    <row r="425960" spans="1:1">
      <c r="A425960" s="2" t="s">
        <v>91</v>
      </c>
    </row>
    <row r="425961" spans="1:1">
      <c r="A425961" s="2" t="s">
        <v>2</v>
      </c>
    </row>
    <row r="425962" spans="1:1">
      <c r="A425962" s="2" t="s">
        <v>123</v>
      </c>
    </row>
    <row r="425963" spans="1:1">
      <c r="A425963" s="2" t="s">
        <v>95</v>
      </c>
    </row>
    <row r="425964" spans="1:1">
      <c r="A425964" s="2" t="s">
        <v>129</v>
      </c>
    </row>
    <row r="425965" spans="1:1">
      <c r="A425965" s="2" t="s">
        <v>138</v>
      </c>
    </row>
    <row r="425966" spans="1:1">
      <c r="A425966" s="2" t="s">
        <v>71</v>
      </c>
    </row>
    <row r="442338" spans="1:1">
      <c r="A442338" s="2" t="s">
        <v>111</v>
      </c>
    </row>
    <row r="442339" spans="1:1">
      <c r="A442339" s="2" t="s">
        <v>116</v>
      </c>
    </row>
    <row r="442340" spans="1:1">
      <c r="A442340" s="2" t="s">
        <v>108</v>
      </c>
    </row>
    <row r="442341" spans="1:1">
      <c r="A442341" s="2" t="s">
        <v>113</v>
      </c>
    </row>
    <row r="442342" spans="1:1">
      <c r="A442342" s="2" t="s">
        <v>115</v>
      </c>
    </row>
    <row r="442343" spans="1:1" ht="34.799999999999997">
      <c r="A442343" s="3" t="s">
        <v>155</v>
      </c>
    </row>
    <row r="442344" spans="1:1">
      <c r="A442344" s="2" t="s">
        <v>91</v>
      </c>
    </row>
    <row r="442345" spans="1:1">
      <c r="A442345" s="2" t="s">
        <v>2</v>
      </c>
    </row>
    <row r="442346" spans="1:1">
      <c r="A442346" s="2" t="s">
        <v>123</v>
      </c>
    </row>
    <row r="442347" spans="1:1">
      <c r="A442347" s="2" t="s">
        <v>95</v>
      </c>
    </row>
    <row r="442348" spans="1:1">
      <c r="A442348" s="2" t="s">
        <v>129</v>
      </c>
    </row>
    <row r="442349" spans="1:1">
      <c r="A442349" s="2" t="s">
        <v>138</v>
      </c>
    </row>
    <row r="442350" spans="1:1">
      <c r="A442350" s="2" t="s">
        <v>71</v>
      </c>
    </row>
    <row r="458722" spans="1:1">
      <c r="A458722" s="2" t="s">
        <v>111</v>
      </c>
    </row>
    <row r="458723" spans="1:1">
      <c r="A458723" s="2" t="s">
        <v>116</v>
      </c>
    </row>
    <row r="458724" spans="1:1">
      <c r="A458724" s="2" t="s">
        <v>108</v>
      </c>
    </row>
    <row r="458725" spans="1:1">
      <c r="A458725" s="2" t="s">
        <v>113</v>
      </c>
    </row>
    <row r="458726" spans="1:1">
      <c r="A458726" s="2" t="s">
        <v>115</v>
      </c>
    </row>
    <row r="458727" spans="1:1" ht="34.799999999999997">
      <c r="A458727" s="3" t="s">
        <v>155</v>
      </c>
    </row>
    <row r="458728" spans="1:1">
      <c r="A458728" s="2" t="s">
        <v>91</v>
      </c>
    </row>
    <row r="458729" spans="1:1">
      <c r="A458729" s="2" t="s">
        <v>2</v>
      </c>
    </row>
    <row r="458730" spans="1:1">
      <c r="A458730" s="2" t="s">
        <v>123</v>
      </c>
    </row>
    <row r="458731" spans="1:1">
      <c r="A458731" s="2" t="s">
        <v>95</v>
      </c>
    </row>
    <row r="458732" spans="1:1">
      <c r="A458732" s="2" t="s">
        <v>129</v>
      </c>
    </row>
    <row r="458733" spans="1:1">
      <c r="A458733" s="2" t="s">
        <v>138</v>
      </c>
    </row>
    <row r="458734" spans="1:1">
      <c r="A458734" s="2" t="s">
        <v>71</v>
      </c>
    </row>
    <row r="475106" spans="1:1">
      <c r="A475106" s="2" t="s">
        <v>111</v>
      </c>
    </row>
    <row r="475107" spans="1:1">
      <c r="A475107" s="2" t="s">
        <v>116</v>
      </c>
    </row>
    <row r="475108" spans="1:1">
      <c r="A475108" s="2" t="s">
        <v>108</v>
      </c>
    </row>
    <row r="475109" spans="1:1">
      <c r="A475109" s="2" t="s">
        <v>113</v>
      </c>
    </row>
    <row r="475110" spans="1:1">
      <c r="A475110" s="2" t="s">
        <v>115</v>
      </c>
    </row>
    <row r="475111" spans="1:1" ht="34.799999999999997">
      <c r="A475111" s="3" t="s">
        <v>155</v>
      </c>
    </row>
    <row r="475112" spans="1:1">
      <c r="A475112" s="2" t="s">
        <v>91</v>
      </c>
    </row>
    <row r="475113" spans="1:1">
      <c r="A475113" s="2" t="s">
        <v>2</v>
      </c>
    </row>
    <row r="475114" spans="1:1">
      <c r="A475114" s="2" t="s">
        <v>123</v>
      </c>
    </row>
    <row r="475115" spans="1:1">
      <c r="A475115" s="2" t="s">
        <v>95</v>
      </c>
    </row>
    <row r="475116" spans="1:1">
      <c r="A475116" s="2" t="s">
        <v>129</v>
      </c>
    </row>
    <row r="475117" spans="1:1">
      <c r="A475117" s="2" t="s">
        <v>138</v>
      </c>
    </row>
    <row r="475118" spans="1:1">
      <c r="A475118" s="2" t="s">
        <v>71</v>
      </c>
    </row>
    <row r="491490" spans="1:1">
      <c r="A491490" s="2" t="s">
        <v>111</v>
      </c>
    </row>
    <row r="491491" spans="1:1">
      <c r="A491491" s="2" t="s">
        <v>116</v>
      </c>
    </row>
    <row r="491492" spans="1:1">
      <c r="A491492" s="2" t="s">
        <v>108</v>
      </c>
    </row>
    <row r="491493" spans="1:1">
      <c r="A491493" s="2" t="s">
        <v>113</v>
      </c>
    </row>
    <row r="491494" spans="1:1">
      <c r="A491494" s="2" t="s">
        <v>115</v>
      </c>
    </row>
    <row r="491495" spans="1:1" ht="34.799999999999997">
      <c r="A491495" s="3" t="s">
        <v>155</v>
      </c>
    </row>
    <row r="491496" spans="1:1">
      <c r="A491496" s="2" t="s">
        <v>91</v>
      </c>
    </row>
    <row r="491497" spans="1:1">
      <c r="A491497" s="2" t="s">
        <v>2</v>
      </c>
    </row>
    <row r="491498" spans="1:1">
      <c r="A491498" s="2" t="s">
        <v>123</v>
      </c>
    </row>
    <row r="491499" spans="1:1">
      <c r="A491499" s="2" t="s">
        <v>95</v>
      </c>
    </row>
    <row r="491500" spans="1:1">
      <c r="A491500" s="2" t="s">
        <v>129</v>
      </c>
    </row>
    <row r="491501" spans="1:1">
      <c r="A491501" s="2" t="s">
        <v>138</v>
      </c>
    </row>
    <row r="491502" spans="1:1">
      <c r="A491502" s="2" t="s">
        <v>71</v>
      </c>
    </row>
    <row r="507874" spans="1:1">
      <c r="A507874" s="2" t="s">
        <v>111</v>
      </c>
    </row>
    <row r="507875" spans="1:1">
      <c r="A507875" s="2" t="s">
        <v>116</v>
      </c>
    </row>
    <row r="507876" spans="1:1">
      <c r="A507876" s="2" t="s">
        <v>108</v>
      </c>
    </row>
    <row r="507877" spans="1:1">
      <c r="A507877" s="2" t="s">
        <v>113</v>
      </c>
    </row>
    <row r="507878" spans="1:1">
      <c r="A507878" s="2" t="s">
        <v>115</v>
      </c>
    </row>
    <row r="507879" spans="1:1" ht="34.799999999999997">
      <c r="A507879" s="3" t="s">
        <v>155</v>
      </c>
    </row>
    <row r="507880" spans="1:1">
      <c r="A507880" s="2" t="s">
        <v>91</v>
      </c>
    </row>
    <row r="507881" spans="1:1">
      <c r="A507881" s="2" t="s">
        <v>2</v>
      </c>
    </row>
    <row r="507882" spans="1:1">
      <c r="A507882" s="2" t="s">
        <v>123</v>
      </c>
    </row>
    <row r="507883" spans="1:1">
      <c r="A507883" s="2" t="s">
        <v>95</v>
      </c>
    </row>
    <row r="507884" spans="1:1">
      <c r="A507884" s="2" t="s">
        <v>129</v>
      </c>
    </row>
    <row r="507885" spans="1:1">
      <c r="A507885" s="2" t="s">
        <v>138</v>
      </c>
    </row>
    <row r="507886" spans="1:1">
      <c r="A507886" s="2" t="s">
        <v>71</v>
      </c>
    </row>
    <row r="524258" spans="1:1">
      <c r="A524258" s="2" t="s">
        <v>111</v>
      </c>
    </row>
    <row r="524259" spans="1:1">
      <c r="A524259" s="2" t="s">
        <v>116</v>
      </c>
    </row>
    <row r="524260" spans="1:1">
      <c r="A524260" s="2" t="s">
        <v>108</v>
      </c>
    </row>
    <row r="524261" spans="1:1">
      <c r="A524261" s="2" t="s">
        <v>113</v>
      </c>
    </row>
    <row r="524262" spans="1:1">
      <c r="A524262" s="2" t="s">
        <v>115</v>
      </c>
    </row>
    <row r="524263" spans="1:1" ht="34.799999999999997">
      <c r="A524263" s="3" t="s">
        <v>155</v>
      </c>
    </row>
    <row r="524264" spans="1:1">
      <c r="A524264" s="2" t="s">
        <v>91</v>
      </c>
    </row>
    <row r="524265" spans="1:1">
      <c r="A524265" s="2" t="s">
        <v>2</v>
      </c>
    </row>
    <row r="524266" spans="1:1">
      <c r="A524266" s="2" t="s">
        <v>123</v>
      </c>
    </row>
    <row r="524267" spans="1:1">
      <c r="A524267" s="2" t="s">
        <v>95</v>
      </c>
    </row>
    <row r="524268" spans="1:1">
      <c r="A524268" s="2" t="s">
        <v>129</v>
      </c>
    </row>
    <row r="524269" spans="1:1">
      <c r="A524269" s="2" t="s">
        <v>138</v>
      </c>
    </row>
    <row r="524270" spans="1:1">
      <c r="A524270" s="2" t="s">
        <v>71</v>
      </c>
    </row>
    <row r="540642" spans="1:1">
      <c r="A540642" s="2" t="s">
        <v>111</v>
      </c>
    </row>
    <row r="540643" spans="1:1">
      <c r="A540643" s="2" t="s">
        <v>116</v>
      </c>
    </row>
    <row r="540644" spans="1:1">
      <c r="A540644" s="2" t="s">
        <v>108</v>
      </c>
    </row>
    <row r="540645" spans="1:1">
      <c r="A540645" s="2" t="s">
        <v>113</v>
      </c>
    </row>
    <row r="540646" spans="1:1">
      <c r="A540646" s="2" t="s">
        <v>115</v>
      </c>
    </row>
    <row r="540647" spans="1:1" ht="34.799999999999997">
      <c r="A540647" s="3" t="s">
        <v>155</v>
      </c>
    </row>
    <row r="540648" spans="1:1">
      <c r="A540648" s="2" t="s">
        <v>91</v>
      </c>
    </row>
    <row r="540649" spans="1:1">
      <c r="A540649" s="2" t="s">
        <v>2</v>
      </c>
    </row>
    <row r="540650" spans="1:1">
      <c r="A540650" s="2" t="s">
        <v>123</v>
      </c>
    </row>
    <row r="540651" spans="1:1">
      <c r="A540651" s="2" t="s">
        <v>95</v>
      </c>
    </row>
    <row r="540652" spans="1:1">
      <c r="A540652" s="2" t="s">
        <v>129</v>
      </c>
    </row>
    <row r="540653" spans="1:1">
      <c r="A540653" s="2" t="s">
        <v>138</v>
      </c>
    </row>
    <row r="540654" spans="1:1">
      <c r="A540654" s="2" t="s">
        <v>71</v>
      </c>
    </row>
    <row r="557026" spans="1:1">
      <c r="A557026" s="2" t="s">
        <v>111</v>
      </c>
    </row>
    <row r="557027" spans="1:1">
      <c r="A557027" s="2" t="s">
        <v>116</v>
      </c>
    </row>
    <row r="557028" spans="1:1">
      <c r="A557028" s="2" t="s">
        <v>108</v>
      </c>
    </row>
    <row r="557029" spans="1:1">
      <c r="A557029" s="2" t="s">
        <v>113</v>
      </c>
    </row>
    <row r="557030" spans="1:1">
      <c r="A557030" s="2" t="s">
        <v>115</v>
      </c>
    </row>
    <row r="557031" spans="1:1" ht="34.799999999999997">
      <c r="A557031" s="3" t="s">
        <v>155</v>
      </c>
    </row>
    <row r="557032" spans="1:1">
      <c r="A557032" s="2" t="s">
        <v>91</v>
      </c>
    </row>
    <row r="557033" spans="1:1">
      <c r="A557033" s="2" t="s">
        <v>2</v>
      </c>
    </row>
    <row r="557034" spans="1:1">
      <c r="A557034" s="2" t="s">
        <v>123</v>
      </c>
    </row>
    <row r="557035" spans="1:1">
      <c r="A557035" s="2" t="s">
        <v>95</v>
      </c>
    </row>
    <row r="557036" spans="1:1">
      <c r="A557036" s="2" t="s">
        <v>129</v>
      </c>
    </row>
    <row r="557037" spans="1:1">
      <c r="A557037" s="2" t="s">
        <v>138</v>
      </c>
    </row>
    <row r="557038" spans="1:1">
      <c r="A557038" s="2" t="s">
        <v>71</v>
      </c>
    </row>
    <row r="573410" spans="1:1">
      <c r="A573410" s="2" t="s">
        <v>111</v>
      </c>
    </row>
    <row r="573411" spans="1:1">
      <c r="A573411" s="2" t="s">
        <v>116</v>
      </c>
    </row>
    <row r="573412" spans="1:1">
      <c r="A573412" s="2" t="s">
        <v>108</v>
      </c>
    </row>
    <row r="573413" spans="1:1">
      <c r="A573413" s="2" t="s">
        <v>113</v>
      </c>
    </row>
    <row r="573414" spans="1:1">
      <c r="A573414" s="2" t="s">
        <v>115</v>
      </c>
    </row>
    <row r="573415" spans="1:1" ht="34.799999999999997">
      <c r="A573415" s="3" t="s">
        <v>155</v>
      </c>
    </row>
    <row r="573416" spans="1:1">
      <c r="A573416" s="2" t="s">
        <v>91</v>
      </c>
    </row>
    <row r="573417" spans="1:1">
      <c r="A573417" s="2" t="s">
        <v>2</v>
      </c>
    </row>
    <row r="573418" spans="1:1">
      <c r="A573418" s="2" t="s">
        <v>123</v>
      </c>
    </row>
    <row r="573419" spans="1:1">
      <c r="A573419" s="2" t="s">
        <v>95</v>
      </c>
    </row>
    <row r="573420" spans="1:1">
      <c r="A573420" s="2" t="s">
        <v>129</v>
      </c>
    </row>
    <row r="573421" spans="1:1">
      <c r="A573421" s="2" t="s">
        <v>138</v>
      </c>
    </row>
    <row r="573422" spans="1:1">
      <c r="A573422" s="2" t="s">
        <v>71</v>
      </c>
    </row>
    <row r="589794" spans="1:1">
      <c r="A589794" s="2" t="s">
        <v>111</v>
      </c>
    </row>
    <row r="589795" spans="1:1">
      <c r="A589795" s="2" t="s">
        <v>116</v>
      </c>
    </row>
    <row r="589796" spans="1:1">
      <c r="A589796" s="2" t="s">
        <v>108</v>
      </c>
    </row>
    <row r="589797" spans="1:1">
      <c r="A589797" s="2" t="s">
        <v>113</v>
      </c>
    </row>
    <row r="589798" spans="1:1">
      <c r="A589798" s="2" t="s">
        <v>115</v>
      </c>
    </row>
    <row r="589799" spans="1:1" ht="34.799999999999997">
      <c r="A589799" s="3" t="s">
        <v>155</v>
      </c>
    </row>
    <row r="589800" spans="1:1">
      <c r="A589800" s="2" t="s">
        <v>91</v>
      </c>
    </row>
    <row r="589801" spans="1:1">
      <c r="A589801" s="2" t="s">
        <v>2</v>
      </c>
    </row>
    <row r="589802" spans="1:1">
      <c r="A589802" s="2" t="s">
        <v>123</v>
      </c>
    </row>
    <row r="589803" spans="1:1">
      <c r="A589803" s="2" t="s">
        <v>95</v>
      </c>
    </row>
    <row r="589804" spans="1:1">
      <c r="A589804" s="2" t="s">
        <v>129</v>
      </c>
    </row>
    <row r="589805" spans="1:1">
      <c r="A589805" s="2" t="s">
        <v>138</v>
      </c>
    </row>
    <row r="589806" spans="1:1">
      <c r="A589806" s="2" t="s">
        <v>71</v>
      </c>
    </row>
    <row r="606178" spans="1:1">
      <c r="A606178" s="2" t="s">
        <v>111</v>
      </c>
    </row>
    <row r="606179" spans="1:1">
      <c r="A606179" s="2" t="s">
        <v>116</v>
      </c>
    </row>
    <row r="606180" spans="1:1">
      <c r="A606180" s="2" t="s">
        <v>108</v>
      </c>
    </row>
    <row r="606181" spans="1:1">
      <c r="A606181" s="2" t="s">
        <v>113</v>
      </c>
    </row>
    <row r="606182" spans="1:1">
      <c r="A606182" s="2" t="s">
        <v>115</v>
      </c>
    </row>
    <row r="606183" spans="1:1" ht="34.799999999999997">
      <c r="A606183" s="3" t="s">
        <v>155</v>
      </c>
    </row>
    <row r="606184" spans="1:1">
      <c r="A606184" s="2" t="s">
        <v>91</v>
      </c>
    </row>
    <row r="606185" spans="1:1">
      <c r="A606185" s="2" t="s">
        <v>2</v>
      </c>
    </row>
    <row r="606186" spans="1:1">
      <c r="A606186" s="2" t="s">
        <v>123</v>
      </c>
    </row>
    <row r="606187" spans="1:1">
      <c r="A606187" s="2" t="s">
        <v>95</v>
      </c>
    </row>
    <row r="606188" spans="1:1">
      <c r="A606188" s="2" t="s">
        <v>129</v>
      </c>
    </row>
    <row r="606189" spans="1:1">
      <c r="A606189" s="2" t="s">
        <v>138</v>
      </c>
    </row>
    <row r="606190" spans="1:1">
      <c r="A606190" s="2" t="s">
        <v>71</v>
      </c>
    </row>
    <row r="622562" spans="1:1">
      <c r="A622562" s="2" t="s">
        <v>111</v>
      </c>
    </row>
    <row r="622563" spans="1:1">
      <c r="A622563" s="2" t="s">
        <v>116</v>
      </c>
    </row>
    <row r="622564" spans="1:1">
      <c r="A622564" s="2" t="s">
        <v>108</v>
      </c>
    </row>
    <row r="622565" spans="1:1">
      <c r="A622565" s="2" t="s">
        <v>113</v>
      </c>
    </row>
    <row r="622566" spans="1:1">
      <c r="A622566" s="2" t="s">
        <v>115</v>
      </c>
    </row>
    <row r="622567" spans="1:1" ht="34.799999999999997">
      <c r="A622567" s="3" t="s">
        <v>155</v>
      </c>
    </row>
    <row r="622568" spans="1:1">
      <c r="A622568" s="2" t="s">
        <v>91</v>
      </c>
    </row>
    <row r="622569" spans="1:1">
      <c r="A622569" s="2" t="s">
        <v>2</v>
      </c>
    </row>
    <row r="622570" spans="1:1">
      <c r="A622570" s="2" t="s">
        <v>123</v>
      </c>
    </row>
    <row r="622571" spans="1:1">
      <c r="A622571" s="2" t="s">
        <v>95</v>
      </c>
    </row>
    <row r="622572" spans="1:1">
      <c r="A622572" s="2" t="s">
        <v>129</v>
      </c>
    </row>
    <row r="622573" spans="1:1">
      <c r="A622573" s="2" t="s">
        <v>138</v>
      </c>
    </row>
    <row r="622574" spans="1:1">
      <c r="A622574" s="2" t="s">
        <v>71</v>
      </c>
    </row>
    <row r="638946" spans="1:1">
      <c r="A638946" s="2" t="s">
        <v>111</v>
      </c>
    </row>
    <row r="638947" spans="1:1">
      <c r="A638947" s="2" t="s">
        <v>116</v>
      </c>
    </row>
    <row r="638948" spans="1:1">
      <c r="A638948" s="2" t="s">
        <v>108</v>
      </c>
    </row>
    <row r="638949" spans="1:1">
      <c r="A638949" s="2" t="s">
        <v>113</v>
      </c>
    </row>
    <row r="638950" spans="1:1">
      <c r="A638950" s="2" t="s">
        <v>115</v>
      </c>
    </row>
    <row r="638951" spans="1:1" ht="34.799999999999997">
      <c r="A638951" s="3" t="s">
        <v>155</v>
      </c>
    </row>
    <row r="638952" spans="1:1">
      <c r="A638952" s="2" t="s">
        <v>91</v>
      </c>
    </row>
    <row r="638953" spans="1:1">
      <c r="A638953" s="2" t="s">
        <v>2</v>
      </c>
    </row>
    <row r="638954" spans="1:1">
      <c r="A638954" s="2" t="s">
        <v>123</v>
      </c>
    </row>
    <row r="638955" spans="1:1">
      <c r="A638955" s="2" t="s">
        <v>95</v>
      </c>
    </row>
    <row r="638956" spans="1:1">
      <c r="A638956" s="2" t="s">
        <v>129</v>
      </c>
    </row>
    <row r="638957" spans="1:1">
      <c r="A638957" s="2" t="s">
        <v>138</v>
      </c>
    </row>
    <row r="638958" spans="1:1">
      <c r="A638958" s="2" t="s">
        <v>71</v>
      </c>
    </row>
    <row r="655330" spans="1:1">
      <c r="A655330" s="2" t="s">
        <v>111</v>
      </c>
    </row>
    <row r="655331" spans="1:1">
      <c r="A655331" s="2" t="s">
        <v>116</v>
      </c>
    </row>
    <row r="655332" spans="1:1">
      <c r="A655332" s="2" t="s">
        <v>108</v>
      </c>
    </row>
    <row r="655333" spans="1:1">
      <c r="A655333" s="2" t="s">
        <v>113</v>
      </c>
    </row>
    <row r="655334" spans="1:1">
      <c r="A655334" s="2" t="s">
        <v>115</v>
      </c>
    </row>
    <row r="655335" spans="1:1" ht="34.799999999999997">
      <c r="A655335" s="3" t="s">
        <v>155</v>
      </c>
    </row>
    <row r="655336" spans="1:1">
      <c r="A655336" s="2" t="s">
        <v>91</v>
      </c>
    </row>
    <row r="655337" spans="1:1">
      <c r="A655337" s="2" t="s">
        <v>2</v>
      </c>
    </row>
    <row r="655338" spans="1:1">
      <c r="A655338" s="2" t="s">
        <v>123</v>
      </c>
    </row>
    <row r="655339" spans="1:1">
      <c r="A655339" s="2" t="s">
        <v>95</v>
      </c>
    </row>
    <row r="655340" spans="1:1">
      <c r="A655340" s="2" t="s">
        <v>129</v>
      </c>
    </row>
    <row r="655341" spans="1:1">
      <c r="A655341" s="2" t="s">
        <v>138</v>
      </c>
    </row>
    <row r="655342" spans="1:1">
      <c r="A655342" s="2" t="s">
        <v>71</v>
      </c>
    </row>
    <row r="671714" spans="1:1">
      <c r="A671714" s="2" t="s">
        <v>111</v>
      </c>
    </row>
    <row r="671715" spans="1:1">
      <c r="A671715" s="2" t="s">
        <v>116</v>
      </c>
    </row>
    <row r="671716" spans="1:1">
      <c r="A671716" s="2" t="s">
        <v>108</v>
      </c>
    </row>
    <row r="671717" spans="1:1">
      <c r="A671717" s="2" t="s">
        <v>113</v>
      </c>
    </row>
    <row r="671718" spans="1:1">
      <c r="A671718" s="2" t="s">
        <v>115</v>
      </c>
    </row>
    <row r="671719" spans="1:1" ht="34.799999999999997">
      <c r="A671719" s="3" t="s">
        <v>155</v>
      </c>
    </row>
    <row r="671720" spans="1:1">
      <c r="A671720" s="2" t="s">
        <v>91</v>
      </c>
    </row>
    <row r="671721" spans="1:1">
      <c r="A671721" s="2" t="s">
        <v>2</v>
      </c>
    </row>
    <row r="671722" spans="1:1">
      <c r="A671722" s="2" t="s">
        <v>123</v>
      </c>
    </row>
    <row r="671723" spans="1:1">
      <c r="A671723" s="2" t="s">
        <v>95</v>
      </c>
    </row>
    <row r="671724" spans="1:1">
      <c r="A671724" s="2" t="s">
        <v>129</v>
      </c>
    </row>
    <row r="671725" spans="1:1">
      <c r="A671725" s="2" t="s">
        <v>138</v>
      </c>
    </row>
    <row r="671726" spans="1:1">
      <c r="A671726" s="2" t="s">
        <v>71</v>
      </c>
    </row>
    <row r="688098" spans="1:1">
      <c r="A688098" s="2" t="s">
        <v>111</v>
      </c>
    </row>
    <row r="688099" spans="1:1">
      <c r="A688099" s="2" t="s">
        <v>116</v>
      </c>
    </row>
    <row r="688100" spans="1:1">
      <c r="A688100" s="2" t="s">
        <v>108</v>
      </c>
    </row>
    <row r="688101" spans="1:1">
      <c r="A688101" s="2" t="s">
        <v>113</v>
      </c>
    </row>
    <row r="688102" spans="1:1">
      <c r="A688102" s="2" t="s">
        <v>115</v>
      </c>
    </row>
    <row r="688103" spans="1:1" ht="34.799999999999997">
      <c r="A688103" s="3" t="s">
        <v>155</v>
      </c>
    </row>
    <row r="688104" spans="1:1">
      <c r="A688104" s="2" t="s">
        <v>91</v>
      </c>
    </row>
    <row r="688105" spans="1:1">
      <c r="A688105" s="2" t="s">
        <v>2</v>
      </c>
    </row>
    <row r="688106" spans="1:1">
      <c r="A688106" s="2" t="s">
        <v>123</v>
      </c>
    </row>
    <row r="688107" spans="1:1">
      <c r="A688107" s="2" t="s">
        <v>95</v>
      </c>
    </row>
    <row r="688108" spans="1:1">
      <c r="A688108" s="2" t="s">
        <v>129</v>
      </c>
    </row>
    <row r="688109" spans="1:1">
      <c r="A688109" s="2" t="s">
        <v>138</v>
      </c>
    </row>
    <row r="688110" spans="1:1">
      <c r="A688110" s="2" t="s">
        <v>71</v>
      </c>
    </row>
    <row r="704482" spans="1:1">
      <c r="A704482" s="2" t="s">
        <v>111</v>
      </c>
    </row>
    <row r="704483" spans="1:1">
      <c r="A704483" s="2" t="s">
        <v>116</v>
      </c>
    </row>
    <row r="704484" spans="1:1">
      <c r="A704484" s="2" t="s">
        <v>108</v>
      </c>
    </row>
    <row r="704485" spans="1:1">
      <c r="A704485" s="2" t="s">
        <v>113</v>
      </c>
    </row>
    <row r="704486" spans="1:1">
      <c r="A704486" s="2" t="s">
        <v>115</v>
      </c>
    </row>
    <row r="704487" spans="1:1" ht="34.799999999999997">
      <c r="A704487" s="3" t="s">
        <v>155</v>
      </c>
    </row>
    <row r="704488" spans="1:1">
      <c r="A704488" s="2" t="s">
        <v>91</v>
      </c>
    </row>
    <row r="704489" spans="1:1">
      <c r="A704489" s="2" t="s">
        <v>2</v>
      </c>
    </row>
    <row r="704490" spans="1:1">
      <c r="A704490" s="2" t="s">
        <v>123</v>
      </c>
    </row>
    <row r="704491" spans="1:1">
      <c r="A704491" s="2" t="s">
        <v>95</v>
      </c>
    </row>
    <row r="704492" spans="1:1">
      <c r="A704492" s="2" t="s">
        <v>129</v>
      </c>
    </row>
    <row r="704493" spans="1:1">
      <c r="A704493" s="2" t="s">
        <v>138</v>
      </c>
    </row>
    <row r="704494" spans="1:1">
      <c r="A704494" s="2" t="s">
        <v>71</v>
      </c>
    </row>
    <row r="720866" spans="1:1">
      <c r="A720866" s="2" t="s">
        <v>111</v>
      </c>
    </row>
    <row r="720867" spans="1:1">
      <c r="A720867" s="2" t="s">
        <v>116</v>
      </c>
    </row>
    <row r="720868" spans="1:1">
      <c r="A720868" s="2" t="s">
        <v>108</v>
      </c>
    </row>
    <row r="720869" spans="1:1">
      <c r="A720869" s="2" t="s">
        <v>113</v>
      </c>
    </row>
    <row r="720870" spans="1:1">
      <c r="A720870" s="2" t="s">
        <v>115</v>
      </c>
    </row>
    <row r="720871" spans="1:1" ht="34.799999999999997">
      <c r="A720871" s="3" t="s">
        <v>155</v>
      </c>
    </row>
    <row r="720872" spans="1:1">
      <c r="A720872" s="2" t="s">
        <v>91</v>
      </c>
    </row>
    <row r="720873" spans="1:1">
      <c r="A720873" s="2" t="s">
        <v>2</v>
      </c>
    </row>
    <row r="720874" spans="1:1">
      <c r="A720874" s="2" t="s">
        <v>123</v>
      </c>
    </row>
    <row r="720875" spans="1:1">
      <c r="A720875" s="2" t="s">
        <v>95</v>
      </c>
    </row>
    <row r="720876" spans="1:1">
      <c r="A720876" s="2" t="s">
        <v>129</v>
      </c>
    </row>
    <row r="720877" spans="1:1">
      <c r="A720877" s="2" t="s">
        <v>138</v>
      </c>
    </row>
    <row r="720878" spans="1:1">
      <c r="A720878" s="2" t="s">
        <v>71</v>
      </c>
    </row>
    <row r="737250" spans="1:1">
      <c r="A737250" s="2" t="s">
        <v>111</v>
      </c>
    </row>
    <row r="737251" spans="1:1">
      <c r="A737251" s="2" t="s">
        <v>116</v>
      </c>
    </row>
    <row r="737252" spans="1:1">
      <c r="A737252" s="2" t="s">
        <v>108</v>
      </c>
    </row>
    <row r="737253" spans="1:1">
      <c r="A737253" s="2" t="s">
        <v>113</v>
      </c>
    </row>
    <row r="737254" spans="1:1">
      <c r="A737254" s="2" t="s">
        <v>115</v>
      </c>
    </row>
    <row r="737255" spans="1:1" ht="34.799999999999997">
      <c r="A737255" s="3" t="s">
        <v>155</v>
      </c>
    </row>
    <row r="737256" spans="1:1">
      <c r="A737256" s="2" t="s">
        <v>91</v>
      </c>
    </row>
    <row r="737257" spans="1:1">
      <c r="A737257" s="2" t="s">
        <v>2</v>
      </c>
    </row>
    <row r="737258" spans="1:1">
      <c r="A737258" s="2" t="s">
        <v>123</v>
      </c>
    </row>
    <row r="737259" spans="1:1">
      <c r="A737259" s="2" t="s">
        <v>95</v>
      </c>
    </row>
    <row r="737260" spans="1:1">
      <c r="A737260" s="2" t="s">
        <v>129</v>
      </c>
    </row>
    <row r="737261" spans="1:1">
      <c r="A737261" s="2" t="s">
        <v>138</v>
      </c>
    </row>
    <row r="737262" spans="1:1">
      <c r="A737262" s="2" t="s">
        <v>71</v>
      </c>
    </row>
    <row r="753634" spans="1:1">
      <c r="A753634" s="2" t="s">
        <v>111</v>
      </c>
    </row>
    <row r="753635" spans="1:1">
      <c r="A753635" s="2" t="s">
        <v>116</v>
      </c>
    </row>
    <row r="753636" spans="1:1">
      <c r="A753636" s="2" t="s">
        <v>108</v>
      </c>
    </row>
    <row r="753637" spans="1:1">
      <c r="A753637" s="2" t="s">
        <v>113</v>
      </c>
    </row>
    <row r="753638" spans="1:1">
      <c r="A753638" s="2" t="s">
        <v>115</v>
      </c>
    </row>
    <row r="753639" spans="1:1" ht="34.799999999999997">
      <c r="A753639" s="3" t="s">
        <v>155</v>
      </c>
    </row>
    <row r="753640" spans="1:1">
      <c r="A753640" s="2" t="s">
        <v>91</v>
      </c>
    </row>
    <row r="753641" spans="1:1">
      <c r="A753641" s="2" t="s">
        <v>2</v>
      </c>
    </row>
    <row r="753642" spans="1:1">
      <c r="A753642" s="2" t="s">
        <v>123</v>
      </c>
    </row>
    <row r="753643" spans="1:1">
      <c r="A753643" s="2" t="s">
        <v>95</v>
      </c>
    </row>
    <row r="753644" spans="1:1">
      <c r="A753644" s="2" t="s">
        <v>129</v>
      </c>
    </row>
    <row r="753645" spans="1:1">
      <c r="A753645" s="2" t="s">
        <v>138</v>
      </c>
    </row>
    <row r="753646" spans="1:1">
      <c r="A753646" s="2" t="s">
        <v>71</v>
      </c>
    </row>
    <row r="770018" spans="1:1">
      <c r="A770018" s="2" t="s">
        <v>111</v>
      </c>
    </row>
    <row r="770019" spans="1:1">
      <c r="A770019" s="2" t="s">
        <v>116</v>
      </c>
    </row>
    <row r="770020" spans="1:1">
      <c r="A770020" s="2" t="s">
        <v>108</v>
      </c>
    </row>
    <row r="770021" spans="1:1">
      <c r="A770021" s="2" t="s">
        <v>113</v>
      </c>
    </row>
    <row r="770022" spans="1:1">
      <c r="A770022" s="2" t="s">
        <v>115</v>
      </c>
    </row>
    <row r="770023" spans="1:1" ht="34.799999999999997">
      <c r="A770023" s="3" t="s">
        <v>155</v>
      </c>
    </row>
    <row r="770024" spans="1:1">
      <c r="A770024" s="2" t="s">
        <v>91</v>
      </c>
    </row>
    <row r="770025" spans="1:1">
      <c r="A770025" s="2" t="s">
        <v>2</v>
      </c>
    </row>
    <row r="770026" spans="1:1">
      <c r="A770026" s="2" t="s">
        <v>123</v>
      </c>
    </row>
    <row r="770027" spans="1:1">
      <c r="A770027" s="2" t="s">
        <v>95</v>
      </c>
    </row>
    <row r="770028" spans="1:1">
      <c r="A770028" s="2" t="s">
        <v>129</v>
      </c>
    </row>
    <row r="770029" spans="1:1">
      <c r="A770029" s="2" t="s">
        <v>138</v>
      </c>
    </row>
    <row r="770030" spans="1:1">
      <c r="A770030" s="2" t="s">
        <v>71</v>
      </c>
    </row>
    <row r="786402" spans="1:1">
      <c r="A786402" s="2" t="s">
        <v>111</v>
      </c>
    </row>
    <row r="786403" spans="1:1">
      <c r="A786403" s="2" t="s">
        <v>116</v>
      </c>
    </row>
    <row r="786404" spans="1:1">
      <c r="A786404" s="2" t="s">
        <v>108</v>
      </c>
    </row>
    <row r="786405" spans="1:1">
      <c r="A786405" s="2" t="s">
        <v>113</v>
      </c>
    </row>
    <row r="786406" spans="1:1">
      <c r="A786406" s="2" t="s">
        <v>115</v>
      </c>
    </row>
    <row r="786407" spans="1:1" ht="34.799999999999997">
      <c r="A786407" s="3" t="s">
        <v>155</v>
      </c>
    </row>
    <row r="786408" spans="1:1">
      <c r="A786408" s="2" t="s">
        <v>91</v>
      </c>
    </row>
    <row r="786409" spans="1:1">
      <c r="A786409" s="2" t="s">
        <v>2</v>
      </c>
    </row>
    <row r="786410" spans="1:1">
      <c r="A786410" s="2" t="s">
        <v>123</v>
      </c>
    </row>
    <row r="786411" spans="1:1">
      <c r="A786411" s="2" t="s">
        <v>95</v>
      </c>
    </row>
    <row r="786412" spans="1:1">
      <c r="A786412" s="2" t="s">
        <v>129</v>
      </c>
    </row>
    <row r="786413" spans="1:1">
      <c r="A786413" s="2" t="s">
        <v>138</v>
      </c>
    </row>
    <row r="786414" spans="1:1">
      <c r="A786414" s="2" t="s">
        <v>71</v>
      </c>
    </row>
    <row r="802786" spans="1:1">
      <c r="A802786" s="2" t="s">
        <v>111</v>
      </c>
    </row>
    <row r="802787" spans="1:1">
      <c r="A802787" s="2" t="s">
        <v>116</v>
      </c>
    </row>
    <row r="802788" spans="1:1">
      <c r="A802788" s="2" t="s">
        <v>108</v>
      </c>
    </row>
    <row r="802789" spans="1:1">
      <c r="A802789" s="2" t="s">
        <v>113</v>
      </c>
    </row>
    <row r="802790" spans="1:1">
      <c r="A802790" s="2" t="s">
        <v>115</v>
      </c>
    </row>
    <row r="802791" spans="1:1" ht="34.799999999999997">
      <c r="A802791" s="3" t="s">
        <v>155</v>
      </c>
    </row>
    <row r="802792" spans="1:1">
      <c r="A802792" s="2" t="s">
        <v>91</v>
      </c>
    </row>
    <row r="802793" spans="1:1">
      <c r="A802793" s="2" t="s">
        <v>2</v>
      </c>
    </row>
    <row r="802794" spans="1:1">
      <c r="A802794" s="2" t="s">
        <v>123</v>
      </c>
    </row>
    <row r="802795" spans="1:1">
      <c r="A802795" s="2" t="s">
        <v>95</v>
      </c>
    </row>
    <row r="802796" spans="1:1">
      <c r="A802796" s="2" t="s">
        <v>129</v>
      </c>
    </row>
    <row r="802797" spans="1:1">
      <c r="A802797" s="2" t="s">
        <v>138</v>
      </c>
    </row>
    <row r="802798" spans="1:1">
      <c r="A802798" s="2" t="s">
        <v>71</v>
      </c>
    </row>
    <row r="819170" spans="1:1">
      <c r="A819170" s="2" t="s">
        <v>111</v>
      </c>
    </row>
    <row r="819171" spans="1:1">
      <c r="A819171" s="2" t="s">
        <v>116</v>
      </c>
    </row>
    <row r="819172" spans="1:1">
      <c r="A819172" s="2" t="s">
        <v>108</v>
      </c>
    </row>
    <row r="819173" spans="1:1">
      <c r="A819173" s="2" t="s">
        <v>113</v>
      </c>
    </row>
    <row r="819174" spans="1:1">
      <c r="A819174" s="2" t="s">
        <v>115</v>
      </c>
    </row>
    <row r="819175" spans="1:1" ht="34.799999999999997">
      <c r="A819175" s="3" t="s">
        <v>155</v>
      </c>
    </row>
    <row r="819176" spans="1:1">
      <c r="A819176" s="2" t="s">
        <v>91</v>
      </c>
    </row>
    <row r="819177" spans="1:1">
      <c r="A819177" s="2" t="s">
        <v>2</v>
      </c>
    </row>
    <row r="819178" spans="1:1">
      <c r="A819178" s="2" t="s">
        <v>123</v>
      </c>
    </row>
    <row r="819179" spans="1:1">
      <c r="A819179" s="2" t="s">
        <v>95</v>
      </c>
    </row>
    <row r="819180" spans="1:1">
      <c r="A819180" s="2" t="s">
        <v>129</v>
      </c>
    </row>
    <row r="819181" spans="1:1">
      <c r="A819181" s="2" t="s">
        <v>138</v>
      </c>
    </row>
    <row r="819182" spans="1:1">
      <c r="A819182" s="2" t="s">
        <v>71</v>
      </c>
    </row>
    <row r="835554" spans="1:1">
      <c r="A835554" s="2" t="s">
        <v>111</v>
      </c>
    </row>
    <row r="835555" spans="1:1">
      <c r="A835555" s="2" t="s">
        <v>116</v>
      </c>
    </row>
    <row r="835556" spans="1:1">
      <c r="A835556" s="2" t="s">
        <v>108</v>
      </c>
    </row>
    <row r="835557" spans="1:1">
      <c r="A835557" s="2" t="s">
        <v>113</v>
      </c>
    </row>
    <row r="835558" spans="1:1">
      <c r="A835558" s="2" t="s">
        <v>115</v>
      </c>
    </row>
    <row r="835559" spans="1:1" ht="34.799999999999997">
      <c r="A835559" s="3" t="s">
        <v>155</v>
      </c>
    </row>
    <row r="835560" spans="1:1">
      <c r="A835560" s="2" t="s">
        <v>91</v>
      </c>
    </row>
    <row r="835561" spans="1:1">
      <c r="A835561" s="2" t="s">
        <v>2</v>
      </c>
    </row>
    <row r="835562" spans="1:1">
      <c r="A835562" s="2" t="s">
        <v>123</v>
      </c>
    </row>
    <row r="835563" spans="1:1">
      <c r="A835563" s="2" t="s">
        <v>95</v>
      </c>
    </row>
    <row r="835564" spans="1:1">
      <c r="A835564" s="2" t="s">
        <v>129</v>
      </c>
    </row>
    <row r="835565" spans="1:1">
      <c r="A835565" s="2" t="s">
        <v>138</v>
      </c>
    </row>
    <row r="835566" spans="1:1">
      <c r="A835566" s="2" t="s">
        <v>71</v>
      </c>
    </row>
    <row r="851938" spans="1:1">
      <c r="A851938" s="2" t="s">
        <v>111</v>
      </c>
    </row>
    <row r="851939" spans="1:1">
      <c r="A851939" s="2" t="s">
        <v>116</v>
      </c>
    </row>
    <row r="851940" spans="1:1">
      <c r="A851940" s="2" t="s">
        <v>108</v>
      </c>
    </row>
    <row r="851941" spans="1:1">
      <c r="A851941" s="2" t="s">
        <v>113</v>
      </c>
    </row>
    <row r="851942" spans="1:1">
      <c r="A851942" s="2" t="s">
        <v>115</v>
      </c>
    </row>
    <row r="851943" spans="1:1" ht="34.799999999999997">
      <c r="A851943" s="3" t="s">
        <v>155</v>
      </c>
    </row>
    <row r="851944" spans="1:1">
      <c r="A851944" s="2" t="s">
        <v>91</v>
      </c>
    </row>
    <row r="851945" spans="1:1">
      <c r="A851945" s="2" t="s">
        <v>2</v>
      </c>
    </row>
    <row r="851946" spans="1:1">
      <c r="A851946" s="2" t="s">
        <v>123</v>
      </c>
    </row>
    <row r="851947" spans="1:1">
      <c r="A851947" s="2" t="s">
        <v>95</v>
      </c>
    </row>
    <row r="851948" spans="1:1">
      <c r="A851948" s="2" t="s">
        <v>129</v>
      </c>
    </row>
    <row r="851949" spans="1:1">
      <c r="A851949" s="2" t="s">
        <v>138</v>
      </c>
    </row>
    <row r="851950" spans="1:1">
      <c r="A851950" s="2" t="s">
        <v>71</v>
      </c>
    </row>
    <row r="868322" spans="1:1">
      <c r="A868322" s="2" t="s">
        <v>111</v>
      </c>
    </row>
    <row r="868323" spans="1:1">
      <c r="A868323" s="2" t="s">
        <v>116</v>
      </c>
    </row>
    <row r="868324" spans="1:1">
      <c r="A868324" s="2" t="s">
        <v>108</v>
      </c>
    </row>
    <row r="868325" spans="1:1">
      <c r="A868325" s="2" t="s">
        <v>113</v>
      </c>
    </row>
    <row r="868326" spans="1:1">
      <c r="A868326" s="2" t="s">
        <v>115</v>
      </c>
    </row>
    <row r="868327" spans="1:1" ht="34.799999999999997">
      <c r="A868327" s="3" t="s">
        <v>155</v>
      </c>
    </row>
    <row r="868328" spans="1:1">
      <c r="A868328" s="2" t="s">
        <v>91</v>
      </c>
    </row>
    <row r="868329" spans="1:1">
      <c r="A868329" s="2" t="s">
        <v>2</v>
      </c>
    </row>
    <row r="868330" spans="1:1">
      <c r="A868330" s="2" t="s">
        <v>123</v>
      </c>
    </row>
    <row r="868331" spans="1:1">
      <c r="A868331" s="2" t="s">
        <v>95</v>
      </c>
    </row>
    <row r="868332" spans="1:1">
      <c r="A868332" s="2" t="s">
        <v>129</v>
      </c>
    </row>
    <row r="868333" spans="1:1">
      <c r="A868333" s="2" t="s">
        <v>138</v>
      </c>
    </row>
    <row r="868334" spans="1:1">
      <c r="A868334" s="2" t="s">
        <v>71</v>
      </c>
    </row>
    <row r="884706" spans="1:1">
      <c r="A884706" s="2" t="s">
        <v>111</v>
      </c>
    </row>
    <row r="884707" spans="1:1">
      <c r="A884707" s="2" t="s">
        <v>116</v>
      </c>
    </row>
    <row r="884708" spans="1:1">
      <c r="A884708" s="2" t="s">
        <v>108</v>
      </c>
    </row>
    <row r="884709" spans="1:1">
      <c r="A884709" s="2" t="s">
        <v>113</v>
      </c>
    </row>
    <row r="884710" spans="1:1">
      <c r="A884710" s="2" t="s">
        <v>115</v>
      </c>
    </row>
    <row r="884711" spans="1:1" ht="34.799999999999997">
      <c r="A884711" s="3" t="s">
        <v>155</v>
      </c>
    </row>
    <row r="884712" spans="1:1">
      <c r="A884712" s="2" t="s">
        <v>91</v>
      </c>
    </row>
    <row r="884713" spans="1:1">
      <c r="A884713" s="2" t="s">
        <v>2</v>
      </c>
    </row>
    <row r="884714" spans="1:1">
      <c r="A884714" s="2" t="s">
        <v>123</v>
      </c>
    </row>
    <row r="884715" spans="1:1">
      <c r="A884715" s="2" t="s">
        <v>95</v>
      </c>
    </row>
    <row r="884716" spans="1:1">
      <c r="A884716" s="2" t="s">
        <v>129</v>
      </c>
    </row>
    <row r="884717" spans="1:1">
      <c r="A884717" s="2" t="s">
        <v>138</v>
      </c>
    </row>
    <row r="884718" spans="1:1">
      <c r="A884718" s="2" t="s">
        <v>71</v>
      </c>
    </row>
    <row r="901090" spans="1:1">
      <c r="A901090" s="2" t="s">
        <v>111</v>
      </c>
    </row>
    <row r="901091" spans="1:1">
      <c r="A901091" s="2" t="s">
        <v>116</v>
      </c>
    </row>
    <row r="901092" spans="1:1">
      <c r="A901092" s="2" t="s">
        <v>108</v>
      </c>
    </row>
    <row r="901093" spans="1:1">
      <c r="A901093" s="2" t="s">
        <v>113</v>
      </c>
    </row>
    <row r="901094" spans="1:1">
      <c r="A901094" s="2" t="s">
        <v>115</v>
      </c>
    </row>
    <row r="901095" spans="1:1" ht="34.799999999999997">
      <c r="A901095" s="3" t="s">
        <v>155</v>
      </c>
    </row>
    <row r="901096" spans="1:1">
      <c r="A901096" s="2" t="s">
        <v>91</v>
      </c>
    </row>
    <row r="901097" spans="1:1">
      <c r="A901097" s="2" t="s">
        <v>2</v>
      </c>
    </row>
    <row r="901098" spans="1:1">
      <c r="A901098" s="2" t="s">
        <v>123</v>
      </c>
    </row>
    <row r="901099" spans="1:1">
      <c r="A901099" s="2" t="s">
        <v>95</v>
      </c>
    </row>
    <row r="901100" spans="1:1">
      <c r="A901100" s="2" t="s">
        <v>129</v>
      </c>
    </row>
    <row r="901101" spans="1:1">
      <c r="A901101" s="2" t="s">
        <v>138</v>
      </c>
    </row>
    <row r="901102" spans="1:1">
      <c r="A901102" s="2" t="s">
        <v>71</v>
      </c>
    </row>
    <row r="917474" spans="1:1">
      <c r="A917474" s="2" t="s">
        <v>111</v>
      </c>
    </row>
    <row r="917475" spans="1:1">
      <c r="A917475" s="2" t="s">
        <v>116</v>
      </c>
    </row>
    <row r="917476" spans="1:1">
      <c r="A917476" s="2" t="s">
        <v>108</v>
      </c>
    </row>
    <row r="917477" spans="1:1">
      <c r="A917477" s="2" t="s">
        <v>113</v>
      </c>
    </row>
    <row r="917478" spans="1:1">
      <c r="A917478" s="2" t="s">
        <v>115</v>
      </c>
    </row>
    <row r="917479" spans="1:1" ht="34.799999999999997">
      <c r="A917479" s="3" t="s">
        <v>155</v>
      </c>
    </row>
    <row r="917480" spans="1:1">
      <c r="A917480" s="2" t="s">
        <v>91</v>
      </c>
    </row>
    <row r="917481" spans="1:1">
      <c r="A917481" s="2" t="s">
        <v>2</v>
      </c>
    </row>
    <row r="917482" spans="1:1">
      <c r="A917482" s="2" t="s">
        <v>123</v>
      </c>
    </row>
    <row r="917483" spans="1:1">
      <c r="A917483" s="2" t="s">
        <v>95</v>
      </c>
    </row>
    <row r="917484" spans="1:1">
      <c r="A917484" s="2" t="s">
        <v>129</v>
      </c>
    </row>
    <row r="917485" spans="1:1">
      <c r="A917485" s="2" t="s">
        <v>138</v>
      </c>
    </row>
    <row r="917486" spans="1:1">
      <c r="A917486" s="2" t="s">
        <v>71</v>
      </c>
    </row>
    <row r="933858" spans="1:1">
      <c r="A933858" s="2" t="s">
        <v>111</v>
      </c>
    </row>
    <row r="933859" spans="1:1">
      <c r="A933859" s="2" t="s">
        <v>116</v>
      </c>
    </row>
    <row r="933860" spans="1:1">
      <c r="A933860" s="2" t="s">
        <v>108</v>
      </c>
    </row>
    <row r="933861" spans="1:1">
      <c r="A933861" s="2" t="s">
        <v>113</v>
      </c>
    </row>
    <row r="933862" spans="1:1">
      <c r="A933862" s="2" t="s">
        <v>115</v>
      </c>
    </row>
    <row r="933863" spans="1:1" ht="34.799999999999997">
      <c r="A933863" s="3" t="s">
        <v>155</v>
      </c>
    </row>
    <row r="933864" spans="1:1">
      <c r="A933864" s="2" t="s">
        <v>91</v>
      </c>
    </row>
    <row r="933865" spans="1:1">
      <c r="A933865" s="2" t="s">
        <v>2</v>
      </c>
    </row>
    <row r="933866" spans="1:1">
      <c r="A933866" s="2" t="s">
        <v>123</v>
      </c>
    </row>
    <row r="933867" spans="1:1">
      <c r="A933867" s="2" t="s">
        <v>95</v>
      </c>
    </row>
    <row r="933868" spans="1:1">
      <c r="A933868" s="2" t="s">
        <v>129</v>
      </c>
    </row>
    <row r="933869" spans="1:1">
      <c r="A933869" s="2" t="s">
        <v>138</v>
      </c>
    </row>
    <row r="933870" spans="1:1">
      <c r="A933870" s="2" t="s">
        <v>71</v>
      </c>
    </row>
    <row r="950242" spans="1:1">
      <c r="A950242" s="2" t="s">
        <v>111</v>
      </c>
    </row>
    <row r="950243" spans="1:1">
      <c r="A950243" s="2" t="s">
        <v>116</v>
      </c>
    </row>
    <row r="950244" spans="1:1">
      <c r="A950244" s="2" t="s">
        <v>108</v>
      </c>
    </row>
    <row r="950245" spans="1:1">
      <c r="A950245" s="2" t="s">
        <v>113</v>
      </c>
    </row>
    <row r="950246" spans="1:1">
      <c r="A950246" s="2" t="s">
        <v>115</v>
      </c>
    </row>
    <row r="950247" spans="1:1" ht="34.799999999999997">
      <c r="A950247" s="3" t="s">
        <v>155</v>
      </c>
    </row>
    <row r="950248" spans="1:1">
      <c r="A950248" s="2" t="s">
        <v>91</v>
      </c>
    </row>
    <row r="950249" spans="1:1">
      <c r="A950249" s="2" t="s">
        <v>2</v>
      </c>
    </row>
    <row r="950250" spans="1:1">
      <c r="A950250" s="2" t="s">
        <v>123</v>
      </c>
    </row>
    <row r="950251" spans="1:1">
      <c r="A950251" s="2" t="s">
        <v>95</v>
      </c>
    </row>
    <row r="950252" spans="1:1">
      <c r="A950252" s="2" t="s">
        <v>129</v>
      </c>
    </row>
    <row r="950253" spans="1:1">
      <c r="A950253" s="2" t="s">
        <v>138</v>
      </c>
    </row>
    <row r="950254" spans="1:1">
      <c r="A950254" s="2" t="s">
        <v>71</v>
      </c>
    </row>
    <row r="966626" spans="1:1">
      <c r="A966626" s="2" t="s">
        <v>111</v>
      </c>
    </row>
    <row r="966627" spans="1:1">
      <c r="A966627" s="2" t="s">
        <v>116</v>
      </c>
    </row>
    <row r="966628" spans="1:1">
      <c r="A966628" s="2" t="s">
        <v>108</v>
      </c>
    </row>
    <row r="966629" spans="1:1">
      <c r="A966629" s="2" t="s">
        <v>113</v>
      </c>
    </row>
    <row r="966630" spans="1:1">
      <c r="A966630" s="2" t="s">
        <v>115</v>
      </c>
    </row>
    <row r="966631" spans="1:1" ht="34.799999999999997">
      <c r="A966631" s="3" t="s">
        <v>155</v>
      </c>
    </row>
    <row r="966632" spans="1:1">
      <c r="A966632" s="2" t="s">
        <v>91</v>
      </c>
    </row>
    <row r="966633" spans="1:1">
      <c r="A966633" s="2" t="s">
        <v>2</v>
      </c>
    </row>
    <row r="966634" spans="1:1">
      <c r="A966634" s="2" t="s">
        <v>123</v>
      </c>
    </row>
    <row r="966635" spans="1:1">
      <c r="A966635" s="2" t="s">
        <v>95</v>
      </c>
    </row>
    <row r="966636" spans="1:1">
      <c r="A966636" s="2" t="s">
        <v>129</v>
      </c>
    </row>
    <row r="966637" spans="1:1">
      <c r="A966637" s="2" t="s">
        <v>138</v>
      </c>
    </row>
    <row r="966638" spans="1:1">
      <c r="A966638" s="2" t="s">
        <v>71</v>
      </c>
    </row>
    <row r="983010" spans="1:1">
      <c r="A983010" s="2" t="s">
        <v>111</v>
      </c>
    </row>
    <row r="983011" spans="1:1">
      <c r="A983011" s="2" t="s">
        <v>116</v>
      </c>
    </row>
    <row r="983012" spans="1:1">
      <c r="A983012" s="2" t="s">
        <v>108</v>
      </c>
    </row>
    <row r="983013" spans="1:1">
      <c r="A983013" s="2" t="s">
        <v>113</v>
      </c>
    </row>
    <row r="983014" spans="1:1">
      <c r="A983014" s="2" t="s">
        <v>115</v>
      </c>
    </row>
    <row r="983015" spans="1:1" ht="34.799999999999997">
      <c r="A983015" s="3" t="s">
        <v>155</v>
      </c>
    </row>
    <row r="983016" spans="1:1">
      <c r="A983016" s="2" t="s">
        <v>91</v>
      </c>
    </row>
    <row r="983017" spans="1:1">
      <c r="A983017" s="2" t="s">
        <v>2</v>
      </c>
    </row>
    <row r="983018" spans="1:1">
      <c r="A983018" s="2" t="s">
        <v>123</v>
      </c>
    </row>
    <row r="983019" spans="1:1">
      <c r="A983019" s="2" t="s">
        <v>95</v>
      </c>
    </row>
    <row r="983020" spans="1:1">
      <c r="A983020" s="2" t="s">
        <v>129</v>
      </c>
    </row>
    <row r="983021" spans="1:1">
      <c r="A983021" s="2" t="s">
        <v>138</v>
      </c>
    </row>
    <row r="983022" spans="1:1">
      <c r="A983022" s="2" t="s">
        <v>71</v>
      </c>
    </row>
    <row r="999394" spans="1:1">
      <c r="A999394" s="2" t="s">
        <v>111</v>
      </c>
    </row>
    <row r="999395" spans="1:1">
      <c r="A999395" s="2" t="s">
        <v>116</v>
      </c>
    </row>
    <row r="999396" spans="1:1">
      <c r="A999396" s="2" t="s">
        <v>108</v>
      </c>
    </row>
    <row r="999397" spans="1:1">
      <c r="A999397" s="2" t="s">
        <v>113</v>
      </c>
    </row>
    <row r="999398" spans="1:1">
      <c r="A999398" s="2" t="s">
        <v>115</v>
      </c>
    </row>
    <row r="999399" spans="1:1" ht="34.799999999999997">
      <c r="A999399" s="3" t="s">
        <v>155</v>
      </c>
    </row>
    <row r="999400" spans="1:1">
      <c r="A999400" s="2" t="s">
        <v>91</v>
      </c>
    </row>
    <row r="999401" spans="1:1">
      <c r="A999401" s="2" t="s">
        <v>2</v>
      </c>
    </row>
    <row r="999402" spans="1:1">
      <c r="A999402" s="2" t="s">
        <v>123</v>
      </c>
    </row>
    <row r="999403" spans="1:1">
      <c r="A999403" s="2" t="s">
        <v>95</v>
      </c>
    </row>
    <row r="999404" spans="1:1">
      <c r="A999404" s="2" t="s">
        <v>129</v>
      </c>
    </row>
    <row r="999405" spans="1:1">
      <c r="A999405" s="2" t="s">
        <v>138</v>
      </c>
    </row>
    <row r="999406" spans="1:1">
      <c r="A999406" s="2" t="s">
        <v>71</v>
      </c>
    </row>
    <row r="1015778" spans="1:1">
      <c r="A1015778" s="2" t="s">
        <v>111</v>
      </c>
    </row>
    <row r="1015779" spans="1:1">
      <c r="A1015779" s="2" t="s">
        <v>116</v>
      </c>
    </row>
    <row r="1015780" spans="1:1">
      <c r="A1015780" s="2" t="s">
        <v>108</v>
      </c>
    </row>
    <row r="1015781" spans="1:1">
      <c r="A1015781" s="2" t="s">
        <v>113</v>
      </c>
    </row>
    <row r="1015782" spans="1:1">
      <c r="A1015782" s="2" t="s">
        <v>115</v>
      </c>
    </row>
    <row r="1015783" spans="1:1" ht="34.799999999999997">
      <c r="A1015783" s="3" t="s">
        <v>155</v>
      </c>
    </row>
    <row r="1015784" spans="1:1">
      <c r="A1015784" s="2" t="s">
        <v>91</v>
      </c>
    </row>
    <row r="1015785" spans="1:1">
      <c r="A1015785" s="2" t="s">
        <v>2</v>
      </c>
    </row>
    <row r="1015786" spans="1:1">
      <c r="A1015786" s="2" t="s">
        <v>123</v>
      </c>
    </row>
    <row r="1015787" spans="1:1">
      <c r="A1015787" s="2" t="s">
        <v>95</v>
      </c>
    </row>
    <row r="1015788" spans="1:1">
      <c r="A1015788" s="2" t="s">
        <v>129</v>
      </c>
    </row>
    <row r="1015789" spans="1:1">
      <c r="A1015789" s="2" t="s">
        <v>138</v>
      </c>
    </row>
    <row r="1015790" spans="1:1">
      <c r="A1015790" s="2" t="s">
        <v>71</v>
      </c>
    </row>
    <row r="1032162" spans="1:1">
      <c r="A1032162" s="2" t="s">
        <v>111</v>
      </c>
    </row>
    <row r="1032163" spans="1:1">
      <c r="A1032163" s="2" t="s">
        <v>116</v>
      </c>
    </row>
    <row r="1032164" spans="1:1">
      <c r="A1032164" s="2" t="s">
        <v>108</v>
      </c>
    </row>
    <row r="1032165" spans="1:1">
      <c r="A1032165" s="2" t="s">
        <v>113</v>
      </c>
    </row>
    <row r="1032166" spans="1:1">
      <c r="A1032166" s="2" t="s">
        <v>115</v>
      </c>
    </row>
    <row r="1032167" spans="1:1" ht="34.799999999999997">
      <c r="A1032167" s="3" t="s">
        <v>155</v>
      </c>
    </row>
    <row r="1032168" spans="1:1">
      <c r="A1032168" s="2" t="s">
        <v>91</v>
      </c>
    </row>
    <row r="1032169" spans="1:1">
      <c r="A1032169" s="2" t="s">
        <v>2</v>
      </c>
    </row>
    <row r="1032170" spans="1:1">
      <c r="A1032170" s="2" t="s">
        <v>123</v>
      </c>
    </row>
    <row r="1032171" spans="1:1">
      <c r="A1032171" s="2" t="s">
        <v>95</v>
      </c>
    </row>
    <row r="1032172" spans="1:1">
      <c r="A1032172" s="2" t="s">
        <v>129</v>
      </c>
    </row>
    <row r="1032173" spans="1:1">
      <c r="A1032173" s="2" t="s">
        <v>138</v>
      </c>
    </row>
    <row r="1032174" spans="1:1">
      <c r="A1032174" s="2" t="s">
        <v>71</v>
      </c>
    </row>
  </sheetData>
  <phoneticPr fontId="14" type="noConversion"/>
  <pageMargins left="0.69972223043441772" right="0.69972223043441772" top="0.75" bottom="0.75" header="0.30000001192092896" footer="0.30000001192092896"/>
  <pageSetup paperSize="9" orientation="portrait"/>
  <legacyDrawing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3"/>
  <dimension ref="A1:AT78"/>
  <sheetViews>
    <sheetView topLeftCell="A45" zoomScale="70" zoomScaleNormal="70" zoomScaleSheetLayoutView="80" workbookViewId="0">
      <pane xSplit="2" topLeftCell="AH1" activePane="topRight" state="frozen"/>
      <selection pane="topRight" activeCell="B1" sqref="B1:AT78"/>
    </sheetView>
  </sheetViews>
  <sheetFormatPr defaultColWidth="8.796875" defaultRowHeight="17.399999999999999"/>
  <cols>
    <col min="2" max="2" width="26.69921875" customWidth="1"/>
    <col min="3" max="46" width="15.69921875" customWidth="1"/>
  </cols>
  <sheetData>
    <row r="1" spans="1:46">
      <c r="A1" s="5"/>
      <c r="B1" s="6" t="s">
        <v>111</v>
      </c>
      <c r="C1" s="20">
        <v>1510001</v>
      </c>
      <c r="D1" s="20">
        <v>1510002</v>
      </c>
      <c r="E1" s="20">
        <v>1510003</v>
      </c>
      <c r="F1" s="20">
        <v>1510004</v>
      </c>
      <c r="G1" s="20">
        <v>1510005</v>
      </c>
      <c r="H1" s="20">
        <v>1510006</v>
      </c>
      <c r="I1" s="20">
        <v>1510007</v>
      </c>
      <c r="J1" s="20">
        <v>1510008</v>
      </c>
      <c r="K1" s="20">
        <v>1510009</v>
      </c>
      <c r="L1" s="20">
        <v>1510010</v>
      </c>
      <c r="M1" s="20">
        <v>1510011</v>
      </c>
      <c r="N1" s="20">
        <v>1510012</v>
      </c>
      <c r="O1" s="20">
        <v>1510013</v>
      </c>
      <c r="P1" s="20">
        <v>1510014</v>
      </c>
      <c r="Q1" s="20">
        <v>1510015</v>
      </c>
      <c r="R1" s="20">
        <v>1510016</v>
      </c>
      <c r="S1" s="20">
        <v>1510017</v>
      </c>
      <c r="T1" s="20">
        <v>1510018</v>
      </c>
      <c r="U1" s="20">
        <v>1510019</v>
      </c>
      <c r="V1" s="20">
        <v>1510020</v>
      </c>
      <c r="W1" s="20">
        <v>1510021</v>
      </c>
      <c r="X1" s="20">
        <v>1510022</v>
      </c>
      <c r="Y1" s="20">
        <v>1510023</v>
      </c>
      <c r="Z1" s="20">
        <v>1510024</v>
      </c>
      <c r="AA1" s="20">
        <v>1510025</v>
      </c>
      <c r="AB1" s="20">
        <v>1510026</v>
      </c>
      <c r="AC1" s="20">
        <v>1510027</v>
      </c>
      <c r="AD1" s="20">
        <v>1510028</v>
      </c>
      <c r="AE1" s="20">
        <v>1510029</v>
      </c>
      <c r="AF1" s="20">
        <v>1510030</v>
      </c>
      <c r="AG1" s="20">
        <v>1510031</v>
      </c>
      <c r="AH1" s="20">
        <v>1510032</v>
      </c>
      <c r="AI1" s="20">
        <v>1510033</v>
      </c>
      <c r="AJ1" s="20">
        <v>1510034</v>
      </c>
      <c r="AK1" s="20">
        <v>1510035</v>
      </c>
      <c r="AL1" s="20">
        <v>1510036</v>
      </c>
      <c r="AM1" s="20">
        <v>1510037</v>
      </c>
      <c r="AN1" s="20">
        <v>1510038</v>
      </c>
      <c r="AO1" s="20">
        <v>1510039</v>
      </c>
      <c r="AP1" s="20">
        <v>1510040</v>
      </c>
      <c r="AQ1" s="20">
        <v>1510041</v>
      </c>
      <c r="AR1" s="20">
        <v>1510042</v>
      </c>
      <c r="AS1" s="20">
        <v>1510043</v>
      </c>
      <c r="AT1" s="20">
        <v>1510044</v>
      </c>
    </row>
    <row r="2" spans="1:46">
      <c r="A2" s="7" t="s">
        <v>88</v>
      </c>
      <c r="B2" s="8" t="s">
        <v>112</v>
      </c>
      <c r="C2" s="19">
        <v>190912119</v>
      </c>
      <c r="D2" s="19">
        <v>1289199909</v>
      </c>
      <c r="E2" s="19">
        <v>838304416</v>
      </c>
      <c r="F2" s="19">
        <v>370041780</v>
      </c>
      <c r="G2" s="19">
        <v>108140237</v>
      </c>
      <c r="H2" s="19">
        <v>180093716</v>
      </c>
      <c r="I2" s="19">
        <v>799225723</v>
      </c>
      <c r="J2" s="19">
        <v>165650845</v>
      </c>
      <c r="K2" s="19">
        <v>848926803</v>
      </c>
      <c r="L2" s="19">
        <v>1032009573</v>
      </c>
      <c r="M2" s="19">
        <v>1081291407</v>
      </c>
      <c r="N2" s="19">
        <v>198243177</v>
      </c>
      <c r="O2" s="19">
        <v>2049444438</v>
      </c>
      <c r="P2" s="19">
        <v>1816781595</v>
      </c>
      <c r="Q2" s="19">
        <v>290182520</v>
      </c>
      <c r="R2" s="19">
        <v>147718087</v>
      </c>
      <c r="S2" s="19">
        <v>626649910</v>
      </c>
      <c r="T2" s="19">
        <v>198193362</v>
      </c>
      <c r="U2" s="19">
        <v>1505748516</v>
      </c>
      <c r="V2" s="19">
        <v>749099842</v>
      </c>
      <c r="W2" s="19">
        <v>604139359</v>
      </c>
      <c r="X2" s="19">
        <v>1705717225</v>
      </c>
      <c r="Y2" s="19">
        <v>403597967</v>
      </c>
      <c r="Z2" s="19">
        <v>135376459</v>
      </c>
      <c r="AA2" s="19">
        <v>3426043780</v>
      </c>
      <c r="AB2" s="19">
        <v>166768448</v>
      </c>
      <c r="AC2" s="19">
        <v>330768898</v>
      </c>
      <c r="AD2" s="19">
        <v>1387981590</v>
      </c>
      <c r="AE2" s="19" t="s">
        <v>89</v>
      </c>
      <c r="AF2" s="19">
        <v>155930962</v>
      </c>
      <c r="AG2" s="19">
        <v>405064346</v>
      </c>
      <c r="AH2" s="19">
        <v>296259825</v>
      </c>
      <c r="AI2" s="19">
        <v>298468073</v>
      </c>
      <c r="AJ2" s="19">
        <v>697138804</v>
      </c>
      <c r="AK2" s="19">
        <v>1824420976</v>
      </c>
      <c r="AL2" s="19">
        <v>222292038</v>
      </c>
      <c r="AM2" s="19">
        <v>4361217030</v>
      </c>
      <c r="AN2" s="19">
        <v>10477837</v>
      </c>
      <c r="AO2" s="19">
        <v>1275963367</v>
      </c>
      <c r="AP2" s="19">
        <v>123288301</v>
      </c>
      <c r="AQ2" s="19">
        <v>40833474</v>
      </c>
      <c r="AR2" s="19">
        <v>74665320</v>
      </c>
      <c r="AS2" s="19">
        <v>895235148</v>
      </c>
      <c r="AT2" s="19">
        <v>474888549</v>
      </c>
    </row>
    <row r="3" spans="1:46">
      <c r="A3" s="7" t="s">
        <v>88</v>
      </c>
      <c r="B3" s="8" t="s">
        <v>84</v>
      </c>
      <c r="C3" s="19">
        <v>158820770</v>
      </c>
      <c r="D3" s="19">
        <v>940457229</v>
      </c>
      <c r="E3" s="19">
        <v>156887996</v>
      </c>
      <c r="F3" s="19">
        <v>263194890</v>
      </c>
      <c r="G3" s="19">
        <v>94243589</v>
      </c>
      <c r="H3" s="19">
        <v>43435344</v>
      </c>
      <c r="I3" s="19">
        <v>225968967</v>
      </c>
      <c r="J3" s="19">
        <v>77146318</v>
      </c>
      <c r="K3" s="19">
        <v>478525056</v>
      </c>
      <c r="L3" s="19">
        <v>844631221</v>
      </c>
      <c r="M3" s="19">
        <v>375334817</v>
      </c>
      <c r="N3" s="19">
        <v>97777998</v>
      </c>
      <c r="O3" s="19">
        <v>844597933</v>
      </c>
      <c r="P3" s="19">
        <v>855497004</v>
      </c>
      <c r="Q3" s="19">
        <v>248002564</v>
      </c>
      <c r="R3" s="19">
        <v>70437888</v>
      </c>
      <c r="S3" s="19">
        <v>479686613</v>
      </c>
      <c r="T3" s="19">
        <v>8773978</v>
      </c>
      <c r="U3" s="19">
        <v>882501231</v>
      </c>
      <c r="V3" s="19">
        <v>645740343</v>
      </c>
      <c r="W3" s="19">
        <v>269558563</v>
      </c>
      <c r="X3" s="19">
        <v>1464128982</v>
      </c>
      <c r="Y3" s="19">
        <v>360736908</v>
      </c>
      <c r="Z3" s="19">
        <v>33635314</v>
      </c>
      <c r="AA3" s="19">
        <v>2316650899</v>
      </c>
      <c r="AB3" s="19">
        <v>106507669</v>
      </c>
      <c r="AC3" s="19">
        <v>120768563</v>
      </c>
      <c r="AD3" s="19">
        <v>342946919</v>
      </c>
      <c r="AE3" s="19" t="s">
        <v>89</v>
      </c>
      <c r="AF3" s="19">
        <v>13978510</v>
      </c>
      <c r="AG3" s="19">
        <v>46030384</v>
      </c>
      <c r="AH3" s="19">
        <v>233479351</v>
      </c>
      <c r="AI3" s="19">
        <v>22015074</v>
      </c>
      <c r="AJ3" s="19">
        <v>515069534</v>
      </c>
      <c r="AK3" s="19">
        <v>1450432982</v>
      </c>
      <c r="AL3" s="19">
        <v>157589396</v>
      </c>
      <c r="AM3" s="19">
        <v>2500938872</v>
      </c>
      <c r="AN3" s="19">
        <v>5377837</v>
      </c>
      <c r="AO3" s="19">
        <v>1234584077</v>
      </c>
      <c r="AP3" s="19">
        <v>103569489</v>
      </c>
      <c r="AQ3" s="19">
        <v>4904580</v>
      </c>
      <c r="AR3" s="19">
        <v>27560018</v>
      </c>
      <c r="AS3" s="19">
        <v>772012316</v>
      </c>
      <c r="AT3" s="19">
        <v>370215490</v>
      </c>
    </row>
    <row r="4" spans="1:46">
      <c r="A4" s="7" t="s">
        <v>88</v>
      </c>
      <c r="B4" s="11" t="s">
        <v>23</v>
      </c>
      <c r="C4" s="19">
        <v>154786789</v>
      </c>
      <c r="D4" s="19">
        <v>772063037</v>
      </c>
      <c r="E4" s="19">
        <v>101705996</v>
      </c>
      <c r="F4" s="19">
        <v>263194890</v>
      </c>
      <c r="G4" s="19">
        <v>88843589</v>
      </c>
      <c r="H4" s="19">
        <v>43435344</v>
      </c>
      <c r="I4" s="19">
        <v>225968967</v>
      </c>
      <c r="J4" s="19">
        <v>77146318</v>
      </c>
      <c r="K4" s="19">
        <v>439813501</v>
      </c>
      <c r="L4" s="19">
        <v>312606883</v>
      </c>
      <c r="M4" s="19">
        <v>299342926</v>
      </c>
      <c r="N4" s="19">
        <v>97777998</v>
      </c>
      <c r="O4" s="19">
        <v>683150025</v>
      </c>
      <c r="P4" s="19">
        <v>764621322</v>
      </c>
      <c r="Q4" s="19">
        <v>235464064</v>
      </c>
      <c r="R4" s="19">
        <v>67724478</v>
      </c>
      <c r="S4" s="19">
        <v>351308186</v>
      </c>
      <c r="T4" s="19">
        <v>8773978</v>
      </c>
      <c r="U4" s="19">
        <v>785728832</v>
      </c>
      <c r="V4" s="19">
        <v>579958489</v>
      </c>
      <c r="W4" s="19">
        <v>262976011</v>
      </c>
      <c r="X4" s="19">
        <v>1464128982</v>
      </c>
      <c r="Y4" s="19">
        <v>360736908</v>
      </c>
      <c r="Z4" s="19">
        <v>25118514</v>
      </c>
      <c r="AA4" s="19">
        <v>1219076661</v>
      </c>
      <c r="AB4" s="19">
        <v>106507669</v>
      </c>
      <c r="AC4" s="19">
        <v>110558563</v>
      </c>
      <c r="AD4" s="19">
        <v>299291919</v>
      </c>
      <c r="AE4" s="19" t="s">
        <v>89</v>
      </c>
      <c r="AF4" s="19">
        <v>13978510</v>
      </c>
      <c r="AG4" s="19">
        <v>46030384</v>
      </c>
      <c r="AH4" s="19">
        <v>233479351</v>
      </c>
      <c r="AI4" s="19">
        <v>15359022</v>
      </c>
      <c r="AJ4" s="19">
        <v>164404051</v>
      </c>
      <c r="AK4" s="19">
        <v>1121695667</v>
      </c>
      <c r="AL4" s="19">
        <v>157589396</v>
      </c>
      <c r="AM4" s="19">
        <v>2470105375</v>
      </c>
      <c r="AN4" s="19">
        <v>5377837</v>
      </c>
      <c r="AO4" s="19">
        <v>1234584077</v>
      </c>
      <c r="AP4" s="19">
        <v>97409489</v>
      </c>
      <c r="AQ4" s="19">
        <v>4904580</v>
      </c>
      <c r="AR4" s="19">
        <v>19304018</v>
      </c>
      <c r="AS4" s="19">
        <v>772012316</v>
      </c>
      <c r="AT4" s="19">
        <v>100525548</v>
      </c>
    </row>
    <row r="5" spans="1:46">
      <c r="A5" s="7" t="s">
        <v>88</v>
      </c>
      <c r="B5" s="12" t="s">
        <v>61</v>
      </c>
      <c r="C5" s="19">
        <v>60120659</v>
      </c>
      <c r="D5" s="19">
        <v>356916696</v>
      </c>
      <c r="E5" s="19">
        <v>41908555</v>
      </c>
      <c r="F5" s="19">
        <v>256034591</v>
      </c>
      <c r="G5" s="19">
        <v>42715374</v>
      </c>
      <c r="H5" s="19">
        <v>4073322</v>
      </c>
      <c r="I5" s="19">
        <v>3171893</v>
      </c>
      <c r="J5" s="19">
        <v>30514358</v>
      </c>
      <c r="K5" s="19">
        <v>149704574</v>
      </c>
      <c r="L5" s="19">
        <v>13096887</v>
      </c>
      <c r="M5" s="19">
        <v>57247328</v>
      </c>
      <c r="N5" s="19">
        <v>85688045</v>
      </c>
      <c r="O5" s="19">
        <v>347963582</v>
      </c>
      <c r="P5" s="19">
        <v>330319125</v>
      </c>
      <c r="Q5" s="19">
        <v>196930035</v>
      </c>
      <c r="R5" s="19">
        <v>51504898</v>
      </c>
      <c r="S5" s="19">
        <v>164592196</v>
      </c>
      <c r="T5" s="19">
        <v>8173978</v>
      </c>
      <c r="U5" s="19">
        <v>649543848</v>
      </c>
      <c r="V5" s="19">
        <v>329814362</v>
      </c>
      <c r="W5" s="19">
        <v>233042276</v>
      </c>
      <c r="X5" s="19">
        <v>666750699</v>
      </c>
      <c r="Y5" s="19">
        <v>279496978</v>
      </c>
      <c r="Z5" s="19">
        <v>15353204</v>
      </c>
      <c r="AA5" s="19">
        <v>210245731</v>
      </c>
      <c r="AB5" s="19">
        <v>55993107</v>
      </c>
      <c r="AC5" s="19">
        <v>97820339</v>
      </c>
      <c r="AD5" s="19">
        <v>213261400</v>
      </c>
      <c r="AE5" s="19" t="s">
        <v>89</v>
      </c>
      <c r="AF5" s="19">
        <v>13673251</v>
      </c>
      <c r="AG5" s="19">
        <v>23942313</v>
      </c>
      <c r="AH5" s="19">
        <v>33202320</v>
      </c>
      <c r="AI5" s="19">
        <v>12755647</v>
      </c>
      <c r="AJ5" s="19">
        <v>80444104</v>
      </c>
      <c r="AK5" s="19">
        <v>41275723</v>
      </c>
      <c r="AL5" s="19">
        <v>140545447</v>
      </c>
      <c r="AM5" s="19">
        <v>1201023683</v>
      </c>
      <c r="AN5" s="19">
        <v>3772837</v>
      </c>
      <c r="AO5" s="19">
        <v>1086749638</v>
      </c>
      <c r="AP5" s="19">
        <v>35632004</v>
      </c>
      <c r="AQ5" s="19">
        <v>4107697</v>
      </c>
      <c r="AR5" s="19">
        <v>17349908</v>
      </c>
      <c r="AS5" s="19">
        <v>106970758</v>
      </c>
      <c r="AT5" s="19">
        <v>22617912</v>
      </c>
    </row>
    <row r="6" spans="1:46">
      <c r="A6" s="7" t="s">
        <v>88</v>
      </c>
      <c r="B6" s="12" t="s">
        <v>75</v>
      </c>
      <c r="C6" s="19">
        <v>0</v>
      </c>
      <c r="D6" s="19">
        <v>0</v>
      </c>
      <c r="E6" s="19">
        <v>0</v>
      </c>
      <c r="F6" s="19">
        <v>0</v>
      </c>
      <c r="G6" s="19">
        <v>0</v>
      </c>
      <c r="H6" s="19">
        <v>0</v>
      </c>
      <c r="I6" s="19">
        <v>0</v>
      </c>
      <c r="J6" s="19">
        <v>649560</v>
      </c>
      <c r="K6" s="19">
        <v>0</v>
      </c>
      <c r="L6" s="19">
        <v>0</v>
      </c>
      <c r="M6" s="19">
        <v>0</v>
      </c>
      <c r="N6" s="19">
        <v>0</v>
      </c>
      <c r="O6" s="19">
        <v>800000</v>
      </c>
      <c r="P6" s="19">
        <v>90000</v>
      </c>
      <c r="Q6" s="19">
        <v>0</v>
      </c>
      <c r="R6" s="19">
        <v>0</v>
      </c>
      <c r="S6" s="19">
        <v>0</v>
      </c>
      <c r="T6" s="19">
        <v>0</v>
      </c>
      <c r="U6" s="19">
        <v>0</v>
      </c>
      <c r="V6" s="19">
        <v>0</v>
      </c>
      <c r="W6" s="19">
        <v>366571</v>
      </c>
      <c r="X6" s="19">
        <v>5000000</v>
      </c>
      <c r="Y6" s="19">
        <v>0</v>
      </c>
      <c r="Z6" s="19">
        <v>0</v>
      </c>
      <c r="AA6" s="19">
        <v>0</v>
      </c>
      <c r="AB6" s="19">
        <v>0</v>
      </c>
      <c r="AC6" s="19">
        <v>0</v>
      </c>
      <c r="AD6" s="19">
        <v>0</v>
      </c>
      <c r="AE6" s="19" t="s">
        <v>89</v>
      </c>
      <c r="AF6" s="19">
        <v>0</v>
      </c>
      <c r="AG6" s="19">
        <v>0</v>
      </c>
      <c r="AH6" s="19">
        <v>63647691</v>
      </c>
      <c r="AI6" s="19">
        <v>0</v>
      </c>
      <c r="AJ6" s="19">
        <v>0</v>
      </c>
      <c r="AK6" s="19">
        <v>1073582</v>
      </c>
      <c r="AL6" s="19">
        <v>0</v>
      </c>
      <c r="AM6" s="19">
        <v>1132660</v>
      </c>
      <c r="AN6" s="19">
        <v>0</v>
      </c>
      <c r="AO6" s="19">
        <v>0</v>
      </c>
      <c r="AP6" s="19">
        <v>0</v>
      </c>
      <c r="AQ6" s="19">
        <v>0</v>
      </c>
      <c r="AR6" s="19">
        <v>0</v>
      </c>
      <c r="AS6" s="19">
        <v>0</v>
      </c>
      <c r="AT6" s="19">
        <v>0</v>
      </c>
    </row>
    <row r="7" spans="1:46">
      <c r="A7" s="7" t="s">
        <v>88</v>
      </c>
      <c r="B7" s="13" t="s">
        <v>51</v>
      </c>
      <c r="C7" s="19">
        <v>2798330</v>
      </c>
      <c r="D7" s="19">
        <v>410656757</v>
      </c>
      <c r="E7" s="19">
        <v>57719617</v>
      </c>
      <c r="F7" s="19"/>
      <c r="G7" s="19">
        <v>21053419</v>
      </c>
      <c r="H7" s="19"/>
      <c r="I7" s="19"/>
      <c r="J7" s="19"/>
      <c r="K7" s="19">
        <v>289342371</v>
      </c>
      <c r="L7" s="19">
        <v>299305626</v>
      </c>
      <c r="M7" s="19"/>
      <c r="N7" s="19">
        <v>4930300</v>
      </c>
      <c r="O7" s="19"/>
      <c r="P7" s="19"/>
      <c r="Q7" s="19">
        <v>34820000</v>
      </c>
      <c r="R7" s="19">
        <v>300000</v>
      </c>
      <c r="S7" s="19">
        <v>11405990</v>
      </c>
      <c r="T7" s="19"/>
      <c r="U7" s="19">
        <v>135711984</v>
      </c>
      <c r="V7" s="19">
        <v>116680072</v>
      </c>
      <c r="W7" s="19">
        <v>7279111</v>
      </c>
      <c r="X7" s="19">
        <v>205686924</v>
      </c>
      <c r="Y7" s="19">
        <v>75545070</v>
      </c>
      <c r="Z7" s="19">
        <v>8989750</v>
      </c>
      <c r="AA7" s="19">
        <v>749564422</v>
      </c>
      <c r="AB7" s="19">
        <v>5500000</v>
      </c>
      <c r="AC7" s="19">
        <v>3295000</v>
      </c>
      <c r="AD7" s="19">
        <v>63514235</v>
      </c>
      <c r="AE7" s="19" t="s">
        <v>89</v>
      </c>
      <c r="AF7" s="19">
        <v>0</v>
      </c>
      <c r="AG7" s="19">
        <v>1797661</v>
      </c>
      <c r="AH7" s="19">
        <v>136159514</v>
      </c>
      <c r="AI7" s="19">
        <v>0</v>
      </c>
      <c r="AJ7" s="19">
        <v>33268725</v>
      </c>
      <c r="AK7" s="19">
        <v>517120462</v>
      </c>
      <c r="AL7" s="19"/>
      <c r="AM7" s="19">
        <v>215600688</v>
      </c>
      <c r="AN7" s="19"/>
      <c r="AO7" s="19">
        <v>143002035</v>
      </c>
      <c r="AP7" s="19">
        <v>505485</v>
      </c>
      <c r="AQ7" s="19"/>
      <c r="AR7" s="19"/>
      <c r="AS7" s="19">
        <v>366572063</v>
      </c>
      <c r="AT7" s="19">
        <v>41926500</v>
      </c>
    </row>
    <row r="8" spans="1:46">
      <c r="A8" s="7" t="s">
        <v>88</v>
      </c>
      <c r="B8" s="13" t="s">
        <v>69</v>
      </c>
      <c r="C8" s="19">
        <v>91500000</v>
      </c>
      <c r="D8" s="19"/>
      <c r="E8" s="19"/>
      <c r="F8" s="19"/>
      <c r="G8" s="19">
        <v>3273060</v>
      </c>
      <c r="H8" s="19"/>
      <c r="I8" s="19"/>
      <c r="J8" s="19"/>
      <c r="K8" s="19"/>
      <c r="L8" s="19"/>
      <c r="M8" s="19"/>
      <c r="N8" s="19"/>
      <c r="O8" s="19"/>
      <c r="P8" s="19">
        <v>2100000</v>
      </c>
      <c r="Q8" s="19"/>
      <c r="R8" s="19">
        <v>13000000</v>
      </c>
      <c r="S8" s="19">
        <v>175310000</v>
      </c>
      <c r="T8" s="19"/>
      <c r="U8" s="19"/>
      <c r="V8" s="19">
        <v>552015</v>
      </c>
      <c r="W8" s="19"/>
      <c r="X8" s="19"/>
      <c r="Y8" s="19"/>
      <c r="Z8" s="19"/>
      <c r="AA8" s="19"/>
      <c r="AB8" s="19"/>
      <c r="AC8" s="19">
        <v>4000000</v>
      </c>
      <c r="AD8" s="19"/>
      <c r="AE8" s="19" t="s">
        <v>89</v>
      </c>
      <c r="AF8" s="19"/>
      <c r="AG8" s="19">
        <v>6158726</v>
      </c>
      <c r="AH8" s="19"/>
      <c r="AI8" s="19"/>
      <c r="AJ8" s="19"/>
      <c r="AK8" s="19"/>
      <c r="AL8" s="19"/>
      <c r="AM8" s="19">
        <v>412326881</v>
      </c>
      <c r="AN8" s="19"/>
      <c r="AO8" s="19"/>
      <c r="AP8" s="19">
        <v>0</v>
      </c>
      <c r="AQ8" s="19"/>
      <c r="AR8" s="19"/>
      <c r="AS8" s="19">
        <v>10000000</v>
      </c>
      <c r="AT8" s="19">
        <v>29883060</v>
      </c>
    </row>
    <row r="9" spans="1:46">
      <c r="A9" s="7" t="s">
        <v>88</v>
      </c>
      <c r="B9" s="13" t="s">
        <v>134</v>
      </c>
      <c r="C9" s="19"/>
      <c r="D9" s="19">
        <v>48000</v>
      </c>
      <c r="E9" s="19">
        <v>0</v>
      </c>
      <c r="F9" s="19"/>
      <c r="G9" s="19">
        <v>2061736</v>
      </c>
      <c r="H9" s="19"/>
      <c r="I9" s="19">
        <v>222797074</v>
      </c>
      <c r="J9" s="19">
        <v>5480000</v>
      </c>
      <c r="K9" s="19"/>
      <c r="L9" s="19">
        <v>199098</v>
      </c>
      <c r="M9" s="19">
        <v>152945825</v>
      </c>
      <c r="N9" s="19">
        <v>3425848</v>
      </c>
      <c r="O9" s="19">
        <v>312983953</v>
      </c>
      <c r="P9" s="19">
        <v>392984131</v>
      </c>
      <c r="Q9" s="19"/>
      <c r="R9" s="19">
        <v>0</v>
      </c>
      <c r="S9" s="19"/>
      <c r="T9" s="19">
        <v>600000</v>
      </c>
      <c r="U9" s="19"/>
      <c r="V9" s="19">
        <v>3618804</v>
      </c>
      <c r="W9" s="19">
        <v>17543473</v>
      </c>
      <c r="X9" s="19">
        <v>60490</v>
      </c>
      <c r="Y9" s="19">
        <v>1014900</v>
      </c>
      <c r="Z9" s="19">
        <v>0</v>
      </c>
      <c r="AA9" s="19">
        <v>7671577</v>
      </c>
      <c r="AB9" s="19">
        <v>2893652</v>
      </c>
      <c r="AC9" s="19">
        <v>180000</v>
      </c>
      <c r="AD9" s="19">
        <v>14704214</v>
      </c>
      <c r="AE9" s="19" t="s">
        <v>89</v>
      </c>
      <c r="AF9" s="19"/>
      <c r="AG9" s="19">
        <v>2418670</v>
      </c>
      <c r="AH9" s="19">
        <v>469826</v>
      </c>
      <c r="AI9" s="19">
        <v>1592071</v>
      </c>
      <c r="AJ9" s="19">
        <v>20653122</v>
      </c>
      <c r="AK9" s="19">
        <v>42050437</v>
      </c>
      <c r="AL9" s="19">
        <v>19000</v>
      </c>
      <c r="AM9" s="19">
        <v>20800000</v>
      </c>
      <c r="AN9" s="19">
        <v>1605000</v>
      </c>
      <c r="AO9" s="19">
        <v>1078422</v>
      </c>
      <c r="AP9" s="19">
        <v>0</v>
      </c>
      <c r="AQ9" s="19">
        <v>54800</v>
      </c>
      <c r="AR9" s="19">
        <v>1954110</v>
      </c>
      <c r="AS9" s="19"/>
      <c r="AT9" s="19"/>
    </row>
    <row r="10" spans="1:46">
      <c r="A10" s="7" t="s">
        <v>88</v>
      </c>
      <c r="B10" s="13" t="s">
        <v>135</v>
      </c>
      <c r="C10" s="19"/>
      <c r="D10" s="19">
        <v>4441584</v>
      </c>
      <c r="E10" s="19">
        <v>482054</v>
      </c>
      <c r="F10" s="19">
        <v>7160299</v>
      </c>
      <c r="G10" s="19">
        <v>13110000</v>
      </c>
      <c r="H10" s="19">
        <v>504490</v>
      </c>
      <c r="I10" s="19"/>
      <c r="J10" s="19">
        <v>40502400</v>
      </c>
      <c r="K10" s="19">
        <v>766556</v>
      </c>
      <c r="L10" s="19"/>
      <c r="M10" s="19">
        <v>89149773</v>
      </c>
      <c r="N10" s="19">
        <v>3733805</v>
      </c>
      <c r="O10" s="19">
        <v>15420700</v>
      </c>
      <c r="P10" s="19">
        <v>3721484</v>
      </c>
      <c r="Q10" s="19">
        <v>3714029</v>
      </c>
      <c r="R10" s="19">
        <v>2919580</v>
      </c>
      <c r="S10" s="19"/>
      <c r="T10" s="19"/>
      <c r="U10" s="19">
        <v>473000</v>
      </c>
      <c r="V10" s="19">
        <v>129293236</v>
      </c>
      <c r="W10" s="19">
        <v>4744580</v>
      </c>
      <c r="X10" s="19">
        <v>586630869</v>
      </c>
      <c r="Y10" s="19">
        <v>4679960</v>
      </c>
      <c r="Z10" s="19">
        <v>775560</v>
      </c>
      <c r="AA10" s="19">
        <v>60594931</v>
      </c>
      <c r="AB10" s="19">
        <v>120910</v>
      </c>
      <c r="AC10" s="19">
        <v>4192845</v>
      </c>
      <c r="AD10" s="19">
        <v>4362070</v>
      </c>
      <c r="AE10" s="19" t="s">
        <v>89</v>
      </c>
      <c r="AF10" s="19">
        <v>192890</v>
      </c>
      <c r="AG10" s="19">
        <v>0</v>
      </c>
      <c r="AH10" s="19"/>
      <c r="AI10" s="19">
        <v>1011304</v>
      </c>
      <c r="AJ10" s="19">
        <v>29738100</v>
      </c>
      <c r="AK10" s="19">
        <v>57882161</v>
      </c>
      <c r="AL10" s="19">
        <v>17024949</v>
      </c>
      <c r="AM10" s="19">
        <v>612282515</v>
      </c>
      <c r="AN10" s="19"/>
      <c r="AO10" s="19">
        <v>3753982</v>
      </c>
      <c r="AP10" s="19">
        <v>61272000</v>
      </c>
      <c r="AQ10" s="19"/>
      <c r="AR10" s="19"/>
      <c r="AS10" s="19">
        <v>287915158</v>
      </c>
      <c r="AT10" s="19">
        <v>1495059</v>
      </c>
    </row>
    <row r="11" spans="1:46">
      <c r="A11" s="7" t="s">
        <v>88</v>
      </c>
      <c r="B11" s="13" t="s">
        <v>40</v>
      </c>
      <c r="C11" s="19">
        <v>367800</v>
      </c>
      <c r="D11" s="19"/>
      <c r="E11" s="19">
        <v>1595770</v>
      </c>
      <c r="F11" s="19"/>
      <c r="G11" s="19">
        <v>6630000</v>
      </c>
      <c r="H11" s="19">
        <v>38857532</v>
      </c>
      <c r="I11" s="19"/>
      <c r="J11" s="19"/>
      <c r="K11" s="19"/>
      <c r="L11" s="19">
        <v>5272</v>
      </c>
      <c r="M11" s="19"/>
      <c r="N11" s="19"/>
      <c r="O11" s="19">
        <v>5981790</v>
      </c>
      <c r="P11" s="19">
        <v>35406582</v>
      </c>
      <c r="Q11" s="19"/>
      <c r="R11" s="19"/>
      <c r="S11" s="19"/>
      <c r="T11" s="19"/>
      <c r="U11" s="19"/>
      <c r="V11" s="19"/>
      <c r="W11" s="19"/>
      <c r="X11" s="19"/>
      <c r="Y11" s="19"/>
      <c r="Z11" s="19"/>
      <c r="AA11" s="19">
        <v>191000000</v>
      </c>
      <c r="AB11" s="19">
        <v>42000000</v>
      </c>
      <c r="AC11" s="19">
        <v>1070379</v>
      </c>
      <c r="AD11" s="19">
        <v>3450000</v>
      </c>
      <c r="AE11" s="19" t="s">
        <v>89</v>
      </c>
      <c r="AF11" s="19">
        <v>112369</v>
      </c>
      <c r="AG11" s="19">
        <v>11713014</v>
      </c>
      <c r="AH11" s="19"/>
      <c r="AI11" s="19"/>
      <c r="AJ11" s="19">
        <v>300000</v>
      </c>
      <c r="AK11" s="19">
        <v>462293302</v>
      </c>
      <c r="AL11" s="19"/>
      <c r="AM11" s="19">
        <v>6938948</v>
      </c>
      <c r="AN11" s="19"/>
      <c r="AO11" s="19"/>
      <c r="AP11" s="19"/>
      <c r="AQ11" s="19">
        <v>742083</v>
      </c>
      <c r="AR11" s="19"/>
      <c r="AS11" s="19">
        <v>554337</v>
      </c>
      <c r="AT11" s="19">
        <v>4603017</v>
      </c>
    </row>
    <row r="12" spans="1:46">
      <c r="A12" s="7" t="s">
        <v>88</v>
      </c>
      <c r="B12" s="14" t="s">
        <v>30</v>
      </c>
      <c r="C12" s="19"/>
      <c r="D12" s="19">
        <v>168394192</v>
      </c>
      <c r="E12" s="19">
        <v>55182000</v>
      </c>
      <c r="F12" s="19"/>
      <c r="G12" s="19">
        <v>5400000</v>
      </c>
      <c r="H12" s="19"/>
      <c r="I12" s="19">
        <v>0</v>
      </c>
      <c r="J12" s="19">
        <v>0</v>
      </c>
      <c r="K12" s="19">
        <v>38711555</v>
      </c>
      <c r="L12" s="19">
        <v>532024338</v>
      </c>
      <c r="M12" s="19">
        <v>75991891</v>
      </c>
      <c r="N12" s="19">
        <v>0</v>
      </c>
      <c r="O12" s="19">
        <v>161447908</v>
      </c>
      <c r="P12" s="19">
        <v>90875682</v>
      </c>
      <c r="Q12" s="19">
        <v>12538500</v>
      </c>
      <c r="R12" s="19">
        <v>2713410</v>
      </c>
      <c r="S12" s="19">
        <v>109000000</v>
      </c>
      <c r="T12" s="19"/>
      <c r="U12" s="19">
        <v>32591660</v>
      </c>
      <c r="V12" s="19">
        <v>65781854</v>
      </c>
      <c r="W12" s="19">
        <v>6582552</v>
      </c>
      <c r="X12" s="19">
        <v>0</v>
      </c>
      <c r="Y12" s="19">
        <v>0</v>
      </c>
      <c r="Z12" s="19">
        <v>8516800</v>
      </c>
      <c r="AA12" s="19">
        <v>1097574238</v>
      </c>
      <c r="AB12" s="19">
        <v>0</v>
      </c>
      <c r="AC12" s="19">
        <v>10210000</v>
      </c>
      <c r="AD12" s="19">
        <v>43655000</v>
      </c>
      <c r="AE12" s="19" t="s">
        <v>89</v>
      </c>
      <c r="AF12" s="19">
        <v>0</v>
      </c>
      <c r="AG12" s="19">
        <v>0</v>
      </c>
      <c r="AH12" s="19">
        <v>0</v>
      </c>
      <c r="AI12" s="19">
        <v>6656052</v>
      </c>
      <c r="AJ12" s="19">
        <v>350665483</v>
      </c>
      <c r="AK12" s="19">
        <v>328737315</v>
      </c>
      <c r="AL12" s="19">
        <v>0</v>
      </c>
      <c r="AM12" s="19">
        <v>30833497</v>
      </c>
      <c r="AN12" s="19">
        <v>0</v>
      </c>
      <c r="AO12" s="19">
        <v>0</v>
      </c>
      <c r="AP12" s="19">
        <v>6160000</v>
      </c>
      <c r="AQ12" s="19"/>
      <c r="AR12" s="19">
        <v>8256000</v>
      </c>
      <c r="AS12" s="19">
        <v>0</v>
      </c>
      <c r="AT12" s="19">
        <v>269689942</v>
      </c>
    </row>
    <row r="13" spans="1:46">
      <c r="A13" s="7" t="s">
        <v>88</v>
      </c>
      <c r="B13" s="14" t="s">
        <v>66</v>
      </c>
      <c r="C13" s="19">
        <v>4033981</v>
      </c>
      <c r="D13" s="19"/>
      <c r="E13" s="19"/>
      <c r="F13" s="19"/>
      <c r="G13" s="19"/>
      <c r="H13" s="19"/>
      <c r="I13" s="19"/>
      <c r="J13" s="19"/>
      <c r="K13" s="19"/>
      <c r="L13" s="19"/>
      <c r="M13" s="19"/>
      <c r="N13" s="19"/>
      <c r="O13" s="19"/>
      <c r="P13" s="19"/>
      <c r="Q13" s="19"/>
      <c r="R13" s="19"/>
      <c r="S13" s="19">
        <v>19378427</v>
      </c>
      <c r="T13" s="19"/>
      <c r="U13" s="19">
        <v>64180739</v>
      </c>
      <c r="V13" s="19"/>
      <c r="W13" s="19"/>
      <c r="X13" s="19"/>
      <c r="Y13" s="19"/>
      <c r="Z13" s="19"/>
      <c r="AA13" s="19"/>
      <c r="AB13" s="19"/>
      <c r="AC13" s="19"/>
      <c r="AD13" s="19"/>
      <c r="AE13" s="19" t="s">
        <v>89</v>
      </c>
      <c r="AF13" s="19"/>
      <c r="AG13" s="19"/>
      <c r="AH13" s="19"/>
      <c r="AI13" s="19"/>
      <c r="AJ13" s="19"/>
      <c r="AK13" s="19"/>
      <c r="AL13" s="19"/>
      <c r="AM13" s="19"/>
      <c r="AN13" s="19"/>
      <c r="AO13" s="19"/>
      <c r="AP13" s="19"/>
      <c r="AQ13" s="19"/>
      <c r="AR13" s="19"/>
      <c r="AS13" s="19"/>
      <c r="AT13" s="19"/>
    </row>
    <row r="14" spans="1:46">
      <c r="A14" s="7" t="s">
        <v>88</v>
      </c>
      <c r="B14" s="8" t="s">
        <v>19</v>
      </c>
      <c r="C14" s="19">
        <v>32091349</v>
      </c>
      <c r="D14" s="19">
        <v>348742680</v>
      </c>
      <c r="E14" s="19">
        <v>681416420</v>
      </c>
      <c r="F14" s="19">
        <v>106846890</v>
      </c>
      <c r="G14" s="19">
        <v>13896648</v>
      </c>
      <c r="H14" s="19">
        <v>136658372</v>
      </c>
      <c r="I14" s="19">
        <v>573256756</v>
      </c>
      <c r="J14" s="19">
        <v>88504527</v>
      </c>
      <c r="K14" s="19">
        <v>370401747</v>
      </c>
      <c r="L14" s="19">
        <v>187378352</v>
      </c>
      <c r="M14" s="19">
        <v>705956590</v>
      </c>
      <c r="N14" s="19">
        <v>100465179</v>
      </c>
      <c r="O14" s="19">
        <v>1204846505</v>
      </c>
      <c r="P14" s="19">
        <v>961284591</v>
      </c>
      <c r="Q14" s="19">
        <v>42179956</v>
      </c>
      <c r="R14" s="19">
        <v>77280199</v>
      </c>
      <c r="S14" s="19">
        <v>146963297</v>
      </c>
      <c r="T14" s="19">
        <v>189419384</v>
      </c>
      <c r="U14" s="19">
        <v>623247285</v>
      </c>
      <c r="V14" s="19">
        <v>103359499</v>
      </c>
      <c r="W14" s="19">
        <v>334580796</v>
      </c>
      <c r="X14" s="19">
        <v>241588243</v>
      </c>
      <c r="Y14" s="19">
        <v>42861059</v>
      </c>
      <c r="Z14" s="19">
        <v>101741145</v>
      </c>
      <c r="AA14" s="19">
        <v>1109392881</v>
      </c>
      <c r="AB14" s="19">
        <v>60260779</v>
      </c>
      <c r="AC14" s="19">
        <v>210000335</v>
      </c>
      <c r="AD14" s="19">
        <v>1045034671</v>
      </c>
      <c r="AE14" s="19" t="s">
        <v>89</v>
      </c>
      <c r="AF14" s="19">
        <v>141952452</v>
      </c>
      <c r="AG14" s="19">
        <v>359033962</v>
      </c>
      <c r="AH14" s="19">
        <v>62780474</v>
      </c>
      <c r="AI14" s="19">
        <v>276452999</v>
      </c>
      <c r="AJ14" s="19">
        <v>182069270</v>
      </c>
      <c r="AK14" s="19">
        <v>373987994</v>
      </c>
      <c r="AL14" s="19">
        <v>64702642</v>
      </c>
      <c r="AM14" s="19">
        <v>1860278158</v>
      </c>
      <c r="AN14" s="19">
        <v>5100000</v>
      </c>
      <c r="AO14" s="19">
        <v>41379290</v>
      </c>
      <c r="AP14" s="19">
        <v>19718812</v>
      </c>
      <c r="AQ14" s="19">
        <v>35928894</v>
      </c>
      <c r="AR14" s="19">
        <v>47105302</v>
      </c>
      <c r="AS14" s="19">
        <v>123222832</v>
      </c>
      <c r="AT14" s="19">
        <v>104673059</v>
      </c>
    </row>
    <row r="15" spans="1:46">
      <c r="A15" s="7" t="s">
        <v>88</v>
      </c>
      <c r="B15" s="11" t="s">
        <v>8</v>
      </c>
      <c r="C15" s="19"/>
      <c r="D15" s="19">
        <v>0</v>
      </c>
      <c r="E15" s="19">
        <v>78925700</v>
      </c>
      <c r="F15" s="19">
        <v>0</v>
      </c>
      <c r="G15" s="19">
        <v>0</v>
      </c>
      <c r="H15" s="19">
        <v>63000000</v>
      </c>
      <c r="I15" s="19">
        <v>0</v>
      </c>
      <c r="J15" s="19">
        <v>0</v>
      </c>
      <c r="K15" s="19">
        <v>0</v>
      </c>
      <c r="L15" s="19"/>
      <c r="M15" s="19">
        <v>200000</v>
      </c>
      <c r="N15" s="19">
        <v>0</v>
      </c>
      <c r="O15" s="19">
        <v>131709977</v>
      </c>
      <c r="P15" s="19">
        <v>13760000</v>
      </c>
      <c r="Q15" s="19">
        <v>0</v>
      </c>
      <c r="R15" s="19">
        <v>0</v>
      </c>
      <c r="S15" s="19">
        <v>10392</v>
      </c>
      <c r="T15" s="19"/>
      <c r="U15" s="19">
        <v>0</v>
      </c>
      <c r="V15" s="19">
        <v>0</v>
      </c>
      <c r="W15" s="19">
        <v>107613542</v>
      </c>
      <c r="X15" s="19">
        <v>24639554</v>
      </c>
      <c r="Y15" s="19">
        <v>0</v>
      </c>
      <c r="Z15" s="19">
        <v>0</v>
      </c>
      <c r="AA15" s="19">
        <v>302880392</v>
      </c>
      <c r="AB15" s="19">
        <v>0</v>
      </c>
      <c r="AC15" s="19">
        <v>8000000</v>
      </c>
      <c r="AD15" s="19">
        <v>46388960</v>
      </c>
      <c r="AE15" s="19" t="s">
        <v>89</v>
      </c>
      <c r="AF15" s="19">
        <v>0</v>
      </c>
      <c r="AG15" s="19">
        <v>10235791</v>
      </c>
      <c r="AH15" s="19">
        <v>0</v>
      </c>
      <c r="AI15" s="19">
        <v>138834</v>
      </c>
      <c r="AJ15" s="19">
        <v>0</v>
      </c>
      <c r="AK15" s="19">
        <v>3557970</v>
      </c>
      <c r="AL15" s="19">
        <v>0</v>
      </c>
      <c r="AM15" s="19">
        <v>50000000</v>
      </c>
      <c r="AN15" s="19">
        <v>0</v>
      </c>
      <c r="AO15" s="19">
        <v>0</v>
      </c>
      <c r="AP15" s="19">
        <v>0</v>
      </c>
      <c r="AQ15" s="19"/>
      <c r="AR15" s="19">
        <v>0</v>
      </c>
      <c r="AS15" s="19">
        <v>0</v>
      </c>
      <c r="AT15" s="19">
        <v>0</v>
      </c>
    </row>
    <row r="16" spans="1:46">
      <c r="A16" s="7" t="s">
        <v>88</v>
      </c>
      <c r="B16" s="11" t="s">
        <v>151</v>
      </c>
      <c r="C16" s="19">
        <v>16788349</v>
      </c>
      <c r="D16" s="19">
        <v>348742680</v>
      </c>
      <c r="E16" s="19">
        <v>602490720</v>
      </c>
      <c r="F16" s="19">
        <v>35847922</v>
      </c>
      <c r="G16" s="19">
        <v>6836648</v>
      </c>
      <c r="H16" s="19">
        <v>33578372</v>
      </c>
      <c r="I16" s="19">
        <v>365256756</v>
      </c>
      <c r="J16" s="19">
        <v>13129527</v>
      </c>
      <c r="K16" s="19">
        <v>366380547</v>
      </c>
      <c r="L16" s="19">
        <v>53966271</v>
      </c>
      <c r="M16" s="19">
        <v>317553172</v>
      </c>
      <c r="N16" s="19">
        <v>14762550</v>
      </c>
      <c r="O16" s="19">
        <v>906301773</v>
      </c>
      <c r="P16" s="19">
        <v>495499689</v>
      </c>
      <c r="Q16" s="19">
        <v>12179956</v>
      </c>
      <c r="R16" s="19">
        <v>18383865</v>
      </c>
      <c r="S16" s="19">
        <v>100049860</v>
      </c>
      <c r="T16" s="19">
        <v>149219384</v>
      </c>
      <c r="U16" s="19">
        <v>422738785</v>
      </c>
      <c r="V16" s="19">
        <v>53359499</v>
      </c>
      <c r="W16" s="19">
        <v>222528949</v>
      </c>
      <c r="X16" s="19">
        <v>26918590</v>
      </c>
      <c r="Y16" s="19">
        <v>1333217</v>
      </c>
      <c r="Z16" s="19">
        <v>71741145</v>
      </c>
      <c r="AA16" s="19">
        <v>306512489</v>
      </c>
      <c r="AB16" s="19">
        <v>56710779</v>
      </c>
      <c r="AC16" s="19">
        <v>21470095</v>
      </c>
      <c r="AD16" s="19">
        <v>921645866</v>
      </c>
      <c r="AE16" s="19" t="s">
        <v>89</v>
      </c>
      <c r="AF16" s="19">
        <v>87092452</v>
      </c>
      <c r="AG16" s="19">
        <v>37896173</v>
      </c>
      <c r="AH16" s="19">
        <v>11115712</v>
      </c>
      <c r="AI16" s="19">
        <v>208832935</v>
      </c>
      <c r="AJ16" s="19">
        <v>78789945</v>
      </c>
      <c r="AK16" s="19">
        <v>351399624</v>
      </c>
      <c r="AL16" s="19">
        <v>21176759</v>
      </c>
      <c r="AM16" s="19">
        <v>503620784</v>
      </c>
      <c r="AN16" s="19">
        <v>0</v>
      </c>
      <c r="AO16" s="19">
        <v>3451290</v>
      </c>
      <c r="AP16" s="19">
        <v>3193811</v>
      </c>
      <c r="AQ16" s="19">
        <v>35828894</v>
      </c>
      <c r="AR16" s="19">
        <v>13505302</v>
      </c>
      <c r="AS16" s="19">
        <v>78218832</v>
      </c>
      <c r="AT16" s="19">
        <v>84373059</v>
      </c>
    </row>
    <row r="17" spans="1:46">
      <c r="A17" s="7" t="s">
        <v>88</v>
      </c>
      <c r="B17" s="11" t="s">
        <v>27</v>
      </c>
      <c r="C17" s="19">
        <v>3000</v>
      </c>
      <c r="D17" s="19">
        <v>0</v>
      </c>
      <c r="E17" s="19">
        <v>0</v>
      </c>
      <c r="F17" s="19">
        <v>37998968</v>
      </c>
      <c r="G17" s="19">
        <v>960000</v>
      </c>
      <c r="H17" s="19">
        <v>80000</v>
      </c>
      <c r="I17" s="19">
        <v>0</v>
      </c>
      <c r="J17" s="19">
        <v>60375000</v>
      </c>
      <c r="K17" s="19">
        <v>961200</v>
      </c>
      <c r="L17" s="19">
        <v>57017081</v>
      </c>
      <c r="M17" s="19">
        <v>18123418</v>
      </c>
      <c r="N17" s="19">
        <v>5702629</v>
      </c>
      <c r="O17" s="19">
        <v>2825000</v>
      </c>
      <c r="P17" s="19">
        <v>15454972</v>
      </c>
      <c r="Q17" s="19">
        <v>0</v>
      </c>
      <c r="R17" s="19">
        <v>18833334</v>
      </c>
      <c r="S17" s="19">
        <v>7454545</v>
      </c>
      <c r="T17" s="19">
        <v>0</v>
      </c>
      <c r="U17" s="19">
        <v>448500</v>
      </c>
      <c r="V17" s="19">
        <v>0</v>
      </c>
      <c r="W17" s="19">
        <v>4438305</v>
      </c>
      <c r="X17" s="19">
        <v>9850099</v>
      </c>
      <c r="Y17" s="19">
        <v>32927842</v>
      </c>
      <c r="Z17" s="19">
        <v>0</v>
      </c>
      <c r="AA17" s="19">
        <v>0</v>
      </c>
      <c r="AB17" s="19">
        <v>3550000</v>
      </c>
      <c r="AC17" s="19">
        <v>440240</v>
      </c>
      <c r="AD17" s="19">
        <v>0</v>
      </c>
      <c r="AE17" s="19" t="s">
        <v>89</v>
      </c>
      <c r="AF17" s="19">
        <v>0</v>
      </c>
      <c r="AG17" s="19">
        <v>304051998</v>
      </c>
      <c r="AH17" s="19">
        <v>9664762</v>
      </c>
      <c r="AI17" s="19">
        <v>791560</v>
      </c>
      <c r="AJ17" s="19">
        <v>3279325</v>
      </c>
      <c r="AK17" s="19">
        <v>0</v>
      </c>
      <c r="AL17" s="19">
        <v>0</v>
      </c>
      <c r="AM17" s="19">
        <v>485943674</v>
      </c>
      <c r="AN17" s="19">
        <v>0</v>
      </c>
      <c r="AO17" s="19">
        <v>2928000</v>
      </c>
      <c r="AP17" s="19">
        <v>16525001</v>
      </c>
      <c r="AQ17" s="19">
        <v>0</v>
      </c>
      <c r="AR17" s="19">
        <v>32500000</v>
      </c>
      <c r="AS17" s="19">
        <v>4000</v>
      </c>
      <c r="AT17" s="19">
        <v>0</v>
      </c>
    </row>
    <row r="18" spans="1:46">
      <c r="A18" s="7" t="s">
        <v>88</v>
      </c>
      <c r="B18" s="12" t="s">
        <v>54</v>
      </c>
      <c r="C18" s="19">
        <v>3000</v>
      </c>
      <c r="D18" s="19"/>
      <c r="E18" s="19"/>
      <c r="F18" s="19"/>
      <c r="G18" s="19"/>
      <c r="H18" s="19">
        <v>80000</v>
      </c>
      <c r="I18" s="19"/>
      <c r="J18" s="19"/>
      <c r="K18" s="19"/>
      <c r="L18" s="19"/>
      <c r="M18" s="19">
        <v>15123418</v>
      </c>
      <c r="N18" s="19">
        <v>5702629</v>
      </c>
      <c r="O18" s="19">
        <v>2825000</v>
      </c>
      <c r="P18" s="19">
        <v>15454972</v>
      </c>
      <c r="Q18" s="19"/>
      <c r="R18" s="19">
        <v>9833334</v>
      </c>
      <c r="S18" s="19">
        <v>7454545</v>
      </c>
      <c r="T18" s="19"/>
      <c r="U18" s="19">
        <v>448500</v>
      </c>
      <c r="V18" s="19"/>
      <c r="W18" s="19"/>
      <c r="X18" s="19"/>
      <c r="Y18" s="19"/>
      <c r="Z18" s="19"/>
      <c r="AA18" s="19"/>
      <c r="AB18" s="19">
        <v>3550000</v>
      </c>
      <c r="AC18" s="19"/>
      <c r="AD18" s="19"/>
      <c r="AE18" s="19" t="s">
        <v>89</v>
      </c>
      <c r="AF18" s="19"/>
      <c r="AG18" s="19">
        <v>189949998</v>
      </c>
      <c r="AH18" s="19">
        <v>9453334</v>
      </c>
      <c r="AI18" s="19"/>
      <c r="AJ18" s="19"/>
      <c r="AK18" s="19"/>
      <c r="AL18" s="19"/>
      <c r="AM18" s="19">
        <v>14692690</v>
      </c>
      <c r="AN18" s="19"/>
      <c r="AO18" s="19">
        <v>2928000</v>
      </c>
      <c r="AP18" s="19">
        <v>8616667</v>
      </c>
      <c r="AQ18" s="19"/>
      <c r="AR18" s="19">
        <v>32500000</v>
      </c>
      <c r="AS18" s="19"/>
      <c r="AT18" s="19"/>
    </row>
    <row r="19" spans="1:46">
      <c r="A19" s="7" t="s">
        <v>88</v>
      </c>
      <c r="B19" s="12" t="s">
        <v>74</v>
      </c>
      <c r="C19" s="19"/>
      <c r="D19" s="19"/>
      <c r="E19" s="19"/>
      <c r="F19" s="19"/>
      <c r="G19" s="19">
        <v>960000</v>
      </c>
      <c r="H19" s="19"/>
      <c r="I19" s="19"/>
      <c r="J19" s="19"/>
      <c r="K19" s="19">
        <v>961200</v>
      </c>
      <c r="L19" s="19"/>
      <c r="M19" s="19"/>
      <c r="N19" s="19"/>
      <c r="O19" s="19"/>
      <c r="P19" s="19"/>
      <c r="Q19" s="19"/>
      <c r="R19" s="19"/>
      <c r="S19" s="19"/>
      <c r="T19" s="19"/>
      <c r="U19" s="19"/>
      <c r="V19" s="19"/>
      <c r="W19" s="19">
        <v>4438305</v>
      </c>
      <c r="X19" s="19"/>
      <c r="Y19" s="19"/>
      <c r="Z19" s="19"/>
      <c r="AA19" s="19"/>
      <c r="AB19" s="19"/>
      <c r="AC19" s="19">
        <v>440240</v>
      </c>
      <c r="AD19" s="19"/>
      <c r="AE19" s="19" t="s">
        <v>89</v>
      </c>
      <c r="AF19" s="19"/>
      <c r="AG19" s="19">
        <v>2452000</v>
      </c>
      <c r="AH19" s="19">
        <v>211428</v>
      </c>
      <c r="AI19" s="19">
        <v>791560</v>
      </c>
      <c r="AJ19" s="19"/>
      <c r="AK19" s="19"/>
      <c r="AL19" s="19"/>
      <c r="AM19" s="19">
        <v>1818108</v>
      </c>
      <c r="AN19" s="19"/>
      <c r="AO19" s="19"/>
      <c r="AP19" s="19"/>
      <c r="AQ19" s="19"/>
      <c r="AR19" s="19"/>
      <c r="AS19" s="19"/>
      <c r="AT19" s="19"/>
    </row>
    <row r="20" spans="1:46">
      <c r="A20" s="7" t="s">
        <v>88</v>
      </c>
      <c r="B20" s="12" t="s">
        <v>137</v>
      </c>
      <c r="C20" s="19"/>
      <c r="D20" s="19"/>
      <c r="E20" s="19"/>
      <c r="F20" s="19">
        <v>37998968</v>
      </c>
      <c r="G20" s="19"/>
      <c r="H20" s="19"/>
      <c r="I20" s="19"/>
      <c r="J20" s="19">
        <v>60375000</v>
      </c>
      <c r="K20" s="19"/>
      <c r="L20" s="19">
        <v>57017081</v>
      </c>
      <c r="M20" s="19"/>
      <c r="N20" s="19"/>
      <c r="O20" s="19"/>
      <c r="P20" s="19"/>
      <c r="Q20" s="19"/>
      <c r="R20" s="19">
        <v>9000000</v>
      </c>
      <c r="S20" s="19"/>
      <c r="T20" s="19"/>
      <c r="U20" s="19"/>
      <c r="V20" s="19"/>
      <c r="W20" s="19"/>
      <c r="X20" s="19"/>
      <c r="Y20" s="19">
        <v>32927842</v>
      </c>
      <c r="Z20" s="19"/>
      <c r="AA20" s="19"/>
      <c r="AB20" s="19"/>
      <c r="AC20" s="19"/>
      <c r="AD20" s="19"/>
      <c r="AE20" s="19" t="s">
        <v>89</v>
      </c>
      <c r="AF20" s="19"/>
      <c r="AG20" s="19">
        <v>61650000</v>
      </c>
      <c r="AH20" s="19"/>
      <c r="AI20" s="19"/>
      <c r="AJ20" s="19">
        <v>3279325</v>
      </c>
      <c r="AK20" s="19"/>
      <c r="AL20" s="19"/>
      <c r="AM20" s="19">
        <v>469432876</v>
      </c>
      <c r="AN20" s="19"/>
      <c r="AO20" s="19"/>
      <c r="AP20" s="19">
        <v>7908334</v>
      </c>
      <c r="AQ20" s="19"/>
      <c r="AR20" s="19"/>
      <c r="AS20" s="19"/>
      <c r="AT20" s="19"/>
    </row>
    <row r="21" spans="1:46">
      <c r="A21" s="7" t="s">
        <v>88</v>
      </c>
      <c r="B21" s="12" t="s">
        <v>39</v>
      </c>
      <c r="C21" s="19"/>
      <c r="D21" s="19"/>
      <c r="E21" s="19"/>
      <c r="F21" s="19"/>
      <c r="G21" s="19"/>
      <c r="H21" s="19"/>
      <c r="I21" s="19"/>
      <c r="J21" s="19"/>
      <c r="K21" s="19"/>
      <c r="L21" s="19"/>
      <c r="M21" s="19">
        <v>3000000</v>
      </c>
      <c r="N21" s="19"/>
      <c r="O21" s="19"/>
      <c r="P21" s="19"/>
      <c r="Q21" s="19"/>
      <c r="R21" s="19"/>
      <c r="S21" s="19"/>
      <c r="T21" s="19"/>
      <c r="U21" s="19"/>
      <c r="V21" s="19"/>
      <c r="W21" s="19"/>
      <c r="X21" s="19">
        <v>9850099</v>
      </c>
      <c r="Y21" s="19"/>
      <c r="Z21" s="19"/>
      <c r="AA21" s="19"/>
      <c r="AB21" s="19"/>
      <c r="AC21" s="19"/>
      <c r="AD21" s="19"/>
      <c r="AE21" s="19" t="s">
        <v>89</v>
      </c>
      <c r="AF21" s="19"/>
      <c r="AG21" s="19">
        <v>50000000</v>
      </c>
      <c r="AH21" s="19"/>
      <c r="AI21" s="19"/>
      <c r="AJ21" s="19"/>
      <c r="AK21" s="19"/>
      <c r="AL21" s="19"/>
      <c r="AM21" s="19"/>
      <c r="AN21" s="19"/>
      <c r="AO21" s="19"/>
      <c r="AP21" s="19"/>
      <c r="AQ21" s="19"/>
      <c r="AR21" s="19"/>
      <c r="AS21" s="19">
        <v>4000</v>
      </c>
      <c r="AT21" s="19"/>
    </row>
    <row r="22" spans="1:46">
      <c r="A22" s="7" t="s">
        <v>88</v>
      </c>
      <c r="B22" s="11" t="s">
        <v>68</v>
      </c>
      <c r="C22" s="19">
        <v>15300000</v>
      </c>
      <c r="D22" s="19">
        <v>0</v>
      </c>
      <c r="E22" s="19">
        <v>0</v>
      </c>
      <c r="F22" s="19">
        <v>33000000</v>
      </c>
      <c r="G22" s="19">
        <v>6100000</v>
      </c>
      <c r="H22" s="19">
        <v>40000000</v>
      </c>
      <c r="I22" s="19">
        <v>208000000</v>
      </c>
      <c r="J22" s="19">
        <v>15000000</v>
      </c>
      <c r="K22" s="19">
        <v>3060000</v>
      </c>
      <c r="L22" s="19">
        <v>76395000</v>
      </c>
      <c r="M22" s="19">
        <v>370080000</v>
      </c>
      <c r="N22" s="19">
        <v>80000000</v>
      </c>
      <c r="O22" s="19">
        <v>164009755</v>
      </c>
      <c r="P22" s="19">
        <v>436569930</v>
      </c>
      <c r="Q22" s="19">
        <v>30000000</v>
      </c>
      <c r="R22" s="19">
        <v>40063000</v>
      </c>
      <c r="S22" s="19">
        <v>39448500</v>
      </c>
      <c r="T22" s="19">
        <v>40200000</v>
      </c>
      <c r="U22" s="19">
        <v>200060000</v>
      </c>
      <c r="V22" s="19">
        <v>50000000</v>
      </c>
      <c r="W22" s="19">
        <v>0</v>
      </c>
      <c r="X22" s="19">
        <v>180180000</v>
      </c>
      <c r="Y22" s="19">
        <v>8600000</v>
      </c>
      <c r="Z22" s="19">
        <v>30000000</v>
      </c>
      <c r="AA22" s="19">
        <v>500000000</v>
      </c>
      <c r="AB22" s="19">
        <v>0</v>
      </c>
      <c r="AC22" s="19">
        <v>180090000</v>
      </c>
      <c r="AD22" s="19">
        <v>76999845</v>
      </c>
      <c r="AE22" s="19" t="s">
        <v>89</v>
      </c>
      <c r="AF22" s="19">
        <v>54860000</v>
      </c>
      <c r="AG22" s="19">
        <v>6850000</v>
      </c>
      <c r="AH22" s="19">
        <v>42000000</v>
      </c>
      <c r="AI22" s="19">
        <v>66689670</v>
      </c>
      <c r="AJ22" s="19">
        <v>100000000</v>
      </c>
      <c r="AK22" s="19">
        <v>19030400</v>
      </c>
      <c r="AL22" s="19">
        <v>43525883</v>
      </c>
      <c r="AM22" s="19">
        <v>820713700</v>
      </c>
      <c r="AN22" s="19">
        <v>5100000</v>
      </c>
      <c r="AO22" s="19">
        <v>35000000</v>
      </c>
      <c r="AP22" s="19"/>
      <c r="AQ22" s="19">
        <v>100000</v>
      </c>
      <c r="AR22" s="19">
        <v>1100000</v>
      </c>
      <c r="AS22" s="19">
        <v>45000000</v>
      </c>
      <c r="AT22" s="19">
        <v>20300000</v>
      </c>
    </row>
    <row r="23" spans="1:46">
      <c r="A23" s="7" t="s">
        <v>88</v>
      </c>
      <c r="B23" s="8" t="s">
        <v>109</v>
      </c>
      <c r="C23" s="19">
        <v>54764156</v>
      </c>
      <c r="D23" s="19">
        <v>334150361</v>
      </c>
      <c r="E23" s="19">
        <v>602810169</v>
      </c>
      <c r="F23" s="19">
        <v>29203017</v>
      </c>
      <c r="G23" s="19">
        <v>69390160</v>
      </c>
      <c r="H23" s="19">
        <v>137599597</v>
      </c>
      <c r="I23" s="19">
        <v>644170000</v>
      </c>
      <c r="J23" s="19">
        <v>90156898</v>
      </c>
      <c r="K23" s="19">
        <v>420547191</v>
      </c>
      <c r="L23" s="19">
        <v>741453466</v>
      </c>
      <c r="M23" s="19">
        <v>668988994</v>
      </c>
      <c r="N23" s="19">
        <v>112653956</v>
      </c>
      <c r="O23" s="19">
        <v>923991459</v>
      </c>
      <c r="P23" s="19">
        <v>705955508</v>
      </c>
      <c r="Q23" s="19">
        <v>170175970</v>
      </c>
      <c r="R23" s="19">
        <v>139126398</v>
      </c>
      <c r="S23" s="19">
        <v>379892059</v>
      </c>
      <c r="T23" s="19">
        <v>184560838</v>
      </c>
      <c r="U23" s="19">
        <v>137949268</v>
      </c>
      <c r="V23" s="19">
        <v>503291668</v>
      </c>
      <c r="W23" s="19">
        <v>252609946</v>
      </c>
      <c r="X23" s="19">
        <v>347271513</v>
      </c>
      <c r="Y23" s="19">
        <v>124573801</v>
      </c>
      <c r="Z23" s="19">
        <v>108039482</v>
      </c>
      <c r="AA23" s="19">
        <v>2511212284</v>
      </c>
      <c r="AB23" s="19">
        <v>11464700</v>
      </c>
      <c r="AC23" s="19">
        <v>177577140</v>
      </c>
      <c r="AD23" s="19">
        <v>831749383</v>
      </c>
      <c r="AE23" s="19" t="s">
        <v>89</v>
      </c>
      <c r="AF23" s="19">
        <v>125091050</v>
      </c>
      <c r="AG23" s="19">
        <v>566412923</v>
      </c>
      <c r="AH23" s="19">
        <v>101754176</v>
      </c>
      <c r="AI23" s="19">
        <v>231027765</v>
      </c>
      <c r="AJ23" s="19">
        <v>291136869</v>
      </c>
      <c r="AK23" s="19">
        <v>1333536910</v>
      </c>
      <c r="AL23" s="19">
        <v>121790918</v>
      </c>
      <c r="AM23" s="19">
        <v>2932404474</v>
      </c>
      <c r="AN23" s="19">
        <v>28091076</v>
      </c>
      <c r="AO23" s="19">
        <v>173078377</v>
      </c>
      <c r="AP23" s="19">
        <v>156943906</v>
      </c>
      <c r="AQ23" s="19">
        <v>111847052</v>
      </c>
      <c r="AR23" s="19">
        <v>42564769</v>
      </c>
      <c r="AS23" s="19">
        <v>404596321</v>
      </c>
      <c r="AT23" s="19">
        <v>177602402</v>
      </c>
    </row>
    <row r="24" spans="1:46">
      <c r="A24" s="7" t="s">
        <v>88</v>
      </c>
      <c r="B24" s="8" t="s">
        <v>99</v>
      </c>
      <c r="C24" s="19">
        <v>54764156</v>
      </c>
      <c r="D24" s="19">
        <v>330424303</v>
      </c>
      <c r="E24" s="19">
        <v>122110500</v>
      </c>
      <c r="F24" s="19">
        <v>29203017</v>
      </c>
      <c r="G24" s="19">
        <v>67390160</v>
      </c>
      <c r="H24" s="19">
        <v>0</v>
      </c>
      <c r="I24" s="19">
        <v>52540000</v>
      </c>
      <c r="J24" s="19">
        <v>33437970</v>
      </c>
      <c r="K24" s="19">
        <v>299028809</v>
      </c>
      <c r="L24" s="19">
        <v>467627885</v>
      </c>
      <c r="M24" s="19">
        <v>542488994</v>
      </c>
      <c r="N24" s="19">
        <v>112653956</v>
      </c>
      <c r="O24" s="19">
        <v>229107805</v>
      </c>
      <c r="P24" s="19">
        <v>257025086</v>
      </c>
      <c r="Q24" s="19">
        <v>31268237</v>
      </c>
      <c r="R24" s="19">
        <v>64551398</v>
      </c>
      <c r="S24" s="19">
        <v>379892059</v>
      </c>
      <c r="T24" s="19">
        <v>184560838</v>
      </c>
      <c r="U24" s="19">
        <v>59312335</v>
      </c>
      <c r="V24" s="19">
        <v>103291668</v>
      </c>
      <c r="W24" s="19">
        <v>74467122</v>
      </c>
      <c r="X24" s="19">
        <v>124780760</v>
      </c>
      <c r="Y24" s="19">
        <v>38698801</v>
      </c>
      <c r="Z24" s="19">
        <v>99208194</v>
      </c>
      <c r="AA24" s="19">
        <v>1811212284</v>
      </c>
      <c r="AB24" s="19">
        <v>11464700</v>
      </c>
      <c r="AC24" s="19">
        <v>127577140</v>
      </c>
      <c r="AD24" s="19">
        <v>118749383</v>
      </c>
      <c r="AE24" s="19" t="s">
        <v>89</v>
      </c>
      <c r="AF24" s="19">
        <v>125091050</v>
      </c>
      <c r="AG24" s="19">
        <v>266412923</v>
      </c>
      <c r="AH24" s="19">
        <v>65262145</v>
      </c>
      <c r="AI24" s="19">
        <v>22277765</v>
      </c>
      <c r="AJ24" s="19">
        <v>96139683</v>
      </c>
      <c r="AK24" s="19">
        <v>1307536910</v>
      </c>
      <c r="AL24" s="19">
        <v>121790918</v>
      </c>
      <c r="AM24" s="19">
        <v>1489697330</v>
      </c>
      <c r="AN24" s="19">
        <v>28091076</v>
      </c>
      <c r="AO24" s="19">
        <v>173078377</v>
      </c>
      <c r="AP24" s="19">
        <v>36420266</v>
      </c>
      <c r="AQ24" s="19">
        <v>92002101</v>
      </c>
      <c r="AR24" s="19">
        <v>42564769</v>
      </c>
      <c r="AS24" s="19">
        <v>391942524</v>
      </c>
      <c r="AT24" s="19">
        <v>172602402</v>
      </c>
    </row>
    <row r="25" spans="1:46">
      <c r="A25" s="7" t="s">
        <v>88</v>
      </c>
      <c r="B25" s="11" t="s">
        <v>21</v>
      </c>
      <c r="C25" s="19"/>
      <c r="D25" s="19">
        <v>231524070</v>
      </c>
      <c r="E25" s="19">
        <v>44615696</v>
      </c>
      <c r="F25" s="19"/>
      <c r="G25" s="19"/>
      <c r="H25" s="19"/>
      <c r="I25" s="19"/>
      <c r="J25" s="19">
        <v>5893500</v>
      </c>
      <c r="K25" s="19">
        <v>269050681</v>
      </c>
      <c r="L25" s="19">
        <v>155775037</v>
      </c>
      <c r="M25" s="19">
        <v>15957703</v>
      </c>
      <c r="N25" s="19"/>
      <c r="O25" s="19">
        <v>82372481</v>
      </c>
      <c r="P25" s="19">
        <v>86137001</v>
      </c>
      <c r="Q25" s="19">
        <v>4525400</v>
      </c>
      <c r="R25" s="19"/>
      <c r="S25" s="19">
        <v>25365199</v>
      </c>
      <c r="T25" s="19"/>
      <c r="U25" s="19"/>
      <c r="V25" s="19">
        <v>9967438</v>
      </c>
      <c r="W25" s="19">
        <v>13989573</v>
      </c>
      <c r="X25" s="19"/>
      <c r="Y25" s="19">
        <v>0</v>
      </c>
      <c r="Z25" s="19">
        <v>2758449</v>
      </c>
      <c r="AA25" s="19">
        <v>144885701</v>
      </c>
      <c r="AB25" s="19"/>
      <c r="AC25" s="19">
        <v>15032886</v>
      </c>
      <c r="AD25" s="19">
        <v>23658090</v>
      </c>
      <c r="AE25" s="19" t="s">
        <v>89</v>
      </c>
      <c r="AF25" s="19"/>
      <c r="AG25" s="19"/>
      <c r="AH25" s="19"/>
      <c r="AI25" s="19">
        <v>1526200</v>
      </c>
      <c r="AJ25" s="19">
        <v>58102933</v>
      </c>
      <c r="AK25" s="19">
        <v>259667356</v>
      </c>
      <c r="AL25" s="19">
        <v>1595000</v>
      </c>
      <c r="AM25" s="19">
        <v>15391353</v>
      </c>
      <c r="AN25" s="19"/>
      <c r="AO25" s="19"/>
      <c r="AP25" s="19"/>
      <c r="AQ25" s="19"/>
      <c r="AR25" s="19"/>
      <c r="AS25" s="19"/>
      <c r="AT25" s="19"/>
    </row>
    <row r="26" spans="1:46">
      <c r="A26" s="7" t="s">
        <v>88</v>
      </c>
      <c r="B26" s="11" t="s">
        <v>6</v>
      </c>
      <c r="C26" s="19"/>
      <c r="D26" s="19"/>
      <c r="E26" s="19">
        <v>15000000</v>
      </c>
      <c r="F26" s="19"/>
      <c r="G26" s="19">
        <v>30000000</v>
      </c>
      <c r="H26" s="19"/>
      <c r="I26" s="19"/>
      <c r="J26" s="19"/>
      <c r="K26" s="19"/>
      <c r="L26" s="19">
        <v>44919554</v>
      </c>
      <c r="M26" s="19">
        <v>460130229</v>
      </c>
      <c r="N26" s="19"/>
      <c r="O26" s="19"/>
      <c r="P26" s="19"/>
      <c r="Q26" s="19">
        <v>9200000</v>
      </c>
      <c r="R26" s="19">
        <v>0</v>
      </c>
      <c r="S26" s="19">
        <v>325958740</v>
      </c>
      <c r="T26" s="19">
        <v>30000000</v>
      </c>
      <c r="U26" s="19"/>
      <c r="V26" s="19">
        <v>17300000</v>
      </c>
      <c r="W26" s="19"/>
      <c r="X26" s="19"/>
      <c r="Y26" s="19">
        <v>3808515</v>
      </c>
      <c r="Z26" s="19">
        <v>12467139</v>
      </c>
      <c r="AA26" s="19">
        <v>1213332000</v>
      </c>
      <c r="AB26" s="19"/>
      <c r="AC26" s="19"/>
      <c r="AD26" s="19"/>
      <c r="AE26" s="19" t="s">
        <v>89</v>
      </c>
      <c r="AF26" s="19"/>
      <c r="AG26" s="19">
        <v>120000000</v>
      </c>
      <c r="AH26" s="19">
        <v>0</v>
      </c>
      <c r="AI26" s="19">
        <v>13500000</v>
      </c>
      <c r="AJ26" s="19"/>
      <c r="AK26" s="19">
        <v>736500000</v>
      </c>
      <c r="AL26" s="19"/>
      <c r="AM26" s="19">
        <v>140500000</v>
      </c>
      <c r="AN26" s="19"/>
      <c r="AO26" s="19">
        <v>110000000</v>
      </c>
      <c r="AP26" s="19"/>
      <c r="AQ26" s="19">
        <v>23713331</v>
      </c>
      <c r="AR26" s="19">
        <v>31200000</v>
      </c>
      <c r="AS26" s="19">
        <v>348167876</v>
      </c>
      <c r="AT26" s="19">
        <v>135000000</v>
      </c>
    </row>
    <row r="27" spans="1:46">
      <c r="A27" s="7" t="s">
        <v>88</v>
      </c>
      <c r="B27" s="11" t="s">
        <v>147</v>
      </c>
      <c r="C27" s="19">
        <v>11180980</v>
      </c>
      <c r="D27" s="19">
        <v>84743373</v>
      </c>
      <c r="E27" s="19">
        <v>49370014</v>
      </c>
      <c r="F27" s="19"/>
      <c r="G27" s="19">
        <v>9846410</v>
      </c>
      <c r="H27" s="19"/>
      <c r="I27" s="19"/>
      <c r="J27" s="19">
        <v>0</v>
      </c>
      <c r="K27" s="19"/>
      <c r="L27" s="19">
        <v>71965827</v>
      </c>
      <c r="M27" s="19">
        <v>10145092</v>
      </c>
      <c r="N27" s="19">
        <v>85868456</v>
      </c>
      <c r="O27" s="19">
        <v>102867054</v>
      </c>
      <c r="P27" s="19">
        <v>113937475</v>
      </c>
      <c r="Q27" s="19">
        <v>15696023</v>
      </c>
      <c r="R27" s="19">
        <v>18888728</v>
      </c>
      <c r="S27" s="19">
        <v>28568120</v>
      </c>
      <c r="T27" s="19">
        <v>7949686</v>
      </c>
      <c r="U27" s="19">
        <v>44906256</v>
      </c>
      <c r="V27" s="19">
        <v>33029947</v>
      </c>
      <c r="W27" s="19">
        <v>29248037</v>
      </c>
      <c r="X27" s="19">
        <v>74179850</v>
      </c>
      <c r="Y27" s="19">
        <v>30670266</v>
      </c>
      <c r="Z27" s="19">
        <v>12034601</v>
      </c>
      <c r="AA27" s="19">
        <v>141221771</v>
      </c>
      <c r="AB27" s="19">
        <v>10346080</v>
      </c>
      <c r="AC27" s="19">
        <v>5640205</v>
      </c>
      <c r="AD27" s="19">
        <v>91774974</v>
      </c>
      <c r="AE27" s="19" t="s">
        <v>89</v>
      </c>
      <c r="AF27" s="19"/>
      <c r="AG27" s="19">
        <v>84435445</v>
      </c>
      <c r="AH27" s="19">
        <v>53263387</v>
      </c>
      <c r="AI27" s="19">
        <v>4131519</v>
      </c>
      <c r="AJ27" s="19">
        <v>7356109</v>
      </c>
      <c r="AK27" s="19">
        <v>260925807</v>
      </c>
      <c r="AL27" s="19">
        <v>12986268</v>
      </c>
      <c r="AM27" s="19">
        <v>798653280</v>
      </c>
      <c r="AN27" s="19">
        <v>8785717</v>
      </c>
      <c r="AO27" s="19">
        <v>29466446</v>
      </c>
      <c r="AP27" s="19">
        <v>10680060</v>
      </c>
      <c r="AQ27" s="19">
        <v>65048890</v>
      </c>
      <c r="AR27" s="19">
        <v>11313029</v>
      </c>
      <c r="AS27" s="19">
        <v>42745578</v>
      </c>
      <c r="AT27" s="19">
        <v>1736395</v>
      </c>
    </row>
    <row r="28" spans="1:46">
      <c r="A28" s="7" t="s">
        <v>88</v>
      </c>
      <c r="B28" s="11" t="s">
        <v>150</v>
      </c>
      <c r="C28" s="19">
        <v>4272050</v>
      </c>
      <c r="D28" s="19">
        <v>14156860</v>
      </c>
      <c r="E28" s="19">
        <v>12935090</v>
      </c>
      <c r="F28" s="19">
        <v>29203017</v>
      </c>
      <c r="G28" s="19">
        <v>843750</v>
      </c>
      <c r="H28" s="19"/>
      <c r="I28" s="19">
        <v>7540000</v>
      </c>
      <c r="J28" s="19">
        <v>8128620</v>
      </c>
      <c r="K28" s="19">
        <v>26252790</v>
      </c>
      <c r="L28" s="19"/>
      <c r="M28" s="19">
        <v>56255970</v>
      </c>
      <c r="N28" s="19">
        <v>3514160</v>
      </c>
      <c r="O28" s="19">
        <v>43151070</v>
      </c>
      <c r="P28" s="19">
        <v>55962690</v>
      </c>
      <c r="Q28" s="19">
        <v>1846814</v>
      </c>
      <c r="R28" s="19">
        <v>941660</v>
      </c>
      <c r="S28" s="19"/>
      <c r="T28" s="19">
        <v>37834237</v>
      </c>
      <c r="U28" s="19">
        <v>985170</v>
      </c>
      <c r="V28" s="19">
        <v>20042493</v>
      </c>
      <c r="W28" s="19">
        <v>3092790</v>
      </c>
      <c r="X28" s="19">
        <v>50600910</v>
      </c>
      <c r="Y28" s="19">
        <v>1420020</v>
      </c>
      <c r="Z28" s="19">
        <v>1731620</v>
      </c>
      <c r="AA28" s="19">
        <v>56052510</v>
      </c>
      <c r="AB28" s="19">
        <v>1118620</v>
      </c>
      <c r="AC28" s="19">
        <v>34197333</v>
      </c>
      <c r="AD28" s="19">
        <v>857000</v>
      </c>
      <c r="AE28" s="19" t="s">
        <v>89</v>
      </c>
      <c r="AF28" s="19">
        <v>971050</v>
      </c>
      <c r="AG28" s="19">
        <v>54477478</v>
      </c>
      <c r="AH28" s="19">
        <v>11998758</v>
      </c>
      <c r="AI28" s="19">
        <v>3120046</v>
      </c>
      <c r="AJ28" s="19">
        <v>1565160</v>
      </c>
      <c r="AK28" s="19">
        <v>31385247</v>
      </c>
      <c r="AL28" s="19">
        <v>91900153</v>
      </c>
      <c r="AM28" s="19">
        <v>249064690</v>
      </c>
      <c r="AN28" s="19">
        <v>2137829</v>
      </c>
      <c r="AO28" s="19">
        <v>28226073</v>
      </c>
      <c r="AP28" s="19">
        <v>25740206</v>
      </c>
      <c r="AQ28" s="19">
        <v>3239880</v>
      </c>
      <c r="AR28" s="19">
        <v>51740</v>
      </c>
      <c r="AS28" s="19">
        <v>729070</v>
      </c>
      <c r="AT28" s="19">
        <v>33805024</v>
      </c>
    </row>
    <row r="29" spans="1:46">
      <c r="A29" s="7" t="s">
        <v>88</v>
      </c>
      <c r="B29" s="11" t="s">
        <v>13</v>
      </c>
      <c r="C29" s="19"/>
      <c r="D29" s="19"/>
      <c r="E29" s="19"/>
      <c r="F29" s="19"/>
      <c r="G29" s="19"/>
      <c r="H29" s="19"/>
      <c r="I29" s="19"/>
      <c r="J29" s="19"/>
      <c r="K29" s="19"/>
      <c r="L29" s="19"/>
      <c r="M29" s="19"/>
      <c r="N29" s="19"/>
      <c r="O29" s="19">
        <v>717200</v>
      </c>
      <c r="P29" s="19">
        <v>200000</v>
      </c>
      <c r="Q29" s="19">
        <v>0</v>
      </c>
      <c r="R29" s="19"/>
      <c r="S29" s="19"/>
      <c r="T29" s="19">
        <v>108776915</v>
      </c>
      <c r="U29" s="19"/>
      <c r="V29" s="19">
        <v>8651790</v>
      </c>
      <c r="W29" s="19">
        <v>28136722</v>
      </c>
      <c r="X29" s="19"/>
      <c r="Y29" s="19"/>
      <c r="Z29" s="19"/>
      <c r="AA29" s="19">
        <v>0</v>
      </c>
      <c r="AB29" s="19"/>
      <c r="AC29" s="19">
        <v>41710716</v>
      </c>
      <c r="AD29" s="19">
        <v>709319</v>
      </c>
      <c r="AE29" s="19" t="s">
        <v>89</v>
      </c>
      <c r="AF29" s="19"/>
      <c r="AG29" s="19">
        <v>7500000</v>
      </c>
      <c r="AH29" s="19"/>
      <c r="AI29" s="19"/>
      <c r="AJ29" s="19">
        <v>29115481</v>
      </c>
      <c r="AK29" s="19">
        <v>5000000</v>
      </c>
      <c r="AL29" s="19"/>
      <c r="AM29" s="19"/>
      <c r="AN29" s="19">
        <v>17167530</v>
      </c>
      <c r="AO29" s="19"/>
      <c r="AP29" s="19"/>
      <c r="AQ29" s="19"/>
      <c r="AR29" s="19">
        <v>0</v>
      </c>
      <c r="AS29" s="19">
        <v>300000</v>
      </c>
      <c r="AT29" s="19">
        <v>60983</v>
      </c>
    </row>
    <row r="30" spans="1:46">
      <c r="A30" s="7" t="s">
        <v>88</v>
      </c>
      <c r="B30" s="11" t="s">
        <v>59</v>
      </c>
      <c r="C30" s="19">
        <v>39311126</v>
      </c>
      <c r="D30" s="19"/>
      <c r="E30" s="19">
        <v>189700</v>
      </c>
      <c r="F30" s="19"/>
      <c r="G30" s="19">
        <v>26700000</v>
      </c>
      <c r="H30" s="19"/>
      <c r="I30" s="19">
        <v>45000000</v>
      </c>
      <c r="J30" s="19">
        <v>19415850</v>
      </c>
      <c r="K30" s="19">
        <v>3725338</v>
      </c>
      <c r="L30" s="19">
        <v>194967467</v>
      </c>
      <c r="M30" s="19"/>
      <c r="N30" s="19">
        <v>23271340</v>
      </c>
      <c r="O30" s="19"/>
      <c r="P30" s="19">
        <v>787920</v>
      </c>
      <c r="Q30" s="19"/>
      <c r="R30" s="19">
        <v>44721010</v>
      </c>
      <c r="S30" s="19"/>
      <c r="T30" s="19"/>
      <c r="U30" s="19">
        <v>13420909</v>
      </c>
      <c r="V30" s="19">
        <v>14300000</v>
      </c>
      <c r="W30" s="19"/>
      <c r="X30" s="19"/>
      <c r="Y30" s="19">
        <v>2800000</v>
      </c>
      <c r="Z30" s="19">
        <v>70216385</v>
      </c>
      <c r="AA30" s="19">
        <v>255720302</v>
      </c>
      <c r="AB30" s="19"/>
      <c r="AC30" s="19">
        <v>30996000</v>
      </c>
      <c r="AD30" s="19">
        <v>1750000</v>
      </c>
      <c r="AE30" s="19" t="s">
        <v>89</v>
      </c>
      <c r="AF30" s="19">
        <v>124120000</v>
      </c>
      <c r="AG30" s="19"/>
      <c r="AH30" s="19"/>
      <c r="AI30" s="19"/>
      <c r="AJ30" s="19"/>
      <c r="AK30" s="19">
        <v>14058500</v>
      </c>
      <c r="AL30" s="19">
        <v>15309497</v>
      </c>
      <c r="AM30" s="19">
        <v>286088007</v>
      </c>
      <c r="AN30" s="19"/>
      <c r="AO30" s="19">
        <v>5385858</v>
      </c>
      <c r="AP30" s="19"/>
      <c r="AQ30" s="19"/>
      <c r="AR30" s="19"/>
      <c r="AS30" s="19"/>
      <c r="AT30" s="19">
        <v>2000000</v>
      </c>
    </row>
    <row r="31" spans="1:46">
      <c r="A31" s="7" t="s">
        <v>88</v>
      </c>
      <c r="B31" s="8" t="s">
        <v>18</v>
      </c>
      <c r="C31" s="19">
        <v>0</v>
      </c>
      <c r="D31" s="19">
        <v>3726058</v>
      </c>
      <c r="E31" s="19">
        <v>480699669</v>
      </c>
      <c r="F31" s="19">
        <v>0</v>
      </c>
      <c r="G31" s="19">
        <v>2000000</v>
      </c>
      <c r="H31" s="19">
        <v>137599597</v>
      </c>
      <c r="I31" s="19">
        <v>591630000</v>
      </c>
      <c r="J31" s="19">
        <v>56718928</v>
      </c>
      <c r="K31" s="19">
        <v>121518382</v>
      </c>
      <c r="L31" s="19">
        <v>273825581</v>
      </c>
      <c r="M31" s="19">
        <v>126500000</v>
      </c>
      <c r="N31" s="19">
        <v>0</v>
      </c>
      <c r="O31" s="19">
        <v>694883654</v>
      </c>
      <c r="P31" s="19">
        <v>448930422</v>
      </c>
      <c r="Q31" s="19">
        <v>138907733</v>
      </c>
      <c r="R31" s="19">
        <v>74575000</v>
      </c>
      <c r="S31" s="19">
        <v>0</v>
      </c>
      <c r="T31" s="19">
        <v>0</v>
      </c>
      <c r="U31" s="19">
        <v>78636933</v>
      </c>
      <c r="V31" s="19">
        <v>400000000</v>
      </c>
      <c r="W31" s="19">
        <v>178142824</v>
      </c>
      <c r="X31" s="19">
        <v>222490753</v>
      </c>
      <c r="Y31" s="19">
        <v>85875000</v>
      </c>
      <c r="Z31" s="19">
        <v>8831288</v>
      </c>
      <c r="AA31" s="19">
        <v>700000000</v>
      </c>
      <c r="AB31" s="19">
        <v>0</v>
      </c>
      <c r="AC31" s="19">
        <v>50000000</v>
      </c>
      <c r="AD31" s="19">
        <v>713000000</v>
      </c>
      <c r="AE31" s="19" t="s">
        <v>89</v>
      </c>
      <c r="AF31" s="19">
        <v>0</v>
      </c>
      <c r="AG31" s="19">
        <v>300000000</v>
      </c>
      <c r="AH31" s="19">
        <v>36492031</v>
      </c>
      <c r="AI31" s="19">
        <v>208750000</v>
      </c>
      <c r="AJ31" s="19">
        <v>194997186</v>
      </c>
      <c r="AK31" s="19">
        <v>26000000</v>
      </c>
      <c r="AL31" s="19">
        <v>0</v>
      </c>
      <c r="AM31" s="19">
        <v>1442707144</v>
      </c>
      <c r="AN31" s="19">
        <v>0</v>
      </c>
      <c r="AO31" s="19">
        <v>0</v>
      </c>
      <c r="AP31" s="19">
        <v>120523640</v>
      </c>
      <c r="AQ31" s="19">
        <v>19844951</v>
      </c>
      <c r="AR31" s="19">
        <v>0</v>
      </c>
      <c r="AS31" s="19">
        <v>12653797</v>
      </c>
      <c r="AT31" s="19">
        <v>5000000</v>
      </c>
    </row>
    <row r="32" spans="1:46">
      <c r="A32" s="7" t="s">
        <v>88</v>
      </c>
      <c r="B32" s="11" t="s">
        <v>15</v>
      </c>
      <c r="C32" s="19"/>
      <c r="D32" s="19">
        <v>0</v>
      </c>
      <c r="E32" s="19">
        <v>455699669</v>
      </c>
      <c r="F32" s="19"/>
      <c r="G32" s="19"/>
      <c r="H32" s="19">
        <v>40000000</v>
      </c>
      <c r="I32" s="19">
        <v>291660000</v>
      </c>
      <c r="J32" s="19"/>
      <c r="K32" s="19">
        <v>15005104</v>
      </c>
      <c r="L32" s="19">
        <v>273825581</v>
      </c>
      <c r="M32" s="19">
        <v>126500000</v>
      </c>
      <c r="N32" s="19"/>
      <c r="O32" s="19">
        <v>624721988</v>
      </c>
      <c r="P32" s="19">
        <v>58310000</v>
      </c>
      <c r="Q32" s="19">
        <v>138907733</v>
      </c>
      <c r="R32" s="19">
        <v>74375000</v>
      </c>
      <c r="S32" s="19"/>
      <c r="T32" s="19"/>
      <c r="U32" s="19"/>
      <c r="V32" s="19"/>
      <c r="W32" s="19">
        <v>130143304</v>
      </c>
      <c r="X32" s="19">
        <v>222490753</v>
      </c>
      <c r="Y32" s="19"/>
      <c r="Z32" s="19">
        <v>8831288</v>
      </c>
      <c r="AA32" s="19">
        <v>700000000</v>
      </c>
      <c r="AB32" s="19"/>
      <c r="AC32" s="19">
        <v>50000000</v>
      </c>
      <c r="AD32" s="19">
        <v>710000000</v>
      </c>
      <c r="AE32" s="19" t="s">
        <v>89</v>
      </c>
      <c r="AF32" s="19"/>
      <c r="AG32" s="19">
        <v>100000000</v>
      </c>
      <c r="AH32" s="19"/>
      <c r="AI32" s="19">
        <v>108750000</v>
      </c>
      <c r="AJ32" s="19">
        <v>176997186</v>
      </c>
      <c r="AK32" s="19">
        <v>26000000</v>
      </c>
      <c r="AL32" s="19"/>
      <c r="AM32" s="19">
        <v>500000000</v>
      </c>
      <c r="AN32" s="19"/>
      <c r="AO32" s="19"/>
      <c r="AP32" s="19">
        <v>63270832</v>
      </c>
      <c r="AQ32" s="19">
        <v>19844951</v>
      </c>
      <c r="AR32" s="19"/>
      <c r="AS32" s="19"/>
      <c r="AT32" s="19">
        <v>0</v>
      </c>
    </row>
    <row r="33" spans="1:46">
      <c r="A33" s="7" t="s">
        <v>88</v>
      </c>
      <c r="B33" s="11" t="s">
        <v>45</v>
      </c>
      <c r="C33" s="19"/>
      <c r="D33" s="19">
        <v>3726058</v>
      </c>
      <c r="E33" s="19">
        <v>25000000</v>
      </c>
      <c r="F33" s="19"/>
      <c r="G33" s="19">
        <v>2000000</v>
      </c>
      <c r="H33" s="19">
        <v>97599597</v>
      </c>
      <c r="I33" s="19">
        <v>299970000</v>
      </c>
      <c r="J33" s="19">
        <v>56718928</v>
      </c>
      <c r="K33" s="19">
        <v>106513278</v>
      </c>
      <c r="L33" s="19"/>
      <c r="M33" s="19"/>
      <c r="N33" s="19"/>
      <c r="O33" s="19">
        <v>70161666</v>
      </c>
      <c r="P33" s="19">
        <v>390620422</v>
      </c>
      <c r="Q33" s="19"/>
      <c r="R33" s="19">
        <v>200000</v>
      </c>
      <c r="S33" s="19"/>
      <c r="T33" s="19"/>
      <c r="U33" s="19">
        <v>78636933</v>
      </c>
      <c r="V33" s="19">
        <v>400000000</v>
      </c>
      <c r="W33" s="19">
        <v>47999520</v>
      </c>
      <c r="X33" s="19"/>
      <c r="Y33" s="19">
        <v>85875000</v>
      </c>
      <c r="Z33" s="19"/>
      <c r="AA33" s="19"/>
      <c r="AB33" s="19"/>
      <c r="AC33" s="19"/>
      <c r="AD33" s="19">
        <v>3000000</v>
      </c>
      <c r="AE33" s="19" t="s">
        <v>89</v>
      </c>
      <c r="AF33" s="19"/>
      <c r="AG33" s="19">
        <v>200000000</v>
      </c>
      <c r="AH33" s="19">
        <v>36492031</v>
      </c>
      <c r="AI33" s="19">
        <v>100000000</v>
      </c>
      <c r="AJ33" s="19">
        <v>18000000</v>
      </c>
      <c r="AK33" s="19"/>
      <c r="AL33" s="19"/>
      <c r="AM33" s="19">
        <v>942707144</v>
      </c>
      <c r="AN33" s="19"/>
      <c r="AO33" s="19"/>
      <c r="AP33" s="19">
        <v>57252808</v>
      </c>
      <c r="AQ33" s="19"/>
      <c r="AR33" s="19"/>
      <c r="AS33" s="19">
        <v>12653797</v>
      </c>
      <c r="AT33" s="19">
        <v>5000000</v>
      </c>
    </row>
    <row r="34" spans="1:46">
      <c r="A34" s="7" t="s">
        <v>88</v>
      </c>
      <c r="B34" s="8" t="s">
        <v>110</v>
      </c>
      <c r="C34" s="19">
        <v>136147963</v>
      </c>
      <c r="D34" s="19">
        <v>955049548</v>
      </c>
      <c r="E34" s="19">
        <v>235494247</v>
      </c>
      <c r="F34" s="19">
        <v>340838763</v>
      </c>
      <c r="G34" s="19">
        <v>38750077</v>
      </c>
      <c r="H34" s="19">
        <v>42494119</v>
      </c>
      <c r="I34" s="19">
        <v>155055723</v>
      </c>
      <c r="J34" s="19">
        <v>75493947</v>
      </c>
      <c r="K34" s="19">
        <v>428379612</v>
      </c>
      <c r="L34" s="19">
        <v>290556107</v>
      </c>
      <c r="M34" s="19">
        <v>412302413</v>
      </c>
      <c r="N34" s="19">
        <v>85589221</v>
      </c>
      <c r="O34" s="19">
        <v>1125452979</v>
      </c>
      <c r="P34" s="19">
        <v>1110826087</v>
      </c>
      <c r="Q34" s="19">
        <v>120006550</v>
      </c>
      <c r="R34" s="19">
        <v>8591689</v>
      </c>
      <c r="S34" s="19">
        <v>246757851</v>
      </c>
      <c r="T34" s="19">
        <v>13632524</v>
      </c>
      <c r="U34" s="19">
        <v>1367799248</v>
      </c>
      <c r="V34" s="19">
        <v>245808174</v>
      </c>
      <c r="W34" s="19">
        <v>351529413</v>
      </c>
      <c r="X34" s="19">
        <v>1358445712</v>
      </c>
      <c r="Y34" s="19">
        <v>279024166</v>
      </c>
      <c r="Z34" s="19">
        <v>27336977</v>
      </c>
      <c r="AA34" s="19">
        <v>914831496</v>
      </c>
      <c r="AB34" s="19">
        <v>155303748</v>
      </c>
      <c r="AC34" s="19">
        <v>153191758</v>
      </c>
      <c r="AD34" s="19">
        <v>556232207</v>
      </c>
      <c r="AE34" s="19" t="s">
        <v>89</v>
      </c>
      <c r="AF34" s="19">
        <v>30839912</v>
      </c>
      <c r="AG34" s="19">
        <v>-161348577</v>
      </c>
      <c r="AH34" s="19">
        <v>194505649</v>
      </c>
      <c r="AI34" s="19">
        <v>67440308</v>
      </c>
      <c r="AJ34" s="19">
        <v>406001935</v>
      </c>
      <c r="AK34" s="19">
        <v>490884066</v>
      </c>
      <c r="AL34" s="19">
        <v>100501120</v>
      </c>
      <c r="AM34" s="19">
        <v>1428812556</v>
      </c>
      <c r="AN34" s="19">
        <v>-17613239</v>
      </c>
      <c r="AO34" s="19">
        <v>1102884990</v>
      </c>
      <c r="AP34" s="19">
        <v>-33655605</v>
      </c>
      <c r="AQ34" s="19">
        <v>-71013578</v>
      </c>
      <c r="AR34" s="19">
        <v>32100551</v>
      </c>
      <c r="AS34" s="19">
        <v>490638827</v>
      </c>
      <c r="AT34" s="19">
        <v>297286147</v>
      </c>
    </row>
    <row r="35" spans="1:46">
      <c r="A35" s="7" t="s">
        <v>88</v>
      </c>
      <c r="B35" s="8" t="s">
        <v>81</v>
      </c>
      <c r="C35" s="19">
        <v>150000000</v>
      </c>
      <c r="D35" s="19">
        <v>688602600</v>
      </c>
      <c r="E35" s="19">
        <v>117000000</v>
      </c>
      <c r="F35" s="19">
        <v>100000000</v>
      </c>
      <c r="G35" s="19">
        <v>30000000</v>
      </c>
      <c r="H35" s="19">
        <v>27609996</v>
      </c>
      <c r="I35" s="19">
        <v>110000000</v>
      </c>
      <c r="J35" s="19">
        <v>50000000</v>
      </c>
      <c r="K35" s="19">
        <v>0</v>
      </c>
      <c r="L35" s="19">
        <v>90000000</v>
      </c>
      <c r="M35" s="19">
        <v>1040120921</v>
      </c>
      <c r="N35" s="19">
        <v>50000000</v>
      </c>
      <c r="O35" s="19">
        <v>866998812</v>
      </c>
      <c r="P35" s="19">
        <v>951112011</v>
      </c>
      <c r="Q35" s="19">
        <v>10000000</v>
      </c>
      <c r="R35" s="19">
        <v>20000000</v>
      </c>
      <c r="S35" s="19">
        <v>320000000</v>
      </c>
      <c r="T35" s="19">
        <v>90000000</v>
      </c>
      <c r="U35" s="19">
        <v>370000000</v>
      </c>
      <c r="V35" s="19">
        <v>110000000</v>
      </c>
      <c r="W35" s="19">
        <v>216190000</v>
      </c>
      <c r="X35" s="19">
        <v>100000000</v>
      </c>
      <c r="Y35" s="19">
        <v>110975000</v>
      </c>
      <c r="Z35" s="19">
        <v>68000000</v>
      </c>
      <c r="AA35" s="19">
        <v>250000000</v>
      </c>
      <c r="AB35" s="19">
        <v>89000000</v>
      </c>
      <c r="AC35" s="19">
        <v>30000000</v>
      </c>
      <c r="AD35" s="19">
        <v>87000000</v>
      </c>
      <c r="AE35" s="19" t="s">
        <v>89</v>
      </c>
      <c r="AF35" s="19">
        <v>5000000</v>
      </c>
      <c r="AG35" s="19">
        <v>341580000</v>
      </c>
      <c r="AH35" s="19">
        <v>50750000</v>
      </c>
      <c r="AI35" s="19">
        <v>8500000</v>
      </c>
      <c r="AJ35" s="19">
        <v>314320000</v>
      </c>
      <c r="AK35" s="19">
        <v>60000000</v>
      </c>
      <c r="AL35" s="19">
        <v>90000000</v>
      </c>
      <c r="AM35" s="19">
        <v>940470000</v>
      </c>
      <c r="AN35" s="19">
        <v>10000000</v>
      </c>
      <c r="AO35" s="19">
        <v>257280000</v>
      </c>
      <c r="AP35" s="19">
        <v>50000000</v>
      </c>
      <c r="AQ35" s="19">
        <v>62000000</v>
      </c>
      <c r="AR35" s="19">
        <v>20000000</v>
      </c>
      <c r="AS35" s="19">
        <v>50000000</v>
      </c>
      <c r="AT35" s="19">
        <v>200000000</v>
      </c>
    </row>
    <row r="36" spans="1:46">
      <c r="A36" s="7" t="s">
        <v>88</v>
      </c>
      <c r="B36" s="8" t="s">
        <v>11</v>
      </c>
      <c r="C36" s="19"/>
      <c r="D36" s="19">
        <v>0</v>
      </c>
      <c r="E36" s="19">
        <v>0</v>
      </c>
      <c r="F36" s="19">
        <v>0</v>
      </c>
      <c r="G36" s="19">
        <v>0</v>
      </c>
      <c r="H36" s="19">
        <v>0</v>
      </c>
      <c r="I36" s="19">
        <v>0</v>
      </c>
      <c r="J36" s="19">
        <v>0</v>
      </c>
      <c r="K36" s="19">
        <v>0</v>
      </c>
      <c r="L36" s="19">
        <v>64083618</v>
      </c>
      <c r="M36" s="19">
        <v>0</v>
      </c>
      <c r="N36" s="19">
        <v>0</v>
      </c>
      <c r="O36" s="19">
        <v>0</v>
      </c>
      <c r="P36" s="19"/>
      <c r="Q36" s="19">
        <v>0</v>
      </c>
      <c r="R36" s="19">
        <v>0</v>
      </c>
      <c r="S36" s="19">
        <v>0</v>
      </c>
      <c r="T36" s="19"/>
      <c r="U36" s="19">
        <v>1530000000</v>
      </c>
      <c r="V36" s="19">
        <v>190000000</v>
      </c>
      <c r="W36" s="19">
        <v>354830100</v>
      </c>
      <c r="X36" s="19">
        <v>0</v>
      </c>
      <c r="Y36" s="19">
        <v>153650000</v>
      </c>
      <c r="Z36" s="19"/>
      <c r="AA36" s="19">
        <v>0</v>
      </c>
      <c r="AB36" s="19">
        <v>0</v>
      </c>
      <c r="AC36" s="19">
        <v>0</v>
      </c>
      <c r="AD36" s="19">
        <v>99580870</v>
      </c>
      <c r="AE36" s="19" t="s">
        <v>89</v>
      </c>
      <c r="AF36" s="19">
        <v>0</v>
      </c>
      <c r="AG36" s="19">
        <v>167006000</v>
      </c>
      <c r="AH36" s="19">
        <v>74250000</v>
      </c>
      <c r="AI36" s="19">
        <v>99000000</v>
      </c>
      <c r="AJ36" s="19">
        <v>0</v>
      </c>
      <c r="AK36" s="19">
        <v>0</v>
      </c>
      <c r="AL36" s="19">
        <v>0</v>
      </c>
      <c r="AM36" s="19">
        <v>915112692</v>
      </c>
      <c r="AN36" s="19">
        <v>0</v>
      </c>
      <c r="AO36" s="19">
        <v>1093236260</v>
      </c>
      <c r="AP36" s="19">
        <v>0</v>
      </c>
      <c r="AQ36" s="19"/>
      <c r="AR36" s="19">
        <v>0</v>
      </c>
      <c r="AS36" s="19">
        <v>0</v>
      </c>
      <c r="AT36" s="19">
        <v>0</v>
      </c>
    </row>
    <row r="37" spans="1:46">
      <c r="A37" s="7" t="s">
        <v>88</v>
      </c>
      <c r="B37" s="8" t="s">
        <v>31</v>
      </c>
      <c r="C37" s="19"/>
      <c r="D37" s="19">
        <v>0</v>
      </c>
      <c r="E37" s="19">
        <v>0</v>
      </c>
      <c r="F37" s="19">
        <v>0</v>
      </c>
      <c r="G37" s="19">
        <v>0</v>
      </c>
      <c r="H37" s="19">
        <v>0</v>
      </c>
      <c r="I37" s="19">
        <v>0</v>
      </c>
      <c r="J37" s="19">
        <v>0</v>
      </c>
      <c r="K37" s="19">
        <v>1284144013</v>
      </c>
      <c r="L37" s="19">
        <v>-630240</v>
      </c>
      <c r="M37" s="19">
        <v>0</v>
      </c>
      <c r="N37" s="19">
        <v>0</v>
      </c>
      <c r="O37" s="19">
        <v>0</v>
      </c>
      <c r="P37" s="19"/>
      <c r="Q37" s="19">
        <v>0</v>
      </c>
      <c r="R37" s="19">
        <v>0</v>
      </c>
      <c r="S37" s="19">
        <v>0</v>
      </c>
      <c r="T37" s="19"/>
      <c r="U37" s="19">
        <v>0</v>
      </c>
      <c r="V37" s="19">
        <v>0</v>
      </c>
      <c r="W37" s="19">
        <v>0</v>
      </c>
      <c r="X37" s="19">
        <v>0</v>
      </c>
      <c r="Y37" s="19">
        <v>0</v>
      </c>
      <c r="Z37" s="19"/>
      <c r="AA37" s="19">
        <v>0</v>
      </c>
      <c r="AB37" s="19">
        <v>0</v>
      </c>
      <c r="AC37" s="19">
        <v>0</v>
      </c>
      <c r="AD37" s="19">
        <v>-4872500</v>
      </c>
      <c r="AE37" s="19" t="s">
        <v>89</v>
      </c>
      <c r="AF37" s="19">
        <v>0</v>
      </c>
      <c r="AG37" s="19">
        <v>0</v>
      </c>
      <c r="AH37" s="19">
        <v>0</v>
      </c>
      <c r="AI37" s="19">
        <v>0</v>
      </c>
      <c r="AJ37" s="19">
        <v>0</v>
      </c>
      <c r="AK37" s="19">
        <v>0</v>
      </c>
      <c r="AL37" s="19">
        <v>0</v>
      </c>
      <c r="AM37" s="19"/>
      <c r="AN37" s="19">
        <v>0</v>
      </c>
      <c r="AO37" s="19">
        <v>-4457520</v>
      </c>
      <c r="AP37" s="19">
        <v>0</v>
      </c>
      <c r="AQ37" s="19"/>
      <c r="AR37" s="19">
        <v>0</v>
      </c>
      <c r="AS37" s="19">
        <v>0</v>
      </c>
      <c r="AT37" s="19">
        <v>0</v>
      </c>
    </row>
    <row r="38" spans="1:46">
      <c r="A38" s="7" t="s">
        <v>88</v>
      </c>
      <c r="B38" s="8" t="s">
        <v>56</v>
      </c>
      <c r="C38" s="19"/>
      <c r="D38" s="19">
        <v>0</v>
      </c>
      <c r="E38" s="19">
        <v>0</v>
      </c>
      <c r="F38" s="19">
        <v>0</v>
      </c>
      <c r="G38" s="19">
        <v>0</v>
      </c>
      <c r="H38" s="19">
        <v>0</v>
      </c>
      <c r="I38" s="19">
        <v>0</v>
      </c>
      <c r="J38" s="19">
        <v>0</v>
      </c>
      <c r="K38" s="19">
        <v>0</v>
      </c>
      <c r="L38" s="19"/>
      <c r="M38" s="19">
        <v>0</v>
      </c>
      <c r="N38" s="19">
        <v>0</v>
      </c>
      <c r="O38" s="19">
        <v>0</v>
      </c>
      <c r="P38" s="19"/>
      <c r="Q38" s="19">
        <v>0</v>
      </c>
      <c r="R38" s="19">
        <v>0</v>
      </c>
      <c r="S38" s="19">
        <v>0</v>
      </c>
      <c r="T38" s="19"/>
      <c r="U38" s="19">
        <v>0</v>
      </c>
      <c r="V38" s="19">
        <v>0</v>
      </c>
      <c r="W38" s="19">
        <v>0</v>
      </c>
      <c r="X38" s="19">
        <v>0</v>
      </c>
      <c r="Y38" s="19">
        <v>0</v>
      </c>
      <c r="Z38" s="19"/>
      <c r="AA38" s="19">
        <v>0</v>
      </c>
      <c r="AB38" s="19">
        <v>0</v>
      </c>
      <c r="AC38" s="19">
        <v>0</v>
      </c>
      <c r="AD38" s="19">
        <v>0</v>
      </c>
      <c r="AE38" s="19" t="s">
        <v>89</v>
      </c>
      <c r="AF38" s="19">
        <v>0</v>
      </c>
      <c r="AG38" s="19">
        <v>0</v>
      </c>
      <c r="AH38" s="19">
        <v>0</v>
      </c>
      <c r="AI38" s="19">
        <v>0</v>
      </c>
      <c r="AJ38" s="19">
        <v>0</v>
      </c>
      <c r="AK38" s="19">
        <v>0</v>
      </c>
      <c r="AL38" s="19">
        <v>0</v>
      </c>
      <c r="AM38" s="19"/>
      <c r="AN38" s="19">
        <v>0</v>
      </c>
      <c r="AO38" s="19">
        <v>0</v>
      </c>
      <c r="AP38" s="19">
        <v>0</v>
      </c>
      <c r="AQ38" s="19"/>
      <c r="AR38" s="19">
        <v>0</v>
      </c>
      <c r="AS38" s="19">
        <v>0</v>
      </c>
      <c r="AT38" s="19">
        <v>0</v>
      </c>
    </row>
    <row r="39" spans="1:46">
      <c r="A39" s="7" t="s">
        <v>88</v>
      </c>
      <c r="B39" s="8" t="s">
        <v>82</v>
      </c>
      <c r="C39" s="19">
        <v>-13852037</v>
      </c>
      <c r="D39" s="19">
        <v>266446948</v>
      </c>
      <c r="E39" s="19">
        <v>118494247</v>
      </c>
      <c r="F39" s="19">
        <v>240838763</v>
      </c>
      <c r="G39" s="19">
        <v>8750077</v>
      </c>
      <c r="H39" s="19">
        <v>14884123</v>
      </c>
      <c r="I39" s="19">
        <v>45055723</v>
      </c>
      <c r="J39" s="19">
        <v>25493947</v>
      </c>
      <c r="K39" s="19">
        <v>-855764401</v>
      </c>
      <c r="L39" s="19">
        <v>137102729</v>
      </c>
      <c r="M39" s="19">
        <v>-627818508</v>
      </c>
      <c r="N39" s="19">
        <v>35589221</v>
      </c>
      <c r="O39" s="19">
        <v>258454167</v>
      </c>
      <c r="P39" s="19">
        <v>159714076</v>
      </c>
      <c r="Q39" s="19">
        <v>110006550</v>
      </c>
      <c r="R39" s="19">
        <v>-11408311</v>
      </c>
      <c r="S39" s="19">
        <v>-73242149</v>
      </c>
      <c r="T39" s="19">
        <v>-76367476</v>
      </c>
      <c r="U39" s="19">
        <v>-532200752</v>
      </c>
      <c r="V39" s="19">
        <v>-54191826</v>
      </c>
      <c r="W39" s="19">
        <v>-219490687</v>
      </c>
      <c r="X39" s="19">
        <v>1258445712</v>
      </c>
      <c r="Y39" s="19">
        <v>14399166</v>
      </c>
      <c r="Z39" s="19">
        <v>-40663023</v>
      </c>
      <c r="AA39" s="19">
        <v>664831496</v>
      </c>
      <c r="AB39" s="19">
        <v>66303748</v>
      </c>
      <c r="AC39" s="19">
        <v>123191758</v>
      </c>
      <c r="AD39" s="19">
        <v>374523837</v>
      </c>
      <c r="AE39" s="19" t="s">
        <v>89</v>
      </c>
      <c r="AF39" s="19">
        <v>25839912</v>
      </c>
      <c r="AG39" s="19">
        <v>-669934577</v>
      </c>
      <c r="AH39" s="19">
        <v>69505649</v>
      </c>
      <c r="AI39" s="19">
        <v>-40059692</v>
      </c>
      <c r="AJ39" s="19">
        <v>91681935</v>
      </c>
      <c r="AK39" s="19">
        <v>430884066</v>
      </c>
      <c r="AL39" s="19">
        <v>10501120</v>
      </c>
      <c r="AM39" s="19">
        <v>-426770136</v>
      </c>
      <c r="AN39" s="19">
        <v>-27613239</v>
      </c>
      <c r="AO39" s="19">
        <v>-243173750</v>
      </c>
      <c r="AP39" s="19">
        <v>-83655605</v>
      </c>
      <c r="AQ39" s="19">
        <v>-133013578</v>
      </c>
      <c r="AR39" s="19">
        <v>12100551</v>
      </c>
      <c r="AS39" s="19">
        <v>440638827</v>
      </c>
      <c r="AT39" s="19">
        <v>97286147</v>
      </c>
    </row>
    <row r="40" spans="1:46">
      <c r="A40" s="9" t="s">
        <v>124</v>
      </c>
      <c r="B40" s="10" t="s">
        <v>85</v>
      </c>
      <c r="C40" s="19">
        <v>621357135</v>
      </c>
      <c r="D40" s="19">
        <v>2896927752</v>
      </c>
      <c r="E40" s="19">
        <v>1234429397</v>
      </c>
      <c r="F40" s="19">
        <v>1405375322</v>
      </c>
      <c r="G40" s="19">
        <v>206308519</v>
      </c>
      <c r="H40" s="19">
        <v>2046538073</v>
      </c>
      <c r="I40" s="19">
        <v>2408914925</v>
      </c>
      <c r="J40" s="19">
        <v>219400792</v>
      </c>
      <c r="K40" s="19">
        <v>3670690700</v>
      </c>
      <c r="L40" s="19">
        <v>1493320961</v>
      </c>
      <c r="M40" s="19">
        <v>2505915052</v>
      </c>
      <c r="N40" s="19">
        <v>735257827</v>
      </c>
      <c r="O40" s="19">
        <v>3575480167</v>
      </c>
      <c r="P40" s="19"/>
      <c r="Q40" s="19">
        <v>340828013</v>
      </c>
      <c r="R40" s="19">
        <v>207177863</v>
      </c>
      <c r="S40" s="19">
        <v>1108127416</v>
      </c>
      <c r="T40" s="19">
        <v>150750435</v>
      </c>
      <c r="U40" s="19">
        <v>1217663266</v>
      </c>
      <c r="V40" s="19">
        <v>1144308427</v>
      </c>
      <c r="W40" s="19">
        <v>349300214</v>
      </c>
      <c r="X40" s="19">
        <v>1705095800</v>
      </c>
      <c r="Y40" s="19">
        <v>403897256</v>
      </c>
      <c r="Z40" s="19">
        <v>392708495</v>
      </c>
      <c r="AA40" s="19">
        <v>6200475362</v>
      </c>
      <c r="AB40" s="19">
        <v>259415081</v>
      </c>
      <c r="AC40" s="19">
        <v>1666106297</v>
      </c>
      <c r="AD40" s="19">
        <v>1488026472</v>
      </c>
      <c r="AE40" s="19">
        <v>501652062</v>
      </c>
      <c r="AF40" s="19">
        <v>216877776</v>
      </c>
      <c r="AG40" s="19">
        <v>930368070</v>
      </c>
      <c r="AH40" s="19">
        <v>1026095824</v>
      </c>
      <c r="AI40" s="19">
        <v>412647976</v>
      </c>
      <c r="AJ40" s="19">
        <v>954776972</v>
      </c>
      <c r="AK40" s="19">
        <v>2487751581</v>
      </c>
      <c r="AL40" s="19">
        <v>302660632</v>
      </c>
      <c r="AM40" s="19">
        <v>6694085466</v>
      </c>
      <c r="AN40" s="19">
        <v>40221621</v>
      </c>
      <c r="AO40" s="19">
        <v>1020937387</v>
      </c>
      <c r="AP40" s="19">
        <v>201328331</v>
      </c>
      <c r="AQ40" s="19">
        <v>11207089</v>
      </c>
      <c r="AR40" s="19">
        <v>121107374</v>
      </c>
      <c r="AS40" s="19">
        <v>643137278</v>
      </c>
      <c r="AT40" s="19">
        <v>1116600371</v>
      </c>
    </row>
    <row r="41" spans="1:46">
      <c r="A41" s="9" t="s">
        <v>124</v>
      </c>
      <c r="B41" s="15" t="s">
        <v>12</v>
      </c>
      <c r="C41" s="19"/>
      <c r="D41" s="19"/>
      <c r="E41" s="19"/>
      <c r="F41" s="19">
        <v>40150125</v>
      </c>
      <c r="G41" s="19"/>
      <c r="H41" s="19"/>
      <c r="I41" s="19"/>
      <c r="J41" s="19"/>
      <c r="K41" s="19"/>
      <c r="L41" s="19"/>
      <c r="M41" s="19"/>
      <c r="N41" s="19"/>
      <c r="O41" s="19"/>
      <c r="P41" s="19"/>
      <c r="Q41" s="19">
        <v>0</v>
      </c>
      <c r="R41" s="19">
        <v>58891961</v>
      </c>
      <c r="S41" s="19"/>
      <c r="T41" s="19"/>
      <c r="U41" s="19"/>
      <c r="V41" s="19"/>
      <c r="W41" s="19"/>
      <c r="X41" s="19"/>
      <c r="Y41" s="19"/>
      <c r="Z41" s="19"/>
      <c r="AA41" s="19"/>
      <c r="AB41" s="19"/>
      <c r="AC41" s="19">
        <v>148039579</v>
      </c>
      <c r="AD41" s="19"/>
      <c r="AE41" s="19"/>
      <c r="AF41" s="19"/>
      <c r="AG41" s="19"/>
      <c r="AH41" s="19">
        <v>0</v>
      </c>
      <c r="AI41" s="19">
        <v>113267429</v>
      </c>
      <c r="AJ41" s="19">
        <v>954776972</v>
      </c>
      <c r="AK41" s="19"/>
      <c r="AL41" s="19">
        <v>150403613</v>
      </c>
      <c r="AM41" s="19">
        <v>374716354</v>
      </c>
      <c r="AN41" s="19"/>
      <c r="AO41" s="19"/>
      <c r="AP41" s="19"/>
      <c r="AQ41" s="19"/>
      <c r="AR41" s="19">
        <v>121107374</v>
      </c>
      <c r="AS41" s="19"/>
      <c r="AT41" s="19"/>
    </row>
    <row r="42" spans="1:46">
      <c r="A42" s="9" t="s">
        <v>124</v>
      </c>
      <c r="B42" s="15" t="s">
        <v>22</v>
      </c>
      <c r="C42" s="19"/>
      <c r="D42" s="19">
        <v>2896927752</v>
      </c>
      <c r="E42" s="19">
        <v>169950795</v>
      </c>
      <c r="F42" s="19"/>
      <c r="G42" s="19"/>
      <c r="H42" s="19"/>
      <c r="I42" s="19"/>
      <c r="J42" s="19"/>
      <c r="K42" s="19">
        <v>3011150604</v>
      </c>
      <c r="L42" s="19">
        <v>1493320961</v>
      </c>
      <c r="M42" s="19"/>
      <c r="N42" s="19">
        <v>594383293</v>
      </c>
      <c r="O42" s="19"/>
      <c r="P42" s="19"/>
      <c r="Q42" s="19">
        <v>318555286</v>
      </c>
      <c r="R42" s="19"/>
      <c r="S42" s="19">
        <v>1108127416</v>
      </c>
      <c r="T42" s="19"/>
      <c r="U42" s="19"/>
      <c r="V42" s="19">
        <v>1139608427</v>
      </c>
      <c r="W42" s="19"/>
      <c r="X42" s="19"/>
      <c r="Y42" s="19">
        <v>50503648</v>
      </c>
      <c r="Z42" s="19"/>
      <c r="AA42" s="19">
        <v>6200475362</v>
      </c>
      <c r="AB42" s="19"/>
      <c r="AC42" s="19">
        <v>1503488339</v>
      </c>
      <c r="AD42" s="19">
        <v>1488026472</v>
      </c>
      <c r="AE42" s="19">
        <v>218527566</v>
      </c>
      <c r="AF42" s="19"/>
      <c r="AG42" s="19"/>
      <c r="AH42" s="19"/>
      <c r="AI42" s="19"/>
      <c r="AJ42" s="19"/>
      <c r="AK42" s="19">
        <v>1116214015</v>
      </c>
      <c r="AL42" s="19"/>
      <c r="AM42" s="19"/>
      <c r="AN42" s="19"/>
      <c r="AO42" s="19"/>
      <c r="AP42" s="19"/>
      <c r="AQ42" s="19"/>
      <c r="AR42" s="19"/>
      <c r="AS42" s="19"/>
      <c r="AT42" s="19"/>
    </row>
    <row r="43" spans="1:46">
      <c r="A43" s="9" t="s">
        <v>124</v>
      </c>
      <c r="B43" s="15" t="s">
        <v>28</v>
      </c>
      <c r="C43" s="19"/>
      <c r="D43" s="19"/>
      <c r="E43" s="19"/>
      <c r="F43" s="19"/>
      <c r="G43" s="19"/>
      <c r="H43" s="19"/>
      <c r="I43" s="19">
        <v>2380677275</v>
      </c>
      <c r="J43" s="19">
        <v>85133792</v>
      </c>
      <c r="K43" s="19"/>
      <c r="L43" s="19"/>
      <c r="M43" s="19">
        <v>2505915052</v>
      </c>
      <c r="N43" s="19"/>
      <c r="O43" s="19">
        <v>3527430347</v>
      </c>
      <c r="P43" s="19"/>
      <c r="Q43" s="19">
        <v>22272727</v>
      </c>
      <c r="R43" s="19">
        <v>148285902</v>
      </c>
      <c r="S43" s="19"/>
      <c r="T43" s="19"/>
      <c r="U43" s="19"/>
      <c r="V43" s="19"/>
      <c r="W43" s="19">
        <v>133833081</v>
      </c>
      <c r="X43" s="19">
        <v>98205419</v>
      </c>
      <c r="Y43" s="19">
        <v>56158402</v>
      </c>
      <c r="Z43" s="19">
        <v>259752835</v>
      </c>
      <c r="AA43" s="19"/>
      <c r="AB43" s="19"/>
      <c r="AC43" s="19">
        <v>14578379</v>
      </c>
      <c r="AD43" s="19"/>
      <c r="AE43" s="19">
        <v>57650887</v>
      </c>
      <c r="AF43" s="19">
        <v>120708241</v>
      </c>
      <c r="AG43" s="19">
        <v>930368070</v>
      </c>
      <c r="AH43" s="19">
        <v>1026095824</v>
      </c>
      <c r="AI43" s="19"/>
      <c r="AJ43" s="19"/>
      <c r="AK43" s="19"/>
      <c r="AL43" s="19">
        <v>151927019</v>
      </c>
      <c r="AM43" s="19">
        <v>6319369112</v>
      </c>
      <c r="AN43" s="19">
        <v>40221621</v>
      </c>
      <c r="AO43" s="19">
        <v>1020937387</v>
      </c>
      <c r="AP43" s="19"/>
      <c r="AQ43" s="19">
        <v>3900000</v>
      </c>
      <c r="AR43" s="19"/>
      <c r="AS43" s="19"/>
      <c r="AT43" s="19">
        <v>1115000371</v>
      </c>
    </row>
    <row r="44" spans="1:46">
      <c r="A44" s="9" t="s">
        <v>124</v>
      </c>
      <c r="B44" s="15" t="s">
        <v>24</v>
      </c>
      <c r="C44" s="19">
        <v>621357135</v>
      </c>
      <c r="D44" s="19"/>
      <c r="E44" s="19">
        <v>1064478602</v>
      </c>
      <c r="F44" s="19">
        <v>1365225197</v>
      </c>
      <c r="G44" s="19">
        <v>206308519</v>
      </c>
      <c r="H44" s="19">
        <v>2046538073</v>
      </c>
      <c r="I44" s="19">
        <v>28237650</v>
      </c>
      <c r="J44" s="19">
        <v>134267000</v>
      </c>
      <c r="K44" s="19">
        <v>659540096</v>
      </c>
      <c r="L44" s="19"/>
      <c r="M44" s="19"/>
      <c r="N44" s="19">
        <v>140874534</v>
      </c>
      <c r="O44" s="19">
        <v>48049820</v>
      </c>
      <c r="P44" s="19"/>
      <c r="Q44" s="19">
        <v>0</v>
      </c>
      <c r="R44" s="19"/>
      <c r="S44" s="19"/>
      <c r="T44" s="19">
        <v>150750435</v>
      </c>
      <c r="U44" s="19">
        <v>1217663266</v>
      </c>
      <c r="V44" s="19">
        <v>4700000</v>
      </c>
      <c r="W44" s="19">
        <v>215467133</v>
      </c>
      <c r="X44" s="19">
        <v>1606890381</v>
      </c>
      <c r="Y44" s="19">
        <v>297235206</v>
      </c>
      <c r="Z44" s="19">
        <v>132955660</v>
      </c>
      <c r="AA44" s="19"/>
      <c r="AB44" s="19">
        <v>259415081</v>
      </c>
      <c r="AC44" s="19"/>
      <c r="AD44" s="19"/>
      <c r="AE44" s="19">
        <v>225473609</v>
      </c>
      <c r="AF44" s="19">
        <v>96169535</v>
      </c>
      <c r="AG44" s="19"/>
      <c r="AH44" s="19"/>
      <c r="AI44" s="19">
        <v>299380547</v>
      </c>
      <c r="AJ44" s="19"/>
      <c r="AK44" s="19">
        <v>1371537566</v>
      </c>
      <c r="AL44" s="40">
        <v>330000</v>
      </c>
      <c r="AM44" s="19"/>
      <c r="AN44" s="19"/>
      <c r="AO44" s="19"/>
      <c r="AP44" s="19">
        <v>201328331</v>
      </c>
      <c r="AQ44" s="19">
        <v>7307089</v>
      </c>
      <c r="AR44" s="19"/>
      <c r="AS44" s="19">
        <v>643137278</v>
      </c>
      <c r="AT44" s="19">
        <v>1600000</v>
      </c>
    </row>
    <row r="45" spans="1:46">
      <c r="A45" s="9" t="s">
        <v>124</v>
      </c>
      <c r="B45" s="10" t="s">
        <v>144</v>
      </c>
      <c r="C45" s="19">
        <v>0</v>
      </c>
      <c r="D45" s="19">
        <v>2916287358</v>
      </c>
      <c r="E45" s="19">
        <v>944151813</v>
      </c>
      <c r="F45" s="19">
        <v>20135709</v>
      </c>
      <c r="G45" s="19">
        <v>118077901</v>
      </c>
      <c r="H45" s="19">
        <v>0</v>
      </c>
      <c r="I45" s="19">
        <v>0</v>
      </c>
      <c r="J45" s="19">
        <v>0</v>
      </c>
      <c r="K45" s="19">
        <v>2891738172</v>
      </c>
      <c r="L45" s="19">
        <v>1282531113</v>
      </c>
      <c r="M45" s="19">
        <v>304215643</v>
      </c>
      <c r="N45" s="19">
        <v>420176866</v>
      </c>
      <c r="O45" s="19">
        <v>272693322</v>
      </c>
      <c r="P45" s="19"/>
      <c r="Q45" s="19">
        <v>254474803</v>
      </c>
      <c r="R45" s="19">
        <v>14311962</v>
      </c>
      <c r="S45" s="19">
        <v>521311685</v>
      </c>
      <c r="T45" s="19">
        <v>0</v>
      </c>
      <c r="U45" s="19">
        <v>7674330</v>
      </c>
      <c r="V45" s="19">
        <v>800922072</v>
      </c>
      <c r="W45" s="19">
        <v>100031843</v>
      </c>
      <c r="X45" s="19">
        <v>762864880</v>
      </c>
      <c r="Y45" s="19">
        <v>0</v>
      </c>
      <c r="Z45" s="19">
        <v>54914109</v>
      </c>
      <c r="AA45" s="19">
        <v>5779578983</v>
      </c>
      <c r="AB45" s="19">
        <v>0</v>
      </c>
      <c r="AC45" s="19">
        <v>1399786449</v>
      </c>
      <c r="AD45" s="19">
        <v>1278107571</v>
      </c>
      <c r="AE45" s="19">
        <v>235267636</v>
      </c>
      <c r="AF45" s="19">
        <v>0</v>
      </c>
      <c r="AG45" s="19">
        <v>0</v>
      </c>
      <c r="AH45" s="19">
        <v>0</v>
      </c>
      <c r="AI45" s="19">
        <v>206869568</v>
      </c>
      <c r="AJ45" s="19">
        <v>456847435</v>
      </c>
      <c r="AK45" s="19">
        <v>2568411982</v>
      </c>
      <c r="AL45" s="19">
        <v>0</v>
      </c>
      <c r="AM45" s="19">
        <v>5249181476</v>
      </c>
      <c r="AN45" s="19">
        <v>0</v>
      </c>
      <c r="AO45" s="19">
        <v>101333875</v>
      </c>
      <c r="AP45" s="19">
        <v>36360000</v>
      </c>
      <c r="AQ45" s="19">
        <v>6556938</v>
      </c>
      <c r="AR45" s="19">
        <v>54406136</v>
      </c>
      <c r="AS45" s="19">
        <v>0</v>
      </c>
      <c r="AT45" s="19">
        <v>650314683</v>
      </c>
    </row>
    <row r="46" spans="1:46">
      <c r="A46" s="9" t="s">
        <v>124</v>
      </c>
      <c r="B46" s="15" t="s">
        <v>67</v>
      </c>
      <c r="C46" s="19"/>
      <c r="D46" s="19"/>
      <c r="E46" s="19"/>
      <c r="F46" s="19">
        <v>20135709</v>
      </c>
      <c r="G46" s="19">
        <v>0</v>
      </c>
      <c r="H46" s="19"/>
      <c r="I46" s="19"/>
      <c r="J46" s="19"/>
      <c r="K46" s="19"/>
      <c r="L46" s="19"/>
      <c r="M46" s="19"/>
      <c r="N46" s="19">
        <v>0</v>
      </c>
      <c r="O46" s="19"/>
      <c r="P46" s="19"/>
      <c r="Q46" s="19">
        <v>0</v>
      </c>
      <c r="R46" s="19">
        <v>14311962</v>
      </c>
      <c r="S46" s="19"/>
      <c r="T46" s="19"/>
      <c r="U46" s="19">
        <v>7674330</v>
      </c>
      <c r="V46" s="19"/>
      <c r="W46" s="19"/>
      <c r="X46" s="19"/>
      <c r="Y46" s="19">
        <v>0</v>
      </c>
      <c r="Z46" s="19">
        <v>54914109</v>
      </c>
      <c r="AA46" s="19"/>
      <c r="AB46" s="19"/>
      <c r="AC46" s="19">
        <v>73197939</v>
      </c>
      <c r="AD46" s="19"/>
      <c r="AE46" s="19"/>
      <c r="AF46" s="19"/>
      <c r="AG46" s="19"/>
      <c r="AH46" s="19"/>
      <c r="AI46" s="19">
        <v>80041497</v>
      </c>
      <c r="AJ46" s="19">
        <v>453514105</v>
      </c>
      <c r="AK46" s="19">
        <v>281919751</v>
      </c>
      <c r="AL46" s="19"/>
      <c r="AM46" s="19">
        <v>162527848</v>
      </c>
      <c r="AN46" s="19"/>
      <c r="AO46" s="19"/>
      <c r="AP46" s="19">
        <v>36360000</v>
      </c>
      <c r="AQ46" s="19"/>
      <c r="AR46" s="19">
        <v>54406136</v>
      </c>
      <c r="AS46" s="19"/>
      <c r="AT46" s="19"/>
    </row>
    <row r="47" spans="1:46">
      <c r="A47" s="9" t="s">
        <v>124</v>
      </c>
      <c r="B47" s="15" t="s">
        <v>72</v>
      </c>
      <c r="C47" s="19"/>
      <c r="D47" s="19">
        <v>2916287358</v>
      </c>
      <c r="E47" s="19">
        <v>944151813</v>
      </c>
      <c r="F47" s="19"/>
      <c r="G47" s="19">
        <v>118077901</v>
      </c>
      <c r="H47" s="19"/>
      <c r="I47" s="19"/>
      <c r="J47" s="19"/>
      <c r="K47" s="19">
        <v>2891738172</v>
      </c>
      <c r="L47" s="19">
        <v>1282531113</v>
      </c>
      <c r="M47" s="19"/>
      <c r="N47" s="19">
        <v>420176866</v>
      </c>
      <c r="O47" s="19"/>
      <c r="P47" s="19"/>
      <c r="Q47" s="19">
        <v>254474803</v>
      </c>
      <c r="R47" s="19"/>
      <c r="S47" s="19">
        <v>521311685</v>
      </c>
      <c r="T47" s="19"/>
      <c r="U47" s="19"/>
      <c r="V47" s="19">
        <v>800922072</v>
      </c>
      <c r="W47" s="19"/>
      <c r="X47" s="19"/>
      <c r="Y47" s="19"/>
      <c r="Z47" s="19"/>
      <c r="AA47" s="19">
        <v>5779578983</v>
      </c>
      <c r="AB47" s="19"/>
      <c r="AC47" s="19">
        <v>1326588510</v>
      </c>
      <c r="AD47" s="19">
        <v>1278107571</v>
      </c>
      <c r="AE47" s="19">
        <v>235267636</v>
      </c>
      <c r="AF47" s="19"/>
      <c r="AG47" s="19"/>
      <c r="AH47" s="19"/>
      <c r="AI47" s="19"/>
      <c r="AJ47" s="19">
        <v>3333330</v>
      </c>
      <c r="AK47" s="19">
        <v>1172785504</v>
      </c>
      <c r="AL47" s="19"/>
      <c r="AM47" s="19"/>
      <c r="AN47" s="19"/>
      <c r="AO47" s="19"/>
      <c r="AP47" s="19"/>
      <c r="AQ47" s="19"/>
      <c r="AR47" s="19"/>
      <c r="AS47" s="19"/>
      <c r="AT47" s="19">
        <v>650314683</v>
      </c>
    </row>
    <row r="48" spans="1:46">
      <c r="A48" s="9" t="s">
        <v>124</v>
      </c>
      <c r="B48" s="15" t="s">
        <v>63</v>
      </c>
      <c r="C48" s="19"/>
      <c r="D48" s="19"/>
      <c r="E48" s="19"/>
      <c r="F48" s="19"/>
      <c r="G48" s="19"/>
      <c r="H48" s="19"/>
      <c r="I48" s="19"/>
      <c r="J48" s="19"/>
      <c r="K48" s="19"/>
      <c r="L48" s="19"/>
      <c r="M48" s="19"/>
      <c r="N48" s="19"/>
      <c r="O48" s="19"/>
      <c r="P48" s="19"/>
      <c r="Q48" s="19"/>
      <c r="R48" s="19"/>
      <c r="S48" s="19"/>
      <c r="T48" s="19"/>
      <c r="U48" s="19"/>
      <c r="V48" s="19"/>
      <c r="W48" s="19"/>
      <c r="X48" s="19"/>
      <c r="Y48" s="19"/>
      <c r="Z48" s="19"/>
      <c r="AA48" s="19"/>
      <c r="AB48" s="19"/>
      <c r="AC48" s="19"/>
      <c r="AD48" s="19"/>
      <c r="AE48" s="19"/>
      <c r="AF48" s="19"/>
      <c r="AG48" s="19"/>
      <c r="AH48" s="19"/>
      <c r="AI48" s="19"/>
      <c r="AJ48" s="19"/>
      <c r="AK48" s="19"/>
      <c r="AL48" s="19"/>
      <c r="AM48" s="19">
        <v>5086653628</v>
      </c>
      <c r="AN48" s="19"/>
      <c r="AO48" s="19">
        <v>101333875</v>
      </c>
      <c r="AP48" s="19"/>
      <c r="AQ48" s="19"/>
      <c r="AR48" s="19"/>
      <c r="AS48" s="19"/>
      <c r="AT48" s="19"/>
    </row>
    <row r="49" spans="1:46">
      <c r="A49" s="9" t="s">
        <v>124</v>
      </c>
      <c r="B49" s="15" t="s">
        <v>64</v>
      </c>
      <c r="C49" s="19"/>
      <c r="D49" s="19"/>
      <c r="E49" s="19"/>
      <c r="F49" s="19"/>
      <c r="G49" s="19"/>
      <c r="H49" s="19"/>
      <c r="I49" s="19"/>
      <c r="J49" s="19"/>
      <c r="K49" s="19"/>
      <c r="L49" s="19"/>
      <c r="M49" s="19">
        <v>304215643</v>
      </c>
      <c r="N49" s="19"/>
      <c r="O49" s="19">
        <v>272693322</v>
      </c>
      <c r="P49" s="19"/>
      <c r="Q49" s="19"/>
      <c r="R49" s="19"/>
      <c r="S49" s="19"/>
      <c r="T49" s="19"/>
      <c r="U49" s="19"/>
      <c r="V49" s="19"/>
      <c r="W49" s="19">
        <v>100031843</v>
      </c>
      <c r="X49" s="19">
        <v>762864880</v>
      </c>
      <c r="Y49" s="19"/>
      <c r="Z49" s="19"/>
      <c r="AA49" s="19"/>
      <c r="AB49" s="19"/>
      <c r="AC49" s="19"/>
      <c r="AD49" s="19"/>
      <c r="AE49" s="19"/>
      <c r="AF49" s="19"/>
      <c r="AG49" s="19"/>
      <c r="AH49" s="19"/>
      <c r="AI49" s="19">
        <v>126828071</v>
      </c>
      <c r="AJ49" s="19"/>
      <c r="AK49" s="19">
        <v>1113706727</v>
      </c>
      <c r="AL49" s="19"/>
      <c r="AM49" s="19"/>
      <c r="AN49" s="19"/>
      <c r="AO49" s="19"/>
      <c r="AP49" s="19"/>
      <c r="AQ49" s="19">
        <v>6556938</v>
      </c>
      <c r="AR49" s="19"/>
      <c r="AS49" s="19"/>
      <c r="AT49" s="19"/>
    </row>
    <row r="50" spans="1:46">
      <c r="A50" s="9" t="s">
        <v>124</v>
      </c>
      <c r="B50" s="10" t="s">
        <v>14</v>
      </c>
      <c r="C50" s="19">
        <v>621357135</v>
      </c>
      <c r="D50" s="19">
        <v>-19359606</v>
      </c>
      <c r="E50" s="19">
        <v>290277584</v>
      </c>
      <c r="F50" s="19">
        <v>1385239613</v>
      </c>
      <c r="G50" s="19">
        <v>88230618</v>
      </c>
      <c r="H50" s="19">
        <v>2046538073</v>
      </c>
      <c r="I50" s="19">
        <v>2408914925</v>
      </c>
      <c r="J50" s="19">
        <v>219400792</v>
      </c>
      <c r="K50" s="19">
        <v>778952528</v>
      </c>
      <c r="L50" s="19">
        <v>210789848</v>
      </c>
      <c r="M50" s="19">
        <v>2201699409</v>
      </c>
      <c r="N50" s="19">
        <v>315080961</v>
      </c>
      <c r="O50" s="19">
        <v>3302786845</v>
      </c>
      <c r="P50" s="19"/>
      <c r="Q50" s="19">
        <v>86353210</v>
      </c>
      <c r="R50" s="19">
        <v>192865901</v>
      </c>
      <c r="S50" s="19">
        <v>586815731</v>
      </c>
      <c r="T50" s="19">
        <v>150750435</v>
      </c>
      <c r="U50" s="19">
        <v>1209988936</v>
      </c>
      <c r="V50" s="19">
        <v>343386355</v>
      </c>
      <c r="W50" s="19">
        <v>249268371</v>
      </c>
      <c r="X50" s="19">
        <v>942230920</v>
      </c>
      <c r="Y50" s="19">
        <v>403897256</v>
      </c>
      <c r="Z50" s="19">
        <v>337794386</v>
      </c>
      <c r="AA50" s="19">
        <v>420896379</v>
      </c>
      <c r="AB50" s="19">
        <v>259415081</v>
      </c>
      <c r="AC50" s="19">
        <v>266319848</v>
      </c>
      <c r="AD50" s="19">
        <v>209918901</v>
      </c>
      <c r="AE50" s="19">
        <v>266384426</v>
      </c>
      <c r="AF50" s="19">
        <v>216877776</v>
      </c>
      <c r="AG50" s="19">
        <v>930368070</v>
      </c>
      <c r="AH50" s="19">
        <v>1026095824</v>
      </c>
      <c r="AI50" s="19">
        <v>205778408</v>
      </c>
      <c r="AJ50" s="19">
        <v>497929537</v>
      </c>
      <c r="AK50" s="19">
        <v>-80660401</v>
      </c>
      <c r="AL50" s="19">
        <v>302660632</v>
      </c>
      <c r="AM50" s="19">
        <v>1444903990</v>
      </c>
      <c r="AN50" s="19">
        <v>40221621</v>
      </c>
      <c r="AO50" s="19">
        <v>919603512</v>
      </c>
      <c r="AP50" s="19">
        <v>164968331</v>
      </c>
      <c r="AQ50" s="19">
        <v>4650151</v>
      </c>
      <c r="AR50" s="19">
        <v>66701238</v>
      </c>
      <c r="AS50" s="19">
        <v>643137278</v>
      </c>
      <c r="AT50" s="19">
        <v>466285688</v>
      </c>
    </row>
    <row r="51" spans="1:46">
      <c r="A51" s="9" t="s">
        <v>124</v>
      </c>
      <c r="B51" s="10" t="s">
        <v>102</v>
      </c>
      <c r="C51" s="19">
        <v>643694502</v>
      </c>
      <c r="D51" s="19">
        <v>1009906198</v>
      </c>
      <c r="E51" s="19">
        <v>324691359</v>
      </c>
      <c r="F51" s="19">
        <v>1407731280</v>
      </c>
      <c r="G51" s="19">
        <v>147350387</v>
      </c>
      <c r="H51" s="19">
        <v>2113474245</v>
      </c>
      <c r="I51" s="19">
        <v>2393922942</v>
      </c>
      <c r="J51" s="19">
        <v>276275801</v>
      </c>
      <c r="K51" s="19">
        <v>894294033</v>
      </c>
      <c r="L51" s="19">
        <v>252542568</v>
      </c>
      <c r="M51" s="19">
        <v>2391112164</v>
      </c>
      <c r="N51" s="19">
        <v>792924493</v>
      </c>
      <c r="O51" s="19">
        <v>3267032976</v>
      </c>
      <c r="P51" s="19"/>
      <c r="Q51" s="19">
        <v>83891815</v>
      </c>
      <c r="R51" s="19">
        <v>295133080</v>
      </c>
      <c r="S51" s="19">
        <v>597581949</v>
      </c>
      <c r="T51" s="19">
        <v>255695171</v>
      </c>
      <c r="U51" s="19">
        <v>1066482885</v>
      </c>
      <c r="V51" s="19">
        <v>574581495</v>
      </c>
      <c r="W51" s="19">
        <v>502292666</v>
      </c>
      <c r="X51" s="19">
        <v>585465845</v>
      </c>
      <c r="Y51" s="19">
        <v>400211560</v>
      </c>
      <c r="Z51" s="19">
        <v>350100652</v>
      </c>
      <c r="AA51" s="19">
        <v>147571640</v>
      </c>
      <c r="AB51" s="19">
        <v>301598943</v>
      </c>
      <c r="AC51" s="19">
        <v>362114416</v>
      </c>
      <c r="AD51" s="19">
        <v>306058867</v>
      </c>
      <c r="AE51" s="19">
        <v>261748879</v>
      </c>
      <c r="AF51" s="19">
        <v>283017870</v>
      </c>
      <c r="AG51" s="19">
        <v>1391013880</v>
      </c>
      <c r="AH51" s="19">
        <v>1017888314</v>
      </c>
      <c r="AI51" s="19">
        <v>400028242</v>
      </c>
      <c r="AJ51" s="19">
        <v>543372519</v>
      </c>
      <c r="AK51" s="19">
        <v>322805479</v>
      </c>
      <c r="AL51" s="19">
        <v>372173204</v>
      </c>
      <c r="AM51" s="19">
        <v>1231768559</v>
      </c>
      <c r="AN51" s="19">
        <v>93169930</v>
      </c>
      <c r="AO51" s="19">
        <v>883330654</v>
      </c>
      <c r="AP51" s="19">
        <v>224477493</v>
      </c>
      <c r="AQ51" s="19">
        <v>43030952</v>
      </c>
      <c r="AR51" s="19">
        <v>114732853</v>
      </c>
      <c r="AS51" s="19">
        <v>812806874</v>
      </c>
      <c r="AT51" s="19">
        <v>397907203</v>
      </c>
    </row>
    <row r="52" spans="1:46">
      <c r="A52" s="9" t="s">
        <v>124</v>
      </c>
      <c r="B52" s="15" t="s">
        <v>26</v>
      </c>
      <c r="C52" s="19">
        <v>510359193</v>
      </c>
      <c r="D52" s="19">
        <v>321641000</v>
      </c>
      <c r="E52" s="19">
        <v>172811370</v>
      </c>
      <c r="F52" s="19">
        <v>1039781980</v>
      </c>
      <c r="G52" s="19">
        <v>66968082</v>
      </c>
      <c r="H52" s="19">
        <v>1859694483</v>
      </c>
      <c r="I52" s="19">
        <v>1809707967</v>
      </c>
      <c r="J52" s="19">
        <v>162839999</v>
      </c>
      <c r="K52" s="19">
        <v>581244865</v>
      </c>
      <c r="L52" s="19">
        <v>130270995</v>
      </c>
      <c r="M52" s="19">
        <v>1429397349</v>
      </c>
      <c r="N52" s="19">
        <v>332025200</v>
      </c>
      <c r="O52" s="19">
        <v>1960592985</v>
      </c>
      <c r="P52" s="19"/>
      <c r="Q52" s="19">
        <v>27343663</v>
      </c>
      <c r="R52" s="19">
        <v>58347650</v>
      </c>
      <c r="S52" s="19">
        <v>241518100</v>
      </c>
      <c r="T52" s="19">
        <v>95139100</v>
      </c>
      <c r="U52" s="19">
        <v>435901400</v>
      </c>
      <c r="V52" s="19">
        <v>309579358</v>
      </c>
      <c r="W52" s="19">
        <v>268540414</v>
      </c>
      <c r="X52" s="19">
        <v>303120310</v>
      </c>
      <c r="Y52" s="19">
        <v>95860256</v>
      </c>
      <c r="Z52" s="19">
        <v>183480936</v>
      </c>
      <c r="AA52" s="19">
        <v>60000000</v>
      </c>
      <c r="AB52" s="19">
        <v>65155560</v>
      </c>
      <c r="AC52" s="19">
        <v>157280201</v>
      </c>
      <c r="AD52" s="19">
        <v>136001891</v>
      </c>
      <c r="AE52" s="19">
        <v>117811398</v>
      </c>
      <c r="AF52" s="19">
        <v>149772610</v>
      </c>
      <c r="AG52" s="19">
        <v>649221541</v>
      </c>
      <c r="AH52" s="19">
        <v>368210023</v>
      </c>
      <c r="AI52" s="19">
        <v>219369629</v>
      </c>
      <c r="AJ52" s="19">
        <v>295316676</v>
      </c>
      <c r="AK52" s="19">
        <v>247474780</v>
      </c>
      <c r="AL52" s="19">
        <v>200066743</v>
      </c>
      <c r="AM52" s="19">
        <v>448772927</v>
      </c>
      <c r="AN52" s="19">
        <v>47377049</v>
      </c>
      <c r="AO52" s="19">
        <v>443214143</v>
      </c>
      <c r="AP52" s="19">
        <v>108591113</v>
      </c>
      <c r="AQ52" s="19">
        <v>36030900</v>
      </c>
      <c r="AR52" s="19">
        <v>45322640</v>
      </c>
      <c r="AS52" s="19">
        <v>228200250</v>
      </c>
      <c r="AT52" s="19">
        <v>296604150</v>
      </c>
    </row>
    <row r="53" spans="1:46">
      <c r="A53" s="9" t="s">
        <v>124</v>
      </c>
      <c r="B53" s="15" t="s">
        <v>35</v>
      </c>
      <c r="C53" s="19"/>
      <c r="D53" s="19"/>
      <c r="E53" s="19"/>
      <c r="F53" s="19"/>
      <c r="G53" s="19"/>
      <c r="H53" s="19"/>
      <c r="I53" s="19"/>
      <c r="J53" s="19"/>
      <c r="K53" s="19"/>
      <c r="L53" s="19"/>
      <c r="M53" s="19"/>
      <c r="N53" s="19"/>
      <c r="O53" s="19"/>
      <c r="P53" s="19"/>
      <c r="Q53" s="19"/>
      <c r="R53" s="19"/>
      <c r="S53" s="19"/>
      <c r="T53" s="19"/>
      <c r="U53" s="19"/>
      <c r="V53" s="19"/>
      <c r="W53" s="19">
        <v>-22928570</v>
      </c>
      <c r="X53" s="19"/>
      <c r="Y53" s="19"/>
      <c r="Z53" s="19"/>
      <c r="AA53" s="19"/>
      <c r="AB53" s="19"/>
      <c r="AC53" s="19"/>
      <c r="AD53" s="19"/>
      <c r="AE53" s="19"/>
      <c r="AF53" s="19"/>
      <c r="AG53" s="19"/>
      <c r="AH53" s="19"/>
      <c r="AI53" s="19"/>
      <c r="AJ53" s="19">
        <v>-13911620</v>
      </c>
      <c r="AK53" s="19">
        <v>-24326080</v>
      </c>
      <c r="AL53" s="19"/>
      <c r="AM53" s="19"/>
      <c r="AN53" s="19"/>
      <c r="AO53" s="19"/>
      <c r="AP53" s="19"/>
      <c r="AQ53" s="19"/>
      <c r="AR53" s="19"/>
      <c r="AS53" s="19"/>
      <c r="AT53" s="19"/>
    </row>
    <row r="54" spans="1:46">
      <c r="A54" s="9" t="s">
        <v>124</v>
      </c>
      <c r="B54" s="15" t="s">
        <v>73</v>
      </c>
      <c r="C54" s="19">
        <v>10639964</v>
      </c>
      <c r="D54" s="19">
        <v>3712259</v>
      </c>
      <c r="E54" s="19">
        <v>20704853</v>
      </c>
      <c r="F54" s="19">
        <v>0</v>
      </c>
      <c r="G54" s="19">
        <v>1949162</v>
      </c>
      <c r="H54" s="19"/>
      <c r="I54" s="19"/>
      <c r="J54" s="19"/>
      <c r="K54" s="19">
        <v>60964334</v>
      </c>
      <c r="L54" s="19">
        <v>2274609</v>
      </c>
      <c r="M54" s="19">
        <v>187690019</v>
      </c>
      <c r="N54" s="19">
        <v>7074125</v>
      </c>
      <c r="O54" s="19">
        <v>236557736</v>
      </c>
      <c r="P54" s="19"/>
      <c r="Q54" s="19">
        <v>3040728</v>
      </c>
      <c r="R54" s="19">
        <v>13024665</v>
      </c>
      <c r="S54" s="19">
        <v>3912863</v>
      </c>
      <c r="T54" s="19">
        <v>2405542</v>
      </c>
      <c r="U54" s="19">
        <v>24365486</v>
      </c>
      <c r="V54" s="19">
        <v>19724741</v>
      </c>
      <c r="W54" s="19">
        <v>39169449</v>
      </c>
      <c r="X54" s="19">
        <v>16636819</v>
      </c>
      <c r="Y54" s="19">
        <v>0</v>
      </c>
      <c r="Z54" s="19"/>
      <c r="AA54" s="19"/>
      <c r="AB54" s="19"/>
      <c r="AC54" s="19">
        <v>7780062</v>
      </c>
      <c r="AD54" s="19">
        <v>5382303</v>
      </c>
      <c r="AE54" s="19">
        <v>830832</v>
      </c>
      <c r="AF54" s="19">
        <v>34677245</v>
      </c>
      <c r="AG54" s="19"/>
      <c r="AH54" s="19">
        <v>6023194</v>
      </c>
      <c r="AI54" s="19"/>
      <c r="AJ54" s="19">
        <v>9799662</v>
      </c>
      <c r="AK54" s="19">
        <v>19202379</v>
      </c>
      <c r="AL54" s="19">
        <v>4001558</v>
      </c>
      <c r="AM54" s="19">
        <v>76727501</v>
      </c>
      <c r="AN54" s="19"/>
      <c r="AO54" s="19">
        <v>2497316</v>
      </c>
      <c r="AP54" s="19">
        <v>5164587</v>
      </c>
      <c r="AQ54" s="19"/>
      <c r="AR54" s="19">
        <v>6396516</v>
      </c>
      <c r="AS54" s="19">
        <v>42519542</v>
      </c>
      <c r="AT54" s="19"/>
    </row>
    <row r="55" spans="1:46">
      <c r="A55" s="9" t="s">
        <v>124</v>
      </c>
      <c r="B55" s="15" t="s">
        <v>58</v>
      </c>
      <c r="C55" s="19"/>
      <c r="D55" s="19"/>
      <c r="E55" s="19"/>
      <c r="F55" s="19"/>
      <c r="G55" s="19"/>
      <c r="H55" s="19"/>
      <c r="I55" s="19"/>
      <c r="J55" s="19"/>
      <c r="K55" s="19"/>
      <c r="L55" s="19"/>
      <c r="M55" s="19"/>
      <c r="N55" s="19"/>
      <c r="O55" s="19"/>
      <c r="P55" s="19"/>
      <c r="Q55" s="19"/>
      <c r="R55" s="19"/>
      <c r="S55" s="19"/>
      <c r="T55" s="19"/>
      <c r="U55" s="19"/>
      <c r="V55" s="19"/>
      <c r="W55" s="19"/>
      <c r="X55" s="19">
        <v>12120000</v>
      </c>
      <c r="Y55" s="19"/>
      <c r="Z55" s="19"/>
      <c r="AA55" s="19"/>
      <c r="AB55" s="19"/>
      <c r="AC55" s="19"/>
      <c r="AD55" s="19"/>
      <c r="AE55" s="19"/>
      <c r="AF55" s="19"/>
      <c r="AG55" s="19"/>
      <c r="AH55" s="19">
        <v>1373593</v>
      </c>
      <c r="AI55" s="19"/>
      <c r="AJ55" s="19"/>
      <c r="AK55" s="19"/>
      <c r="AL55" s="19"/>
      <c r="AM55" s="19">
        <v>16830699</v>
      </c>
      <c r="AN55" s="19"/>
      <c r="AO55" s="19"/>
      <c r="AP55" s="19"/>
      <c r="AQ55" s="19"/>
      <c r="AR55" s="19">
        <v>184070</v>
      </c>
      <c r="AS55" s="19">
        <v>3702748</v>
      </c>
      <c r="AT55" s="19"/>
    </row>
    <row r="56" spans="1:46">
      <c r="A56" s="9" t="s">
        <v>124</v>
      </c>
      <c r="B56" s="15" t="s">
        <v>55</v>
      </c>
      <c r="C56" s="19">
        <v>960870</v>
      </c>
      <c r="D56" s="19">
        <v>4868200</v>
      </c>
      <c r="E56" s="19">
        <v>2769948</v>
      </c>
      <c r="F56" s="19">
        <v>24455180</v>
      </c>
      <c r="G56" s="19">
        <v>1980940</v>
      </c>
      <c r="H56" s="19">
        <v>1324230</v>
      </c>
      <c r="I56" s="19">
        <v>15663722</v>
      </c>
      <c r="J56" s="19">
        <v>5814130</v>
      </c>
      <c r="K56" s="19">
        <v>42971966</v>
      </c>
      <c r="L56" s="19">
        <v>7647790</v>
      </c>
      <c r="M56" s="19">
        <v>43104700</v>
      </c>
      <c r="N56" s="19">
        <v>20009500</v>
      </c>
      <c r="O56" s="19">
        <v>4250890</v>
      </c>
      <c r="P56" s="19"/>
      <c r="Q56" s="19">
        <v>3499680</v>
      </c>
      <c r="R56" s="19">
        <v>1884918</v>
      </c>
      <c r="S56" s="19">
        <v>50180</v>
      </c>
      <c r="T56" s="19">
        <v>6602060</v>
      </c>
      <c r="U56" s="19">
        <v>831490</v>
      </c>
      <c r="V56" s="19">
        <v>12032920</v>
      </c>
      <c r="W56" s="19">
        <v>10367110</v>
      </c>
      <c r="X56" s="19">
        <v>14213653</v>
      </c>
      <c r="Y56" s="19">
        <v>5598485</v>
      </c>
      <c r="Z56" s="19">
        <v>1224190</v>
      </c>
      <c r="AA56" s="19">
        <v>27830370</v>
      </c>
      <c r="AB56" s="19">
        <v>2778290</v>
      </c>
      <c r="AC56" s="19">
        <v>17540574</v>
      </c>
      <c r="AD56" s="19">
        <v>2052690</v>
      </c>
      <c r="AE56" s="19">
        <v>4787095</v>
      </c>
      <c r="AF56" s="19">
        <v>1675540</v>
      </c>
      <c r="AG56" s="19">
        <v>15241870</v>
      </c>
      <c r="AH56" s="19">
        <v>11852349</v>
      </c>
      <c r="AI56" s="19">
        <v>7523280</v>
      </c>
      <c r="AJ56" s="19">
        <v>4675660</v>
      </c>
      <c r="AK56" s="19">
        <v>29572080</v>
      </c>
      <c r="AL56" s="19">
        <v>8714352</v>
      </c>
      <c r="AM56" s="19">
        <v>11108252</v>
      </c>
      <c r="AN56" s="19">
        <v>575130</v>
      </c>
      <c r="AO56" s="19">
        <v>19146980</v>
      </c>
      <c r="AP56" s="19">
        <v>4982540</v>
      </c>
      <c r="AQ56" s="19">
        <v>1265540</v>
      </c>
      <c r="AR56" s="19"/>
      <c r="AS56" s="19">
        <v>4127614</v>
      </c>
      <c r="AT56" s="19">
        <v>11643320</v>
      </c>
    </row>
    <row r="57" spans="1:46">
      <c r="A57" s="9" t="s">
        <v>124</v>
      </c>
      <c r="B57" s="15" t="s">
        <v>77</v>
      </c>
      <c r="C57" s="19">
        <v>121734475</v>
      </c>
      <c r="D57" s="19">
        <v>679684739</v>
      </c>
      <c r="E57" s="19">
        <v>128405188</v>
      </c>
      <c r="F57" s="19">
        <v>343494120</v>
      </c>
      <c r="G57" s="19">
        <v>76452203</v>
      </c>
      <c r="H57" s="19">
        <v>252455532</v>
      </c>
      <c r="I57" s="19">
        <v>568551253</v>
      </c>
      <c r="J57" s="19">
        <v>107621672</v>
      </c>
      <c r="K57" s="19">
        <v>209112868</v>
      </c>
      <c r="L57" s="19">
        <v>112349174</v>
      </c>
      <c r="M57" s="19">
        <v>730920096</v>
      </c>
      <c r="N57" s="19">
        <v>433815668</v>
      </c>
      <c r="O57" s="19">
        <v>1065631365</v>
      </c>
      <c r="P57" s="19"/>
      <c r="Q57" s="19">
        <v>50007744</v>
      </c>
      <c r="R57" s="19">
        <v>221875847</v>
      </c>
      <c r="S57" s="19">
        <v>352100806</v>
      </c>
      <c r="T57" s="19">
        <v>151548469</v>
      </c>
      <c r="U57" s="19">
        <v>605384509</v>
      </c>
      <c r="V57" s="19">
        <v>233244476</v>
      </c>
      <c r="W57" s="19">
        <v>207144263</v>
      </c>
      <c r="X57" s="19">
        <v>239375063</v>
      </c>
      <c r="Y57" s="19">
        <v>298752819</v>
      </c>
      <c r="Z57" s="19">
        <v>165395526</v>
      </c>
      <c r="AA57" s="19">
        <v>59741270</v>
      </c>
      <c r="AB57" s="19">
        <v>233665093</v>
      </c>
      <c r="AC57" s="19">
        <v>179513579</v>
      </c>
      <c r="AD57" s="19">
        <v>162621983</v>
      </c>
      <c r="AE57" s="19">
        <v>138319554</v>
      </c>
      <c r="AF57" s="19">
        <v>96892475</v>
      </c>
      <c r="AG57" s="19">
        <v>726550469</v>
      </c>
      <c r="AH57" s="19">
        <v>630429155</v>
      </c>
      <c r="AI57" s="19">
        <v>173135333</v>
      </c>
      <c r="AJ57" s="19">
        <v>247492141</v>
      </c>
      <c r="AK57" s="19">
        <v>50882320</v>
      </c>
      <c r="AL57" s="19">
        <v>159390551</v>
      </c>
      <c r="AM57" s="19">
        <v>678329180</v>
      </c>
      <c r="AN57" s="19">
        <v>45217751</v>
      </c>
      <c r="AO57" s="19">
        <v>418472215</v>
      </c>
      <c r="AP57" s="19">
        <v>105739253</v>
      </c>
      <c r="AQ57" s="19">
        <v>5734512</v>
      </c>
      <c r="AR57" s="19">
        <v>-48031615</v>
      </c>
      <c r="AS57" s="19">
        <v>-169669596</v>
      </c>
      <c r="AT57" s="19">
        <v>68378485</v>
      </c>
    </row>
    <row r="58" spans="1:46">
      <c r="A58" s="9" t="s">
        <v>124</v>
      </c>
      <c r="B58" s="10" t="s">
        <v>87</v>
      </c>
      <c r="C58" s="19">
        <v>-22337367</v>
      </c>
      <c r="D58" s="19">
        <v>-1029265804</v>
      </c>
      <c r="E58" s="19">
        <v>-34413775</v>
      </c>
      <c r="F58" s="19">
        <v>-22491667</v>
      </c>
      <c r="G58" s="19">
        <v>-59119769</v>
      </c>
      <c r="H58" s="19">
        <v>-66936172</v>
      </c>
      <c r="I58" s="19">
        <v>14991983</v>
      </c>
      <c r="J58" s="19">
        <v>-56875009</v>
      </c>
      <c r="K58" s="19">
        <v>-115341505</v>
      </c>
      <c r="L58" s="19">
        <v>-41752720</v>
      </c>
      <c r="M58" s="19">
        <v>-189412755</v>
      </c>
      <c r="N58" s="19">
        <v>-477843532</v>
      </c>
      <c r="O58" s="19">
        <v>35753869</v>
      </c>
      <c r="P58" s="19"/>
      <c r="Q58" s="19">
        <v>2461395</v>
      </c>
      <c r="R58" s="19">
        <v>-102267179</v>
      </c>
      <c r="S58" s="19">
        <v>-10766218</v>
      </c>
      <c r="T58" s="19">
        <v>-104944736</v>
      </c>
      <c r="U58" s="19">
        <v>143506051</v>
      </c>
      <c r="V58" s="19">
        <v>-231195140</v>
      </c>
      <c r="W58" s="19">
        <v>-253024295</v>
      </c>
      <c r="X58" s="19">
        <v>356765075</v>
      </c>
      <c r="Y58" s="19">
        <v>3685696</v>
      </c>
      <c r="Z58" s="19">
        <v>-12306266</v>
      </c>
      <c r="AA58" s="19">
        <v>273324739</v>
      </c>
      <c r="AB58" s="19">
        <v>-42183862</v>
      </c>
      <c r="AC58" s="19">
        <v>-95794568</v>
      </c>
      <c r="AD58" s="19">
        <v>-96139966</v>
      </c>
      <c r="AE58" s="19">
        <v>4635547</v>
      </c>
      <c r="AF58" s="19">
        <v>-66140094</v>
      </c>
      <c r="AG58" s="19">
        <v>-460645810</v>
      </c>
      <c r="AH58" s="19">
        <v>8207510</v>
      </c>
      <c r="AI58" s="19">
        <v>-194249834</v>
      </c>
      <c r="AJ58" s="19">
        <v>-45442982</v>
      </c>
      <c r="AK58" s="19">
        <v>-403465880</v>
      </c>
      <c r="AL58" s="19">
        <v>-69512572</v>
      </c>
      <c r="AM58" s="19">
        <v>213135431</v>
      </c>
      <c r="AN58" s="19">
        <v>-52948309</v>
      </c>
      <c r="AO58" s="19">
        <v>36272858</v>
      </c>
      <c r="AP58" s="19">
        <v>-59509162</v>
      </c>
      <c r="AQ58" s="19">
        <v>-38380801</v>
      </c>
      <c r="AR58" s="19">
        <v>-48031615</v>
      </c>
      <c r="AS58" s="19">
        <v>-169669596</v>
      </c>
      <c r="AT58" s="19">
        <v>68378485</v>
      </c>
    </row>
    <row r="59" spans="1:46">
      <c r="A59" s="9" t="s">
        <v>124</v>
      </c>
      <c r="B59" s="10" t="s">
        <v>16</v>
      </c>
      <c r="C59" s="19">
        <v>14772225</v>
      </c>
      <c r="D59" s="19">
        <v>1069642292</v>
      </c>
      <c r="E59" s="19">
        <v>70631996</v>
      </c>
      <c r="F59" s="19">
        <v>131733662</v>
      </c>
      <c r="G59" s="19">
        <v>79331196</v>
      </c>
      <c r="H59" s="19">
        <v>110759061</v>
      </c>
      <c r="I59" s="19">
        <v>91702220</v>
      </c>
      <c r="J59" s="19">
        <v>60033754</v>
      </c>
      <c r="K59" s="19">
        <v>16609399</v>
      </c>
      <c r="L59" s="19">
        <v>117686739</v>
      </c>
      <c r="M59" s="19">
        <v>122379106</v>
      </c>
      <c r="N59" s="19">
        <v>528959229</v>
      </c>
      <c r="O59" s="19">
        <v>91252840</v>
      </c>
      <c r="P59" s="19"/>
      <c r="Q59" s="19">
        <v>49017783</v>
      </c>
      <c r="R59" s="19">
        <v>105016502</v>
      </c>
      <c r="S59" s="19">
        <v>221032508</v>
      </c>
      <c r="T59" s="19">
        <v>89170920</v>
      </c>
      <c r="U59" s="19">
        <v>1977199</v>
      </c>
      <c r="V59" s="19">
        <v>303005002</v>
      </c>
      <c r="W59" s="19">
        <v>28098348</v>
      </c>
      <c r="X59" s="19">
        <v>105045018</v>
      </c>
      <c r="Y59" s="19">
        <v>30909273</v>
      </c>
      <c r="Z59" s="19">
        <v>15053311</v>
      </c>
      <c r="AA59" s="19">
        <v>7685527</v>
      </c>
      <c r="AB59" s="19">
        <v>45264447</v>
      </c>
      <c r="AC59" s="19">
        <v>136389155</v>
      </c>
      <c r="AD59" s="19">
        <v>125728189</v>
      </c>
      <c r="AE59" s="19">
        <v>42202100</v>
      </c>
      <c r="AF59" s="19">
        <v>90676237</v>
      </c>
      <c r="AG59" s="19">
        <v>195513375</v>
      </c>
      <c r="AH59" s="19">
        <v>72042191</v>
      </c>
      <c r="AI59" s="19">
        <v>158469008</v>
      </c>
      <c r="AJ59" s="19">
        <v>125535352</v>
      </c>
      <c r="AK59" s="19">
        <v>411716478</v>
      </c>
      <c r="AL59" s="19">
        <v>249371933</v>
      </c>
      <c r="AM59" s="19">
        <v>63806169</v>
      </c>
      <c r="AN59" s="19">
        <v>25335084</v>
      </c>
      <c r="AO59" s="19">
        <v>12603336</v>
      </c>
      <c r="AP59" s="19">
        <v>33910758</v>
      </c>
      <c r="AQ59" s="19">
        <v>14548364</v>
      </c>
      <c r="AR59" s="19">
        <v>71690209</v>
      </c>
      <c r="AS59" s="19">
        <v>364487911</v>
      </c>
      <c r="AT59" s="19">
        <v>2932732</v>
      </c>
    </row>
    <row r="60" spans="1:46">
      <c r="A60" s="9" t="s">
        <v>124</v>
      </c>
      <c r="B60" s="15" t="s">
        <v>148</v>
      </c>
      <c r="C60" s="19">
        <v>4033310</v>
      </c>
      <c r="D60" s="19">
        <v>2215093</v>
      </c>
      <c r="E60" s="19">
        <v>52012</v>
      </c>
      <c r="F60" s="19">
        <v>2042923</v>
      </c>
      <c r="G60" s="19">
        <v>863469</v>
      </c>
      <c r="H60" s="19">
        <v>114561</v>
      </c>
      <c r="I60" s="19">
        <v>0</v>
      </c>
      <c r="J60" s="19">
        <v>8256</v>
      </c>
      <c r="K60" s="19">
        <v>10480235</v>
      </c>
      <c r="L60" s="19">
        <v>36391</v>
      </c>
      <c r="M60" s="19">
        <v>206871</v>
      </c>
      <c r="N60" s="19">
        <v>82792</v>
      </c>
      <c r="O60" s="19">
        <v>1460199</v>
      </c>
      <c r="P60" s="19"/>
      <c r="Q60" s="19">
        <v>24184</v>
      </c>
      <c r="R60" s="19">
        <v>193256</v>
      </c>
      <c r="S60" s="19">
        <v>15399868</v>
      </c>
      <c r="T60" s="19">
        <v>9270</v>
      </c>
      <c r="U60" s="19">
        <v>590494</v>
      </c>
      <c r="V60" s="19">
        <v>232478</v>
      </c>
      <c r="W60" s="19">
        <v>178772</v>
      </c>
      <c r="X60" s="19">
        <v>19282279</v>
      </c>
      <c r="Y60" s="19">
        <v>198846</v>
      </c>
      <c r="Z60" s="19">
        <v>2513</v>
      </c>
      <c r="AA60" s="19">
        <v>7685482</v>
      </c>
      <c r="AB60" s="19">
        <v>2937051</v>
      </c>
      <c r="AC60" s="19">
        <v>1220787</v>
      </c>
      <c r="AD60" s="19">
        <v>568859</v>
      </c>
      <c r="AE60" s="19">
        <v>2318501</v>
      </c>
      <c r="AF60" s="19">
        <v>12223</v>
      </c>
      <c r="AG60" s="19">
        <v>103436</v>
      </c>
      <c r="AH60" s="19">
        <v>1363761</v>
      </c>
      <c r="AI60" s="19">
        <v>40828</v>
      </c>
      <c r="AJ60" s="19">
        <v>65371</v>
      </c>
      <c r="AK60" s="19">
        <v>37144585</v>
      </c>
      <c r="AL60" s="19">
        <v>156673</v>
      </c>
      <c r="AM60" s="19">
        <v>20972396</v>
      </c>
      <c r="AN60" s="19">
        <v>2917</v>
      </c>
      <c r="AO60" s="19">
        <v>87922</v>
      </c>
      <c r="AP60" s="19">
        <v>13952</v>
      </c>
      <c r="AQ60" s="19">
        <v>0</v>
      </c>
      <c r="AR60" s="19">
        <v>18107</v>
      </c>
      <c r="AS60" s="19">
        <v>196426</v>
      </c>
      <c r="AT60" s="19">
        <v>122552</v>
      </c>
    </row>
    <row r="61" spans="1:46">
      <c r="A61" s="9" t="s">
        <v>124</v>
      </c>
      <c r="B61" s="15" t="s">
        <v>62</v>
      </c>
      <c r="C61" s="19"/>
      <c r="D61" s="19"/>
      <c r="E61" s="19"/>
      <c r="F61" s="19"/>
      <c r="G61" s="19"/>
      <c r="H61" s="19"/>
      <c r="I61" s="19"/>
      <c r="J61" s="19">
        <v>35000000</v>
      </c>
      <c r="K61" s="19"/>
      <c r="L61" s="19"/>
      <c r="M61" s="19"/>
      <c r="N61" s="19">
        <v>18400000</v>
      </c>
      <c r="O61" s="19"/>
      <c r="P61" s="19"/>
      <c r="Q61" s="19">
        <v>0</v>
      </c>
      <c r="R61" s="19">
        <v>7448020</v>
      </c>
      <c r="S61" s="19"/>
      <c r="T61" s="19"/>
      <c r="U61" s="19"/>
      <c r="V61" s="19"/>
      <c r="W61" s="19">
        <v>4038937</v>
      </c>
      <c r="X61" s="19">
        <v>213416</v>
      </c>
      <c r="Y61" s="19"/>
      <c r="Z61" s="19"/>
      <c r="AA61" s="19"/>
      <c r="AB61" s="19"/>
      <c r="AC61" s="19"/>
      <c r="AD61" s="19"/>
      <c r="AE61" s="19"/>
      <c r="AF61" s="19"/>
      <c r="AG61" s="19">
        <v>137849553</v>
      </c>
      <c r="AH61" s="19"/>
      <c r="AI61" s="19"/>
      <c r="AJ61" s="19"/>
      <c r="AK61" s="19">
        <v>0</v>
      </c>
      <c r="AL61" s="19"/>
      <c r="AM61" s="19"/>
      <c r="AN61" s="19"/>
      <c r="AO61" s="19"/>
      <c r="AP61" s="19"/>
      <c r="AQ61" s="19"/>
      <c r="AR61" s="19"/>
      <c r="AS61" s="19"/>
      <c r="AT61" s="19"/>
    </row>
    <row r="62" spans="1:46">
      <c r="A62" s="9" t="s">
        <v>124</v>
      </c>
      <c r="B62" s="15" t="s">
        <v>20</v>
      </c>
      <c r="C62" s="19">
        <v>10738915</v>
      </c>
      <c r="D62" s="19">
        <v>4605462</v>
      </c>
      <c r="E62" s="19">
        <v>15543979</v>
      </c>
      <c r="F62" s="19">
        <v>478949</v>
      </c>
      <c r="G62" s="19">
        <v>785727</v>
      </c>
      <c r="H62" s="19">
        <v>200000</v>
      </c>
      <c r="I62" s="19">
        <v>7856430</v>
      </c>
      <c r="J62" s="19">
        <v>25498</v>
      </c>
      <c r="K62" s="19">
        <v>6129164</v>
      </c>
      <c r="L62" s="19">
        <v>60494</v>
      </c>
      <c r="M62" s="19">
        <v>11608437</v>
      </c>
      <c r="N62" s="19">
        <v>22937</v>
      </c>
      <c r="O62" s="19">
        <v>10533977</v>
      </c>
      <c r="P62" s="19"/>
      <c r="Q62" s="19">
        <v>44428</v>
      </c>
      <c r="R62" s="19">
        <v>503226</v>
      </c>
      <c r="S62" s="19">
        <v>205632640</v>
      </c>
      <c r="T62" s="19">
        <v>2636850</v>
      </c>
      <c r="U62" s="19">
        <v>1089055</v>
      </c>
      <c r="V62" s="19">
        <v>648439</v>
      </c>
      <c r="W62" s="19">
        <v>3880639</v>
      </c>
      <c r="X62" s="19">
        <v>172323</v>
      </c>
      <c r="Y62" s="19">
        <v>30130</v>
      </c>
      <c r="Z62" s="19">
        <v>5000798</v>
      </c>
      <c r="AA62" s="19">
        <v>45</v>
      </c>
      <c r="AB62" s="19">
        <v>96</v>
      </c>
      <c r="AC62" s="19">
        <v>706368</v>
      </c>
      <c r="AD62" s="19">
        <v>124252170</v>
      </c>
      <c r="AE62" s="19">
        <v>1938599</v>
      </c>
      <c r="AF62" s="19">
        <v>14</v>
      </c>
      <c r="AG62" s="19">
        <v>16747922</v>
      </c>
      <c r="AH62" s="19">
        <v>726952</v>
      </c>
      <c r="AI62" s="19">
        <v>180</v>
      </c>
      <c r="AJ62" s="19">
        <v>4568764</v>
      </c>
      <c r="AK62" s="19">
        <v>69611583</v>
      </c>
      <c r="AL62" s="19">
        <v>2464691</v>
      </c>
      <c r="AM62" s="19">
        <v>4015323</v>
      </c>
      <c r="AN62" s="19">
        <v>25332167</v>
      </c>
      <c r="AO62" s="19">
        <v>9048280</v>
      </c>
      <c r="AP62" s="19">
        <v>1025806</v>
      </c>
      <c r="AQ62" s="19">
        <v>453364</v>
      </c>
      <c r="AR62" s="19">
        <v>76</v>
      </c>
      <c r="AS62" s="19">
        <v>41700641</v>
      </c>
      <c r="AT62" s="19">
        <v>2810180</v>
      </c>
    </row>
    <row r="63" spans="1:46">
      <c r="A63" s="9" t="s">
        <v>124</v>
      </c>
      <c r="B63" s="15" t="s">
        <v>145</v>
      </c>
      <c r="C63" s="19"/>
      <c r="D63" s="19"/>
      <c r="E63" s="19"/>
      <c r="F63" s="19"/>
      <c r="G63" s="19"/>
      <c r="H63" s="19"/>
      <c r="I63" s="19"/>
      <c r="J63" s="19"/>
      <c r="K63" s="19"/>
      <c r="L63" s="19"/>
      <c r="M63" s="19"/>
      <c r="N63" s="19"/>
      <c r="O63" s="19">
        <v>956678</v>
      </c>
      <c r="P63" s="19"/>
      <c r="Q63" s="19"/>
      <c r="R63" s="19"/>
      <c r="S63" s="19"/>
      <c r="T63" s="19"/>
      <c r="U63" s="19"/>
      <c r="V63" s="19"/>
      <c r="W63" s="19"/>
      <c r="X63" s="19"/>
      <c r="Y63" s="19"/>
      <c r="Z63" s="19"/>
      <c r="AA63" s="19"/>
      <c r="AB63" s="19"/>
      <c r="AC63" s="19"/>
      <c r="AD63" s="19"/>
      <c r="AE63" s="19"/>
      <c r="AF63" s="19"/>
      <c r="AG63" s="19"/>
      <c r="AH63" s="19"/>
      <c r="AI63" s="19"/>
      <c r="AJ63" s="19"/>
      <c r="AK63" s="19"/>
      <c r="AL63" s="19"/>
      <c r="AM63" s="19"/>
      <c r="AN63" s="19"/>
      <c r="AO63" s="19"/>
      <c r="AP63" s="19"/>
      <c r="AQ63" s="19"/>
      <c r="AR63" s="19"/>
      <c r="AS63" s="19"/>
      <c r="AT63" s="19"/>
    </row>
    <row r="64" spans="1:46">
      <c r="A64" s="9" t="s">
        <v>124</v>
      </c>
      <c r="B64" s="16" t="s">
        <v>78</v>
      </c>
      <c r="C64" s="19">
        <v>0</v>
      </c>
      <c r="D64" s="19">
        <v>1061316362</v>
      </c>
      <c r="E64" s="19">
        <v>55011005</v>
      </c>
      <c r="F64" s="19">
        <v>129211790</v>
      </c>
      <c r="G64" s="19">
        <v>77682000</v>
      </c>
      <c r="H64" s="19">
        <v>102443000</v>
      </c>
      <c r="I64" s="19">
        <v>83845790</v>
      </c>
      <c r="J64" s="19">
        <v>25000000</v>
      </c>
      <c r="K64" s="19">
        <v>0</v>
      </c>
      <c r="L64" s="19">
        <v>100384000</v>
      </c>
      <c r="M64" s="19">
        <v>110266440</v>
      </c>
      <c r="N64" s="19">
        <v>510453500</v>
      </c>
      <c r="O64" s="19">
        <v>71858213</v>
      </c>
      <c r="P64" s="19"/>
      <c r="Q64" s="19">
        <v>48949171</v>
      </c>
      <c r="R64" s="19">
        <v>96872000</v>
      </c>
      <c r="S64" s="19">
        <v>0</v>
      </c>
      <c r="T64" s="19">
        <v>86524800</v>
      </c>
      <c r="U64" s="19">
        <v>0</v>
      </c>
      <c r="V64" s="19">
        <v>302124085</v>
      </c>
      <c r="W64" s="19">
        <v>0</v>
      </c>
      <c r="X64" s="19">
        <v>40677000</v>
      </c>
      <c r="Y64" s="19">
        <v>30680297</v>
      </c>
      <c r="Z64" s="19">
        <v>10050000</v>
      </c>
      <c r="AA64" s="19">
        <v>0</v>
      </c>
      <c r="AB64" s="19">
        <v>42327300</v>
      </c>
      <c r="AC64" s="19">
        <v>134462000</v>
      </c>
      <c r="AD64" s="19">
        <v>0</v>
      </c>
      <c r="AE64" s="19">
        <v>37945000</v>
      </c>
      <c r="AF64" s="19">
        <v>90664000</v>
      </c>
      <c r="AG64" s="19">
        <v>40793210</v>
      </c>
      <c r="AH64" s="19">
        <v>66700955</v>
      </c>
      <c r="AI64" s="19">
        <v>108428000</v>
      </c>
      <c r="AJ64" s="19">
        <v>118625240</v>
      </c>
      <c r="AK64" s="19">
        <v>304960310</v>
      </c>
      <c r="AL64" s="19">
        <v>246677823</v>
      </c>
      <c r="AM64" s="19">
        <v>38818450</v>
      </c>
      <c r="AN64" s="19">
        <v>0</v>
      </c>
      <c r="AO64" s="19">
        <v>0</v>
      </c>
      <c r="AP64" s="19">
        <v>32871000</v>
      </c>
      <c r="AQ64" s="19">
        <v>14095000</v>
      </c>
      <c r="AR64" s="19">
        <v>32564000</v>
      </c>
      <c r="AS64" s="19">
        <v>318985000</v>
      </c>
      <c r="AT64" s="19">
        <v>0</v>
      </c>
    </row>
    <row r="65" spans="1:46">
      <c r="A65" s="9" t="s">
        <v>124</v>
      </c>
      <c r="B65" s="17" t="s">
        <v>80</v>
      </c>
      <c r="C65" s="19"/>
      <c r="D65" s="19"/>
      <c r="E65" s="19"/>
      <c r="F65" s="19"/>
      <c r="G65" s="19"/>
      <c r="H65" s="19"/>
      <c r="I65" s="19">
        <v>83845790</v>
      </c>
      <c r="J65" s="19"/>
      <c r="K65" s="19"/>
      <c r="L65" s="19">
        <v>100384000</v>
      </c>
      <c r="M65" s="19">
        <v>60904980</v>
      </c>
      <c r="N65" s="19"/>
      <c r="O65" s="19"/>
      <c r="P65" s="19"/>
      <c r="Q65" s="19">
        <v>48949171</v>
      </c>
      <c r="R65" s="19"/>
      <c r="S65" s="19"/>
      <c r="T65" s="19">
        <v>86524800</v>
      </c>
      <c r="U65" s="19"/>
      <c r="V65" s="19">
        <v>68074000</v>
      </c>
      <c r="W65" s="19"/>
      <c r="X65" s="19"/>
      <c r="Y65" s="19">
        <v>30680297</v>
      </c>
      <c r="Z65" s="19"/>
      <c r="AA65" s="19"/>
      <c r="AB65" s="19"/>
      <c r="AC65" s="19">
        <v>134462000</v>
      </c>
      <c r="AD65" s="19"/>
      <c r="AE65" s="19">
        <v>37945000</v>
      </c>
      <c r="AF65" s="19">
        <v>90664000</v>
      </c>
      <c r="AG65" s="19"/>
      <c r="AH65" s="19"/>
      <c r="AI65" s="19"/>
      <c r="AJ65" s="19"/>
      <c r="AK65" s="19"/>
      <c r="AL65" s="19"/>
      <c r="AM65" s="19"/>
      <c r="AN65" s="19"/>
      <c r="AO65" s="19">
        <v>0</v>
      </c>
      <c r="AP65" s="19"/>
      <c r="AQ65" s="19">
        <v>14095000</v>
      </c>
      <c r="AR65" s="19">
        <v>20000000</v>
      </c>
      <c r="AS65" s="19"/>
      <c r="AT65" s="19"/>
    </row>
    <row r="66" spans="1:46">
      <c r="A66" s="9" t="s">
        <v>124</v>
      </c>
      <c r="B66" s="17" t="s">
        <v>7</v>
      </c>
      <c r="C66" s="19"/>
      <c r="D66" s="19">
        <v>1041078810</v>
      </c>
      <c r="E66" s="19"/>
      <c r="F66" s="19">
        <v>129211790</v>
      </c>
      <c r="G66" s="19">
        <v>77682000</v>
      </c>
      <c r="H66" s="19">
        <v>41374000</v>
      </c>
      <c r="I66" s="19"/>
      <c r="J66" s="19"/>
      <c r="K66" s="19"/>
      <c r="L66" s="19"/>
      <c r="M66" s="19"/>
      <c r="N66" s="19"/>
      <c r="O66" s="19"/>
      <c r="P66" s="19"/>
      <c r="Q66" s="19"/>
      <c r="R66" s="19"/>
      <c r="S66" s="19"/>
      <c r="T66" s="19"/>
      <c r="U66" s="19"/>
      <c r="V66" s="19"/>
      <c r="W66" s="19">
        <v>0</v>
      </c>
      <c r="X66" s="19"/>
      <c r="Y66" s="19"/>
      <c r="Z66" s="19"/>
      <c r="AA66" s="19"/>
      <c r="AB66" s="19">
        <v>42317000</v>
      </c>
      <c r="AC66" s="19"/>
      <c r="AD66" s="19"/>
      <c r="AE66" s="19"/>
      <c r="AF66" s="19"/>
      <c r="AG66" s="19">
        <v>40793210</v>
      </c>
      <c r="AH66" s="19"/>
      <c r="AI66" s="19">
        <v>108428000</v>
      </c>
      <c r="AJ66" s="19">
        <v>118625240</v>
      </c>
      <c r="AK66" s="19">
        <v>304960310</v>
      </c>
      <c r="AL66" s="19"/>
      <c r="AM66" s="19"/>
      <c r="AN66" s="19"/>
      <c r="AO66" s="19"/>
      <c r="AP66" s="19"/>
      <c r="AQ66" s="19"/>
      <c r="AR66" s="19">
        <v>12564000</v>
      </c>
      <c r="AS66" s="19">
        <v>318985000</v>
      </c>
      <c r="AT66" s="19"/>
    </row>
    <row r="67" spans="1:46">
      <c r="A67" s="9" t="s">
        <v>124</v>
      </c>
      <c r="B67" s="17" t="s">
        <v>25</v>
      </c>
      <c r="C67" s="19"/>
      <c r="D67" s="19">
        <v>20237552</v>
      </c>
      <c r="E67" s="19"/>
      <c r="F67" s="19"/>
      <c r="G67" s="19"/>
      <c r="H67" s="19"/>
      <c r="I67" s="19"/>
      <c r="J67" s="19"/>
      <c r="K67" s="19"/>
      <c r="L67" s="19"/>
      <c r="M67" s="19">
        <v>49361460</v>
      </c>
      <c r="N67" s="19">
        <v>137714857</v>
      </c>
      <c r="O67" s="19">
        <v>71858213</v>
      </c>
      <c r="P67" s="19"/>
      <c r="Q67" s="19"/>
      <c r="R67" s="19"/>
      <c r="S67" s="19"/>
      <c r="T67" s="19"/>
      <c r="U67" s="19"/>
      <c r="V67" s="19"/>
      <c r="W67" s="19"/>
      <c r="X67" s="19"/>
      <c r="Y67" s="19"/>
      <c r="Z67" s="19"/>
      <c r="AA67" s="19"/>
      <c r="AB67" s="19">
        <v>10300</v>
      </c>
      <c r="AC67" s="19"/>
      <c r="AD67" s="19"/>
      <c r="AE67" s="19"/>
      <c r="AF67" s="19"/>
      <c r="AG67" s="19"/>
      <c r="AH67" s="19"/>
      <c r="AI67" s="19"/>
      <c r="AJ67" s="19">
        <v>0</v>
      </c>
      <c r="AK67" s="19"/>
      <c r="AL67" s="19">
        <v>16844120</v>
      </c>
      <c r="AM67" s="19"/>
      <c r="AN67" s="19"/>
      <c r="AO67" s="19"/>
      <c r="AP67" s="19"/>
      <c r="AQ67" s="19"/>
      <c r="AR67" s="19"/>
      <c r="AS67" s="19"/>
      <c r="AT67" s="19"/>
    </row>
    <row r="68" spans="1:46">
      <c r="A68" s="9" t="s">
        <v>124</v>
      </c>
      <c r="B68" s="17" t="s">
        <v>17</v>
      </c>
      <c r="C68" s="19"/>
      <c r="D68" s="19"/>
      <c r="E68" s="19">
        <v>55011005</v>
      </c>
      <c r="F68" s="19"/>
      <c r="G68" s="19"/>
      <c r="H68" s="19">
        <v>61069000</v>
      </c>
      <c r="I68" s="19"/>
      <c r="J68" s="19">
        <v>25000000</v>
      </c>
      <c r="K68" s="19"/>
      <c r="L68" s="19"/>
      <c r="M68" s="19"/>
      <c r="N68" s="19">
        <v>372738643</v>
      </c>
      <c r="O68" s="19"/>
      <c r="P68" s="19"/>
      <c r="Q68" s="19"/>
      <c r="R68" s="19">
        <v>96872000</v>
      </c>
      <c r="S68" s="19"/>
      <c r="T68" s="19"/>
      <c r="U68" s="19"/>
      <c r="V68" s="19">
        <v>234050085</v>
      </c>
      <c r="W68" s="19"/>
      <c r="X68" s="19">
        <v>40677000</v>
      </c>
      <c r="Y68" s="19"/>
      <c r="Z68" s="19">
        <v>10050000</v>
      </c>
      <c r="AA68" s="19"/>
      <c r="AB68" s="19"/>
      <c r="AC68" s="19"/>
      <c r="AD68" s="19"/>
      <c r="AE68" s="19"/>
      <c r="AF68" s="19"/>
      <c r="AG68" s="19"/>
      <c r="AH68" s="19">
        <v>66700955</v>
      </c>
      <c r="AI68" s="19"/>
      <c r="AJ68" s="19"/>
      <c r="AK68" s="19"/>
      <c r="AL68" s="19">
        <v>229833703</v>
      </c>
      <c r="AM68" s="19">
        <v>38818450</v>
      </c>
      <c r="AN68" s="19"/>
      <c r="AO68" s="19"/>
      <c r="AP68" s="19">
        <v>32871000</v>
      </c>
      <c r="AQ68" s="19"/>
      <c r="AR68" s="19"/>
      <c r="AS68" s="19"/>
      <c r="AT68" s="19"/>
    </row>
    <row r="69" spans="1:46">
      <c r="A69" s="9" t="s">
        <v>124</v>
      </c>
      <c r="B69" s="18" t="s">
        <v>41</v>
      </c>
      <c r="C69" s="19"/>
      <c r="D69" s="19">
        <v>1505375</v>
      </c>
      <c r="E69" s="19">
        <v>25000</v>
      </c>
      <c r="F69" s="19"/>
      <c r="G69" s="19"/>
      <c r="H69" s="19">
        <v>8001500</v>
      </c>
      <c r="I69" s="19"/>
      <c r="J69" s="19"/>
      <c r="K69" s="19"/>
      <c r="L69" s="19">
        <v>17205854</v>
      </c>
      <c r="M69" s="19">
        <v>297358</v>
      </c>
      <c r="N69" s="19"/>
      <c r="O69" s="19">
        <v>6443773</v>
      </c>
      <c r="P69" s="19"/>
      <c r="Q69" s="19"/>
      <c r="R69" s="19"/>
      <c r="S69" s="19"/>
      <c r="T69" s="19"/>
      <c r="U69" s="19">
        <v>297650</v>
      </c>
      <c r="V69" s="19"/>
      <c r="W69" s="19">
        <v>20000000</v>
      </c>
      <c r="X69" s="19">
        <v>44700000</v>
      </c>
      <c r="Y69" s="19"/>
      <c r="Z69" s="19"/>
      <c r="AA69" s="19"/>
      <c r="AB69" s="19"/>
      <c r="AC69" s="19"/>
      <c r="AD69" s="19">
        <v>907160</v>
      </c>
      <c r="AE69" s="19"/>
      <c r="AF69" s="19"/>
      <c r="AG69" s="19">
        <v>19254</v>
      </c>
      <c r="AH69" s="19">
        <v>3250523</v>
      </c>
      <c r="AI69" s="19">
        <v>50000000</v>
      </c>
      <c r="AJ69" s="19">
        <v>2275977</v>
      </c>
      <c r="AK69" s="19"/>
      <c r="AL69" s="19">
        <v>72746</v>
      </c>
      <c r="AM69" s="19"/>
      <c r="AN69" s="19"/>
      <c r="AO69" s="19">
        <v>3467134</v>
      </c>
      <c r="AP69" s="19"/>
      <c r="AQ69" s="19"/>
      <c r="AR69" s="19">
        <v>39108026</v>
      </c>
      <c r="AS69" s="19">
        <v>3605844</v>
      </c>
      <c r="AT69" s="19"/>
    </row>
    <row r="70" spans="1:46">
      <c r="A70" s="9" t="s">
        <v>124</v>
      </c>
      <c r="B70" s="10" t="s">
        <v>10</v>
      </c>
      <c r="C70" s="19">
        <v>4400010</v>
      </c>
      <c r="D70" s="19">
        <v>4223278</v>
      </c>
      <c r="E70" s="19">
        <v>21777286</v>
      </c>
      <c r="F70" s="19">
        <v>12722681</v>
      </c>
      <c r="G70" s="19">
        <v>5622781</v>
      </c>
      <c r="H70" s="19">
        <v>37379170</v>
      </c>
      <c r="I70" s="19">
        <v>61638480</v>
      </c>
      <c r="J70" s="19">
        <v>8</v>
      </c>
      <c r="K70" s="19">
        <v>7412460</v>
      </c>
      <c r="L70" s="19">
        <v>33950772</v>
      </c>
      <c r="M70" s="19">
        <v>31546782</v>
      </c>
      <c r="N70" s="19">
        <v>9173340</v>
      </c>
      <c r="O70" s="19">
        <v>89756689</v>
      </c>
      <c r="P70" s="19"/>
      <c r="Q70" s="19">
        <v>96707</v>
      </c>
      <c r="R70" s="19">
        <v>8354016</v>
      </c>
      <c r="S70" s="19">
        <v>48397945</v>
      </c>
      <c r="T70" s="19">
        <v>1323300</v>
      </c>
      <c r="U70" s="19">
        <v>1066920</v>
      </c>
      <c r="V70" s="19">
        <v>9125119</v>
      </c>
      <c r="W70" s="19">
        <v>31596330</v>
      </c>
      <c r="X70" s="19">
        <v>36962993</v>
      </c>
      <c r="Y70" s="19">
        <v>2250015</v>
      </c>
      <c r="Z70" s="19">
        <v>2331190</v>
      </c>
      <c r="AA70" s="19">
        <v>102863053</v>
      </c>
      <c r="AB70" s="19">
        <v>1155357</v>
      </c>
      <c r="AC70" s="19">
        <v>7966665</v>
      </c>
      <c r="AD70" s="19">
        <v>26750220</v>
      </c>
      <c r="AE70" s="19">
        <v>2266274</v>
      </c>
      <c r="AF70" s="19">
        <v>22</v>
      </c>
      <c r="AG70" s="19">
        <v>36211914</v>
      </c>
      <c r="AH70" s="19">
        <v>31254498</v>
      </c>
      <c r="AI70" s="19">
        <v>5030423</v>
      </c>
      <c r="AJ70" s="19">
        <v>64618795</v>
      </c>
      <c r="AK70" s="19">
        <v>65779185</v>
      </c>
      <c r="AL70" s="19">
        <v>178070254</v>
      </c>
      <c r="AM70" s="19">
        <v>107005911</v>
      </c>
      <c r="AN70" s="19">
        <v>14</v>
      </c>
      <c r="AO70" s="19">
        <v>6885918</v>
      </c>
      <c r="AP70" s="19">
        <v>954429</v>
      </c>
      <c r="AQ70" s="19">
        <v>2120260</v>
      </c>
      <c r="AR70" s="19">
        <v>2606</v>
      </c>
      <c r="AS70" s="19">
        <v>16773549</v>
      </c>
      <c r="AT70" s="19">
        <v>24017229</v>
      </c>
    </row>
    <row r="71" spans="1:46">
      <c r="A71" s="9" t="s">
        <v>124</v>
      </c>
      <c r="B71" s="15" t="s">
        <v>60</v>
      </c>
      <c r="C71" s="19"/>
      <c r="D71" s="19">
        <v>497220</v>
      </c>
      <c r="E71" s="19">
        <v>17341197</v>
      </c>
      <c r="F71" s="19"/>
      <c r="G71" s="19">
        <v>1489210</v>
      </c>
      <c r="H71" s="19">
        <v>1600000</v>
      </c>
      <c r="I71" s="19">
        <v>31709338</v>
      </c>
      <c r="J71" s="19"/>
      <c r="K71" s="19">
        <v>2070756</v>
      </c>
      <c r="L71" s="19">
        <v>3109186</v>
      </c>
      <c r="M71" s="19">
        <v>26576629</v>
      </c>
      <c r="N71" s="19"/>
      <c r="O71" s="19">
        <v>26272369</v>
      </c>
      <c r="P71" s="19"/>
      <c r="Q71" s="19"/>
      <c r="R71" s="19">
        <v>1468317</v>
      </c>
      <c r="S71" s="19">
        <v>11985945</v>
      </c>
      <c r="T71" s="19">
        <v>1306834</v>
      </c>
      <c r="U71" s="19"/>
      <c r="V71" s="19">
        <v>467756</v>
      </c>
      <c r="W71" s="19">
        <v>2548960</v>
      </c>
      <c r="X71" s="19">
        <v>4351571</v>
      </c>
      <c r="Y71" s="19"/>
      <c r="Z71" s="19">
        <v>665299</v>
      </c>
      <c r="AA71" s="19">
        <v>96842902</v>
      </c>
      <c r="AB71" s="19"/>
      <c r="AC71" s="19">
        <v>1000000</v>
      </c>
      <c r="AD71" s="19">
        <v>18954396</v>
      </c>
      <c r="AE71" s="19">
        <v>705604</v>
      </c>
      <c r="AF71" s="19"/>
      <c r="AG71" s="19">
        <v>26903653</v>
      </c>
      <c r="AH71" s="19">
        <v>38759</v>
      </c>
      <c r="AI71" s="19">
        <v>5023438</v>
      </c>
      <c r="AJ71" s="19">
        <v>3511556</v>
      </c>
      <c r="AK71" s="19">
        <v>50711879</v>
      </c>
      <c r="AL71" s="19"/>
      <c r="AM71" s="19">
        <v>47359118</v>
      </c>
      <c r="AN71" s="19"/>
      <c r="AO71" s="19">
        <v>5412505</v>
      </c>
      <c r="AP71" s="19">
        <v>403799</v>
      </c>
      <c r="AQ71" s="19">
        <v>0</v>
      </c>
      <c r="AR71" s="19"/>
      <c r="AS71" s="19">
        <v>15525629</v>
      </c>
      <c r="AT71" s="19">
        <v>5476274</v>
      </c>
    </row>
    <row r="72" spans="1:46">
      <c r="A72" s="9" t="s">
        <v>124</v>
      </c>
      <c r="B72" s="15" t="s">
        <v>29</v>
      </c>
      <c r="C72" s="19">
        <v>4400000</v>
      </c>
      <c r="D72" s="19"/>
      <c r="E72" s="19">
        <v>2700000</v>
      </c>
      <c r="F72" s="19">
        <v>12650000</v>
      </c>
      <c r="G72" s="19">
        <v>4040106</v>
      </c>
      <c r="H72" s="19"/>
      <c r="I72" s="19">
        <v>9929142</v>
      </c>
      <c r="J72" s="19"/>
      <c r="K72" s="19"/>
      <c r="L72" s="19">
        <v>4680000</v>
      </c>
      <c r="M72" s="19">
        <v>2059015</v>
      </c>
      <c r="N72" s="19">
        <v>0</v>
      </c>
      <c r="O72" s="19">
        <v>2815792</v>
      </c>
      <c r="P72" s="19"/>
      <c r="Q72" s="19"/>
      <c r="R72" s="19">
        <v>0</v>
      </c>
      <c r="S72" s="19">
        <v>36412000</v>
      </c>
      <c r="T72" s="19"/>
      <c r="U72" s="19">
        <v>500000</v>
      </c>
      <c r="V72" s="19">
        <v>0</v>
      </c>
      <c r="W72" s="19">
        <v>5977307</v>
      </c>
      <c r="X72" s="19">
        <v>32500000</v>
      </c>
      <c r="Y72" s="19">
        <v>750000</v>
      </c>
      <c r="Z72" s="19">
        <v>1420000</v>
      </c>
      <c r="AA72" s="19">
        <v>6000000</v>
      </c>
      <c r="AB72" s="19">
        <v>1054000</v>
      </c>
      <c r="AC72" s="19">
        <v>6490500</v>
      </c>
      <c r="AD72" s="19">
        <v>6717000</v>
      </c>
      <c r="AE72" s="19">
        <v>1400000</v>
      </c>
      <c r="AF72" s="19"/>
      <c r="AG72" s="19"/>
      <c r="AH72" s="19">
        <v>10000000</v>
      </c>
      <c r="AI72" s="19"/>
      <c r="AJ72" s="19">
        <v>13054891</v>
      </c>
      <c r="AK72" s="19">
        <v>1100000</v>
      </c>
      <c r="AL72" s="19">
        <v>10889700</v>
      </c>
      <c r="AM72" s="19">
        <v>54239000</v>
      </c>
      <c r="AN72" s="19"/>
      <c r="AO72" s="19">
        <v>300000</v>
      </c>
      <c r="AP72" s="19"/>
      <c r="AQ72" s="19"/>
      <c r="AR72" s="19"/>
      <c r="AS72" s="19">
        <v>1200000</v>
      </c>
      <c r="AT72" s="19">
        <v>9450000</v>
      </c>
    </row>
    <row r="73" spans="1:46">
      <c r="A73" s="9" t="s">
        <v>124</v>
      </c>
      <c r="B73" s="15" t="s">
        <v>57</v>
      </c>
      <c r="C73" s="19"/>
      <c r="D73" s="19"/>
      <c r="E73" s="19"/>
      <c r="F73" s="19">
        <v>72681</v>
      </c>
      <c r="G73" s="19"/>
      <c r="H73" s="19"/>
      <c r="I73" s="19"/>
      <c r="J73" s="19"/>
      <c r="K73" s="19">
        <v>5222456</v>
      </c>
      <c r="L73" s="19"/>
      <c r="M73" s="19"/>
      <c r="N73" s="19">
        <v>0</v>
      </c>
      <c r="O73" s="19"/>
      <c r="P73" s="19"/>
      <c r="Q73" s="19"/>
      <c r="R73" s="19">
        <v>6002982</v>
      </c>
      <c r="S73" s="19"/>
      <c r="T73" s="19">
        <v>16466</v>
      </c>
      <c r="U73" s="19"/>
      <c r="V73" s="19">
        <v>8207956</v>
      </c>
      <c r="W73" s="19">
        <v>21824556</v>
      </c>
      <c r="X73" s="19"/>
      <c r="Y73" s="19"/>
      <c r="Z73" s="19"/>
      <c r="AA73" s="19"/>
      <c r="AB73" s="19"/>
      <c r="AC73" s="19"/>
      <c r="AD73" s="19"/>
      <c r="AE73" s="19"/>
      <c r="AF73" s="19"/>
      <c r="AG73" s="19">
        <v>8378920</v>
      </c>
      <c r="AH73" s="19"/>
      <c r="AI73" s="19"/>
      <c r="AJ73" s="19">
        <v>37596298</v>
      </c>
      <c r="AK73" s="19">
        <v>13225822</v>
      </c>
      <c r="AL73" s="19"/>
      <c r="AM73" s="19"/>
      <c r="AN73" s="19"/>
      <c r="AO73" s="19"/>
      <c r="AP73" s="19"/>
      <c r="AQ73" s="19"/>
      <c r="AR73" s="19"/>
      <c r="AS73" s="19"/>
      <c r="AT73" s="19"/>
    </row>
    <row r="74" spans="1:46">
      <c r="A74" s="9" t="s">
        <v>124</v>
      </c>
      <c r="B74" s="15" t="s">
        <v>9</v>
      </c>
      <c r="C74" s="19">
        <v>10</v>
      </c>
      <c r="D74" s="19">
        <v>0</v>
      </c>
      <c r="E74" s="19">
        <v>1736089</v>
      </c>
      <c r="F74" s="19"/>
      <c r="G74" s="19">
        <v>93465</v>
      </c>
      <c r="H74" s="19"/>
      <c r="I74" s="19">
        <v>0</v>
      </c>
      <c r="J74" s="19">
        <v>8</v>
      </c>
      <c r="K74" s="19">
        <v>87003</v>
      </c>
      <c r="L74" s="19">
        <v>26151097</v>
      </c>
      <c r="M74" s="19">
        <v>2911138</v>
      </c>
      <c r="N74" s="19">
        <v>73340</v>
      </c>
      <c r="O74" s="19">
        <v>12780</v>
      </c>
      <c r="P74" s="19"/>
      <c r="Q74" s="19">
        <v>4</v>
      </c>
      <c r="R74" s="19">
        <v>859176</v>
      </c>
      <c r="S74" s="19"/>
      <c r="T74" s="19"/>
      <c r="U74" s="19">
        <v>58077</v>
      </c>
      <c r="V74" s="19">
        <v>449407</v>
      </c>
      <c r="W74" s="19">
        <v>1245507</v>
      </c>
      <c r="X74" s="19">
        <v>111422</v>
      </c>
      <c r="Y74" s="19">
        <v>1500015</v>
      </c>
      <c r="Z74" s="19">
        <v>245891</v>
      </c>
      <c r="AA74" s="19">
        <v>20151</v>
      </c>
      <c r="AB74" s="19">
        <v>101357</v>
      </c>
      <c r="AC74" s="19">
        <v>476165</v>
      </c>
      <c r="AD74" s="19">
        <v>1078824</v>
      </c>
      <c r="AE74" s="19">
        <v>160670</v>
      </c>
      <c r="AF74" s="19">
        <v>22</v>
      </c>
      <c r="AG74" s="19">
        <v>929341</v>
      </c>
      <c r="AH74" s="19">
        <v>16193072</v>
      </c>
      <c r="AI74" s="19">
        <v>6985</v>
      </c>
      <c r="AJ74" s="19">
        <v>1469788</v>
      </c>
      <c r="AK74" s="19">
        <v>741484</v>
      </c>
      <c r="AL74" s="19">
        <v>6969</v>
      </c>
      <c r="AM74" s="19">
        <v>5407793</v>
      </c>
      <c r="AN74" s="19">
        <v>14</v>
      </c>
      <c r="AO74" s="19">
        <v>1173413</v>
      </c>
      <c r="AP74" s="19">
        <v>550630</v>
      </c>
      <c r="AQ74" s="19">
        <v>0</v>
      </c>
      <c r="AR74" s="19">
        <v>2606</v>
      </c>
      <c r="AS74" s="19">
        <v>47920</v>
      </c>
      <c r="AT74" s="19">
        <v>9090955</v>
      </c>
    </row>
    <row r="75" spans="1:46">
      <c r="A75" s="9" t="s">
        <v>124</v>
      </c>
      <c r="B75" s="15" t="s">
        <v>43</v>
      </c>
      <c r="C75" s="19"/>
      <c r="D75" s="19">
        <v>3726058</v>
      </c>
      <c r="E75" s="19"/>
      <c r="F75" s="19"/>
      <c r="G75" s="19"/>
      <c r="H75" s="19">
        <v>35779170</v>
      </c>
      <c r="I75" s="19">
        <v>20000000</v>
      </c>
      <c r="J75" s="19"/>
      <c r="K75" s="19">
        <v>32245</v>
      </c>
      <c r="L75" s="19">
        <v>10489</v>
      </c>
      <c r="M75" s="19"/>
      <c r="N75" s="19">
        <v>9100000</v>
      </c>
      <c r="O75" s="19">
        <v>60655748</v>
      </c>
      <c r="P75" s="19"/>
      <c r="Q75" s="19">
        <v>96703</v>
      </c>
      <c r="R75" s="19">
        <v>23541</v>
      </c>
      <c r="S75" s="19"/>
      <c r="T75" s="19"/>
      <c r="U75" s="19">
        <v>508843</v>
      </c>
      <c r="V75" s="19"/>
      <c r="W75" s="19"/>
      <c r="X75" s="19"/>
      <c r="Y75" s="19"/>
      <c r="Z75" s="19"/>
      <c r="AA75" s="19"/>
      <c r="AB75" s="19"/>
      <c r="AC75" s="19"/>
      <c r="AD75" s="19"/>
      <c r="AE75" s="19"/>
      <c r="AF75" s="19"/>
      <c r="AG75" s="19"/>
      <c r="AH75" s="19">
        <v>5022667</v>
      </c>
      <c r="AI75" s="19"/>
      <c r="AJ75" s="19">
        <v>8986262</v>
      </c>
      <c r="AK75" s="19"/>
      <c r="AL75" s="19">
        <v>167173585</v>
      </c>
      <c r="AM75" s="19"/>
      <c r="AN75" s="19"/>
      <c r="AO75" s="19"/>
      <c r="AP75" s="19"/>
      <c r="AQ75" s="19">
        <v>2120260</v>
      </c>
      <c r="AR75" s="19"/>
      <c r="AS75" s="19"/>
      <c r="AT75" s="19"/>
    </row>
    <row r="76" spans="1:46">
      <c r="A76" s="9" t="s">
        <v>124</v>
      </c>
      <c r="B76" s="10" t="s">
        <v>65</v>
      </c>
      <c r="C76" s="19">
        <v>-11965152</v>
      </c>
      <c r="D76" s="19">
        <v>36153210</v>
      </c>
      <c r="E76" s="19">
        <v>14440935</v>
      </c>
      <c r="F76" s="19">
        <v>96519314</v>
      </c>
      <c r="G76" s="19">
        <v>14588646</v>
      </c>
      <c r="H76" s="19">
        <v>6443719</v>
      </c>
      <c r="I76" s="19">
        <v>45055723</v>
      </c>
      <c r="J76" s="19">
        <v>3158737</v>
      </c>
      <c r="K76" s="19">
        <v>-106144566</v>
      </c>
      <c r="L76" s="19">
        <v>41983247</v>
      </c>
      <c r="M76" s="19">
        <v>-98580431</v>
      </c>
      <c r="N76" s="19">
        <v>41942357</v>
      </c>
      <c r="O76" s="19">
        <v>37250020</v>
      </c>
      <c r="P76" s="19"/>
      <c r="Q76" s="19">
        <v>51382471</v>
      </c>
      <c r="R76" s="19">
        <v>-5604693</v>
      </c>
      <c r="S76" s="19">
        <v>161868345</v>
      </c>
      <c r="T76" s="19">
        <v>-17097116</v>
      </c>
      <c r="U76" s="19">
        <v>144416330</v>
      </c>
      <c r="V76" s="19">
        <v>62684743</v>
      </c>
      <c r="W76" s="19">
        <v>-256522277</v>
      </c>
      <c r="X76" s="19">
        <v>424847100</v>
      </c>
      <c r="Y76" s="19">
        <v>32344954</v>
      </c>
      <c r="Z76" s="19">
        <v>415855</v>
      </c>
      <c r="AA76" s="19">
        <v>178147213</v>
      </c>
      <c r="AB76" s="19">
        <v>1925228</v>
      </c>
      <c r="AC76" s="19">
        <v>32627922</v>
      </c>
      <c r="AD76" s="19">
        <v>2838003</v>
      </c>
      <c r="AE76" s="19">
        <v>44571373</v>
      </c>
      <c r="AF76" s="19">
        <v>24536121</v>
      </c>
      <c r="AG76" s="19">
        <v>-301344349</v>
      </c>
      <c r="AH76" s="19">
        <v>48995203</v>
      </c>
      <c r="AI76" s="19">
        <v>-40811249</v>
      </c>
      <c r="AJ76" s="19">
        <v>15473575</v>
      </c>
      <c r="AK76" s="19">
        <v>16236624</v>
      </c>
      <c r="AL76" s="19">
        <v>1789107</v>
      </c>
      <c r="AM76" s="19">
        <v>169935689</v>
      </c>
      <c r="AN76" s="19">
        <v>-27613239</v>
      </c>
      <c r="AO76" s="19">
        <v>41990276</v>
      </c>
      <c r="AP76" s="19">
        <v>-26552833</v>
      </c>
      <c r="AQ76" s="19">
        <v>-25952697</v>
      </c>
      <c r="AR76" s="19">
        <v>23655988</v>
      </c>
      <c r="AS76" s="19">
        <v>178044766</v>
      </c>
      <c r="AT76" s="19">
        <v>47293988</v>
      </c>
    </row>
    <row r="77" spans="1:46">
      <c r="A77" s="9" t="s">
        <v>124</v>
      </c>
      <c r="B77" s="10" t="s">
        <v>101</v>
      </c>
      <c r="C77" s="19">
        <v>90530</v>
      </c>
      <c r="D77" s="19">
        <v>0</v>
      </c>
      <c r="E77" s="19">
        <v>8321930</v>
      </c>
      <c r="F77" s="19">
        <v>12055200</v>
      </c>
      <c r="G77" s="19">
        <v>2105660</v>
      </c>
      <c r="H77" s="19">
        <v>730310</v>
      </c>
      <c r="I77" s="19">
        <v>0</v>
      </c>
      <c r="J77" s="19">
        <v>0</v>
      </c>
      <c r="K77" s="19">
        <v>0</v>
      </c>
      <c r="L77" s="19"/>
      <c r="M77" s="19">
        <v>0</v>
      </c>
      <c r="N77" s="19">
        <v>938910</v>
      </c>
      <c r="O77" s="19">
        <v>0</v>
      </c>
      <c r="P77" s="19"/>
      <c r="Q77" s="19">
        <v>1261821</v>
      </c>
      <c r="R77" s="19">
        <v>0</v>
      </c>
      <c r="S77" s="19">
        <v>0</v>
      </c>
      <c r="T77" s="19"/>
      <c r="U77" s="19">
        <v>0</v>
      </c>
      <c r="V77" s="19">
        <v>0</v>
      </c>
      <c r="W77" s="19">
        <v>0</v>
      </c>
      <c r="X77" s="19">
        <v>68875050</v>
      </c>
      <c r="Y77" s="19">
        <v>0</v>
      </c>
      <c r="Z77" s="19">
        <v>0</v>
      </c>
      <c r="AA77" s="19">
        <v>4566792</v>
      </c>
      <c r="AB77" s="19">
        <v>264153</v>
      </c>
      <c r="AC77" s="19">
        <v>4009500</v>
      </c>
      <c r="AD77" s="19">
        <v>0</v>
      </c>
      <c r="AE77" s="19">
        <v>2445930</v>
      </c>
      <c r="AF77" s="19">
        <v>0</v>
      </c>
      <c r="AG77" s="19">
        <v>0</v>
      </c>
      <c r="AH77" s="19">
        <v>7047550</v>
      </c>
      <c r="AI77" s="19">
        <v>0</v>
      </c>
      <c r="AJ77" s="19">
        <v>2200297</v>
      </c>
      <c r="AK77" s="19">
        <v>4020</v>
      </c>
      <c r="AL77" s="19">
        <v>1101350</v>
      </c>
      <c r="AM77" s="19"/>
      <c r="AN77" s="19">
        <v>0</v>
      </c>
      <c r="AO77" s="19">
        <v>0</v>
      </c>
      <c r="AP77" s="19">
        <v>0</v>
      </c>
      <c r="AQ77" s="19"/>
      <c r="AR77" s="19">
        <v>0</v>
      </c>
      <c r="AS77" s="19">
        <v>19739840</v>
      </c>
      <c r="AT77" s="19">
        <v>2673900</v>
      </c>
    </row>
    <row r="78" spans="1:46">
      <c r="A78" s="9" t="s">
        <v>124</v>
      </c>
      <c r="B78" s="10" t="s">
        <v>149</v>
      </c>
      <c r="C78" s="19">
        <v>-12055682</v>
      </c>
      <c r="D78" s="19">
        <v>36153210</v>
      </c>
      <c r="E78" s="19">
        <v>6119005</v>
      </c>
      <c r="F78" s="19">
        <v>84464114</v>
      </c>
      <c r="G78" s="19">
        <v>12482986</v>
      </c>
      <c r="H78" s="19">
        <v>5713409</v>
      </c>
      <c r="I78" s="19">
        <v>45055723</v>
      </c>
      <c r="J78" s="19">
        <v>3158737</v>
      </c>
      <c r="K78" s="19">
        <v>-106144566</v>
      </c>
      <c r="L78" s="19">
        <v>41983247</v>
      </c>
      <c r="M78" s="19">
        <v>-98580431</v>
      </c>
      <c r="N78" s="19">
        <v>41003447</v>
      </c>
      <c r="O78" s="19">
        <v>37250020</v>
      </c>
      <c r="P78" s="19">
        <v>44445704</v>
      </c>
      <c r="Q78" s="19">
        <v>50120650</v>
      </c>
      <c r="R78" s="19">
        <v>-5604693</v>
      </c>
      <c r="S78" s="19">
        <v>161868345</v>
      </c>
      <c r="T78" s="19">
        <v>-17097116</v>
      </c>
      <c r="U78" s="19">
        <v>144416330</v>
      </c>
      <c r="V78" s="19">
        <v>62684743</v>
      </c>
      <c r="W78" s="19">
        <v>-256522277</v>
      </c>
      <c r="X78" s="19">
        <v>355972050</v>
      </c>
      <c r="Y78" s="19">
        <v>32344954</v>
      </c>
      <c r="Z78" s="19">
        <v>415855</v>
      </c>
      <c r="AA78" s="19">
        <v>173580421</v>
      </c>
      <c r="AB78" s="19">
        <v>1661075</v>
      </c>
      <c r="AC78" s="19">
        <v>28618422</v>
      </c>
      <c r="AD78" s="19">
        <v>2838003</v>
      </c>
      <c r="AE78" s="19">
        <v>42125443</v>
      </c>
      <c r="AF78" s="19">
        <v>24536121</v>
      </c>
      <c r="AG78" s="19">
        <v>-301344349</v>
      </c>
      <c r="AH78" s="19">
        <v>41947653</v>
      </c>
      <c r="AI78" s="19">
        <v>-40811249</v>
      </c>
      <c r="AJ78" s="19">
        <v>13273278</v>
      </c>
      <c r="AK78" s="19">
        <v>16232604</v>
      </c>
      <c r="AL78" s="19">
        <v>687757</v>
      </c>
      <c r="AM78" s="19">
        <v>169935689</v>
      </c>
      <c r="AN78" s="19">
        <v>-27613239</v>
      </c>
      <c r="AO78" s="19">
        <v>41990276</v>
      </c>
      <c r="AP78" s="19">
        <v>-26552833</v>
      </c>
      <c r="AQ78" s="19">
        <v>-25952697</v>
      </c>
      <c r="AR78" s="19">
        <v>23655988</v>
      </c>
      <c r="AS78" s="19">
        <v>158304926</v>
      </c>
      <c r="AT78" s="19">
        <v>44620088</v>
      </c>
    </row>
  </sheetData>
  <phoneticPr fontId="14" type="noConversion"/>
  <pageMargins left="0.69972223043441772" right="0.69972223043441772" top="0.75" bottom="0.75" header="0.30000001192092896" footer="0.30000001192092896"/>
  <pageSetup paperSize="9" orientation="portrai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4"/>
  <dimension ref="A1:CR78"/>
  <sheetViews>
    <sheetView zoomScale="70" zoomScaleNormal="70" zoomScaleSheetLayoutView="70" workbookViewId="0">
      <pane xSplit="2" topLeftCell="C1" activePane="topRight" state="frozen"/>
      <selection pane="topRight" activeCell="D21" sqref="A1:CR78"/>
    </sheetView>
  </sheetViews>
  <sheetFormatPr defaultColWidth="8.796875" defaultRowHeight="17.399999999999999"/>
  <cols>
    <col min="2" max="2" width="27.5" customWidth="1"/>
    <col min="3" max="96" width="15.69921875" customWidth="1"/>
  </cols>
  <sheetData>
    <row r="1" spans="1:96" ht="17.55" customHeight="1">
      <c r="A1" s="5"/>
      <c r="B1" s="6" t="s">
        <v>111</v>
      </c>
      <c r="C1" s="20">
        <v>1510001</v>
      </c>
      <c r="D1" s="20">
        <v>1510002</v>
      </c>
      <c r="E1" s="20">
        <v>1510003</v>
      </c>
      <c r="F1" s="20">
        <v>1510004</v>
      </c>
      <c r="G1" s="20">
        <v>1510005</v>
      </c>
      <c r="H1" s="20">
        <v>1510006</v>
      </c>
      <c r="I1" s="20">
        <v>1510007</v>
      </c>
      <c r="J1" s="20">
        <v>1510008</v>
      </c>
      <c r="K1" s="20">
        <v>1510009</v>
      </c>
      <c r="L1" s="20">
        <v>1510010</v>
      </c>
      <c r="M1" s="20">
        <v>1510011</v>
      </c>
      <c r="N1" s="20">
        <v>1510012</v>
      </c>
      <c r="O1" s="20">
        <v>1510013</v>
      </c>
      <c r="P1" s="20">
        <v>1510014</v>
      </c>
      <c r="Q1" s="20">
        <v>1510015</v>
      </c>
      <c r="R1" s="20">
        <v>1510016</v>
      </c>
      <c r="S1" s="20">
        <v>1510017</v>
      </c>
      <c r="T1" s="20">
        <v>1510018</v>
      </c>
      <c r="U1" s="20">
        <v>1510019</v>
      </c>
      <c r="V1" s="20">
        <v>1510020</v>
      </c>
      <c r="W1" s="20">
        <v>1510021</v>
      </c>
      <c r="X1" s="20">
        <v>1510022</v>
      </c>
      <c r="Y1" s="20">
        <v>1510023</v>
      </c>
      <c r="Z1" s="20">
        <v>1510024</v>
      </c>
      <c r="AA1" s="20">
        <v>1510025</v>
      </c>
      <c r="AB1" s="20">
        <v>1510026</v>
      </c>
      <c r="AC1" s="20">
        <v>1510027</v>
      </c>
      <c r="AD1" s="20">
        <v>1510028</v>
      </c>
      <c r="AE1" s="20">
        <v>1510029</v>
      </c>
      <c r="AF1" s="20">
        <v>1510030</v>
      </c>
      <c r="AG1" s="20">
        <v>1510031</v>
      </c>
      <c r="AH1" s="20">
        <v>1510032</v>
      </c>
      <c r="AI1" s="20">
        <v>1510033</v>
      </c>
      <c r="AJ1" s="20">
        <v>1510034</v>
      </c>
      <c r="AK1" s="20">
        <v>1510035</v>
      </c>
      <c r="AL1" s="20">
        <v>1510036</v>
      </c>
      <c r="AM1" s="20">
        <v>1510037</v>
      </c>
      <c r="AN1" s="20">
        <v>1510038</v>
      </c>
      <c r="AO1" s="20">
        <v>1510039</v>
      </c>
      <c r="AP1" s="20">
        <v>1510040</v>
      </c>
      <c r="AQ1" s="20">
        <v>1510041</v>
      </c>
      <c r="AR1" s="20">
        <v>1510042</v>
      </c>
      <c r="AS1" s="20">
        <v>1510043</v>
      </c>
      <c r="AT1" s="20">
        <v>1510044</v>
      </c>
      <c r="AU1" s="20">
        <v>1510045</v>
      </c>
      <c r="AV1" s="20">
        <v>1510046</v>
      </c>
      <c r="AW1" s="20">
        <v>1510047</v>
      </c>
      <c r="AX1" s="20">
        <v>1510048</v>
      </c>
      <c r="AY1" s="20">
        <v>1510049</v>
      </c>
      <c r="AZ1" s="20">
        <v>1510050</v>
      </c>
      <c r="BA1" s="20">
        <v>1510051</v>
      </c>
      <c r="BB1" s="20">
        <v>1510052</v>
      </c>
      <c r="BC1" s="20">
        <v>1604053</v>
      </c>
      <c r="BD1" s="20">
        <v>1604054</v>
      </c>
      <c r="BE1" s="20">
        <v>1604055</v>
      </c>
      <c r="BF1" s="20">
        <v>1604056</v>
      </c>
      <c r="BG1" s="20">
        <v>1604057</v>
      </c>
      <c r="BH1" s="20">
        <v>1604058</v>
      </c>
      <c r="BI1" s="20">
        <v>1604059</v>
      </c>
      <c r="BJ1" s="20">
        <v>1604060</v>
      </c>
      <c r="BK1" s="20">
        <v>1604061</v>
      </c>
      <c r="BL1" s="20">
        <v>1608062</v>
      </c>
      <c r="BM1" s="20">
        <v>1608063</v>
      </c>
      <c r="BN1" s="20">
        <v>1608064</v>
      </c>
      <c r="BO1" s="20">
        <v>1608065</v>
      </c>
      <c r="BP1" s="20">
        <v>1608066</v>
      </c>
      <c r="BQ1" s="20">
        <v>1608067</v>
      </c>
      <c r="BR1" s="20">
        <v>1608068</v>
      </c>
      <c r="BS1" s="20">
        <v>1608069</v>
      </c>
      <c r="BT1" s="20">
        <v>1608070</v>
      </c>
      <c r="BU1" s="20">
        <v>1608071</v>
      </c>
      <c r="BV1" s="20">
        <v>1608072</v>
      </c>
      <c r="BW1" s="20">
        <v>1608073</v>
      </c>
      <c r="BX1" s="20">
        <v>1608074</v>
      </c>
      <c r="BY1" s="20">
        <v>1608075</v>
      </c>
      <c r="BZ1" s="20">
        <v>1608076</v>
      </c>
      <c r="CA1" s="20">
        <v>1608077</v>
      </c>
      <c r="CB1" s="20">
        <v>1608078</v>
      </c>
      <c r="CC1" s="20">
        <v>1608079</v>
      </c>
      <c r="CD1" s="20">
        <v>1608080</v>
      </c>
      <c r="CE1" s="20">
        <v>1608081</v>
      </c>
      <c r="CF1" s="20">
        <v>1608082</v>
      </c>
      <c r="CG1" s="20">
        <v>1608083</v>
      </c>
      <c r="CH1" s="20">
        <v>1608084</v>
      </c>
      <c r="CI1" s="20">
        <v>1608085</v>
      </c>
      <c r="CJ1" s="20">
        <v>1608086</v>
      </c>
      <c r="CK1" s="20">
        <v>1608087</v>
      </c>
      <c r="CL1" s="20">
        <v>1608088</v>
      </c>
      <c r="CM1" s="20">
        <v>1608089</v>
      </c>
      <c r="CN1" s="20">
        <v>1608090</v>
      </c>
      <c r="CO1" s="20">
        <v>1608091</v>
      </c>
      <c r="CP1" s="20">
        <v>1608092</v>
      </c>
      <c r="CQ1" s="20">
        <v>1608093</v>
      </c>
      <c r="CR1" s="20">
        <v>1608094</v>
      </c>
    </row>
    <row r="2" spans="1:96" ht="17.55" customHeight="1">
      <c r="A2" s="7" t="s">
        <v>90</v>
      </c>
      <c r="B2" s="8" t="s">
        <v>112</v>
      </c>
      <c r="C2" s="19">
        <v>182605329</v>
      </c>
      <c r="D2" s="19">
        <v>1440892347</v>
      </c>
      <c r="E2" s="19">
        <v>765668099</v>
      </c>
      <c r="F2" s="19">
        <v>516757444</v>
      </c>
      <c r="G2" s="19">
        <v>173821111</v>
      </c>
      <c r="H2" s="19">
        <v>223489382</v>
      </c>
      <c r="I2" s="19">
        <v>1632298061</v>
      </c>
      <c r="J2" s="19">
        <v>117094893</v>
      </c>
      <c r="K2" s="19">
        <v>780328996</v>
      </c>
      <c r="L2" s="19">
        <v>930460015</v>
      </c>
      <c r="M2" s="19">
        <v>2474907493</v>
      </c>
      <c r="N2" s="19">
        <v>588375954</v>
      </c>
      <c r="O2" s="19">
        <v>3157498282</v>
      </c>
      <c r="P2" s="19">
        <v>1910993590</v>
      </c>
      <c r="Q2" s="19">
        <v>338934493</v>
      </c>
      <c r="R2" s="19">
        <v>335967562</v>
      </c>
      <c r="S2" s="19">
        <v>1735905147</v>
      </c>
      <c r="T2" s="19">
        <v>285899225</v>
      </c>
      <c r="U2" s="19">
        <v>2157974607</v>
      </c>
      <c r="V2" s="19">
        <v>522028418</v>
      </c>
      <c r="W2" s="19">
        <v>976804932</v>
      </c>
      <c r="X2" s="19">
        <v>5862931468</v>
      </c>
      <c r="Y2" s="19">
        <v>538640393</v>
      </c>
      <c r="Z2" s="19">
        <v>239660169</v>
      </c>
      <c r="AA2" s="19">
        <v>3476712755</v>
      </c>
      <c r="AB2" s="19">
        <v>186604138</v>
      </c>
      <c r="AC2" s="19">
        <v>444112359</v>
      </c>
      <c r="AD2" s="19">
        <v>1534448690</v>
      </c>
      <c r="AE2" s="19">
        <v>621983685</v>
      </c>
      <c r="AF2" s="19">
        <v>237043133</v>
      </c>
      <c r="AG2" s="19">
        <v>455405503</v>
      </c>
      <c r="AH2" s="19">
        <v>1118202836</v>
      </c>
      <c r="AI2" s="19">
        <v>315285234</v>
      </c>
      <c r="AJ2" s="19">
        <v>764707779</v>
      </c>
      <c r="AK2" s="19">
        <v>1917649127</v>
      </c>
      <c r="AL2" s="19">
        <v>341696095</v>
      </c>
      <c r="AM2" s="19">
        <v>4134459860</v>
      </c>
      <c r="AN2" s="19">
        <v>127093169</v>
      </c>
      <c r="AO2" s="19">
        <v>994840368</v>
      </c>
      <c r="AP2" s="19">
        <v>952802954</v>
      </c>
      <c r="AQ2" s="19">
        <v>80239977</v>
      </c>
      <c r="AR2" s="19">
        <v>157686807</v>
      </c>
      <c r="AS2" s="19">
        <v>902504345</v>
      </c>
      <c r="AT2" s="19">
        <v>2153895395</v>
      </c>
      <c r="AU2" s="19">
        <v>650107944</v>
      </c>
      <c r="AV2" s="19">
        <v>359524909</v>
      </c>
      <c r="AW2" s="19">
        <v>594988902</v>
      </c>
      <c r="AX2" s="19">
        <v>1641276003</v>
      </c>
      <c r="AY2" s="19">
        <v>546116669</v>
      </c>
      <c r="AZ2" s="19">
        <v>413047255</v>
      </c>
      <c r="BA2" s="19">
        <v>408592536</v>
      </c>
      <c r="BB2" s="19">
        <v>105892886</v>
      </c>
      <c r="BC2" s="19">
        <v>1536347346</v>
      </c>
      <c r="BD2" s="19">
        <v>24829637</v>
      </c>
      <c r="BE2" s="19">
        <v>450146670</v>
      </c>
      <c r="BF2" s="19">
        <v>2473693044</v>
      </c>
      <c r="BG2" s="19">
        <v>1618919559</v>
      </c>
      <c r="BH2" s="19">
        <v>316476896</v>
      </c>
      <c r="BI2" s="19">
        <v>288975430</v>
      </c>
      <c r="BJ2" s="19">
        <v>687228653</v>
      </c>
      <c r="BK2" s="19">
        <v>406207821</v>
      </c>
      <c r="BL2" s="19">
        <v>224858892</v>
      </c>
      <c r="BM2" s="19">
        <v>58414033</v>
      </c>
      <c r="BN2" s="19">
        <v>115187028</v>
      </c>
      <c r="BO2" s="19">
        <v>391734378</v>
      </c>
      <c r="BP2" s="19">
        <v>39800821</v>
      </c>
      <c r="BQ2" s="19">
        <v>358930341</v>
      </c>
      <c r="BR2" s="19">
        <v>51281009</v>
      </c>
      <c r="BS2" s="19">
        <v>92034691</v>
      </c>
      <c r="BT2" s="19">
        <v>108060236</v>
      </c>
      <c r="BU2" s="19">
        <v>91002873</v>
      </c>
      <c r="BV2" s="19">
        <v>362265076</v>
      </c>
      <c r="BW2" s="19">
        <v>66849691</v>
      </c>
      <c r="BX2" s="19">
        <v>170023402</v>
      </c>
      <c r="BY2" s="19">
        <v>792725030</v>
      </c>
      <c r="BZ2" s="19">
        <v>196931057</v>
      </c>
      <c r="CA2" s="19">
        <v>381616547</v>
      </c>
      <c r="CB2" s="19">
        <v>389601542</v>
      </c>
      <c r="CC2" s="19">
        <v>51890970</v>
      </c>
      <c r="CD2" s="19">
        <v>266151458</v>
      </c>
      <c r="CE2" s="19">
        <v>545804146</v>
      </c>
      <c r="CF2" s="19" t="s">
        <v>139</v>
      </c>
      <c r="CG2" s="19">
        <v>236000468</v>
      </c>
      <c r="CH2" s="19">
        <v>23118398</v>
      </c>
      <c r="CI2" s="19">
        <v>928040790</v>
      </c>
      <c r="CJ2" s="19">
        <v>435976730</v>
      </c>
      <c r="CK2" s="19">
        <v>2278347220</v>
      </c>
      <c r="CL2" s="19">
        <v>698106313</v>
      </c>
      <c r="CM2" s="19">
        <v>1227405838</v>
      </c>
      <c r="CN2" s="19">
        <v>165687474</v>
      </c>
      <c r="CO2" s="19">
        <v>272507793</v>
      </c>
      <c r="CP2" s="19">
        <v>354739551</v>
      </c>
      <c r="CQ2" s="19" t="s">
        <v>96</v>
      </c>
      <c r="CR2" s="19">
        <v>628976335</v>
      </c>
    </row>
    <row r="3" spans="1:96" ht="17.55" customHeight="1">
      <c r="A3" s="7" t="s">
        <v>90</v>
      </c>
      <c r="B3" s="8" t="s">
        <v>84</v>
      </c>
      <c r="C3" s="19">
        <v>153090982</v>
      </c>
      <c r="D3" s="19">
        <v>1093105157</v>
      </c>
      <c r="E3" s="19">
        <v>130272580</v>
      </c>
      <c r="F3" s="19">
        <v>422504275</v>
      </c>
      <c r="G3" s="19">
        <v>159885958</v>
      </c>
      <c r="H3" s="19">
        <v>83710560</v>
      </c>
      <c r="I3" s="19">
        <v>354831146</v>
      </c>
      <c r="J3" s="19">
        <v>6298043</v>
      </c>
      <c r="K3" s="19">
        <v>440289804</v>
      </c>
      <c r="L3" s="19">
        <v>796981938</v>
      </c>
      <c r="M3" s="19">
        <v>820387826</v>
      </c>
      <c r="N3" s="19">
        <v>495630497</v>
      </c>
      <c r="O3" s="19">
        <v>1468749332</v>
      </c>
      <c r="P3" s="19">
        <v>1006934543</v>
      </c>
      <c r="Q3" s="19">
        <v>305546800</v>
      </c>
      <c r="R3" s="19">
        <v>136740982</v>
      </c>
      <c r="S3" s="19">
        <v>1263395122</v>
      </c>
      <c r="T3" s="19">
        <v>14461804</v>
      </c>
      <c r="U3" s="19">
        <v>1701660678</v>
      </c>
      <c r="V3" s="19">
        <v>442734050</v>
      </c>
      <c r="W3" s="19">
        <v>547657902</v>
      </c>
      <c r="X3" s="19">
        <v>945547788</v>
      </c>
      <c r="Y3" s="19">
        <v>473800401</v>
      </c>
      <c r="Z3" s="19">
        <v>70319024</v>
      </c>
      <c r="AA3" s="19">
        <v>2269434149</v>
      </c>
      <c r="AB3" s="19">
        <v>124143359</v>
      </c>
      <c r="AC3" s="19">
        <v>218231249</v>
      </c>
      <c r="AD3" s="19">
        <v>474829682</v>
      </c>
      <c r="AE3" s="19">
        <v>248695990</v>
      </c>
      <c r="AF3" s="19">
        <v>42013608</v>
      </c>
      <c r="AG3" s="19">
        <v>38571541</v>
      </c>
      <c r="AH3" s="19">
        <v>1027912968</v>
      </c>
      <c r="AI3" s="19">
        <v>20947256</v>
      </c>
      <c r="AJ3" s="19">
        <v>482696183</v>
      </c>
      <c r="AK3" s="19">
        <v>1457627598</v>
      </c>
      <c r="AL3" s="19">
        <v>291472843</v>
      </c>
      <c r="AM3" s="19">
        <v>1622068785</v>
      </c>
      <c r="AN3" s="19">
        <v>41826261</v>
      </c>
      <c r="AO3" s="19">
        <v>849495329</v>
      </c>
      <c r="AP3" s="19">
        <v>825784142</v>
      </c>
      <c r="AQ3" s="19">
        <v>44311083</v>
      </c>
      <c r="AR3" s="19">
        <v>97181505</v>
      </c>
      <c r="AS3" s="19">
        <v>760661058</v>
      </c>
      <c r="AT3" s="19">
        <v>447432346</v>
      </c>
      <c r="AU3" s="19">
        <v>340189203</v>
      </c>
      <c r="AV3" s="19">
        <v>138999207</v>
      </c>
      <c r="AW3" s="19">
        <v>57890803</v>
      </c>
      <c r="AX3" s="19">
        <v>702456452</v>
      </c>
      <c r="AY3" s="19">
        <v>134799339</v>
      </c>
      <c r="AZ3" s="19">
        <v>228720037</v>
      </c>
      <c r="BA3" s="19">
        <v>172229387</v>
      </c>
      <c r="BB3" s="19">
        <v>71068641</v>
      </c>
      <c r="BC3" s="19">
        <v>900854963</v>
      </c>
      <c r="BD3" s="19">
        <v>15540137</v>
      </c>
      <c r="BE3" s="19">
        <v>421559023</v>
      </c>
      <c r="BF3" s="19">
        <v>1043315540</v>
      </c>
      <c r="BG3" s="19">
        <v>1059275836</v>
      </c>
      <c r="BH3" s="19">
        <v>162498224</v>
      </c>
      <c r="BI3" s="19">
        <v>223080956</v>
      </c>
      <c r="BJ3" s="19">
        <v>595685100</v>
      </c>
      <c r="BK3" s="19">
        <v>297248384</v>
      </c>
      <c r="BL3" s="19">
        <v>214955212</v>
      </c>
      <c r="BM3" s="19">
        <v>47665488</v>
      </c>
      <c r="BN3" s="19">
        <v>58195391</v>
      </c>
      <c r="BO3" s="19">
        <v>244455313</v>
      </c>
      <c r="BP3" s="19">
        <v>18318520</v>
      </c>
      <c r="BQ3" s="19">
        <v>147557207</v>
      </c>
      <c r="BR3" s="19">
        <v>48267372</v>
      </c>
      <c r="BS3" s="19">
        <v>48898250</v>
      </c>
      <c r="BT3" s="19">
        <v>48458974</v>
      </c>
      <c r="BU3" s="19">
        <v>40129236</v>
      </c>
      <c r="BV3" s="19">
        <v>308426415</v>
      </c>
      <c r="BW3" s="19">
        <v>53570972</v>
      </c>
      <c r="BX3" s="19">
        <v>154162278</v>
      </c>
      <c r="BY3" s="19">
        <v>467819229</v>
      </c>
      <c r="BZ3" s="19">
        <v>185009557</v>
      </c>
      <c r="CA3" s="19">
        <v>155910889</v>
      </c>
      <c r="CB3" s="19">
        <v>134514155</v>
      </c>
      <c r="CC3" s="19">
        <v>48890970</v>
      </c>
      <c r="CD3" s="19">
        <v>162149227</v>
      </c>
      <c r="CE3" s="19">
        <v>410595788</v>
      </c>
      <c r="CF3" s="19" t="s">
        <v>139</v>
      </c>
      <c r="CG3" s="19">
        <v>148736985</v>
      </c>
      <c r="CH3" s="19">
        <v>10189553</v>
      </c>
      <c r="CI3" s="19">
        <v>625365634</v>
      </c>
      <c r="CJ3" s="19">
        <v>355868176</v>
      </c>
      <c r="CK3" s="19">
        <v>206975252</v>
      </c>
      <c r="CL3" s="19">
        <v>253454902</v>
      </c>
      <c r="CM3" s="19">
        <v>658197201</v>
      </c>
      <c r="CN3" s="19">
        <v>59581333</v>
      </c>
      <c r="CO3" s="19">
        <v>211279901</v>
      </c>
      <c r="CP3" s="19">
        <v>272497715</v>
      </c>
      <c r="CQ3" s="19" t="s">
        <v>96</v>
      </c>
      <c r="CR3" s="19">
        <v>519967105</v>
      </c>
    </row>
    <row r="4" spans="1:96" ht="17.55" customHeight="1">
      <c r="A4" s="7" t="s">
        <v>90</v>
      </c>
      <c r="B4" s="11" t="s">
        <v>23</v>
      </c>
      <c r="C4" s="19">
        <v>153090982</v>
      </c>
      <c r="D4" s="19">
        <v>1032113473</v>
      </c>
      <c r="E4" s="19">
        <v>88476750</v>
      </c>
      <c r="F4" s="19">
        <v>422504275</v>
      </c>
      <c r="G4" s="19">
        <v>124779458</v>
      </c>
      <c r="H4" s="19">
        <v>83710560</v>
      </c>
      <c r="I4" s="19">
        <v>354831146</v>
      </c>
      <c r="J4" s="19">
        <v>6298043</v>
      </c>
      <c r="K4" s="19">
        <v>413741304</v>
      </c>
      <c r="L4" s="19">
        <v>265788373</v>
      </c>
      <c r="M4" s="19">
        <v>726299486</v>
      </c>
      <c r="N4" s="19">
        <v>495630497</v>
      </c>
      <c r="O4" s="19">
        <v>1350866071</v>
      </c>
      <c r="P4" s="19">
        <v>932403688</v>
      </c>
      <c r="Q4" s="19">
        <v>272070990</v>
      </c>
      <c r="R4" s="19">
        <v>122728101</v>
      </c>
      <c r="S4" s="19">
        <v>1215288601</v>
      </c>
      <c r="T4" s="19">
        <v>14461804</v>
      </c>
      <c r="U4" s="19">
        <v>1661999813</v>
      </c>
      <c r="V4" s="19">
        <v>385534326</v>
      </c>
      <c r="W4" s="19">
        <v>537495529</v>
      </c>
      <c r="X4" s="19">
        <v>945747788</v>
      </c>
      <c r="Y4" s="19">
        <v>473800401</v>
      </c>
      <c r="Z4" s="19">
        <v>70319024</v>
      </c>
      <c r="AA4" s="19">
        <v>1008340225</v>
      </c>
      <c r="AB4" s="19">
        <v>124143359</v>
      </c>
      <c r="AC4" s="19">
        <v>208716239</v>
      </c>
      <c r="AD4" s="19">
        <v>433172682</v>
      </c>
      <c r="AE4" s="19">
        <v>216515114</v>
      </c>
      <c r="AF4" s="19">
        <v>42013608</v>
      </c>
      <c r="AG4" s="19">
        <v>38571541</v>
      </c>
      <c r="AH4" s="19">
        <v>1027912968</v>
      </c>
      <c r="AI4" s="19">
        <v>14380654</v>
      </c>
      <c r="AJ4" s="19">
        <v>137093703</v>
      </c>
      <c r="AK4" s="19">
        <v>1121106752</v>
      </c>
      <c r="AL4" s="19">
        <v>291472843</v>
      </c>
      <c r="AM4" s="19">
        <v>1599895983</v>
      </c>
      <c r="AN4" s="19">
        <v>41826261</v>
      </c>
      <c r="AO4" s="19">
        <v>849495329</v>
      </c>
      <c r="AP4" s="19">
        <v>825784142</v>
      </c>
      <c r="AQ4" s="19">
        <v>44311083</v>
      </c>
      <c r="AR4" s="19">
        <v>42266505</v>
      </c>
      <c r="AS4" s="19">
        <v>752985658</v>
      </c>
      <c r="AT4" s="19">
        <v>181601084</v>
      </c>
      <c r="AU4" s="19">
        <v>340189203</v>
      </c>
      <c r="AV4" s="19">
        <v>138999207</v>
      </c>
      <c r="AW4" s="19">
        <v>47361581</v>
      </c>
      <c r="AX4" s="19">
        <v>419942382</v>
      </c>
      <c r="AY4" s="19">
        <v>134799339</v>
      </c>
      <c r="AZ4" s="19">
        <v>123794525</v>
      </c>
      <c r="BA4" s="19">
        <v>106617074</v>
      </c>
      <c r="BB4" s="19">
        <v>71068641</v>
      </c>
      <c r="BC4" s="19">
        <v>602869761</v>
      </c>
      <c r="BD4" s="19">
        <v>15540137</v>
      </c>
      <c r="BE4" s="19">
        <v>279886523</v>
      </c>
      <c r="BF4" s="19">
        <v>466022912</v>
      </c>
      <c r="BG4" s="19">
        <v>560459670</v>
      </c>
      <c r="BH4" s="19">
        <v>46173146</v>
      </c>
      <c r="BI4" s="19">
        <v>124404398</v>
      </c>
      <c r="BJ4" s="19">
        <v>435478270</v>
      </c>
      <c r="BK4" s="19">
        <v>140895531</v>
      </c>
      <c r="BL4" s="19">
        <v>212828212</v>
      </c>
      <c r="BM4" s="19">
        <v>27965488</v>
      </c>
      <c r="BN4" s="19">
        <v>58195391</v>
      </c>
      <c r="BO4" s="19">
        <v>112046483</v>
      </c>
      <c r="BP4" s="19">
        <v>18318520</v>
      </c>
      <c r="BQ4" s="19">
        <v>91523503</v>
      </c>
      <c r="BR4" s="19">
        <v>48267372</v>
      </c>
      <c r="BS4" s="19">
        <v>43339850</v>
      </c>
      <c r="BT4" s="19">
        <v>45827986</v>
      </c>
      <c r="BU4" s="19">
        <v>26136779</v>
      </c>
      <c r="BV4" s="19">
        <v>308166440</v>
      </c>
      <c r="BW4" s="19">
        <v>53570972</v>
      </c>
      <c r="BX4" s="19">
        <v>154162278</v>
      </c>
      <c r="BY4" s="19">
        <v>462815279</v>
      </c>
      <c r="BZ4" s="19">
        <v>171244244</v>
      </c>
      <c r="CA4" s="19">
        <v>155910889</v>
      </c>
      <c r="CB4" s="19">
        <v>132828155</v>
      </c>
      <c r="CC4" s="19">
        <v>48890970</v>
      </c>
      <c r="CD4" s="19">
        <v>93605227</v>
      </c>
      <c r="CE4" s="19">
        <v>84684688</v>
      </c>
      <c r="CF4" s="19" t="s">
        <v>139</v>
      </c>
      <c r="CG4" s="19">
        <v>148736985</v>
      </c>
      <c r="CH4" s="19">
        <v>6664553</v>
      </c>
      <c r="CI4" s="19">
        <v>189160818</v>
      </c>
      <c r="CJ4" s="19">
        <v>108953176</v>
      </c>
      <c r="CK4" s="19">
        <v>167215557</v>
      </c>
      <c r="CL4" s="19">
        <v>235640402</v>
      </c>
      <c r="CM4" s="19">
        <v>658197201</v>
      </c>
      <c r="CN4" s="19">
        <v>59581333</v>
      </c>
      <c r="CO4" s="19">
        <v>211279901</v>
      </c>
      <c r="CP4" s="19">
        <v>209551155</v>
      </c>
      <c r="CQ4" s="19" t="s">
        <v>96</v>
      </c>
      <c r="CR4" s="19">
        <v>441381405</v>
      </c>
    </row>
    <row r="5" spans="1:96" ht="17.55" customHeight="1">
      <c r="A5" s="7" t="s">
        <v>90</v>
      </c>
      <c r="B5" s="12" t="s">
        <v>61</v>
      </c>
      <c r="C5" s="19">
        <v>52225173</v>
      </c>
      <c r="D5" s="19">
        <v>514528211</v>
      </c>
      <c r="E5" s="19">
        <v>71896750</v>
      </c>
      <c r="F5" s="19">
        <v>23048439</v>
      </c>
      <c r="G5" s="19">
        <v>92569558</v>
      </c>
      <c r="H5" s="19">
        <v>45451083</v>
      </c>
      <c r="I5" s="19">
        <v>9582510</v>
      </c>
      <c r="J5" s="19">
        <v>2203443</v>
      </c>
      <c r="K5" s="19">
        <v>124162467</v>
      </c>
      <c r="L5" s="19">
        <v>8581052</v>
      </c>
      <c r="M5" s="19">
        <v>423586091</v>
      </c>
      <c r="N5" s="19">
        <v>468400031</v>
      </c>
      <c r="O5" s="19">
        <v>858701238</v>
      </c>
      <c r="P5" s="19">
        <v>522428345</v>
      </c>
      <c r="Q5" s="19">
        <v>266369201</v>
      </c>
      <c r="R5" s="19">
        <v>97918381</v>
      </c>
      <c r="S5" s="19">
        <v>810760861</v>
      </c>
      <c r="T5" s="19">
        <v>14461804</v>
      </c>
      <c r="U5" s="19">
        <v>1479077236</v>
      </c>
      <c r="V5" s="19">
        <v>221827539</v>
      </c>
      <c r="W5" s="19">
        <v>488475420</v>
      </c>
      <c r="X5" s="19">
        <v>568282569</v>
      </c>
      <c r="Y5" s="19">
        <v>425443611</v>
      </c>
      <c r="Z5" s="19">
        <v>20512464</v>
      </c>
      <c r="AA5" s="19">
        <v>25989690</v>
      </c>
      <c r="AB5" s="19">
        <v>59119918</v>
      </c>
      <c r="AC5" s="19">
        <v>185847126</v>
      </c>
      <c r="AD5" s="19">
        <v>321241113</v>
      </c>
      <c r="AE5" s="19">
        <v>66644286</v>
      </c>
      <c r="AF5" s="19">
        <v>40625908</v>
      </c>
      <c r="AG5" s="19">
        <v>10733426</v>
      </c>
      <c r="AH5" s="19">
        <v>306163436</v>
      </c>
      <c r="AI5" s="19">
        <v>10050044</v>
      </c>
      <c r="AJ5" s="19">
        <v>56318983</v>
      </c>
      <c r="AK5" s="19">
        <v>57677030</v>
      </c>
      <c r="AL5" s="19">
        <v>208955719</v>
      </c>
      <c r="AM5" s="19">
        <v>399840912</v>
      </c>
      <c r="AN5" s="19">
        <v>40822901</v>
      </c>
      <c r="AO5" s="19">
        <v>708227874</v>
      </c>
      <c r="AP5" s="19">
        <v>637502235</v>
      </c>
      <c r="AQ5" s="19">
        <v>9855812</v>
      </c>
      <c r="AR5" s="19">
        <v>34113749</v>
      </c>
      <c r="AS5" s="19">
        <v>24276480</v>
      </c>
      <c r="AT5" s="19">
        <v>128071524</v>
      </c>
      <c r="AU5" s="19">
        <v>162619646</v>
      </c>
      <c r="AV5" s="19">
        <v>76696517</v>
      </c>
      <c r="AW5" s="19">
        <v>36067251</v>
      </c>
      <c r="AX5" s="19">
        <v>193103852</v>
      </c>
      <c r="AY5" s="19">
        <v>133027585</v>
      </c>
      <c r="AZ5" s="19">
        <v>22056475</v>
      </c>
      <c r="BA5" s="19">
        <v>3139</v>
      </c>
      <c r="BB5" s="19">
        <v>70379421</v>
      </c>
      <c r="BC5" s="19">
        <v>81702267</v>
      </c>
      <c r="BD5" s="19">
        <v>5648457</v>
      </c>
      <c r="BE5" s="19">
        <v>208275759</v>
      </c>
      <c r="BF5" s="19">
        <v>66875144</v>
      </c>
      <c r="BG5" s="19">
        <v>324785714</v>
      </c>
      <c r="BH5" s="19">
        <v>5261762</v>
      </c>
      <c r="BI5" s="19">
        <v>115077837</v>
      </c>
      <c r="BJ5" s="19">
        <v>35202052</v>
      </c>
      <c r="BK5" s="19">
        <v>72836686</v>
      </c>
      <c r="BL5" s="19">
        <v>173405872</v>
      </c>
      <c r="BM5" s="19">
        <v>11762528</v>
      </c>
      <c r="BN5" s="19">
        <v>54734257</v>
      </c>
      <c r="BO5" s="19">
        <v>13517655</v>
      </c>
      <c r="BP5" s="19">
        <v>17311800</v>
      </c>
      <c r="BQ5" s="19">
        <v>57374377</v>
      </c>
      <c r="BR5" s="19">
        <v>47542652</v>
      </c>
      <c r="BS5" s="19">
        <v>42447105</v>
      </c>
      <c r="BT5" s="19">
        <v>32905474</v>
      </c>
      <c r="BU5" s="19">
        <v>19806843</v>
      </c>
      <c r="BV5" s="19">
        <v>8825661</v>
      </c>
      <c r="BW5" s="19">
        <v>25658372</v>
      </c>
      <c r="BX5" s="19">
        <v>140501664</v>
      </c>
      <c r="BY5" s="19">
        <v>149675272</v>
      </c>
      <c r="BZ5" s="19">
        <v>7223668</v>
      </c>
      <c r="CA5" s="19">
        <v>132857889</v>
      </c>
      <c r="CB5" s="19">
        <v>54221925</v>
      </c>
      <c r="CC5" s="19">
        <v>47478170</v>
      </c>
      <c r="CD5" s="19">
        <v>583535</v>
      </c>
      <c r="CE5" s="19">
        <v>2666267</v>
      </c>
      <c r="CF5" s="19" t="s">
        <v>139</v>
      </c>
      <c r="CG5" s="19">
        <v>144561985</v>
      </c>
      <c r="CH5" s="19">
        <v>4053977</v>
      </c>
      <c r="CI5" s="19">
        <v>29361333</v>
      </c>
      <c r="CJ5" s="19">
        <v>7825888</v>
      </c>
      <c r="CK5" s="19">
        <v>88137806</v>
      </c>
      <c r="CL5" s="19">
        <v>16011139</v>
      </c>
      <c r="CM5" s="19">
        <v>54984644</v>
      </c>
      <c r="CN5" s="19">
        <v>25498565</v>
      </c>
      <c r="CO5" s="19">
        <v>81879787</v>
      </c>
      <c r="CP5" s="19">
        <v>7561</v>
      </c>
      <c r="CQ5" s="19" t="s">
        <v>96</v>
      </c>
      <c r="CR5" s="19">
        <v>425322521</v>
      </c>
    </row>
    <row r="6" spans="1:96" ht="17.55" customHeight="1">
      <c r="A6" s="7" t="s">
        <v>90</v>
      </c>
      <c r="B6" s="12" t="s">
        <v>75</v>
      </c>
      <c r="C6" s="19"/>
      <c r="D6" s="19"/>
      <c r="E6" s="19"/>
      <c r="F6" s="19">
        <v>393000000</v>
      </c>
      <c r="G6" s="19"/>
      <c r="H6" s="19"/>
      <c r="I6" s="19"/>
      <c r="J6" s="19"/>
      <c r="K6" s="19"/>
      <c r="L6" s="19">
        <v>5000000</v>
      </c>
      <c r="M6" s="19"/>
      <c r="N6" s="19"/>
      <c r="O6" s="19">
        <v>1100000</v>
      </c>
      <c r="P6" s="19">
        <v>110000</v>
      </c>
      <c r="Q6" s="19"/>
      <c r="R6" s="19"/>
      <c r="S6" s="19"/>
      <c r="T6" s="19"/>
      <c r="U6" s="19"/>
      <c r="V6" s="19"/>
      <c r="W6" s="19">
        <v>981325</v>
      </c>
      <c r="X6" s="19">
        <v>27000000</v>
      </c>
      <c r="Y6" s="19">
        <v>900000</v>
      </c>
      <c r="Z6" s="19">
        <v>29156695</v>
      </c>
      <c r="AA6" s="19"/>
      <c r="AB6" s="19"/>
      <c r="AC6" s="19"/>
      <c r="AD6" s="19"/>
      <c r="AE6" s="19">
        <v>83004585</v>
      </c>
      <c r="AF6" s="19"/>
      <c r="AG6" s="19"/>
      <c r="AH6" s="19">
        <v>618424272</v>
      </c>
      <c r="AI6" s="19"/>
      <c r="AJ6" s="19"/>
      <c r="AK6" s="19">
        <v>1073582</v>
      </c>
      <c r="AL6" s="19"/>
      <c r="AM6" s="19">
        <v>1132660</v>
      </c>
      <c r="AN6" s="19"/>
      <c r="AO6" s="19"/>
      <c r="AP6" s="19"/>
      <c r="AQ6" s="19"/>
      <c r="AR6" s="19"/>
      <c r="AS6" s="19"/>
      <c r="AT6" s="19"/>
      <c r="AU6" s="19"/>
      <c r="AV6" s="19"/>
      <c r="AW6" s="19">
        <v>6000000</v>
      </c>
      <c r="AX6" s="19"/>
      <c r="AY6" s="19"/>
      <c r="AZ6" s="19"/>
      <c r="BA6" s="19"/>
      <c r="BB6" s="19"/>
      <c r="BC6" s="19">
        <v>11000000</v>
      </c>
      <c r="BD6" s="19"/>
      <c r="BE6" s="19">
        <v>300000</v>
      </c>
      <c r="BF6" s="19">
        <v>79000000</v>
      </c>
      <c r="BG6" s="19"/>
      <c r="BH6" s="19"/>
      <c r="BI6" s="19"/>
      <c r="BJ6" s="19"/>
      <c r="BK6" s="19"/>
      <c r="BL6" s="19"/>
      <c r="BM6" s="19"/>
      <c r="BN6" s="19"/>
      <c r="BO6" s="19"/>
      <c r="BP6" s="19"/>
      <c r="BQ6" s="19"/>
      <c r="BR6" s="19"/>
      <c r="BS6" s="19"/>
      <c r="BT6" s="19"/>
      <c r="BU6" s="19"/>
      <c r="BV6" s="19"/>
      <c r="BW6" s="19"/>
      <c r="BX6" s="19"/>
      <c r="BY6" s="19"/>
      <c r="BZ6" s="19">
        <v>116240066</v>
      </c>
      <c r="CA6" s="19"/>
      <c r="CB6" s="19"/>
      <c r="CC6" s="19"/>
      <c r="CD6" s="19"/>
      <c r="CE6" s="19"/>
      <c r="CF6" s="19" t="s">
        <v>139</v>
      </c>
      <c r="CG6" s="19">
        <v>925000</v>
      </c>
      <c r="CH6" s="19"/>
      <c r="CI6" s="19"/>
      <c r="CJ6" s="19">
        <v>18500000</v>
      </c>
      <c r="CK6" s="19"/>
      <c r="CL6" s="19"/>
      <c r="CM6" s="19">
        <v>448943141</v>
      </c>
      <c r="CN6" s="19">
        <v>3285744</v>
      </c>
      <c r="CO6" s="19"/>
      <c r="CP6" s="19">
        <v>7500000</v>
      </c>
      <c r="CQ6" s="19" t="s">
        <v>96</v>
      </c>
      <c r="CR6" s="19"/>
    </row>
    <row r="7" spans="1:96" ht="17.55" customHeight="1">
      <c r="A7" s="7" t="s">
        <v>90</v>
      </c>
      <c r="B7" s="13" t="s">
        <v>51</v>
      </c>
      <c r="C7" s="19">
        <v>4903250</v>
      </c>
      <c r="D7" s="19">
        <v>514062671</v>
      </c>
      <c r="E7" s="19">
        <v>15928424</v>
      </c>
      <c r="F7" s="19"/>
      <c r="G7" s="19">
        <v>14334004</v>
      </c>
      <c r="H7" s="19"/>
      <c r="I7" s="19"/>
      <c r="J7" s="19"/>
      <c r="K7" s="19">
        <v>289556727</v>
      </c>
      <c r="L7" s="19">
        <v>250688849</v>
      </c>
      <c r="M7" s="19"/>
      <c r="N7" s="19">
        <v>3391610</v>
      </c>
      <c r="O7" s="19">
        <v>271057309</v>
      </c>
      <c r="P7" s="19"/>
      <c r="Q7" s="19"/>
      <c r="R7" s="19">
        <v>2608300</v>
      </c>
      <c r="S7" s="19">
        <v>160277918</v>
      </c>
      <c r="T7" s="19"/>
      <c r="U7" s="19">
        <v>171640743</v>
      </c>
      <c r="V7" s="19">
        <v>36152612</v>
      </c>
      <c r="W7" s="19">
        <v>32578457</v>
      </c>
      <c r="X7" s="19">
        <v>192306470</v>
      </c>
      <c r="Y7" s="19">
        <v>44118860</v>
      </c>
      <c r="Z7" s="19">
        <v>19541782</v>
      </c>
      <c r="AA7" s="19">
        <v>808026808</v>
      </c>
      <c r="AB7" s="19">
        <v>11176040</v>
      </c>
      <c r="AC7" s="19">
        <v>3245000</v>
      </c>
      <c r="AD7" s="19">
        <v>68333710</v>
      </c>
      <c r="AE7" s="19">
        <v>49548590</v>
      </c>
      <c r="AF7" s="19"/>
      <c r="AG7" s="19">
        <v>25890001</v>
      </c>
      <c r="AH7" s="19">
        <v>59618876</v>
      </c>
      <c r="AI7" s="19"/>
      <c r="AJ7" s="19">
        <v>49447773</v>
      </c>
      <c r="AK7" s="19">
        <v>585751566</v>
      </c>
      <c r="AL7" s="19"/>
      <c r="AM7" s="19">
        <v>289332251</v>
      </c>
      <c r="AN7" s="19"/>
      <c r="AO7" s="19">
        <v>128735448</v>
      </c>
      <c r="AP7" s="19">
        <v>73444333</v>
      </c>
      <c r="AQ7" s="19"/>
      <c r="AR7" s="19"/>
      <c r="AS7" s="19">
        <v>385156866</v>
      </c>
      <c r="AT7" s="19">
        <v>41926500</v>
      </c>
      <c r="AU7" s="19">
        <v>34938000</v>
      </c>
      <c r="AV7" s="19">
        <v>0</v>
      </c>
      <c r="AW7" s="19">
        <v>5045030</v>
      </c>
      <c r="AX7" s="19">
        <v>213809525</v>
      </c>
      <c r="AY7" s="19"/>
      <c r="AZ7" s="19">
        <v>76764749</v>
      </c>
      <c r="BA7" s="19">
        <v>45933227</v>
      </c>
      <c r="BB7" s="19"/>
      <c r="BC7" s="19">
        <v>499035360</v>
      </c>
      <c r="BD7" s="19">
        <v>0</v>
      </c>
      <c r="BE7" s="19">
        <v>22372250</v>
      </c>
      <c r="BF7" s="19">
        <v>298208072</v>
      </c>
      <c r="BG7" s="19">
        <v>112897773</v>
      </c>
      <c r="BH7" s="19">
        <v>40614384</v>
      </c>
      <c r="BI7" s="19">
        <v>7453061</v>
      </c>
      <c r="BJ7" s="19">
        <v>152365026</v>
      </c>
      <c r="BK7" s="19">
        <v>51614000</v>
      </c>
      <c r="BL7" s="19">
        <v>39422340</v>
      </c>
      <c r="BM7" s="19">
        <v>8350000</v>
      </c>
      <c r="BN7" s="19"/>
      <c r="BO7" s="19">
        <v>67217952</v>
      </c>
      <c r="BP7" s="19"/>
      <c r="BQ7" s="19">
        <v>29010419</v>
      </c>
      <c r="BR7" s="19"/>
      <c r="BS7" s="19">
        <v>52800</v>
      </c>
      <c r="BT7" s="19">
        <v>11937512</v>
      </c>
      <c r="BU7" s="19">
        <v>264000</v>
      </c>
      <c r="BV7" s="19">
        <v>122490753</v>
      </c>
      <c r="BW7" s="19"/>
      <c r="BX7" s="19">
        <v>750614</v>
      </c>
      <c r="BY7" s="19">
        <v>313090637</v>
      </c>
      <c r="BZ7" s="19">
        <v>33180700</v>
      </c>
      <c r="CA7" s="19">
        <v>16494000</v>
      </c>
      <c r="CB7" s="19">
        <v>57823230</v>
      </c>
      <c r="CC7" s="19"/>
      <c r="CD7" s="19">
        <v>61946754</v>
      </c>
      <c r="CE7" s="19">
        <v>81788564</v>
      </c>
      <c r="CF7" s="19" t="s">
        <v>139</v>
      </c>
      <c r="CG7" s="19"/>
      <c r="CH7" s="19">
        <v>182723</v>
      </c>
      <c r="CI7" s="19">
        <v>93075950</v>
      </c>
      <c r="CJ7" s="19">
        <v>82627288</v>
      </c>
      <c r="CK7" s="19">
        <v>66448256</v>
      </c>
      <c r="CL7" s="19">
        <v>129170839</v>
      </c>
      <c r="CM7" s="19">
        <v>147519960</v>
      </c>
      <c r="CN7" s="19">
        <v>1758380</v>
      </c>
      <c r="CO7" s="19"/>
      <c r="CP7" s="19">
        <v>198219958</v>
      </c>
      <c r="CQ7" s="19" t="s">
        <v>96</v>
      </c>
      <c r="CR7" s="19"/>
    </row>
    <row r="8" spans="1:96" ht="17.55" customHeight="1">
      <c r="A8" s="7" t="s">
        <v>90</v>
      </c>
      <c r="B8" s="13" t="s">
        <v>69</v>
      </c>
      <c r="C8" s="19">
        <v>17900000</v>
      </c>
      <c r="D8" s="19"/>
      <c r="E8" s="19"/>
      <c r="F8" s="19"/>
      <c r="G8" s="19">
        <v>1957860</v>
      </c>
      <c r="H8" s="19"/>
      <c r="I8" s="19"/>
      <c r="J8" s="19"/>
      <c r="K8" s="19"/>
      <c r="L8" s="19"/>
      <c r="M8" s="19">
        <v>37500000</v>
      </c>
      <c r="N8" s="19"/>
      <c r="O8" s="19"/>
      <c r="P8" s="19"/>
      <c r="Q8" s="19"/>
      <c r="R8" s="19">
        <v>5000000</v>
      </c>
      <c r="S8" s="19"/>
      <c r="T8" s="19"/>
      <c r="U8" s="19"/>
      <c r="V8" s="19">
        <v>8552015</v>
      </c>
      <c r="W8" s="19">
        <v>6226000</v>
      </c>
      <c r="X8" s="19"/>
      <c r="Y8" s="19"/>
      <c r="Z8" s="19"/>
      <c r="AA8" s="19"/>
      <c r="AB8" s="19"/>
      <c r="AC8" s="19">
        <v>4200000</v>
      </c>
      <c r="AD8" s="19"/>
      <c r="AE8" s="19">
        <v>16267653</v>
      </c>
      <c r="AF8" s="19"/>
      <c r="AG8" s="19">
        <v>0</v>
      </c>
      <c r="AH8" s="19"/>
      <c r="AI8" s="19"/>
      <c r="AJ8" s="19"/>
      <c r="AK8" s="19">
        <v>409916845</v>
      </c>
      <c r="AL8" s="19"/>
      <c r="AM8" s="19">
        <v>422394151</v>
      </c>
      <c r="AN8" s="19"/>
      <c r="AO8" s="19"/>
      <c r="AP8" s="19"/>
      <c r="AQ8" s="19"/>
      <c r="AR8" s="19"/>
      <c r="AS8" s="19">
        <v>10000000</v>
      </c>
      <c r="AT8" s="19">
        <v>11603060</v>
      </c>
      <c r="AU8" s="19">
        <v>0</v>
      </c>
      <c r="AV8" s="19">
        <v>52522740</v>
      </c>
      <c r="AW8" s="19"/>
      <c r="AX8" s="19">
        <v>12000000</v>
      </c>
      <c r="AY8" s="19"/>
      <c r="AZ8" s="19"/>
      <c r="BA8" s="19">
        <v>51300000</v>
      </c>
      <c r="BB8" s="19">
        <v>0</v>
      </c>
      <c r="BC8" s="19">
        <v>0</v>
      </c>
      <c r="BD8" s="19"/>
      <c r="BE8" s="19">
        <v>48872884</v>
      </c>
      <c r="BF8" s="19"/>
      <c r="BG8" s="19"/>
      <c r="BH8" s="19"/>
      <c r="BI8" s="19"/>
      <c r="BJ8" s="19">
        <v>0</v>
      </c>
      <c r="BK8" s="19"/>
      <c r="BL8" s="19"/>
      <c r="BM8" s="19"/>
      <c r="BN8" s="19"/>
      <c r="BO8" s="19"/>
      <c r="BP8" s="19"/>
      <c r="BQ8" s="19"/>
      <c r="BR8" s="19"/>
      <c r="BS8" s="19"/>
      <c r="BT8" s="19"/>
      <c r="BU8" s="19"/>
      <c r="BV8" s="19">
        <v>82200000</v>
      </c>
      <c r="BW8" s="19"/>
      <c r="BX8" s="19"/>
      <c r="BY8" s="19">
        <v>0</v>
      </c>
      <c r="BZ8" s="19"/>
      <c r="CA8" s="19"/>
      <c r="CB8" s="19"/>
      <c r="CC8" s="19">
        <v>0</v>
      </c>
      <c r="CD8" s="19">
        <v>20916665</v>
      </c>
      <c r="CE8" s="19"/>
      <c r="CF8" s="19" t="s">
        <v>139</v>
      </c>
      <c r="CG8" s="19"/>
      <c r="CH8" s="19"/>
      <c r="CI8" s="19"/>
      <c r="CJ8" s="19"/>
      <c r="CK8" s="19"/>
      <c r="CL8" s="19"/>
      <c r="CM8" s="19"/>
      <c r="CN8" s="19"/>
      <c r="CO8" s="19"/>
      <c r="CP8" s="19"/>
      <c r="CQ8" s="19" t="s">
        <v>96</v>
      </c>
      <c r="CR8" s="19"/>
    </row>
    <row r="9" spans="1:96" ht="17.55" customHeight="1">
      <c r="A9" s="7" t="s">
        <v>90</v>
      </c>
      <c r="B9" s="13" t="s">
        <v>134</v>
      </c>
      <c r="C9" s="19">
        <v>5269728</v>
      </c>
      <c r="D9" s="19">
        <v>0</v>
      </c>
      <c r="E9" s="19">
        <v>304500</v>
      </c>
      <c r="F9" s="19"/>
      <c r="G9" s="19">
        <v>814096</v>
      </c>
      <c r="H9" s="19"/>
      <c r="I9" s="19">
        <v>345248636</v>
      </c>
      <c r="J9" s="19"/>
      <c r="K9" s="19"/>
      <c r="L9" s="19">
        <v>314340</v>
      </c>
      <c r="M9" s="19">
        <v>185722781</v>
      </c>
      <c r="N9" s="19">
        <v>3194198</v>
      </c>
      <c r="O9" s="19"/>
      <c r="P9" s="19">
        <v>372337950</v>
      </c>
      <c r="Q9" s="19">
        <v>13100</v>
      </c>
      <c r="R9" s="19">
        <v>3382570</v>
      </c>
      <c r="S9" s="19"/>
      <c r="T9" s="19"/>
      <c r="U9" s="19">
        <v>21050</v>
      </c>
      <c r="V9" s="19">
        <v>3618804</v>
      </c>
      <c r="W9" s="19">
        <v>177533</v>
      </c>
      <c r="X9" s="19"/>
      <c r="Y9" s="19">
        <v>715980</v>
      </c>
      <c r="Z9" s="19"/>
      <c r="AA9" s="19">
        <v>0</v>
      </c>
      <c r="AB9" s="19">
        <v>3696131</v>
      </c>
      <c r="AC9" s="19"/>
      <c r="AD9" s="19">
        <v>13447204</v>
      </c>
      <c r="AE9" s="19">
        <v>500000</v>
      </c>
      <c r="AF9" s="19"/>
      <c r="AG9" s="19">
        <v>0</v>
      </c>
      <c r="AH9" s="19">
        <v>43185142</v>
      </c>
      <c r="AI9" s="19">
        <v>3684120</v>
      </c>
      <c r="AJ9" s="19">
        <v>0</v>
      </c>
      <c r="AK9" s="19">
        <v>1965540</v>
      </c>
      <c r="AL9" s="19">
        <v>15537300</v>
      </c>
      <c r="AM9" s="19"/>
      <c r="AN9" s="19">
        <v>886640</v>
      </c>
      <c r="AO9" s="19">
        <v>0</v>
      </c>
      <c r="AP9" s="19"/>
      <c r="AQ9" s="19">
        <v>279200</v>
      </c>
      <c r="AR9" s="19">
        <v>301240</v>
      </c>
      <c r="AS9" s="19">
        <v>7191341</v>
      </c>
      <c r="AT9" s="19"/>
      <c r="AU9" s="19">
        <v>2002417</v>
      </c>
      <c r="AV9" s="19">
        <v>4779950</v>
      </c>
      <c r="AW9" s="19">
        <v>64500</v>
      </c>
      <c r="AX9" s="19"/>
      <c r="AY9" s="19">
        <v>514614</v>
      </c>
      <c r="AZ9" s="19">
        <v>708190</v>
      </c>
      <c r="BA9" s="19">
        <v>1063000</v>
      </c>
      <c r="BB9" s="19">
        <v>654920</v>
      </c>
      <c r="BC9" s="19">
        <v>26240</v>
      </c>
      <c r="BD9" s="19">
        <v>2405560</v>
      </c>
      <c r="BE9" s="19">
        <v>65630</v>
      </c>
      <c r="BF9" s="19">
        <v>102746</v>
      </c>
      <c r="BG9" s="19">
        <v>0</v>
      </c>
      <c r="BH9" s="19"/>
      <c r="BI9" s="19">
        <v>1873500</v>
      </c>
      <c r="BJ9" s="19">
        <v>3267770</v>
      </c>
      <c r="BK9" s="19">
        <v>4900</v>
      </c>
      <c r="BL9" s="19"/>
      <c r="BM9" s="19">
        <v>1973013</v>
      </c>
      <c r="BN9" s="19"/>
      <c r="BO9" s="19"/>
      <c r="BP9" s="19">
        <v>1006720</v>
      </c>
      <c r="BQ9" s="19"/>
      <c r="BR9" s="19"/>
      <c r="BS9" s="19"/>
      <c r="BT9" s="19">
        <v>105000</v>
      </c>
      <c r="BU9" s="19">
        <v>2473551</v>
      </c>
      <c r="BV9" s="19">
        <v>45049680</v>
      </c>
      <c r="BW9" s="19">
        <v>26526750</v>
      </c>
      <c r="BX9" s="19">
        <v>150000</v>
      </c>
      <c r="BY9" s="19">
        <v>47820</v>
      </c>
      <c r="BZ9" s="19">
        <v>14599810</v>
      </c>
      <c r="CA9" s="19"/>
      <c r="CB9" s="19"/>
      <c r="CC9" s="19">
        <v>1387750</v>
      </c>
      <c r="CD9" s="19">
        <v>152590</v>
      </c>
      <c r="CE9" s="19">
        <v>36780</v>
      </c>
      <c r="CF9" s="19" t="s">
        <v>139</v>
      </c>
      <c r="CG9" s="19">
        <v>3250000</v>
      </c>
      <c r="CH9" s="19">
        <v>1552688</v>
      </c>
      <c r="CI9" s="19">
        <v>16939513</v>
      </c>
      <c r="CJ9" s="19"/>
      <c r="CK9" s="19">
        <v>141050</v>
      </c>
      <c r="CL9" s="19">
        <v>4972254</v>
      </c>
      <c r="CM9" s="19">
        <v>3710</v>
      </c>
      <c r="CN9" s="19">
        <v>841140</v>
      </c>
      <c r="CO9" s="19">
        <v>112864150</v>
      </c>
      <c r="CP9" s="19"/>
      <c r="CQ9" s="19" t="s">
        <v>96</v>
      </c>
      <c r="CR9" s="19">
        <v>8700000</v>
      </c>
    </row>
    <row r="10" spans="1:96" ht="17.55" customHeight="1">
      <c r="A10" s="7" t="s">
        <v>90</v>
      </c>
      <c r="B10" s="13" t="s">
        <v>135</v>
      </c>
      <c r="C10" s="19"/>
      <c r="D10" s="19">
        <v>3522591</v>
      </c>
      <c r="E10" s="19">
        <v>347076</v>
      </c>
      <c r="F10" s="19">
        <v>6455836</v>
      </c>
      <c r="G10" s="19">
        <v>11273940</v>
      </c>
      <c r="H10" s="19">
        <v>163950</v>
      </c>
      <c r="I10" s="19"/>
      <c r="J10" s="19">
        <v>4094600</v>
      </c>
      <c r="K10" s="19">
        <v>22110</v>
      </c>
      <c r="L10" s="19">
        <v>1204132</v>
      </c>
      <c r="M10" s="19">
        <v>72110614</v>
      </c>
      <c r="N10" s="19">
        <v>20644658</v>
      </c>
      <c r="O10" s="19">
        <v>17352598</v>
      </c>
      <c r="P10" s="19">
        <v>586964</v>
      </c>
      <c r="Q10" s="19">
        <v>2388689</v>
      </c>
      <c r="R10" s="19">
        <v>13818850</v>
      </c>
      <c r="S10" s="19">
        <v>244249822</v>
      </c>
      <c r="T10" s="19"/>
      <c r="U10" s="19">
        <v>11260784</v>
      </c>
      <c r="V10" s="19">
        <v>115383356</v>
      </c>
      <c r="W10" s="19">
        <v>9056794</v>
      </c>
      <c r="X10" s="19">
        <v>158158749</v>
      </c>
      <c r="Y10" s="19">
        <v>2621950</v>
      </c>
      <c r="Z10" s="19">
        <v>1108083</v>
      </c>
      <c r="AA10" s="19">
        <v>25000427</v>
      </c>
      <c r="AB10" s="19">
        <v>151270</v>
      </c>
      <c r="AC10" s="19">
        <v>14355793</v>
      </c>
      <c r="AD10" s="19">
        <v>28350655</v>
      </c>
      <c r="AE10" s="19">
        <v>550000</v>
      </c>
      <c r="AF10" s="19">
        <v>1387700</v>
      </c>
      <c r="AG10" s="19"/>
      <c r="AH10" s="19">
        <v>521242</v>
      </c>
      <c r="AI10" s="19">
        <v>646490</v>
      </c>
      <c r="AJ10" s="19">
        <v>27680047</v>
      </c>
      <c r="AK10" s="19">
        <v>64722189</v>
      </c>
      <c r="AL10" s="19">
        <v>66979824</v>
      </c>
      <c r="AM10" s="19">
        <v>487196009</v>
      </c>
      <c r="AN10" s="19">
        <v>116720</v>
      </c>
      <c r="AO10" s="19">
        <v>12532007</v>
      </c>
      <c r="AP10" s="19">
        <v>41539344</v>
      </c>
      <c r="AQ10" s="19"/>
      <c r="AR10" s="19">
        <v>545065</v>
      </c>
      <c r="AS10" s="19">
        <v>326360971</v>
      </c>
      <c r="AT10" s="19"/>
      <c r="AU10" s="19">
        <v>137829140</v>
      </c>
      <c r="AV10" s="19">
        <v>5000000</v>
      </c>
      <c r="AW10" s="19">
        <v>184800</v>
      </c>
      <c r="AX10" s="19">
        <v>1029005</v>
      </c>
      <c r="AY10" s="19">
        <v>1257140</v>
      </c>
      <c r="AZ10" s="19">
        <v>24265111</v>
      </c>
      <c r="BA10" s="19">
        <v>396000</v>
      </c>
      <c r="BB10" s="19">
        <v>34300</v>
      </c>
      <c r="BC10" s="19">
        <v>11105894</v>
      </c>
      <c r="BD10" s="19">
        <v>7486120</v>
      </c>
      <c r="BE10" s="19"/>
      <c r="BF10" s="19">
        <v>21836950</v>
      </c>
      <c r="BG10" s="19">
        <v>122776183</v>
      </c>
      <c r="BH10" s="19">
        <v>297000</v>
      </c>
      <c r="BI10" s="19"/>
      <c r="BJ10" s="19">
        <v>244643422</v>
      </c>
      <c r="BK10" s="19">
        <v>16439945</v>
      </c>
      <c r="BL10" s="19"/>
      <c r="BM10" s="19">
        <v>5879947</v>
      </c>
      <c r="BN10" s="19">
        <v>3461134</v>
      </c>
      <c r="BO10" s="19">
        <v>29474590</v>
      </c>
      <c r="BP10" s="19"/>
      <c r="BQ10" s="19">
        <v>5138707</v>
      </c>
      <c r="BR10" s="19">
        <v>724720</v>
      </c>
      <c r="BS10" s="19">
        <v>1110</v>
      </c>
      <c r="BT10" s="19">
        <v>440000</v>
      </c>
      <c r="BU10" s="19">
        <v>3592385</v>
      </c>
      <c r="BV10" s="19">
        <v>49600346</v>
      </c>
      <c r="BW10" s="19">
        <v>1385850</v>
      </c>
      <c r="BX10" s="19">
        <v>12760000</v>
      </c>
      <c r="BY10" s="19">
        <v>1550</v>
      </c>
      <c r="BZ10" s="19"/>
      <c r="CA10" s="19">
        <v>59000</v>
      </c>
      <c r="CB10" s="19">
        <v>1983000</v>
      </c>
      <c r="CC10" s="19">
        <v>25050</v>
      </c>
      <c r="CD10" s="19">
        <v>10005683</v>
      </c>
      <c r="CE10" s="19">
        <v>193077</v>
      </c>
      <c r="CF10" s="19" t="s">
        <v>139</v>
      </c>
      <c r="CG10" s="19"/>
      <c r="CH10" s="19"/>
      <c r="CI10" s="19">
        <v>12784022</v>
      </c>
      <c r="CJ10" s="19"/>
      <c r="CK10" s="19">
        <v>12488445</v>
      </c>
      <c r="CL10" s="19">
        <v>379450</v>
      </c>
      <c r="CM10" s="19">
        <v>6745746</v>
      </c>
      <c r="CN10" s="19">
        <v>28197504</v>
      </c>
      <c r="CO10" s="19">
        <v>16535964</v>
      </c>
      <c r="CP10" s="19">
        <v>3823636</v>
      </c>
      <c r="CQ10" s="19" t="s">
        <v>96</v>
      </c>
      <c r="CR10" s="19">
        <v>7358884</v>
      </c>
    </row>
    <row r="11" spans="1:96" ht="17.55" customHeight="1">
      <c r="A11" s="7" t="s">
        <v>90</v>
      </c>
      <c r="B11" s="13" t="s">
        <v>40</v>
      </c>
      <c r="C11" s="19">
        <v>72792831</v>
      </c>
      <c r="D11" s="19"/>
      <c r="E11" s="19"/>
      <c r="F11" s="19"/>
      <c r="G11" s="19">
        <v>3830000</v>
      </c>
      <c r="H11" s="19">
        <v>38095527</v>
      </c>
      <c r="I11" s="19"/>
      <c r="J11" s="19"/>
      <c r="K11" s="19"/>
      <c r="L11" s="19"/>
      <c r="M11" s="19">
        <v>7380000</v>
      </c>
      <c r="N11" s="19"/>
      <c r="O11" s="19">
        <v>202654926</v>
      </c>
      <c r="P11" s="19">
        <v>36940429</v>
      </c>
      <c r="Q11" s="19">
        <v>3300000</v>
      </c>
      <c r="R11" s="19"/>
      <c r="S11" s="19">
        <v>0</v>
      </c>
      <c r="T11" s="19"/>
      <c r="U11" s="19"/>
      <c r="V11" s="19"/>
      <c r="W11" s="19"/>
      <c r="X11" s="19"/>
      <c r="Y11" s="19"/>
      <c r="Z11" s="19"/>
      <c r="AA11" s="19">
        <v>149323300</v>
      </c>
      <c r="AB11" s="19">
        <v>50000000</v>
      </c>
      <c r="AC11" s="19">
        <v>1068320</v>
      </c>
      <c r="AD11" s="19">
        <v>1800000</v>
      </c>
      <c r="AE11" s="19"/>
      <c r="AF11" s="19"/>
      <c r="AG11" s="19">
        <v>1948114</v>
      </c>
      <c r="AH11" s="19"/>
      <c r="AI11" s="19"/>
      <c r="AJ11" s="19">
        <v>3646900</v>
      </c>
      <c r="AK11" s="19"/>
      <c r="AL11" s="19"/>
      <c r="AM11" s="19"/>
      <c r="AN11" s="19"/>
      <c r="AO11" s="19"/>
      <c r="AP11" s="19">
        <v>73298230</v>
      </c>
      <c r="AQ11" s="19">
        <v>34176071</v>
      </c>
      <c r="AR11" s="19">
        <v>7306451</v>
      </c>
      <c r="AS11" s="19"/>
      <c r="AT11" s="19"/>
      <c r="AU11" s="19">
        <v>2800000</v>
      </c>
      <c r="AV11" s="19"/>
      <c r="AW11" s="19"/>
      <c r="AX11" s="19"/>
      <c r="AY11" s="19"/>
      <c r="AZ11" s="19"/>
      <c r="BA11" s="19">
        <v>7921708</v>
      </c>
      <c r="BB11" s="19"/>
      <c r="BC11" s="19"/>
      <c r="BD11" s="19"/>
      <c r="BE11" s="19"/>
      <c r="BF11" s="19"/>
      <c r="BG11" s="19"/>
      <c r="BH11" s="19"/>
      <c r="BI11" s="19"/>
      <c r="BJ11" s="19"/>
      <c r="BK11" s="19"/>
      <c r="BL11" s="19"/>
      <c r="BM11" s="19"/>
      <c r="BN11" s="19"/>
      <c r="BO11" s="19">
        <v>1836286</v>
      </c>
      <c r="BP11" s="19"/>
      <c r="BQ11" s="19"/>
      <c r="BR11" s="19"/>
      <c r="BS11" s="19">
        <v>838835</v>
      </c>
      <c r="BT11" s="19">
        <v>440000</v>
      </c>
      <c r="BU11" s="19"/>
      <c r="BV11" s="19"/>
      <c r="BW11" s="19"/>
      <c r="BX11" s="19"/>
      <c r="BY11" s="19"/>
      <c r="BZ11" s="19"/>
      <c r="CA11" s="19">
        <v>6500000</v>
      </c>
      <c r="CB11" s="19">
        <v>18800000</v>
      </c>
      <c r="CC11" s="19"/>
      <c r="CD11" s="19"/>
      <c r="CE11" s="19"/>
      <c r="CF11" s="19" t="s">
        <v>139</v>
      </c>
      <c r="CG11" s="19"/>
      <c r="CH11" s="19">
        <v>875165</v>
      </c>
      <c r="CI11" s="19">
        <v>37000000</v>
      </c>
      <c r="CJ11" s="19"/>
      <c r="CK11" s="19"/>
      <c r="CL11" s="19">
        <v>85106720</v>
      </c>
      <c r="CM11" s="19"/>
      <c r="CN11" s="19"/>
      <c r="CO11" s="19"/>
      <c r="CP11" s="19"/>
      <c r="CQ11" s="19" t="s">
        <v>96</v>
      </c>
      <c r="CR11" s="19"/>
    </row>
    <row r="12" spans="1:96" ht="17.55" customHeight="1">
      <c r="A12" s="7" t="s">
        <v>90</v>
      </c>
      <c r="B12" s="14" t="s">
        <v>30</v>
      </c>
      <c r="C12" s="19">
        <v>0</v>
      </c>
      <c r="D12" s="19">
        <v>60991684</v>
      </c>
      <c r="E12" s="19">
        <v>41795830</v>
      </c>
      <c r="F12" s="19">
        <v>0</v>
      </c>
      <c r="G12" s="19">
        <v>35106500</v>
      </c>
      <c r="H12" s="19">
        <v>0</v>
      </c>
      <c r="I12" s="19">
        <v>0</v>
      </c>
      <c r="J12" s="19">
        <v>0</v>
      </c>
      <c r="K12" s="19">
        <v>26548500</v>
      </c>
      <c r="L12" s="19">
        <v>531193565</v>
      </c>
      <c r="M12" s="19">
        <v>101468340</v>
      </c>
      <c r="N12" s="19">
        <v>0</v>
      </c>
      <c r="O12" s="19">
        <v>117883261</v>
      </c>
      <c r="P12" s="19">
        <v>74530855</v>
      </c>
      <c r="Q12" s="19">
        <v>33475810</v>
      </c>
      <c r="R12" s="19">
        <v>14012881</v>
      </c>
      <c r="S12" s="19">
        <v>48106521</v>
      </c>
      <c r="T12" s="19"/>
      <c r="U12" s="19">
        <v>39660865</v>
      </c>
      <c r="V12" s="19">
        <v>57199724</v>
      </c>
      <c r="W12" s="19">
        <v>10162373</v>
      </c>
      <c r="X12" s="19"/>
      <c r="Y12" s="19">
        <v>0</v>
      </c>
      <c r="Z12" s="19"/>
      <c r="AA12" s="19">
        <v>1261093924</v>
      </c>
      <c r="AB12" s="19">
        <v>0</v>
      </c>
      <c r="AC12" s="19">
        <v>9515010</v>
      </c>
      <c r="AD12" s="19">
        <v>41657000</v>
      </c>
      <c r="AE12" s="19">
        <v>22206690</v>
      </c>
      <c r="AF12" s="19">
        <v>0</v>
      </c>
      <c r="AG12" s="19">
        <v>0</v>
      </c>
      <c r="AH12" s="19">
        <v>0</v>
      </c>
      <c r="AI12" s="19">
        <v>6566602</v>
      </c>
      <c r="AJ12" s="19">
        <v>345602480</v>
      </c>
      <c r="AK12" s="19">
        <v>282676737</v>
      </c>
      <c r="AL12" s="19">
        <v>0</v>
      </c>
      <c r="AM12" s="19">
        <v>22172802</v>
      </c>
      <c r="AN12" s="19"/>
      <c r="AO12" s="19">
        <v>0</v>
      </c>
      <c r="AP12" s="19">
        <v>0</v>
      </c>
      <c r="AQ12" s="19"/>
      <c r="AR12" s="19">
        <v>54915000</v>
      </c>
      <c r="AS12" s="19">
        <v>0</v>
      </c>
      <c r="AT12" s="19">
        <v>264864510</v>
      </c>
      <c r="AU12" s="19">
        <v>0</v>
      </c>
      <c r="AV12" s="19">
        <v>0</v>
      </c>
      <c r="AW12" s="19">
        <v>10529222</v>
      </c>
      <c r="AX12" s="19">
        <v>282514070</v>
      </c>
      <c r="AY12" s="19"/>
      <c r="AZ12" s="19">
        <v>104925512</v>
      </c>
      <c r="BA12" s="19">
        <v>65416493</v>
      </c>
      <c r="BB12" s="19">
        <v>0</v>
      </c>
      <c r="BC12" s="19">
        <v>297985200</v>
      </c>
      <c r="BD12" s="19">
        <v>0</v>
      </c>
      <c r="BE12" s="19">
        <v>141672500</v>
      </c>
      <c r="BF12" s="19">
        <v>577292628</v>
      </c>
      <c r="BG12" s="19">
        <v>498816166</v>
      </c>
      <c r="BH12" s="19">
        <v>116325078</v>
      </c>
      <c r="BI12" s="19">
        <v>98676558</v>
      </c>
      <c r="BJ12" s="19">
        <v>160206830</v>
      </c>
      <c r="BK12" s="19">
        <v>156352853</v>
      </c>
      <c r="BL12" s="19">
        <v>2127000</v>
      </c>
      <c r="BM12" s="19">
        <v>19700000</v>
      </c>
      <c r="BN12" s="19">
        <v>0</v>
      </c>
      <c r="BO12" s="19">
        <v>132408830</v>
      </c>
      <c r="BP12" s="19"/>
      <c r="BQ12" s="19">
        <v>56033704</v>
      </c>
      <c r="BR12" s="19">
        <v>0</v>
      </c>
      <c r="BS12" s="19">
        <v>5558400</v>
      </c>
      <c r="BT12" s="19">
        <v>2270988</v>
      </c>
      <c r="BU12" s="19">
        <v>13992457</v>
      </c>
      <c r="BV12" s="19">
        <v>0</v>
      </c>
      <c r="BW12" s="19">
        <v>0</v>
      </c>
      <c r="BX12" s="19">
        <v>0</v>
      </c>
      <c r="BY12" s="19">
        <v>12367816</v>
      </c>
      <c r="BZ12" s="19">
        <v>13765313</v>
      </c>
      <c r="CA12" s="19"/>
      <c r="CB12" s="19">
        <v>1686000</v>
      </c>
      <c r="CC12" s="19">
        <v>0</v>
      </c>
      <c r="CD12" s="19">
        <v>68544000</v>
      </c>
      <c r="CE12" s="19">
        <v>325911100</v>
      </c>
      <c r="CF12" s="19" t="s">
        <v>139</v>
      </c>
      <c r="CG12" s="19">
        <v>0</v>
      </c>
      <c r="CH12" s="19">
        <v>3525000</v>
      </c>
      <c r="CI12" s="19">
        <v>436204816</v>
      </c>
      <c r="CJ12" s="19">
        <v>246915000</v>
      </c>
      <c r="CK12" s="19">
        <v>39759695</v>
      </c>
      <c r="CL12" s="19">
        <v>17814500</v>
      </c>
      <c r="CM12" s="19"/>
      <c r="CN12" s="19"/>
      <c r="CO12" s="19">
        <v>0</v>
      </c>
      <c r="CP12" s="19">
        <v>62946560</v>
      </c>
      <c r="CQ12" s="19" t="s">
        <v>96</v>
      </c>
      <c r="CR12" s="19">
        <v>78585700</v>
      </c>
    </row>
    <row r="13" spans="1:96" ht="17.55" customHeight="1">
      <c r="A13" s="7" t="s">
        <v>90</v>
      </c>
      <c r="B13" s="14" t="s">
        <v>66</v>
      </c>
      <c r="C13" s="19"/>
      <c r="D13" s="19"/>
      <c r="E13" s="19"/>
      <c r="F13" s="19"/>
      <c r="G13" s="19"/>
      <c r="H13" s="19"/>
      <c r="I13" s="19"/>
      <c r="J13" s="19"/>
      <c r="K13" s="19"/>
      <c r="L13" s="19"/>
      <c r="M13" s="19"/>
      <c r="N13" s="19"/>
      <c r="O13" s="19"/>
      <c r="P13" s="19"/>
      <c r="Q13" s="19"/>
      <c r="R13" s="19"/>
      <c r="S13" s="19"/>
      <c r="T13" s="19"/>
      <c r="U13" s="19"/>
      <c r="V13" s="19"/>
      <c r="W13" s="19"/>
      <c r="X13" s="19"/>
      <c r="Y13" s="19"/>
      <c r="Z13" s="19"/>
      <c r="AA13" s="19"/>
      <c r="AB13" s="19"/>
      <c r="AC13" s="19"/>
      <c r="AD13" s="19"/>
      <c r="AE13" s="19">
        <v>9974186</v>
      </c>
      <c r="AF13" s="19"/>
      <c r="AG13" s="19"/>
      <c r="AH13" s="19"/>
      <c r="AI13" s="19"/>
      <c r="AJ13" s="19"/>
      <c r="AK13" s="19">
        <v>53744109</v>
      </c>
      <c r="AL13" s="19"/>
      <c r="AM13" s="19"/>
      <c r="AN13" s="19"/>
      <c r="AO13" s="19"/>
      <c r="AP13" s="19"/>
      <c r="AQ13" s="19"/>
      <c r="AR13" s="19"/>
      <c r="AS13" s="19">
        <v>7675400</v>
      </c>
      <c r="AT13" s="19">
        <v>966752</v>
      </c>
      <c r="AU13" s="19"/>
      <c r="AV13" s="19"/>
      <c r="AW13" s="19"/>
      <c r="AX13" s="19"/>
      <c r="AY13" s="19"/>
      <c r="AZ13" s="19"/>
      <c r="BA13" s="19">
        <v>195820</v>
      </c>
      <c r="BB13" s="19"/>
      <c r="BC13" s="19"/>
      <c r="BD13" s="19"/>
      <c r="BE13" s="19"/>
      <c r="BF13" s="19"/>
      <c r="BG13" s="19"/>
      <c r="BH13" s="19"/>
      <c r="BI13" s="19"/>
      <c r="BJ13" s="19"/>
      <c r="BK13" s="19"/>
      <c r="BL13" s="19"/>
      <c r="BM13" s="19"/>
      <c r="BN13" s="19"/>
      <c r="BO13" s="19"/>
      <c r="BP13" s="19"/>
      <c r="BQ13" s="19"/>
      <c r="BR13" s="19"/>
      <c r="BS13" s="19"/>
      <c r="BT13" s="19"/>
      <c r="BU13" s="19"/>
      <c r="BV13" s="19">
        <v>259975</v>
      </c>
      <c r="BW13" s="19"/>
      <c r="BX13" s="19"/>
      <c r="BY13" s="19"/>
      <c r="BZ13" s="19"/>
      <c r="CA13" s="19"/>
      <c r="CB13" s="19"/>
      <c r="CC13" s="19"/>
      <c r="CD13" s="19"/>
      <c r="CE13" s="19"/>
      <c r="CF13" s="19" t="s">
        <v>139</v>
      </c>
      <c r="CG13" s="19"/>
      <c r="CH13" s="19"/>
      <c r="CI13" s="19"/>
      <c r="CJ13" s="19"/>
      <c r="CK13" s="19"/>
      <c r="CL13" s="19"/>
      <c r="CM13" s="19"/>
      <c r="CN13" s="19"/>
      <c r="CO13" s="19"/>
      <c r="CP13" s="19"/>
      <c r="CQ13" s="19" t="s">
        <v>96</v>
      </c>
      <c r="CR13" s="19"/>
    </row>
    <row r="14" spans="1:96" ht="17.55" customHeight="1">
      <c r="A14" s="7" t="s">
        <v>90</v>
      </c>
      <c r="B14" s="8" t="s">
        <v>19</v>
      </c>
      <c r="C14" s="19">
        <v>29514347</v>
      </c>
      <c r="D14" s="19">
        <v>347787190</v>
      </c>
      <c r="E14" s="19">
        <v>635395519</v>
      </c>
      <c r="F14" s="19">
        <v>94253169</v>
      </c>
      <c r="G14" s="19">
        <v>13935153</v>
      </c>
      <c r="H14" s="19">
        <v>139778822</v>
      </c>
      <c r="I14" s="19">
        <v>1277466915</v>
      </c>
      <c r="J14" s="19">
        <v>110796850</v>
      </c>
      <c r="K14" s="19">
        <v>340039192</v>
      </c>
      <c r="L14" s="19">
        <v>133478077</v>
      </c>
      <c r="M14" s="19">
        <v>1654519667</v>
      </c>
      <c r="N14" s="19">
        <v>92745457</v>
      </c>
      <c r="O14" s="19">
        <v>1688748950</v>
      </c>
      <c r="P14" s="19">
        <v>904059047</v>
      </c>
      <c r="Q14" s="19">
        <v>33387693</v>
      </c>
      <c r="R14" s="19">
        <v>199226580</v>
      </c>
      <c r="S14" s="19">
        <v>472510025</v>
      </c>
      <c r="T14" s="19">
        <v>271437421</v>
      </c>
      <c r="U14" s="19">
        <v>456313929</v>
      </c>
      <c r="V14" s="19">
        <v>79294368</v>
      </c>
      <c r="W14" s="19">
        <v>429147030</v>
      </c>
      <c r="X14" s="19">
        <v>4917383680</v>
      </c>
      <c r="Y14" s="19">
        <v>64839992</v>
      </c>
      <c r="Z14" s="19">
        <v>169341145</v>
      </c>
      <c r="AA14" s="19">
        <v>1207278606</v>
      </c>
      <c r="AB14" s="19">
        <v>62460779</v>
      </c>
      <c r="AC14" s="19">
        <v>225881110</v>
      </c>
      <c r="AD14" s="19">
        <v>1059619008</v>
      </c>
      <c r="AE14" s="19">
        <v>373287695</v>
      </c>
      <c r="AF14" s="19">
        <v>195029525</v>
      </c>
      <c r="AG14" s="19">
        <v>416833962</v>
      </c>
      <c r="AH14" s="19">
        <v>90289868</v>
      </c>
      <c r="AI14" s="19">
        <v>294337978</v>
      </c>
      <c r="AJ14" s="19">
        <v>282011596</v>
      </c>
      <c r="AK14" s="19">
        <v>460021529</v>
      </c>
      <c r="AL14" s="19">
        <v>50223252</v>
      </c>
      <c r="AM14" s="19">
        <v>2512391075</v>
      </c>
      <c r="AN14" s="19">
        <v>85266908</v>
      </c>
      <c r="AO14" s="19">
        <v>145345039</v>
      </c>
      <c r="AP14" s="19">
        <v>127018812</v>
      </c>
      <c r="AQ14" s="19">
        <v>35928894</v>
      </c>
      <c r="AR14" s="19">
        <v>60505302</v>
      </c>
      <c r="AS14" s="19">
        <v>141843287</v>
      </c>
      <c r="AT14" s="19">
        <v>1706463049</v>
      </c>
      <c r="AU14" s="19">
        <v>309918741</v>
      </c>
      <c r="AV14" s="19">
        <v>220525702</v>
      </c>
      <c r="AW14" s="19">
        <v>537098099</v>
      </c>
      <c r="AX14" s="19">
        <v>938819551</v>
      </c>
      <c r="AY14" s="19">
        <v>411317330</v>
      </c>
      <c r="AZ14" s="19">
        <v>184327218</v>
      </c>
      <c r="BA14" s="19">
        <v>236363149</v>
      </c>
      <c r="BB14" s="19">
        <v>34824245</v>
      </c>
      <c r="BC14" s="19">
        <v>635492383</v>
      </c>
      <c r="BD14" s="19">
        <v>9289500</v>
      </c>
      <c r="BE14" s="19">
        <v>28587647</v>
      </c>
      <c r="BF14" s="19">
        <v>1430377504</v>
      </c>
      <c r="BG14" s="19">
        <v>559643723</v>
      </c>
      <c r="BH14" s="19">
        <v>153978672</v>
      </c>
      <c r="BI14" s="19">
        <v>65894474</v>
      </c>
      <c r="BJ14" s="19">
        <v>91543553</v>
      </c>
      <c r="BK14" s="19">
        <v>108959437</v>
      </c>
      <c r="BL14" s="19">
        <v>9903680</v>
      </c>
      <c r="BM14" s="19">
        <v>10748545</v>
      </c>
      <c r="BN14" s="19">
        <v>56991637</v>
      </c>
      <c r="BO14" s="19">
        <v>147279065</v>
      </c>
      <c r="BP14" s="19">
        <v>21482301</v>
      </c>
      <c r="BQ14" s="19">
        <v>211373134</v>
      </c>
      <c r="BR14" s="19">
        <v>3013637</v>
      </c>
      <c r="BS14" s="19">
        <v>43136441</v>
      </c>
      <c r="BT14" s="19">
        <v>59601262</v>
      </c>
      <c r="BU14" s="19">
        <v>50873637</v>
      </c>
      <c r="BV14" s="19">
        <v>53838661</v>
      </c>
      <c r="BW14" s="19">
        <v>13278719</v>
      </c>
      <c r="BX14" s="19">
        <v>15861124</v>
      </c>
      <c r="BY14" s="19">
        <v>324905801</v>
      </c>
      <c r="BZ14" s="19">
        <v>11921500</v>
      </c>
      <c r="CA14" s="19">
        <v>225705658</v>
      </c>
      <c r="CB14" s="19">
        <v>255087387</v>
      </c>
      <c r="CC14" s="19">
        <v>3000000</v>
      </c>
      <c r="CD14" s="19">
        <v>104002231</v>
      </c>
      <c r="CE14" s="19">
        <v>135208358</v>
      </c>
      <c r="CF14" s="19" t="s">
        <v>139</v>
      </c>
      <c r="CG14" s="19">
        <v>87263483</v>
      </c>
      <c r="CH14" s="19">
        <v>12928845</v>
      </c>
      <c r="CI14" s="19">
        <v>302675156</v>
      </c>
      <c r="CJ14" s="19">
        <v>80108554</v>
      </c>
      <c r="CK14" s="19">
        <v>2071371968</v>
      </c>
      <c r="CL14" s="19">
        <v>444651411</v>
      </c>
      <c r="CM14" s="19">
        <v>569208637</v>
      </c>
      <c r="CN14" s="19">
        <v>106106141</v>
      </c>
      <c r="CO14" s="19">
        <v>61227892</v>
      </c>
      <c r="CP14" s="19">
        <v>82241836</v>
      </c>
      <c r="CQ14" s="19" t="s">
        <v>96</v>
      </c>
      <c r="CR14" s="19">
        <v>109009230</v>
      </c>
    </row>
    <row r="15" spans="1:96" ht="17.55" customHeight="1">
      <c r="A15" s="7" t="s">
        <v>90</v>
      </c>
      <c r="B15" s="11" t="s">
        <v>8</v>
      </c>
      <c r="C15" s="19">
        <v>0</v>
      </c>
      <c r="D15" s="19">
        <v>5000000</v>
      </c>
      <c r="E15" s="19">
        <v>80137530</v>
      </c>
      <c r="F15" s="19">
        <v>14000000</v>
      </c>
      <c r="G15" s="19">
        <v>0</v>
      </c>
      <c r="H15" s="19">
        <v>63860000</v>
      </c>
      <c r="I15" s="19">
        <v>0</v>
      </c>
      <c r="J15" s="19">
        <v>0</v>
      </c>
      <c r="K15" s="19">
        <v>0</v>
      </c>
      <c r="L15" s="19"/>
      <c r="M15" s="19">
        <v>7550000</v>
      </c>
      <c r="N15" s="19">
        <v>0</v>
      </c>
      <c r="O15" s="19">
        <v>163287899</v>
      </c>
      <c r="P15" s="19">
        <v>14760000</v>
      </c>
      <c r="Q15" s="19">
        <v>0</v>
      </c>
      <c r="R15" s="19">
        <v>2600000</v>
      </c>
      <c r="S15" s="19">
        <v>116351970</v>
      </c>
      <c r="T15" s="19">
        <v>1000000</v>
      </c>
      <c r="U15" s="19">
        <v>3000000</v>
      </c>
      <c r="V15" s="19">
        <v>0</v>
      </c>
      <c r="W15" s="19">
        <v>146258097</v>
      </c>
      <c r="X15" s="19">
        <v>65191155</v>
      </c>
      <c r="Y15" s="19">
        <v>26848933</v>
      </c>
      <c r="Z15" s="19"/>
      <c r="AA15" s="19">
        <v>281247720</v>
      </c>
      <c r="AB15" s="19">
        <v>0</v>
      </c>
      <c r="AC15" s="19">
        <v>15000000</v>
      </c>
      <c r="AD15" s="19">
        <v>52876847</v>
      </c>
      <c r="AE15" s="19">
        <v>0</v>
      </c>
      <c r="AF15" s="19">
        <v>0</v>
      </c>
      <c r="AG15" s="19">
        <v>21335791</v>
      </c>
      <c r="AH15" s="19">
        <v>5000000</v>
      </c>
      <c r="AI15" s="19">
        <v>269850</v>
      </c>
      <c r="AJ15" s="19">
        <v>0</v>
      </c>
      <c r="AK15" s="19">
        <v>7227970</v>
      </c>
      <c r="AL15" s="19">
        <v>0</v>
      </c>
      <c r="AM15" s="19"/>
      <c r="AN15" s="19"/>
      <c r="AO15" s="19">
        <v>0</v>
      </c>
      <c r="AP15" s="19">
        <v>0</v>
      </c>
      <c r="AQ15" s="19"/>
      <c r="AR15" s="19">
        <v>0</v>
      </c>
      <c r="AS15" s="19">
        <v>0</v>
      </c>
      <c r="AT15" s="19">
        <v>0</v>
      </c>
      <c r="AU15" s="19">
        <v>8000000</v>
      </c>
      <c r="AV15" s="19">
        <v>0</v>
      </c>
      <c r="AW15" s="19">
        <v>0</v>
      </c>
      <c r="AX15" s="19"/>
      <c r="AY15" s="19">
        <v>184734612</v>
      </c>
      <c r="AZ15" s="19">
        <v>674403</v>
      </c>
      <c r="BA15" s="19">
        <v>3000000</v>
      </c>
      <c r="BB15" s="19">
        <v>0</v>
      </c>
      <c r="BC15" s="19">
        <v>0</v>
      </c>
      <c r="BD15" s="19">
        <v>0</v>
      </c>
      <c r="BE15" s="19">
        <v>0</v>
      </c>
      <c r="BF15" s="19">
        <v>2697003</v>
      </c>
      <c r="BG15" s="19"/>
      <c r="BH15" s="19">
        <v>1000000</v>
      </c>
      <c r="BI15" s="19">
        <v>0</v>
      </c>
      <c r="BJ15" s="19">
        <v>0</v>
      </c>
      <c r="BK15" s="19">
        <v>0</v>
      </c>
      <c r="BL15" s="19"/>
      <c r="BM15" s="19">
        <v>0</v>
      </c>
      <c r="BN15" s="19">
        <v>1070287</v>
      </c>
      <c r="BO15" s="19">
        <v>1931331</v>
      </c>
      <c r="BP15" s="19"/>
      <c r="BQ15" s="19">
        <v>0</v>
      </c>
      <c r="BR15" s="19">
        <v>0</v>
      </c>
      <c r="BS15" s="19">
        <v>0</v>
      </c>
      <c r="BT15" s="19"/>
      <c r="BU15" s="19">
        <v>0</v>
      </c>
      <c r="BV15" s="19">
        <v>0</v>
      </c>
      <c r="BW15" s="19">
        <v>0</v>
      </c>
      <c r="BX15" s="19">
        <v>0</v>
      </c>
      <c r="BY15" s="19">
        <v>42220500</v>
      </c>
      <c r="BZ15" s="19"/>
      <c r="CA15" s="19"/>
      <c r="CB15" s="19">
        <v>82200000</v>
      </c>
      <c r="CC15" s="19">
        <v>3000000</v>
      </c>
      <c r="CD15" s="19"/>
      <c r="CE15" s="19">
        <v>0</v>
      </c>
      <c r="CF15" s="19" t="s">
        <v>139</v>
      </c>
      <c r="CG15" s="19">
        <v>73748198</v>
      </c>
      <c r="CH15" s="19">
        <v>0</v>
      </c>
      <c r="CI15" s="19"/>
      <c r="CJ15" s="19">
        <v>17498110</v>
      </c>
      <c r="CK15" s="19">
        <v>7700000</v>
      </c>
      <c r="CL15" s="19">
        <v>2831750</v>
      </c>
      <c r="CM15" s="19">
        <v>248890243</v>
      </c>
      <c r="CN15" s="19"/>
      <c r="CO15" s="19">
        <v>0</v>
      </c>
      <c r="CP15" s="19">
        <v>1000000</v>
      </c>
      <c r="CQ15" s="19" t="s">
        <v>96</v>
      </c>
      <c r="CR15" s="19">
        <v>0</v>
      </c>
    </row>
    <row r="16" spans="1:96" ht="17.55" customHeight="1">
      <c r="A16" s="7" t="s">
        <v>90</v>
      </c>
      <c r="B16" s="11" t="s">
        <v>151</v>
      </c>
      <c r="C16" s="19">
        <v>9211347</v>
      </c>
      <c r="D16" s="19">
        <v>342787190</v>
      </c>
      <c r="E16" s="19">
        <v>555257989</v>
      </c>
      <c r="F16" s="19">
        <v>19829601</v>
      </c>
      <c r="G16" s="19">
        <v>6875153</v>
      </c>
      <c r="H16" s="19">
        <v>35838822</v>
      </c>
      <c r="I16" s="19">
        <v>1164466915</v>
      </c>
      <c r="J16" s="19">
        <v>15421850</v>
      </c>
      <c r="K16" s="19">
        <v>336124792</v>
      </c>
      <c r="L16" s="19">
        <v>93093077</v>
      </c>
      <c r="M16" s="19">
        <v>1399968749</v>
      </c>
      <c r="N16" s="19">
        <v>7042828</v>
      </c>
      <c r="O16" s="19">
        <v>1346878056</v>
      </c>
      <c r="P16" s="19">
        <v>446955607</v>
      </c>
      <c r="Q16" s="19">
        <v>17387693</v>
      </c>
      <c r="R16" s="19">
        <v>76326246</v>
      </c>
      <c r="S16" s="19">
        <v>296214328</v>
      </c>
      <c r="T16" s="19">
        <v>222437421</v>
      </c>
      <c r="U16" s="19">
        <v>326567536</v>
      </c>
      <c r="V16" s="19">
        <v>29294368</v>
      </c>
      <c r="W16" s="19">
        <v>265578105</v>
      </c>
      <c r="X16" s="19">
        <v>4845625791</v>
      </c>
      <c r="Y16" s="19">
        <v>1333217</v>
      </c>
      <c r="Z16" s="19">
        <v>139341145</v>
      </c>
      <c r="AA16" s="19">
        <v>411030886</v>
      </c>
      <c r="AB16" s="19">
        <v>58910779</v>
      </c>
      <c r="AC16" s="19">
        <v>30350870</v>
      </c>
      <c r="AD16" s="19">
        <v>928531376</v>
      </c>
      <c r="AE16" s="19">
        <v>26295573</v>
      </c>
      <c r="AF16" s="19">
        <v>115169525</v>
      </c>
      <c r="AG16" s="19">
        <v>57896173</v>
      </c>
      <c r="AH16" s="19">
        <v>30563501</v>
      </c>
      <c r="AI16" s="19">
        <v>224186898</v>
      </c>
      <c r="AJ16" s="19">
        <v>101355731</v>
      </c>
      <c r="AK16" s="19">
        <v>433763159</v>
      </c>
      <c r="AL16" s="19">
        <v>14037369</v>
      </c>
      <c r="AM16" s="19">
        <v>499262449</v>
      </c>
      <c r="AN16" s="19">
        <v>46842908</v>
      </c>
      <c r="AO16" s="19">
        <v>61781039</v>
      </c>
      <c r="AP16" s="19">
        <v>40493811</v>
      </c>
      <c r="AQ16" s="19">
        <v>35828894</v>
      </c>
      <c r="AR16" s="19">
        <v>26905302</v>
      </c>
      <c r="AS16" s="19">
        <v>96839287</v>
      </c>
      <c r="AT16" s="19">
        <v>1706163049</v>
      </c>
      <c r="AU16" s="19">
        <v>80838741</v>
      </c>
      <c r="AV16" s="19">
        <v>100525702</v>
      </c>
      <c r="AW16" s="19">
        <v>535098099</v>
      </c>
      <c r="AX16" s="19">
        <v>877548460</v>
      </c>
      <c r="AY16" s="19">
        <v>221782718</v>
      </c>
      <c r="AZ16" s="19">
        <v>128152814</v>
      </c>
      <c r="BA16" s="19">
        <v>134613149</v>
      </c>
      <c r="BB16" s="19">
        <v>0</v>
      </c>
      <c r="BC16" s="19">
        <v>635215483</v>
      </c>
      <c r="BD16" s="19">
        <v>0</v>
      </c>
      <c r="BE16" s="19">
        <v>7947647</v>
      </c>
      <c r="BF16" s="19">
        <v>601109394</v>
      </c>
      <c r="BG16" s="19">
        <v>168369480</v>
      </c>
      <c r="BH16" s="19">
        <v>145732713</v>
      </c>
      <c r="BI16" s="19">
        <v>4244073</v>
      </c>
      <c r="BJ16" s="19">
        <v>63493553</v>
      </c>
      <c r="BK16" s="19">
        <v>56762707</v>
      </c>
      <c r="BL16" s="19">
        <v>9576647</v>
      </c>
      <c r="BM16" s="19">
        <v>7904099</v>
      </c>
      <c r="BN16" s="19">
        <v>43664566</v>
      </c>
      <c r="BO16" s="19">
        <v>30356807</v>
      </c>
      <c r="BP16" s="19">
        <v>12826301</v>
      </c>
      <c r="BQ16" s="19">
        <v>34656467</v>
      </c>
      <c r="BR16" s="19">
        <v>3013637</v>
      </c>
      <c r="BS16" s="19">
        <v>18036441</v>
      </c>
      <c r="BT16" s="19">
        <v>59601262</v>
      </c>
      <c r="BU16" s="19">
        <v>40873637</v>
      </c>
      <c r="BV16" s="19">
        <v>33838661</v>
      </c>
      <c r="BW16" s="19">
        <v>13278719</v>
      </c>
      <c r="BX16" s="19">
        <v>4661124</v>
      </c>
      <c r="BY16" s="19">
        <v>108571852</v>
      </c>
      <c r="BZ16" s="19">
        <v>1921500</v>
      </c>
      <c r="CA16" s="19">
        <v>105405658</v>
      </c>
      <c r="CB16" s="19">
        <v>120534803</v>
      </c>
      <c r="CC16" s="19">
        <v>0</v>
      </c>
      <c r="CD16" s="19">
        <v>98936231</v>
      </c>
      <c r="CE16" s="19">
        <v>4479358</v>
      </c>
      <c r="CF16" s="19" t="s">
        <v>139</v>
      </c>
      <c r="CG16" s="19">
        <v>10515285</v>
      </c>
      <c r="CH16" s="19">
        <v>12584725</v>
      </c>
      <c r="CI16" s="19">
        <v>220479113</v>
      </c>
      <c r="CJ16" s="19">
        <v>14209644</v>
      </c>
      <c r="CK16" s="19">
        <v>2053730968</v>
      </c>
      <c r="CL16" s="19">
        <v>412990324</v>
      </c>
      <c r="CM16" s="19">
        <v>30318394</v>
      </c>
      <c r="CN16" s="19">
        <v>95439474</v>
      </c>
      <c r="CO16" s="19">
        <v>47051358</v>
      </c>
      <c r="CP16" s="19">
        <v>52141836</v>
      </c>
      <c r="CQ16" s="19" t="s">
        <v>96</v>
      </c>
      <c r="CR16" s="19">
        <v>27327020</v>
      </c>
    </row>
    <row r="17" spans="1:96" ht="17.55" customHeight="1">
      <c r="A17" s="7" t="s">
        <v>90</v>
      </c>
      <c r="B17" s="11" t="s">
        <v>27</v>
      </c>
      <c r="C17" s="19">
        <v>3000</v>
      </c>
      <c r="D17" s="19">
        <v>0</v>
      </c>
      <c r="E17" s="19">
        <v>0</v>
      </c>
      <c r="F17" s="19">
        <v>27423568</v>
      </c>
      <c r="G17" s="19">
        <v>960000</v>
      </c>
      <c r="H17" s="19">
        <v>80000</v>
      </c>
      <c r="I17" s="19">
        <v>0</v>
      </c>
      <c r="J17" s="19">
        <v>60375000</v>
      </c>
      <c r="K17" s="19">
        <v>854400</v>
      </c>
      <c r="L17" s="19">
        <v>0</v>
      </c>
      <c r="M17" s="19">
        <v>10320918</v>
      </c>
      <c r="N17" s="19">
        <v>5702629</v>
      </c>
      <c r="O17" s="19">
        <v>5805000</v>
      </c>
      <c r="P17" s="19">
        <v>36773510</v>
      </c>
      <c r="Q17" s="19">
        <v>0</v>
      </c>
      <c r="R17" s="19">
        <v>15033334</v>
      </c>
      <c r="S17" s="19">
        <v>5272727</v>
      </c>
      <c r="T17" s="19">
        <v>0</v>
      </c>
      <c r="U17" s="19">
        <v>58500</v>
      </c>
      <c r="V17" s="19">
        <v>0</v>
      </c>
      <c r="W17" s="19">
        <v>17310828</v>
      </c>
      <c r="X17" s="19">
        <v>6566734</v>
      </c>
      <c r="Y17" s="19">
        <v>32927842</v>
      </c>
      <c r="Z17" s="19">
        <v>0</v>
      </c>
      <c r="AA17" s="19">
        <v>0</v>
      </c>
      <c r="AB17" s="19">
        <v>3550000</v>
      </c>
      <c r="AC17" s="19">
        <v>440240</v>
      </c>
      <c r="AD17" s="19">
        <v>0</v>
      </c>
      <c r="AE17" s="19">
        <v>1992122</v>
      </c>
      <c r="AF17" s="19">
        <v>0</v>
      </c>
      <c r="AG17" s="19">
        <v>331051998</v>
      </c>
      <c r="AH17" s="19">
        <v>8874367</v>
      </c>
      <c r="AI17" s="19">
        <v>3191560</v>
      </c>
      <c r="AJ17" s="19">
        <v>655865</v>
      </c>
      <c r="AK17" s="19">
        <v>0</v>
      </c>
      <c r="AL17" s="19">
        <v>0</v>
      </c>
      <c r="AM17" s="19">
        <v>828414926</v>
      </c>
      <c r="AN17" s="19">
        <v>11880000</v>
      </c>
      <c r="AO17" s="19">
        <v>3564000</v>
      </c>
      <c r="AP17" s="19">
        <v>86525001</v>
      </c>
      <c r="AQ17" s="19">
        <v>0</v>
      </c>
      <c r="AR17" s="19">
        <v>32500000</v>
      </c>
      <c r="AS17" s="19">
        <v>4000</v>
      </c>
      <c r="AT17" s="19">
        <v>0</v>
      </c>
      <c r="AU17" s="19">
        <v>1000000</v>
      </c>
      <c r="AV17" s="19">
        <v>0</v>
      </c>
      <c r="AW17" s="19">
        <v>0</v>
      </c>
      <c r="AX17" s="19">
        <v>4271091</v>
      </c>
      <c r="AY17" s="19">
        <v>4800000</v>
      </c>
      <c r="AZ17" s="19">
        <v>5500001</v>
      </c>
      <c r="BA17" s="19">
        <v>28750000</v>
      </c>
      <c r="BB17" s="19">
        <v>34824245</v>
      </c>
      <c r="BC17" s="19">
        <v>0</v>
      </c>
      <c r="BD17" s="19">
        <v>9289500</v>
      </c>
      <c r="BE17" s="19">
        <v>0</v>
      </c>
      <c r="BF17" s="19">
        <v>774486507</v>
      </c>
      <c r="BG17" s="19">
        <v>24574243</v>
      </c>
      <c r="BH17" s="19">
        <v>7245959</v>
      </c>
      <c r="BI17" s="19">
        <v>31650401</v>
      </c>
      <c r="BJ17" s="19">
        <v>0</v>
      </c>
      <c r="BK17" s="19">
        <v>40196730</v>
      </c>
      <c r="BL17" s="19">
        <v>327033</v>
      </c>
      <c r="BM17" s="19">
        <v>2844446</v>
      </c>
      <c r="BN17" s="19">
        <v>12256784</v>
      </c>
      <c r="BO17" s="19">
        <v>114490927</v>
      </c>
      <c r="BP17" s="19">
        <v>7150000</v>
      </c>
      <c r="BQ17" s="19">
        <v>26716667</v>
      </c>
      <c r="BR17" s="19">
        <v>0</v>
      </c>
      <c r="BS17" s="19">
        <v>0</v>
      </c>
      <c r="BT17" s="19">
        <v>0</v>
      </c>
      <c r="BU17" s="19">
        <v>0</v>
      </c>
      <c r="BV17" s="19">
        <v>0</v>
      </c>
      <c r="BW17" s="19">
        <v>0</v>
      </c>
      <c r="BX17" s="19">
        <v>0</v>
      </c>
      <c r="BY17" s="19">
        <v>118113449</v>
      </c>
      <c r="BZ17" s="19">
        <v>0</v>
      </c>
      <c r="CA17" s="19">
        <v>0</v>
      </c>
      <c r="CB17" s="19">
        <v>17352584</v>
      </c>
      <c r="CC17" s="19">
        <v>0</v>
      </c>
      <c r="CD17" s="19">
        <v>0</v>
      </c>
      <c r="CE17" s="19">
        <v>30729000</v>
      </c>
      <c r="CF17" s="19" t="s">
        <v>139</v>
      </c>
      <c r="CG17" s="19">
        <v>0</v>
      </c>
      <c r="CH17" s="19">
        <v>344120</v>
      </c>
      <c r="CI17" s="19">
        <v>82196043</v>
      </c>
      <c r="CJ17" s="19">
        <v>38400800</v>
      </c>
      <c r="CK17" s="19">
        <v>0</v>
      </c>
      <c r="CL17" s="19">
        <v>28829337</v>
      </c>
      <c r="CM17" s="19">
        <v>0</v>
      </c>
      <c r="CN17" s="19">
        <v>9666667</v>
      </c>
      <c r="CO17" s="19">
        <v>4176534</v>
      </c>
      <c r="CP17" s="19">
        <v>0</v>
      </c>
      <c r="CQ17" s="19" t="s">
        <v>96</v>
      </c>
      <c r="CR17" s="19">
        <v>0</v>
      </c>
    </row>
    <row r="18" spans="1:96" ht="17.55" customHeight="1">
      <c r="A18" s="7" t="s">
        <v>90</v>
      </c>
      <c r="B18" s="12" t="s">
        <v>54</v>
      </c>
      <c r="C18" s="19">
        <v>3000</v>
      </c>
      <c r="D18" s="19"/>
      <c r="E18" s="19"/>
      <c r="F18" s="19"/>
      <c r="G18" s="19"/>
      <c r="H18" s="19">
        <v>80000</v>
      </c>
      <c r="I18" s="19"/>
      <c r="J18" s="19"/>
      <c r="K18" s="19"/>
      <c r="L18" s="19"/>
      <c r="M18" s="19">
        <v>10320918</v>
      </c>
      <c r="N18" s="19">
        <v>5702629</v>
      </c>
      <c r="O18" s="19"/>
      <c r="P18" s="19">
        <v>15295173</v>
      </c>
      <c r="Q18" s="19"/>
      <c r="R18" s="19">
        <v>7833334</v>
      </c>
      <c r="S18" s="19">
        <v>5272727</v>
      </c>
      <c r="T18" s="19"/>
      <c r="U18" s="19">
        <v>58500</v>
      </c>
      <c r="V18" s="19"/>
      <c r="W18" s="19">
        <v>14006771</v>
      </c>
      <c r="X18" s="19"/>
      <c r="Y18" s="19">
        <v>18227842</v>
      </c>
      <c r="Z18" s="19"/>
      <c r="AA18" s="19"/>
      <c r="AB18" s="19">
        <v>3550000</v>
      </c>
      <c r="AC18" s="19"/>
      <c r="AD18" s="19"/>
      <c r="AE18" s="19"/>
      <c r="AF18" s="19"/>
      <c r="AG18" s="19">
        <v>189949998</v>
      </c>
      <c r="AH18" s="19">
        <v>8685001</v>
      </c>
      <c r="AI18" s="19">
        <v>2400000</v>
      </c>
      <c r="AJ18" s="19"/>
      <c r="AK18" s="19"/>
      <c r="AL18" s="19"/>
      <c r="AM18" s="19">
        <v>7771179</v>
      </c>
      <c r="AN18" s="19">
        <v>11880000</v>
      </c>
      <c r="AO18" s="19">
        <v>3564000</v>
      </c>
      <c r="AP18" s="19">
        <v>8616667</v>
      </c>
      <c r="AQ18" s="19"/>
      <c r="AR18" s="19">
        <v>32500000</v>
      </c>
      <c r="AS18" s="19"/>
      <c r="AT18" s="19"/>
      <c r="AU18" s="19"/>
      <c r="AV18" s="19"/>
      <c r="AW18" s="19"/>
      <c r="AX18" s="19"/>
      <c r="AY18" s="19"/>
      <c r="AZ18" s="19"/>
      <c r="BA18" s="19">
        <v>24750000</v>
      </c>
      <c r="BB18" s="19"/>
      <c r="BC18" s="19"/>
      <c r="BD18" s="19"/>
      <c r="BE18" s="19"/>
      <c r="BF18" s="19"/>
      <c r="BG18" s="19">
        <v>6788002</v>
      </c>
      <c r="BH18" s="19">
        <v>4579292</v>
      </c>
      <c r="BI18" s="19"/>
      <c r="BJ18" s="19"/>
      <c r="BK18" s="19"/>
      <c r="BL18" s="19"/>
      <c r="BM18" s="19"/>
      <c r="BN18" s="19"/>
      <c r="BO18" s="19">
        <v>5669500</v>
      </c>
      <c r="BP18" s="19">
        <v>7150000</v>
      </c>
      <c r="BQ18" s="19">
        <v>26716667</v>
      </c>
      <c r="BR18" s="19"/>
      <c r="BS18" s="19"/>
      <c r="BT18" s="19"/>
      <c r="BU18" s="19"/>
      <c r="BV18" s="19"/>
      <c r="BW18" s="19"/>
      <c r="BX18" s="19"/>
      <c r="BY18" s="19">
        <v>112492669</v>
      </c>
      <c r="BZ18" s="19"/>
      <c r="CA18" s="19"/>
      <c r="CB18" s="19"/>
      <c r="CC18" s="19"/>
      <c r="CD18" s="19"/>
      <c r="CE18" s="19"/>
      <c r="CF18" s="19" t="s">
        <v>139</v>
      </c>
      <c r="CG18" s="19"/>
      <c r="CH18" s="19"/>
      <c r="CI18" s="19">
        <v>43240000</v>
      </c>
      <c r="CJ18" s="19"/>
      <c r="CK18" s="19"/>
      <c r="CL18" s="19"/>
      <c r="CM18" s="19"/>
      <c r="CN18" s="19"/>
      <c r="CO18" s="19">
        <v>4176534</v>
      </c>
      <c r="CP18" s="19"/>
      <c r="CQ18" s="19" t="s">
        <v>96</v>
      </c>
      <c r="CR18" s="19"/>
    </row>
    <row r="19" spans="1:96" ht="17.55" customHeight="1">
      <c r="A19" s="7" t="s">
        <v>90</v>
      </c>
      <c r="B19" s="12" t="s">
        <v>74</v>
      </c>
      <c r="C19" s="19"/>
      <c r="D19" s="19"/>
      <c r="E19" s="19"/>
      <c r="F19" s="19"/>
      <c r="G19" s="19">
        <v>960000</v>
      </c>
      <c r="H19" s="19"/>
      <c r="I19" s="19"/>
      <c r="J19" s="19"/>
      <c r="K19" s="19">
        <v>854400</v>
      </c>
      <c r="L19" s="19"/>
      <c r="M19" s="19"/>
      <c r="N19" s="19"/>
      <c r="O19" s="19"/>
      <c r="P19" s="19"/>
      <c r="Q19" s="19"/>
      <c r="R19" s="19"/>
      <c r="S19" s="19"/>
      <c r="T19" s="19"/>
      <c r="U19" s="19"/>
      <c r="V19" s="19"/>
      <c r="W19" s="19">
        <v>3304057</v>
      </c>
      <c r="X19" s="19"/>
      <c r="Y19" s="19"/>
      <c r="Z19" s="19"/>
      <c r="AA19" s="19"/>
      <c r="AB19" s="19"/>
      <c r="AC19" s="19">
        <v>440240</v>
      </c>
      <c r="AD19" s="19"/>
      <c r="AE19" s="19">
        <v>1992122</v>
      </c>
      <c r="AF19" s="19"/>
      <c r="AG19" s="19">
        <v>2452000</v>
      </c>
      <c r="AH19" s="19">
        <v>189366</v>
      </c>
      <c r="AI19" s="19">
        <v>791560</v>
      </c>
      <c r="AJ19" s="19"/>
      <c r="AK19" s="19"/>
      <c r="AL19" s="19"/>
      <c r="AM19" s="19">
        <v>2829430</v>
      </c>
      <c r="AN19" s="19"/>
      <c r="AO19" s="19"/>
      <c r="AP19" s="19"/>
      <c r="AQ19" s="19"/>
      <c r="AR19" s="19"/>
      <c r="AS19" s="19"/>
      <c r="AT19" s="19"/>
      <c r="AU19" s="19">
        <v>1000000</v>
      </c>
      <c r="AV19" s="19"/>
      <c r="AW19" s="19"/>
      <c r="AX19" s="19">
        <v>262000</v>
      </c>
      <c r="AY19" s="19">
        <v>4800000</v>
      </c>
      <c r="AZ19" s="19">
        <v>5500001</v>
      </c>
      <c r="BA19" s="19"/>
      <c r="BB19" s="19"/>
      <c r="BC19" s="19"/>
      <c r="BD19" s="19">
        <v>1086166</v>
      </c>
      <c r="BE19" s="19"/>
      <c r="BF19" s="19">
        <v>3079168</v>
      </c>
      <c r="BG19" s="19">
        <v>17786241</v>
      </c>
      <c r="BH19" s="19"/>
      <c r="BI19" s="19"/>
      <c r="BJ19" s="19"/>
      <c r="BK19" s="19">
        <v>40196730</v>
      </c>
      <c r="BL19" s="19"/>
      <c r="BM19" s="19">
        <v>2844446</v>
      </c>
      <c r="BN19" s="19">
        <v>2669283</v>
      </c>
      <c r="BO19" s="19">
        <v>1034168</v>
      </c>
      <c r="BP19" s="19"/>
      <c r="BQ19" s="19"/>
      <c r="BR19" s="19"/>
      <c r="BS19" s="19"/>
      <c r="BT19" s="19"/>
      <c r="BU19" s="19"/>
      <c r="BV19" s="19"/>
      <c r="BW19" s="19"/>
      <c r="BX19" s="19"/>
      <c r="BY19" s="19">
        <v>1620780</v>
      </c>
      <c r="BZ19" s="19"/>
      <c r="CA19" s="19"/>
      <c r="CB19" s="19"/>
      <c r="CC19" s="19"/>
      <c r="CD19" s="19"/>
      <c r="CE19" s="19"/>
      <c r="CF19" s="19" t="s">
        <v>139</v>
      </c>
      <c r="CG19" s="19"/>
      <c r="CH19" s="19">
        <v>344120</v>
      </c>
      <c r="CI19" s="19">
        <v>38956043</v>
      </c>
      <c r="CJ19" s="19"/>
      <c r="CK19" s="19"/>
      <c r="CL19" s="19">
        <v>1565700</v>
      </c>
      <c r="CM19" s="19"/>
      <c r="CN19" s="19"/>
      <c r="CO19" s="19"/>
      <c r="CP19" s="19"/>
      <c r="CQ19" s="19" t="s">
        <v>96</v>
      </c>
      <c r="CR19" s="19"/>
    </row>
    <row r="20" spans="1:96" ht="17.55" customHeight="1">
      <c r="A20" s="7" t="s">
        <v>90</v>
      </c>
      <c r="B20" s="12" t="s">
        <v>137</v>
      </c>
      <c r="C20" s="19"/>
      <c r="D20" s="19"/>
      <c r="E20" s="19"/>
      <c r="F20" s="19">
        <v>27423568</v>
      </c>
      <c r="G20" s="19"/>
      <c r="H20" s="19"/>
      <c r="I20" s="19"/>
      <c r="J20" s="19">
        <v>60375000</v>
      </c>
      <c r="K20" s="19"/>
      <c r="L20" s="19"/>
      <c r="M20" s="19"/>
      <c r="N20" s="19"/>
      <c r="O20" s="19">
        <v>5805000</v>
      </c>
      <c r="P20" s="19"/>
      <c r="Q20" s="19"/>
      <c r="R20" s="19">
        <v>7200000</v>
      </c>
      <c r="S20" s="19"/>
      <c r="T20" s="19"/>
      <c r="U20" s="19"/>
      <c r="V20" s="19"/>
      <c r="W20" s="19"/>
      <c r="X20" s="19"/>
      <c r="Y20" s="19">
        <v>14700000</v>
      </c>
      <c r="Z20" s="19"/>
      <c r="AA20" s="19"/>
      <c r="AB20" s="19"/>
      <c r="AC20" s="19"/>
      <c r="AD20" s="19"/>
      <c r="AE20" s="19"/>
      <c r="AF20" s="19"/>
      <c r="AG20" s="19">
        <v>88650000</v>
      </c>
      <c r="AH20" s="19"/>
      <c r="AI20" s="19"/>
      <c r="AJ20" s="19">
        <v>655865</v>
      </c>
      <c r="AK20" s="19"/>
      <c r="AL20" s="19"/>
      <c r="AM20" s="19">
        <v>817814317</v>
      </c>
      <c r="AN20" s="19"/>
      <c r="AO20" s="19"/>
      <c r="AP20" s="19">
        <v>77908334</v>
      </c>
      <c r="AQ20" s="19"/>
      <c r="AR20" s="19"/>
      <c r="AS20" s="19"/>
      <c r="AT20" s="19"/>
      <c r="AU20" s="19"/>
      <c r="AV20" s="19"/>
      <c r="AW20" s="19"/>
      <c r="AX20" s="19">
        <v>4009091</v>
      </c>
      <c r="AY20" s="19"/>
      <c r="AZ20" s="19"/>
      <c r="BA20" s="19"/>
      <c r="BB20" s="19"/>
      <c r="BC20" s="19"/>
      <c r="BD20" s="19">
        <v>8203334</v>
      </c>
      <c r="BE20" s="19"/>
      <c r="BF20" s="19">
        <v>771407339</v>
      </c>
      <c r="BG20" s="19"/>
      <c r="BH20" s="19">
        <v>2666667</v>
      </c>
      <c r="BI20" s="19">
        <v>31650401</v>
      </c>
      <c r="BJ20" s="19"/>
      <c r="BK20" s="19"/>
      <c r="BL20" s="19">
        <v>327033</v>
      </c>
      <c r="BM20" s="19"/>
      <c r="BN20" s="19">
        <v>9587501</v>
      </c>
      <c r="BO20" s="19">
        <v>107787259</v>
      </c>
      <c r="BP20" s="19"/>
      <c r="BQ20" s="19"/>
      <c r="BR20" s="19"/>
      <c r="BS20" s="19"/>
      <c r="BT20" s="19"/>
      <c r="BU20" s="19"/>
      <c r="BV20" s="19"/>
      <c r="BW20" s="19"/>
      <c r="BX20" s="19"/>
      <c r="BY20" s="19"/>
      <c r="BZ20" s="19"/>
      <c r="CA20" s="19"/>
      <c r="CB20" s="19">
        <v>17352584</v>
      </c>
      <c r="CC20" s="19"/>
      <c r="CD20" s="19"/>
      <c r="CE20" s="19">
        <v>30729000</v>
      </c>
      <c r="CF20" s="19" t="s">
        <v>139</v>
      </c>
      <c r="CG20" s="19"/>
      <c r="CH20" s="19"/>
      <c r="CI20" s="19"/>
      <c r="CJ20" s="19">
        <v>38400800</v>
      </c>
      <c r="CK20" s="19"/>
      <c r="CL20" s="19">
        <v>27263637</v>
      </c>
      <c r="CM20" s="19"/>
      <c r="CN20" s="19">
        <v>5316667</v>
      </c>
      <c r="CO20" s="19"/>
      <c r="CP20" s="19"/>
      <c r="CQ20" s="19" t="s">
        <v>96</v>
      </c>
      <c r="CR20" s="19"/>
    </row>
    <row r="21" spans="1:96" ht="17.55" customHeight="1">
      <c r="A21" s="7" t="s">
        <v>90</v>
      </c>
      <c r="B21" s="12" t="s">
        <v>39</v>
      </c>
      <c r="C21" s="19"/>
      <c r="D21" s="19"/>
      <c r="E21" s="19"/>
      <c r="F21" s="19"/>
      <c r="G21" s="19"/>
      <c r="H21" s="19"/>
      <c r="I21" s="19"/>
      <c r="J21" s="19"/>
      <c r="K21" s="19"/>
      <c r="L21" s="19"/>
      <c r="M21" s="19"/>
      <c r="N21" s="19"/>
      <c r="O21" s="19"/>
      <c r="P21" s="19">
        <v>21478337</v>
      </c>
      <c r="Q21" s="19"/>
      <c r="R21" s="19"/>
      <c r="S21" s="19"/>
      <c r="T21" s="19"/>
      <c r="U21" s="19"/>
      <c r="V21" s="19"/>
      <c r="W21" s="19"/>
      <c r="X21" s="19">
        <v>6566734</v>
      </c>
      <c r="Y21" s="19"/>
      <c r="Z21" s="19"/>
      <c r="AA21" s="19"/>
      <c r="AB21" s="19"/>
      <c r="AC21" s="19"/>
      <c r="AD21" s="19"/>
      <c r="AE21" s="19"/>
      <c r="AF21" s="19"/>
      <c r="AG21" s="19">
        <v>50000000</v>
      </c>
      <c r="AH21" s="19"/>
      <c r="AI21" s="19"/>
      <c r="AJ21" s="19"/>
      <c r="AK21" s="19"/>
      <c r="AL21" s="19"/>
      <c r="AM21" s="19"/>
      <c r="AN21" s="19"/>
      <c r="AO21" s="19"/>
      <c r="AP21" s="19"/>
      <c r="AQ21" s="19"/>
      <c r="AR21" s="19"/>
      <c r="AS21" s="19">
        <v>4000</v>
      </c>
      <c r="AT21" s="19"/>
      <c r="AU21" s="19"/>
      <c r="AV21" s="19"/>
      <c r="AW21" s="19"/>
      <c r="AX21" s="19"/>
      <c r="AY21" s="19"/>
      <c r="AZ21" s="19"/>
      <c r="BA21" s="19">
        <v>4000000</v>
      </c>
      <c r="BB21" s="19">
        <v>34824245</v>
      </c>
      <c r="BC21" s="19"/>
      <c r="BD21" s="19"/>
      <c r="BE21" s="19"/>
      <c r="BF21" s="19"/>
      <c r="BG21" s="19"/>
      <c r="BH21" s="19"/>
      <c r="BI21" s="19"/>
      <c r="BJ21" s="19"/>
      <c r="BK21" s="19"/>
      <c r="BL21" s="19"/>
      <c r="BM21" s="19"/>
      <c r="BN21" s="19"/>
      <c r="BO21" s="19"/>
      <c r="BP21" s="19"/>
      <c r="BQ21" s="19"/>
      <c r="BR21" s="19"/>
      <c r="BS21" s="19"/>
      <c r="BT21" s="19"/>
      <c r="BU21" s="19"/>
      <c r="BV21" s="19"/>
      <c r="BW21" s="19"/>
      <c r="BX21" s="19"/>
      <c r="BY21" s="19">
        <v>4000000</v>
      </c>
      <c r="BZ21" s="19"/>
      <c r="CA21" s="19"/>
      <c r="CB21" s="19"/>
      <c r="CC21" s="19"/>
      <c r="CD21" s="19"/>
      <c r="CE21" s="19"/>
      <c r="CF21" s="19" t="s">
        <v>139</v>
      </c>
      <c r="CG21" s="19"/>
      <c r="CH21" s="19"/>
      <c r="CI21" s="19"/>
      <c r="CJ21" s="19"/>
      <c r="CK21" s="19"/>
      <c r="CL21" s="19"/>
      <c r="CM21" s="19"/>
      <c r="CN21" s="19">
        <v>4350000</v>
      </c>
      <c r="CO21" s="19"/>
      <c r="CP21" s="19"/>
      <c r="CQ21" s="19" t="s">
        <v>96</v>
      </c>
      <c r="CR21" s="19"/>
    </row>
    <row r="22" spans="1:96" ht="17.55" customHeight="1">
      <c r="A22" s="7" t="s">
        <v>90</v>
      </c>
      <c r="B22" s="11" t="s">
        <v>68</v>
      </c>
      <c r="C22" s="19">
        <v>20300000</v>
      </c>
      <c r="D22" s="19">
        <v>0</v>
      </c>
      <c r="E22" s="19">
        <v>0</v>
      </c>
      <c r="F22" s="19">
        <v>33000000</v>
      </c>
      <c r="G22" s="19">
        <v>6100000</v>
      </c>
      <c r="H22" s="19">
        <v>40000000</v>
      </c>
      <c r="I22" s="19">
        <v>113000000</v>
      </c>
      <c r="J22" s="19">
        <v>35000000</v>
      </c>
      <c r="K22" s="19">
        <v>3060000</v>
      </c>
      <c r="L22" s="19">
        <v>40385000</v>
      </c>
      <c r="M22" s="19">
        <v>236680000</v>
      </c>
      <c r="N22" s="19">
        <v>80000000</v>
      </c>
      <c r="O22" s="19">
        <v>172777995</v>
      </c>
      <c r="P22" s="19">
        <v>405569930</v>
      </c>
      <c r="Q22" s="19">
        <v>16000000</v>
      </c>
      <c r="R22" s="19">
        <v>105267000</v>
      </c>
      <c r="S22" s="19">
        <v>54671000</v>
      </c>
      <c r="T22" s="19">
        <v>48000000</v>
      </c>
      <c r="U22" s="19">
        <v>126687893</v>
      </c>
      <c r="V22" s="19">
        <v>50000000</v>
      </c>
      <c r="W22" s="19"/>
      <c r="X22" s="19">
        <v>0</v>
      </c>
      <c r="Y22" s="19">
        <v>3730000</v>
      </c>
      <c r="Z22" s="19">
        <v>30000000</v>
      </c>
      <c r="AA22" s="19">
        <v>515000000</v>
      </c>
      <c r="AB22" s="19"/>
      <c r="AC22" s="19">
        <v>180090000</v>
      </c>
      <c r="AD22" s="19">
        <v>78210785</v>
      </c>
      <c r="AE22" s="19">
        <v>345000000</v>
      </c>
      <c r="AF22" s="19">
        <v>79860000</v>
      </c>
      <c r="AG22" s="19">
        <v>6550000</v>
      </c>
      <c r="AH22" s="19">
        <v>45852000</v>
      </c>
      <c r="AI22" s="19">
        <v>66689670</v>
      </c>
      <c r="AJ22" s="19">
        <v>180000000</v>
      </c>
      <c r="AK22" s="19">
        <v>19030400</v>
      </c>
      <c r="AL22" s="19">
        <v>36185883</v>
      </c>
      <c r="AM22" s="19">
        <v>1184713700</v>
      </c>
      <c r="AN22" s="19">
        <v>26544000</v>
      </c>
      <c r="AO22" s="19">
        <v>80000000</v>
      </c>
      <c r="AP22" s="19"/>
      <c r="AQ22" s="19">
        <v>100000</v>
      </c>
      <c r="AR22" s="19">
        <v>1100000</v>
      </c>
      <c r="AS22" s="19">
        <v>45000000</v>
      </c>
      <c r="AT22" s="19">
        <v>300000</v>
      </c>
      <c r="AU22" s="19">
        <v>220080000</v>
      </c>
      <c r="AV22" s="19">
        <v>120000000</v>
      </c>
      <c r="AW22" s="19">
        <v>2000000</v>
      </c>
      <c r="AX22" s="19">
        <v>57000000</v>
      </c>
      <c r="AY22" s="19"/>
      <c r="AZ22" s="19">
        <v>50000000</v>
      </c>
      <c r="BA22" s="19">
        <v>70000000</v>
      </c>
      <c r="BB22" s="19">
        <v>0</v>
      </c>
      <c r="BC22" s="19">
        <v>276900</v>
      </c>
      <c r="BD22" s="19">
        <v>0</v>
      </c>
      <c r="BE22" s="19">
        <v>20640000</v>
      </c>
      <c r="BF22" s="19">
        <v>52084600</v>
      </c>
      <c r="BG22" s="19">
        <v>366700000</v>
      </c>
      <c r="BH22" s="19"/>
      <c r="BI22" s="19">
        <v>30000000</v>
      </c>
      <c r="BJ22" s="19">
        <v>28050000</v>
      </c>
      <c r="BK22" s="19">
        <v>12000000</v>
      </c>
      <c r="BL22" s="19"/>
      <c r="BM22" s="19"/>
      <c r="BN22" s="19"/>
      <c r="BO22" s="19">
        <v>500000</v>
      </c>
      <c r="BP22" s="19">
        <v>1506000</v>
      </c>
      <c r="BQ22" s="19">
        <v>150000000</v>
      </c>
      <c r="BR22" s="19">
        <v>0</v>
      </c>
      <c r="BS22" s="19">
        <v>25100000</v>
      </c>
      <c r="BT22" s="19"/>
      <c r="BU22" s="19">
        <v>10000000</v>
      </c>
      <c r="BV22" s="19">
        <v>20000000</v>
      </c>
      <c r="BW22" s="19">
        <v>0</v>
      </c>
      <c r="BX22" s="19">
        <v>11200000</v>
      </c>
      <c r="BY22" s="19">
        <v>56000000</v>
      </c>
      <c r="BZ22" s="19">
        <v>10000000</v>
      </c>
      <c r="CA22" s="19">
        <v>120300000</v>
      </c>
      <c r="CB22" s="19">
        <v>35000000</v>
      </c>
      <c r="CC22" s="19"/>
      <c r="CD22" s="19">
        <v>5066000</v>
      </c>
      <c r="CE22" s="19">
        <v>100000000</v>
      </c>
      <c r="CF22" s="19" t="s">
        <v>139</v>
      </c>
      <c r="CG22" s="19">
        <v>3000000</v>
      </c>
      <c r="CH22" s="19">
        <v>0</v>
      </c>
      <c r="CI22" s="19"/>
      <c r="CJ22" s="19">
        <v>10000000</v>
      </c>
      <c r="CK22" s="19">
        <v>9941000</v>
      </c>
      <c r="CL22" s="19">
        <v>0</v>
      </c>
      <c r="CM22" s="19">
        <v>290000000</v>
      </c>
      <c r="CN22" s="19">
        <v>1000000</v>
      </c>
      <c r="CO22" s="19">
        <v>10000000</v>
      </c>
      <c r="CP22" s="19">
        <v>29100000</v>
      </c>
      <c r="CQ22" s="19" t="s">
        <v>96</v>
      </c>
      <c r="CR22" s="19">
        <v>81682210</v>
      </c>
    </row>
    <row r="23" spans="1:96" ht="17.55" customHeight="1">
      <c r="A23" s="7" t="s">
        <v>90</v>
      </c>
      <c r="B23" s="8" t="s">
        <v>109</v>
      </c>
      <c r="C23" s="19">
        <v>56353588</v>
      </c>
      <c r="D23" s="19">
        <v>483076870</v>
      </c>
      <c r="E23" s="19">
        <v>524468729</v>
      </c>
      <c r="F23" s="19">
        <v>49036399</v>
      </c>
      <c r="G23" s="19">
        <v>146300838</v>
      </c>
      <c r="H23" s="19">
        <v>137599597</v>
      </c>
      <c r="I23" s="19">
        <v>1391939082</v>
      </c>
      <c r="J23" s="19">
        <v>136875000</v>
      </c>
      <c r="K23" s="19">
        <v>365134035</v>
      </c>
      <c r="L23" s="19">
        <v>656635327</v>
      </c>
      <c r="M23" s="19">
        <v>1667352820</v>
      </c>
      <c r="N23" s="19">
        <v>134700315</v>
      </c>
      <c r="O23" s="19">
        <v>1958729174</v>
      </c>
      <c r="P23" s="19">
        <v>760784040</v>
      </c>
      <c r="Q23" s="19">
        <v>263616805</v>
      </c>
      <c r="R23" s="19">
        <v>321902727</v>
      </c>
      <c r="S23" s="19">
        <v>790275765</v>
      </c>
      <c r="T23" s="19">
        <v>286064388</v>
      </c>
      <c r="U23" s="19">
        <v>448688961</v>
      </c>
      <c r="V23" s="19">
        <v>514526089</v>
      </c>
      <c r="W23" s="19">
        <v>794744447</v>
      </c>
      <c r="X23" s="19">
        <v>4267281456</v>
      </c>
      <c r="Y23" s="19">
        <v>138406396</v>
      </c>
      <c r="Z23" s="19">
        <v>220507714</v>
      </c>
      <c r="AA23" s="19">
        <v>2490110413</v>
      </c>
      <c r="AB23" s="19">
        <v>23868330</v>
      </c>
      <c r="AC23" s="19">
        <v>132347360</v>
      </c>
      <c r="AD23" s="19">
        <v>974536228</v>
      </c>
      <c r="AE23" s="19">
        <v>223757029</v>
      </c>
      <c r="AF23" s="19">
        <v>186348510</v>
      </c>
      <c r="AG23" s="19">
        <v>563673191</v>
      </c>
      <c r="AH23" s="19">
        <v>135499395</v>
      </c>
      <c r="AI23" s="19">
        <v>304796979</v>
      </c>
      <c r="AJ23" s="19">
        <v>308295483</v>
      </c>
      <c r="AK23" s="19">
        <v>1409314474</v>
      </c>
      <c r="AL23" s="19">
        <v>235981981</v>
      </c>
      <c r="AM23" s="19">
        <v>3499816778</v>
      </c>
      <c r="AN23" s="19">
        <v>48834370</v>
      </c>
      <c r="AO23" s="19">
        <v>153054284</v>
      </c>
      <c r="AP23" s="19">
        <v>390152724</v>
      </c>
      <c r="AQ23" s="19">
        <v>147071756</v>
      </c>
      <c r="AR23" s="19">
        <v>92166306</v>
      </c>
      <c r="AS23" s="19">
        <v>789567577</v>
      </c>
      <c r="AT23" s="19">
        <v>1845887026</v>
      </c>
      <c r="AU23" s="19">
        <v>589464412</v>
      </c>
      <c r="AV23" s="19">
        <v>263838304</v>
      </c>
      <c r="AW23" s="19">
        <v>582940260</v>
      </c>
      <c r="AX23" s="19">
        <v>622079816</v>
      </c>
      <c r="AY23" s="19">
        <v>500830000</v>
      </c>
      <c r="AZ23" s="19">
        <v>170830824</v>
      </c>
      <c r="BA23" s="19">
        <v>378592536</v>
      </c>
      <c r="BB23" s="19">
        <v>6296932</v>
      </c>
      <c r="BC23" s="19">
        <v>1176132378</v>
      </c>
      <c r="BD23" s="19">
        <v>14621236</v>
      </c>
      <c r="BE23" s="19">
        <v>250689262</v>
      </c>
      <c r="BF23" s="19">
        <v>1585871978</v>
      </c>
      <c r="BG23" s="19">
        <v>325681393</v>
      </c>
      <c r="BH23" s="19">
        <v>139886638</v>
      </c>
      <c r="BI23" s="19">
        <v>71148012</v>
      </c>
      <c r="BJ23" s="19">
        <v>560435353</v>
      </c>
      <c r="BK23" s="19">
        <v>333910820</v>
      </c>
      <c r="BL23" s="19">
        <v>129063258</v>
      </c>
      <c r="BM23" s="19">
        <v>44080151</v>
      </c>
      <c r="BN23" s="19">
        <v>22705641</v>
      </c>
      <c r="BO23" s="19">
        <v>260309335</v>
      </c>
      <c r="BP23" s="19">
        <v>15933305</v>
      </c>
      <c r="BQ23" s="19">
        <v>150374594</v>
      </c>
      <c r="BR23" s="19">
        <v>1409380</v>
      </c>
      <c r="BS23" s="19">
        <v>60060622</v>
      </c>
      <c r="BT23" s="19">
        <v>60587739</v>
      </c>
      <c r="BU23" s="19">
        <v>73724276</v>
      </c>
      <c r="BV23" s="19">
        <v>214264222</v>
      </c>
      <c r="BW23" s="19">
        <v>30325043</v>
      </c>
      <c r="BX23" s="19">
        <v>60728015</v>
      </c>
      <c r="BY23" s="19">
        <v>769930294</v>
      </c>
      <c r="BZ23" s="19">
        <v>92442183</v>
      </c>
      <c r="CA23" s="19">
        <v>307274531</v>
      </c>
      <c r="CB23" s="19">
        <v>284828374</v>
      </c>
      <c r="CC23" s="19">
        <v>55934103</v>
      </c>
      <c r="CD23" s="19">
        <v>206076298</v>
      </c>
      <c r="CE23" s="19">
        <v>113423557</v>
      </c>
      <c r="CF23" s="19" t="s">
        <v>139</v>
      </c>
      <c r="CG23" s="19">
        <v>25809231</v>
      </c>
      <c r="CH23" s="19">
        <v>18981922</v>
      </c>
      <c r="CI23" s="19">
        <v>720138280</v>
      </c>
      <c r="CJ23" s="19">
        <v>372611514</v>
      </c>
      <c r="CK23" s="19">
        <v>1496296925</v>
      </c>
      <c r="CL23" s="19">
        <v>471568309</v>
      </c>
      <c r="CM23" s="19">
        <v>361382844</v>
      </c>
      <c r="CN23" s="19">
        <v>122553503</v>
      </c>
      <c r="CO23" s="19">
        <v>3830497</v>
      </c>
      <c r="CP23" s="19">
        <v>235158704</v>
      </c>
      <c r="CQ23" s="19" t="s">
        <v>96</v>
      </c>
      <c r="CR23" s="19">
        <v>268301478</v>
      </c>
    </row>
    <row r="24" spans="1:96" ht="17.55" customHeight="1">
      <c r="A24" s="7" t="s">
        <v>90</v>
      </c>
      <c r="B24" s="8" t="s">
        <v>99</v>
      </c>
      <c r="C24" s="19">
        <v>56353588</v>
      </c>
      <c r="D24" s="19">
        <v>477068476</v>
      </c>
      <c r="E24" s="19">
        <v>100576425</v>
      </c>
      <c r="F24" s="19">
        <v>49036399</v>
      </c>
      <c r="G24" s="19">
        <v>44300838</v>
      </c>
      <c r="H24" s="19">
        <v>0</v>
      </c>
      <c r="I24" s="19">
        <v>91969082</v>
      </c>
      <c r="J24" s="19">
        <v>61347572</v>
      </c>
      <c r="K24" s="19">
        <v>227715027</v>
      </c>
      <c r="L24" s="19">
        <v>482124049</v>
      </c>
      <c r="M24" s="19">
        <v>1606852820</v>
      </c>
      <c r="N24" s="19">
        <v>134700315</v>
      </c>
      <c r="O24" s="19">
        <v>842820284</v>
      </c>
      <c r="P24" s="19">
        <v>268519341</v>
      </c>
      <c r="Q24" s="19">
        <v>124616805</v>
      </c>
      <c r="R24" s="19">
        <v>21702727</v>
      </c>
      <c r="S24" s="19">
        <v>471429649</v>
      </c>
      <c r="T24" s="19">
        <v>286064388</v>
      </c>
      <c r="U24" s="19">
        <v>89393426</v>
      </c>
      <c r="V24" s="19">
        <v>64526089</v>
      </c>
      <c r="W24" s="19">
        <v>357636478</v>
      </c>
      <c r="X24" s="19">
        <v>122522076</v>
      </c>
      <c r="Y24" s="19">
        <v>52531396</v>
      </c>
      <c r="Z24" s="19">
        <v>211676426</v>
      </c>
      <c r="AA24" s="19">
        <v>1202964413</v>
      </c>
      <c r="AB24" s="19">
        <v>23868330</v>
      </c>
      <c r="AC24" s="19">
        <v>132347360</v>
      </c>
      <c r="AD24" s="19">
        <v>181128587</v>
      </c>
      <c r="AE24" s="19">
        <v>23757029</v>
      </c>
      <c r="AF24" s="19">
        <v>76348510</v>
      </c>
      <c r="AG24" s="19">
        <v>201560640</v>
      </c>
      <c r="AH24" s="19">
        <v>92371074</v>
      </c>
      <c r="AI24" s="19">
        <v>168796979</v>
      </c>
      <c r="AJ24" s="19">
        <v>90326349</v>
      </c>
      <c r="AK24" s="19">
        <v>1400009423</v>
      </c>
      <c r="AL24" s="19">
        <v>144315311</v>
      </c>
      <c r="AM24" s="19">
        <v>1824607623</v>
      </c>
      <c r="AN24" s="19">
        <v>48834370</v>
      </c>
      <c r="AO24" s="19">
        <v>153054284</v>
      </c>
      <c r="AP24" s="19">
        <v>316881892</v>
      </c>
      <c r="AQ24" s="19">
        <v>109920723</v>
      </c>
      <c r="AR24" s="19">
        <v>12166306</v>
      </c>
      <c r="AS24" s="19">
        <v>789567577</v>
      </c>
      <c r="AT24" s="19">
        <v>219118172</v>
      </c>
      <c r="AU24" s="19">
        <v>116464412</v>
      </c>
      <c r="AV24" s="19">
        <v>160634135</v>
      </c>
      <c r="AW24" s="19">
        <v>242940260</v>
      </c>
      <c r="AX24" s="19">
        <v>472079816</v>
      </c>
      <c r="AY24" s="19">
        <v>0</v>
      </c>
      <c r="AZ24" s="19">
        <v>170830824</v>
      </c>
      <c r="BA24" s="19">
        <v>368592536</v>
      </c>
      <c r="BB24" s="19">
        <v>6296932</v>
      </c>
      <c r="BC24" s="19">
        <v>162589987</v>
      </c>
      <c r="BD24" s="19">
        <v>14621236</v>
      </c>
      <c r="BE24" s="19">
        <v>80453164</v>
      </c>
      <c r="BF24" s="19">
        <v>1215871978</v>
      </c>
      <c r="BG24" s="19">
        <v>206580700</v>
      </c>
      <c r="BH24" s="19">
        <v>138813914</v>
      </c>
      <c r="BI24" s="19">
        <v>70727457</v>
      </c>
      <c r="BJ24" s="19">
        <v>224326853</v>
      </c>
      <c r="BK24" s="19">
        <v>116960820</v>
      </c>
      <c r="BL24" s="19">
        <v>114496592</v>
      </c>
      <c r="BM24" s="19">
        <v>44080151</v>
      </c>
      <c r="BN24" s="19">
        <v>22705641</v>
      </c>
      <c r="BO24" s="19">
        <v>176517894</v>
      </c>
      <c r="BP24" s="19">
        <v>15933305</v>
      </c>
      <c r="BQ24" s="19">
        <v>80720386</v>
      </c>
      <c r="BR24" s="19">
        <v>1409380</v>
      </c>
      <c r="BS24" s="19">
        <v>60060622</v>
      </c>
      <c r="BT24" s="19">
        <v>60587739</v>
      </c>
      <c r="BU24" s="19">
        <v>73724276</v>
      </c>
      <c r="BV24" s="19">
        <v>214264222</v>
      </c>
      <c r="BW24" s="19">
        <v>30325043</v>
      </c>
      <c r="BX24" s="19">
        <v>60728015</v>
      </c>
      <c r="BY24" s="19">
        <v>600427821</v>
      </c>
      <c r="BZ24" s="19">
        <v>92442183</v>
      </c>
      <c r="CA24" s="19">
        <v>92285975</v>
      </c>
      <c r="CB24" s="19">
        <v>94828374</v>
      </c>
      <c r="CC24" s="19">
        <v>32179038</v>
      </c>
      <c r="CD24" s="19">
        <v>136206591</v>
      </c>
      <c r="CE24" s="19">
        <v>113423557</v>
      </c>
      <c r="CF24" s="19" t="s">
        <v>139</v>
      </c>
      <c r="CG24" s="19">
        <v>23333016</v>
      </c>
      <c r="CH24" s="19">
        <v>18981922</v>
      </c>
      <c r="CI24" s="19">
        <v>320138280</v>
      </c>
      <c r="CJ24" s="19">
        <v>262611514</v>
      </c>
      <c r="CK24" s="19">
        <v>426296925</v>
      </c>
      <c r="CL24" s="19">
        <v>121568309</v>
      </c>
      <c r="CM24" s="19">
        <v>361382844</v>
      </c>
      <c r="CN24" s="19">
        <v>40752598</v>
      </c>
      <c r="CO24" s="19">
        <v>2885060</v>
      </c>
      <c r="CP24" s="19">
        <v>88128254</v>
      </c>
      <c r="CQ24" s="19" t="s">
        <v>96</v>
      </c>
      <c r="CR24" s="19">
        <v>268301478</v>
      </c>
    </row>
    <row r="25" spans="1:96" ht="17.55" customHeight="1">
      <c r="A25" s="7" t="s">
        <v>90</v>
      </c>
      <c r="B25" s="11" t="s">
        <v>21</v>
      </c>
      <c r="C25" s="19"/>
      <c r="D25" s="19">
        <v>340880590</v>
      </c>
      <c r="E25" s="19">
        <v>41348033</v>
      </c>
      <c r="F25" s="19"/>
      <c r="G25" s="19"/>
      <c r="H25" s="19"/>
      <c r="I25" s="19"/>
      <c r="J25" s="19">
        <v>429000</v>
      </c>
      <c r="K25" s="19">
        <v>195915430</v>
      </c>
      <c r="L25" s="19">
        <v>122281588</v>
      </c>
      <c r="M25" s="19">
        <v>40796263</v>
      </c>
      <c r="N25" s="19"/>
      <c r="O25" s="19">
        <v>66796579</v>
      </c>
      <c r="P25" s="19">
        <v>72700457</v>
      </c>
      <c r="Q25" s="19">
        <v>254100</v>
      </c>
      <c r="R25" s="19"/>
      <c r="S25" s="19">
        <v>54833238</v>
      </c>
      <c r="T25" s="19"/>
      <c r="U25" s="19"/>
      <c r="V25" s="19">
        <v>17446000</v>
      </c>
      <c r="W25" s="19">
        <v>133176232</v>
      </c>
      <c r="X25" s="19"/>
      <c r="Y25" s="19"/>
      <c r="Z25" s="19">
        <v>26592135</v>
      </c>
      <c r="AA25" s="19">
        <v>149070420</v>
      </c>
      <c r="AB25" s="19"/>
      <c r="AC25" s="19">
        <v>11506838</v>
      </c>
      <c r="AD25" s="19">
        <v>31411856</v>
      </c>
      <c r="AE25" s="19">
        <v>10981458</v>
      </c>
      <c r="AF25" s="19"/>
      <c r="AG25" s="19"/>
      <c r="AH25" s="19"/>
      <c r="AI25" s="19">
        <v>3756315</v>
      </c>
      <c r="AJ25" s="19">
        <v>15534049</v>
      </c>
      <c r="AK25" s="19">
        <v>306133553</v>
      </c>
      <c r="AL25" s="19">
        <v>0</v>
      </c>
      <c r="AM25" s="19">
        <v>22212229</v>
      </c>
      <c r="AN25" s="19"/>
      <c r="AO25" s="19"/>
      <c r="AP25" s="19"/>
      <c r="AQ25" s="19"/>
      <c r="AR25" s="19">
        <v>1343853</v>
      </c>
      <c r="AS25" s="19"/>
      <c r="AT25" s="19"/>
      <c r="AU25" s="19">
        <v>39688810</v>
      </c>
      <c r="AV25" s="19"/>
      <c r="AW25" s="19">
        <v>1397000</v>
      </c>
      <c r="AX25" s="19">
        <v>41665225</v>
      </c>
      <c r="AY25" s="19"/>
      <c r="AZ25" s="19">
        <v>2953710</v>
      </c>
      <c r="BA25" s="19">
        <v>145690961</v>
      </c>
      <c r="BB25" s="19"/>
      <c r="BC25" s="19">
        <v>54753623</v>
      </c>
      <c r="BD25" s="19"/>
      <c r="BE25" s="19"/>
      <c r="BF25" s="19">
        <v>45848125</v>
      </c>
      <c r="BG25" s="19">
        <v>9462428</v>
      </c>
      <c r="BH25" s="19">
        <v>700000</v>
      </c>
      <c r="BI25" s="19">
        <v>7288070</v>
      </c>
      <c r="BJ25" s="19">
        <v>26995439</v>
      </c>
      <c r="BK25" s="19">
        <v>2591600</v>
      </c>
      <c r="BL25" s="19">
        <v>68106233</v>
      </c>
      <c r="BM25" s="19"/>
      <c r="BN25" s="19">
        <v>6533701</v>
      </c>
      <c r="BO25" s="19">
        <v>58048742</v>
      </c>
      <c r="BP25" s="19"/>
      <c r="BQ25" s="19">
        <v>16443550</v>
      </c>
      <c r="BR25" s="19"/>
      <c r="BS25" s="19">
        <v>0</v>
      </c>
      <c r="BT25" s="19">
        <v>23227989</v>
      </c>
      <c r="BU25" s="19"/>
      <c r="BV25" s="19"/>
      <c r="BW25" s="19"/>
      <c r="BX25" s="19"/>
      <c r="BY25" s="19">
        <v>465206291</v>
      </c>
      <c r="BZ25" s="19">
        <v>2377075</v>
      </c>
      <c r="CA25" s="19"/>
      <c r="CB25" s="19"/>
      <c r="CC25" s="19"/>
      <c r="CD25" s="19">
        <v>0</v>
      </c>
      <c r="CE25" s="19">
        <v>8066311</v>
      </c>
      <c r="CF25" s="19" t="s">
        <v>139</v>
      </c>
      <c r="CG25" s="19"/>
      <c r="CH25" s="19">
        <v>2516037</v>
      </c>
      <c r="CI25" s="19">
        <v>131563220</v>
      </c>
      <c r="CJ25" s="19">
        <v>8652000</v>
      </c>
      <c r="CK25" s="19">
        <v>72467712</v>
      </c>
      <c r="CL25" s="19">
        <v>78944364</v>
      </c>
      <c r="CM25" s="19"/>
      <c r="CN25" s="19">
        <v>15034417</v>
      </c>
      <c r="CO25" s="19">
        <v>0</v>
      </c>
      <c r="CP25" s="19">
        <v>14292230</v>
      </c>
      <c r="CQ25" s="19" t="s">
        <v>96</v>
      </c>
      <c r="CR25" s="19">
        <v>54630</v>
      </c>
    </row>
    <row r="26" spans="1:96" ht="17.55" customHeight="1">
      <c r="A26" s="7" t="s">
        <v>90</v>
      </c>
      <c r="B26" s="11" t="s">
        <v>6</v>
      </c>
      <c r="C26" s="19"/>
      <c r="D26" s="19"/>
      <c r="E26" s="19">
        <v>15000000</v>
      </c>
      <c r="F26" s="19"/>
      <c r="G26" s="19">
        <v>30000000</v>
      </c>
      <c r="H26" s="19"/>
      <c r="I26" s="19"/>
      <c r="J26" s="19"/>
      <c r="K26" s="19"/>
      <c r="L26" s="19">
        <v>29598881</v>
      </c>
      <c r="M26" s="19">
        <v>1421501581</v>
      </c>
      <c r="N26" s="19"/>
      <c r="O26" s="19"/>
      <c r="P26" s="19"/>
      <c r="Q26" s="19">
        <v>0</v>
      </c>
      <c r="R26" s="19"/>
      <c r="S26" s="19">
        <v>233307000</v>
      </c>
      <c r="T26" s="19">
        <v>27500000</v>
      </c>
      <c r="U26" s="19"/>
      <c r="V26" s="19">
        <v>0</v>
      </c>
      <c r="W26" s="19"/>
      <c r="X26" s="19"/>
      <c r="Y26" s="19">
        <v>3808515</v>
      </c>
      <c r="Z26" s="19">
        <v>33355072</v>
      </c>
      <c r="AA26" s="19">
        <v>914068738</v>
      </c>
      <c r="AB26" s="19"/>
      <c r="AC26" s="19"/>
      <c r="AD26" s="19"/>
      <c r="AE26" s="19"/>
      <c r="AF26" s="19"/>
      <c r="AG26" s="19">
        <v>74900000</v>
      </c>
      <c r="AH26" s="19"/>
      <c r="AI26" s="19">
        <v>26450000</v>
      </c>
      <c r="AJ26" s="19">
        <v>18100000</v>
      </c>
      <c r="AK26" s="19">
        <v>736500000</v>
      </c>
      <c r="AL26" s="19"/>
      <c r="AM26" s="19">
        <v>678000000</v>
      </c>
      <c r="AN26" s="19"/>
      <c r="AO26" s="19">
        <v>110000000</v>
      </c>
      <c r="AP26" s="19"/>
      <c r="AQ26" s="19"/>
      <c r="AR26" s="19">
        <v>1200000</v>
      </c>
      <c r="AS26" s="19">
        <v>591826457</v>
      </c>
      <c r="AT26" s="19">
        <v>86696998</v>
      </c>
      <c r="AU26" s="19">
        <v>11125439</v>
      </c>
      <c r="AV26" s="19">
        <v>144981598</v>
      </c>
      <c r="AW26" s="19">
        <v>30000000</v>
      </c>
      <c r="AX26" s="19">
        <v>180006596</v>
      </c>
      <c r="AY26" s="19"/>
      <c r="AZ26" s="19">
        <v>150000000</v>
      </c>
      <c r="BA26" s="19">
        <v>119468365</v>
      </c>
      <c r="BB26" s="19"/>
      <c r="BC26" s="19">
        <v>0</v>
      </c>
      <c r="BD26" s="19"/>
      <c r="BE26" s="19">
        <v>62500000</v>
      </c>
      <c r="BF26" s="19">
        <v>1050000000</v>
      </c>
      <c r="BG26" s="19"/>
      <c r="BH26" s="19">
        <v>130000000</v>
      </c>
      <c r="BI26" s="19"/>
      <c r="BJ26" s="19">
        <v>84054129</v>
      </c>
      <c r="BK26" s="19">
        <v>100000000</v>
      </c>
      <c r="BL26" s="19"/>
      <c r="BM26" s="19">
        <v>18098016</v>
      </c>
      <c r="BN26" s="19"/>
      <c r="BO26" s="19">
        <v>100000000</v>
      </c>
      <c r="BP26" s="19"/>
      <c r="BQ26" s="19"/>
      <c r="BR26" s="19"/>
      <c r="BS26" s="19">
        <v>22500000</v>
      </c>
      <c r="BT26" s="19"/>
      <c r="BU26" s="19"/>
      <c r="BV26" s="19">
        <v>176208006</v>
      </c>
      <c r="BW26" s="19"/>
      <c r="BX26" s="19">
        <v>39169036</v>
      </c>
      <c r="BY26" s="19">
        <v>49167109</v>
      </c>
      <c r="BZ26" s="19"/>
      <c r="CA26" s="19">
        <v>63291197</v>
      </c>
      <c r="CB26" s="19"/>
      <c r="CC26" s="19">
        <v>20392932</v>
      </c>
      <c r="CD26" s="19">
        <v>14166043</v>
      </c>
      <c r="CE26" s="19">
        <v>62376653</v>
      </c>
      <c r="CF26" s="19" t="s">
        <v>139</v>
      </c>
      <c r="CG26" s="19"/>
      <c r="CH26" s="19"/>
      <c r="CI26" s="19">
        <v>100000000</v>
      </c>
      <c r="CJ26" s="19">
        <v>170000000</v>
      </c>
      <c r="CK26" s="19">
        <v>125000000</v>
      </c>
      <c r="CL26" s="19"/>
      <c r="CM26" s="19"/>
      <c r="CN26" s="19"/>
      <c r="CO26" s="19"/>
      <c r="CP26" s="19">
        <v>13742613</v>
      </c>
      <c r="CQ26" s="19" t="s">
        <v>96</v>
      </c>
      <c r="CR26" s="19"/>
    </row>
    <row r="27" spans="1:96" ht="17.55" customHeight="1">
      <c r="A27" s="7" t="s">
        <v>90</v>
      </c>
      <c r="B27" s="11" t="s">
        <v>147</v>
      </c>
      <c r="C27" s="19">
        <v>54783048</v>
      </c>
      <c r="D27" s="19">
        <v>126134036</v>
      </c>
      <c r="E27" s="19">
        <v>32452302</v>
      </c>
      <c r="F27" s="19"/>
      <c r="G27" s="19">
        <v>13497248</v>
      </c>
      <c r="H27" s="19"/>
      <c r="I27" s="19"/>
      <c r="J27" s="19">
        <v>6449800</v>
      </c>
      <c r="K27" s="19"/>
      <c r="L27" s="19">
        <v>33953390</v>
      </c>
      <c r="M27" s="19">
        <v>80498826</v>
      </c>
      <c r="N27" s="19">
        <v>94632423</v>
      </c>
      <c r="O27" s="19">
        <v>143235262</v>
      </c>
      <c r="P27" s="19">
        <v>159140314</v>
      </c>
      <c r="Q27" s="19">
        <v>8412490</v>
      </c>
      <c r="R27" s="19">
        <v>15653034</v>
      </c>
      <c r="S27" s="19">
        <v>182847601</v>
      </c>
      <c r="T27" s="19">
        <v>7037079</v>
      </c>
      <c r="U27" s="19">
        <v>39377925</v>
      </c>
      <c r="V27" s="19">
        <v>6910757</v>
      </c>
      <c r="W27" s="19">
        <v>122511981</v>
      </c>
      <c r="X27" s="19">
        <v>67754926</v>
      </c>
      <c r="Y27" s="19">
        <v>44736957</v>
      </c>
      <c r="Z27" s="19">
        <v>30001542</v>
      </c>
      <c r="AA27" s="19">
        <v>126109433</v>
      </c>
      <c r="AB27" s="19">
        <v>23606970</v>
      </c>
      <c r="AC27" s="19">
        <v>22238264</v>
      </c>
      <c r="AD27" s="19">
        <v>119779308</v>
      </c>
      <c r="AE27" s="19">
        <v>3834454</v>
      </c>
      <c r="AF27" s="19">
        <v>1943230</v>
      </c>
      <c r="AG27" s="19">
        <v>56374220</v>
      </c>
      <c r="AH27" s="19">
        <v>89423918</v>
      </c>
      <c r="AI27" s="19">
        <v>9431494</v>
      </c>
      <c r="AJ27" s="19">
        <v>35684679</v>
      </c>
      <c r="AK27" s="19">
        <v>312516795</v>
      </c>
      <c r="AL27" s="19">
        <v>8130421</v>
      </c>
      <c r="AM27" s="19">
        <v>740271745</v>
      </c>
      <c r="AN27" s="19">
        <v>8443580</v>
      </c>
      <c r="AO27" s="19">
        <v>20453407</v>
      </c>
      <c r="AP27" s="19">
        <v>150021125</v>
      </c>
      <c r="AQ27" s="19">
        <v>90290810</v>
      </c>
      <c r="AR27" s="19">
        <v>7246388</v>
      </c>
      <c r="AS27" s="19">
        <v>80843403</v>
      </c>
      <c r="AT27" s="19">
        <v>97522210</v>
      </c>
      <c r="AU27" s="19">
        <v>35342834</v>
      </c>
      <c r="AV27" s="19">
        <v>5613527</v>
      </c>
      <c r="AW27" s="19">
        <v>17518012</v>
      </c>
      <c r="AX27" s="19">
        <v>220494095</v>
      </c>
      <c r="AY27" s="19"/>
      <c r="AZ27" s="19">
        <v>16464724</v>
      </c>
      <c r="BA27" s="19">
        <v>103433210</v>
      </c>
      <c r="BB27" s="19">
        <v>1315249</v>
      </c>
      <c r="BC27" s="19">
        <v>62178090</v>
      </c>
      <c r="BD27" s="19">
        <v>4024572</v>
      </c>
      <c r="BE27" s="19">
        <v>5440876</v>
      </c>
      <c r="BF27" s="19">
        <v>52863187</v>
      </c>
      <c r="BG27" s="19">
        <v>136733038</v>
      </c>
      <c r="BH27" s="19">
        <v>3958061</v>
      </c>
      <c r="BI27" s="19">
        <v>24522406</v>
      </c>
      <c r="BJ27" s="19">
        <v>35314233</v>
      </c>
      <c r="BK27" s="19">
        <v>2262560</v>
      </c>
      <c r="BL27" s="19">
        <v>44194049</v>
      </c>
      <c r="BM27" s="19">
        <v>12482135</v>
      </c>
      <c r="BN27" s="19">
        <v>10780910</v>
      </c>
      <c r="BO27" s="19">
        <v>16215753</v>
      </c>
      <c r="BP27" s="19"/>
      <c r="BQ27" s="19">
        <v>39684236</v>
      </c>
      <c r="BR27" s="19">
        <v>75150</v>
      </c>
      <c r="BS27" s="19">
        <v>24094662</v>
      </c>
      <c r="BT27" s="19">
        <v>3355018</v>
      </c>
      <c r="BU27" s="19">
        <v>16117235</v>
      </c>
      <c r="BV27" s="19">
        <v>23053216</v>
      </c>
      <c r="BW27" s="19">
        <v>25594165</v>
      </c>
      <c r="BX27" s="19">
        <v>17068329</v>
      </c>
      <c r="BY27" s="19">
        <v>75823551</v>
      </c>
      <c r="BZ27" s="19">
        <v>16114670</v>
      </c>
      <c r="CA27" s="19">
        <v>17302653</v>
      </c>
      <c r="CB27" s="19">
        <v>30902471</v>
      </c>
      <c r="CC27" s="19">
        <v>10533276</v>
      </c>
      <c r="CD27" s="19">
        <v>84637648</v>
      </c>
      <c r="CE27" s="19">
        <v>22605553</v>
      </c>
      <c r="CF27" s="19" t="s">
        <v>139</v>
      </c>
      <c r="CG27" s="19">
        <v>3537329</v>
      </c>
      <c r="CH27" s="19"/>
      <c r="CI27" s="19">
        <v>12496350</v>
      </c>
      <c r="CJ27" s="19">
        <v>49972717</v>
      </c>
      <c r="CK27" s="19">
        <v>103423298</v>
      </c>
      <c r="CL27" s="19">
        <v>34501951</v>
      </c>
      <c r="CM27" s="19">
        <v>309409494</v>
      </c>
      <c r="CN27" s="19">
        <v>24943411</v>
      </c>
      <c r="CO27" s="19">
        <v>96280</v>
      </c>
      <c r="CP27" s="19">
        <v>51918005</v>
      </c>
      <c r="CQ27" s="19" t="s">
        <v>96</v>
      </c>
      <c r="CR27" s="19">
        <v>47161939</v>
      </c>
    </row>
    <row r="28" spans="1:96" ht="17.55" customHeight="1">
      <c r="A28" s="7" t="s">
        <v>90</v>
      </c>
      <c r="B28" s="11" t="s">
        <v>150</v>
      </c>
      <c r="C28" s="19">
        <v>5552740</v>
      </c>
      <c r="D28" s="19">
        <v>10053850</v>
      </c>
      <c r="E28" s="19">
        <v>11586390</v>
      </c>
      <c r="F28" s="19">
        <v>49036399</v>
      </c>
      <c r="G28" s="19">
        <v>803590</v>
      </c>
      <c r="H28" s="19"/>
      <c r="I28" s="19">
        <v>9686217</v>
      </c>
      <c r="J28" s="19">
        <v>7974189</v>
      </c>
      <c r="K28" s="19">
        <v>31799597</v>
      </c>
      <c r="L28" s="19">
        <v>1115530</v>
      </c>
      <c r="M28" s="19">
        <v>64056150</v>
      </c>
      <c r="N28" s="19">
        <v>5662980</v>
      </c>
      <c r="O28" s="19">
        <v>23679343</v>
      </c>
      <c r="P28" s="19">
        <v>34887260</v>
      </c>
      <c r="Q28" s="19">
        <v>279840</v>
      </c>
      <c r="R28" s="19">
        <v>1062750</v>
      </c>
      <c r="S28" s="19">
        <v>441810</v>
      </c>
      <c r="T28" s="19">
        <v>46417394</v>
      </c>
      <c r="U28" s="19">
        <v>43130956</v>
      </c>
      <c r="V28" s="19">
        <v>31011832</v>
      </c>
      <c r="W28" s="19">
        <v>93298265</v>
      </c>
      <c r="X28" s="19">
        <v>52677150</v>
      </c>
      <c r="Y28" s="19">
        <v>3985924</v>
      </c>
      <c r="Z28" s="19">
        <v>1539228</v>
      </c>
      <c r="AA28" s="19">
        <v>11084633</v>
      </c>
      <c r="AB28" s="19">
        <v>261360</v>
      </c>
      <c r="AC28" s="19">
        <v>42306258</v>
      </c>
      <c r="AD28" s="19">
        <v>5684773</v>
      </c>
      <c r="AE28" s="19">
        <v>8941117</v>
      </c>
      <c r="AF28" s="19">
        <v>1285280</v>
      </c>
      <c r="AG28" s="19">
        <v>70286420</v>
      </c>
      <c r="AH28" s="19">
        <v>2777156</v>
      </c>
      <c r="AI28" s="19">
        <v>1159170</v>
      </c>
      <c r="AJ28" s="19">
        <v>3544270</v>
      </c>
      <c r="AK28" s="19">
        <v>28080575</v>
      </c>
      <c r="AL28" s="19">
        <v>136184890</v>
      </c>
      <c r="AM28" s="19">
        <v>84723368</v>
      </c>
      <c r="AN28" s="19">
        <v>873260</v>
      </c>
      <c r="AO28" s="19">
        <v>22025977</v>
      </c>
      <c r="AP28" s="19">
        <v>114648553</v>
      </c>
      <c r="AQ28" s="19">
        <v>1809778</v>
      </c>
      <c r="AR28" s="19">
        <v>2376065</v>
      </c>
      <c r="AS28" s="19">
        <v>116897717</v>
      </c>
      <c r="AT28" s="19">
        <v>23638964</v>
      </c>
      <c r="AU28" s="19">
        <v>26054752</v>
      </c>
      <c r="AV28" s="19">
        <v>10039010</v>
      </c>
      <c r="AW28" s="19">
        <v>7375248</v>
      </c>
      <c r="AX28" s="19">
        <v>29913900</v>
      </c>
      <c r="AY28" s="19"/>
      <c r="AZ28" s="19">
        <v>1412390</v>
      </c>
      <c r="BA28" s="19"/>
      <c r="BB28" s="19">
        <v>4981683</v>
      </c>
      <c r="BC28" s="19">
        <v>25658274</v>
      </c>
      <c r="BD28" s="19">
        <v>10596664</v>
      </c>
      <c r="BE28" s="19">
        <v>12512288</v>
      </c>
      <c r="BF28" s="19">
        <v>66894666</v>
      </c>
      <c r="BG28" s="19">
        <v>54607150</v>
      </c>
      <c r="BH28" s="19">
        <v>865873</v>
      </c>
      <c r="BI28" s="19">
        <v>8095835</v>
      </c>
      <c r="BJ28" s="19">
        <v>5715711</v>
      </c>
      <c r="BK28" s="19">
        <v>12106660</v>
      </c>
      <c r="BL28" s="19">
        <v>2196310</v>
      </c>
      <c r="BM28" s="19"/>
      <c r="BN28" s="19">
        <v>5391030</v>
      </c>
      <c r="BO28" s="19">
        <v>1213849</v>
      </c>
      <c r="BP28" s="19">
        <v>1785808</v>
      </c>
      <c r="BQ28" s="19">
        <v>1592600</v>
      </c>
      <c r="BR28" s="19">
        <v>734230</v>
      </c>
      <c r="BS28" s="19">
        <v>265960</v>
      </c>
      <c r="BT28" s="19">
        <v>33304732</v>
      </c>
      <c r="BU28" s="19">
        <v>440830</v>
      </c>
      <c r="BV28" s="19">
        <v>603000</v>
      </c>
      <c r="BW28" s="19">
        <v>1931610</v>
      </c>
      <c r="BX28" s="19">
        <v>1640650</v>
      </c>
      <c r="BY28" s="19">
        <v>10230870</v>
      </c>
      <c r="BZ28" s="19">
        <v>8950438</v>
      </c>
      <c r="CA28" s="19">
        <v>7272125</v>
      </c>
      <c r="CB28" s="19">
        <v>10635433</v>
      </c>
      <c r="CC28" s="19">
        <v>1252830</v>
      </c>
      <c r="CD28" s="19">
        <v>37402900</v>
      </c>
      <c r="CE28" s="19">
        <v>2737540</v>
      </c>
      <c r="CF28" s="19" t="s">
        <v>139</v>
      </c>
      <c r="CG28" s="19">
        <v>10615687</v>
      </c>
      <c r="CH28" s="19">
        <v>118300</v>
      </c>
      <c r="CI28" s="19">
        <v>824210</v>
      </c>
      <c r="CJ28" s="19">
        <v>6041580</v>
      </c>
      <c r="CK28" s="19">
        <v>39084384</v>
      </c>
      <c r="CL28" s="19">
        <v>8121994</v>
      </c>
      <c r="CM28" s="19">
        <v>21973350</v>
      </c>
      <c r="CN28" s="19">
        <v>774770</v>
      </c>
      <c r="CO28" s="19">
        <v>2788780</v>
      </c>
      <c r="CP28" s="19">
        <v>8175406</v>
      </c>
      <c r="CQ28" s="19" t="s">
        <v>96</v>
      </c>
      <c r="CR28" s="19">
        <v>3743330</v>
      </c>
    </row>
    <row r="29" spans="1:96" ht="17.55" customHeight="1">
      <c r="A29" s="7" t="s">
        <v>90</v>
      </c>
      <c r="B29" s="11" t="s">
        <v>13</v>
      </c>
      <c r="C29" s="19">
        <v>-3982200</v>
      </c>
      <c r="D29" s="19"/>
      <c r="E29" s="19"/>
      <c r="F29" s="19"/>
      <c r="G29" s="19"/>
      <c r="H29" s="19"/>
      <c r="I29" s="19"/>
      <c r="J29" s="19"/>
      <c r="K29" s="19"/>
      <c r="L29" s="19"/>
      <c r="M29" s="19"/>
      <c r="N29" s="19"/>
      <c r="O29" s="19">
        <v>809100</v>
      </c>
      <c r="P29" s="19"/>
      <c r="Q29" s="19"/>
      <c r="R29" s="19"/>
      <c r="S29" s="19"/>
      <c r="T29" s="19">
        <v>205109915</v>
      </c>
      <c r="U29" s="19"/>
      <c r="V29" s="19">
        <v>0</v>
      </c>
      <c r="W29" s="19">
        <v>0</v>
      </c>
      <c r="X29" s="19"/>
      <c r="Y29" s="19"/>
      <c r="Z29" s="19"/>
      <c r="AA29" s="19"/>
      <c r="AB29" s="19"/>
      <c r="AC29" s="19">
        <v>25000000</v>
      </c>
      <c r="AD29" s="19">
        <v>24252650</v>
      </c>
      <c r="AE29" s="19"/>
      <c r="AF29" s="19"/>
      <c r="AG29" s="19">
        <v>0</v>
      </c>
      <c r="AH29" s="19"/>
      <c r="AI29" s="19"/>
      <c r="AJ29" s="19">
        <v>17315481</v>
      </c>
      <c r="AK29" s="19"/>
      <c r="AL29" s="19"/>
      <c r="AM29" s="19">
        <v>37914360</v>
      </c>
      <c r="AN29" s="19">
        <v>39517530</v>
      </c>
      <c r="AO29" s="19"/>
      <c r="AP29" s="19">
        <v>52212214</v>
      </c>
      <c r="AQ29" s="19">
        <v>-15653331</v>
      </c>
      <c r="AR29" s="19"/>
      <c r="AS29" s="19"/>
      <c r="AT29" s="19"/>
      <c r="AU29" s="19"/>
      <c r="AV29" s="19"/>
      <c r="AW29" s="19">
        <v>186650000</v>
      </c>
      <c r="AX29" s="19"/>
      <c r="AY29" s="19"/>
      <c r="AZ29" s="19"/>
      <c r="BA29" s="19"/>
      <c r="BB29" s="19"/>
      <c r="BC29" s="19"/>
      <c r="BD29" s="19"/>
      <c r="BE29" s="19"/>
      <c r="BF29" s="19"/>
      <c r="BG29" s="19"/>
      <c r="BH29" s="19"/>
      <c r="BI29" s="19"/>
      <c r="BJ29" s="19">
        <v>50000000</v>
      </c>
      <c r="BK29" s="19"/>
      <c r="BL29" s="19"/>
      <c r="BM29" s="19">
        <v>13500000</v>
      </c>
      <c r="BN29" s="19">
        <v>0</v>
      </c>
      <c r="BO29" s="19"/>
      <c r="BP29" s="19">
        <v>14147497</v>
      </c>
      <c r="BQ29" s="19">
        <v>23000000</v>
      </c>
      <c r="BR29" s="19">
        <v>600000</v>
      </c>
      <c r="BS29" s="19">
        <v>13200000</v>
      </c>
      <c r="BT29" s="19">
        <v>700000</v>
      </c>
      <c r="BU29" s="19">
        <v>57037210</v>
      </c>
      <c r="BV29" s="19"/>
      <c r="BW29" s="19"/>
      <c r="BX29" s="19">
        <v>2300000</v>
      </c>
      <c r="BY29" s="19"/>
      <c r="BZ29" s="19"/>
      <c r="CA29" s="19"/>
      <c r="CB29" s="19">
        <v>53290470</v>
      </c>
      <c r="CC29" s="19"/>
      <c r="CD29" s="19"/>
      <c r="CE29" s="19"/>
      <c r="CF29" s="19" t="s">
        <v>139</v>
      </c>
      <c r="CG29" s="19">
        <v>9180000</v>
      </c>
      <c r="CH29" s="19">
        <v>16347585</v>
      </c>
      <c r="CI29" s="19"/>
      <c r="CJ29" s="19"/>
      <c r="CK29" s="19"/>
      <c r="CL29" s="19"/>
      <c r="CM29" s="19"/>
      <c r="CN29" s="19"/>
      <c r="CO29" s="19"/>
      <c r="CP29" s="19"/>
      <c r="CQ29" s="19" t="s">
        <v>96</v>
      </c>
      <c r="CR29" s="19">
        <v>36307579</v>
      </c>
    </row>
    <row r="30" spans="1:96" ht="17.55" customHeight="1">
      <c r="A30" s="7" t="s">
        <v>90</v>
      </c>
      <c r="B30" s="11" t="s">
        <v>59</v>
      </c>
      <c r="C30" s="19"/>
      <c r="D30" s="19"/>
      <c r="E30" s="19">
        <v>189700</v>
      </c>
      <c r="F30" s="19"/>
      <c r="G30" s="19"/>
      <c r="H30" s="19"/>
      <c r="I30" s="19">
        <v>82282865</v>
      </c>
      <c r="J30" s="19">
        <v>46494583</v>
      </c>
      <c r="K30" s="19"/>
      <c r="L30" s="19">
        <v>295174660</v>
      </c>
      <c r="M30" s="19"/>
      <c r="N30" s="19">
        <v>34404912</v>
      </c>
      <c r="O30" s="19">
        <v>608300000</v>
      </c>
      <c r="P30" s="19">
        <v>1791310</v>
      </c>
      <c r="Q30" s="19">
        <v>115670375</v>
      </c>
      <c r="R30" s="19">
        <v>4986943</v>
      </c>
      <c r="S30" s="19"/>
      <c r="T30" s="19"/>
      <c r="U30" s="19">
        <v>6884545</v>
      </c>
      <c r="V30" s="19">
        <v>9157500</v>
      </c>
      <c r="W30" s="19">
        <v>8650000</v>
      </c>
      <c r="X30" s="19">
        <v>2090000</v>
      </c>
      <c r="Y30" s="19"/>
      <c r="Z30" s="19">
        <v>120188449</v>
      </c>
      <c r="AA30" s="19">
        <v>2631189</v>
      </c>
      <c r="AB30" s="19"/>
      <c r="AC30" s="19">
        <v>31296000</v>
      </c>
      <c r="AD30" s="19"/>
      <c r="AE30" s="19"/>
      <c r="AF30" s="19">
        <v>73120000</v>
      </c>
      <c r="AG30" s="19"/>
      <c r="AH30" s="19">
        <v>170000</v>
      </c>
      <c r="AI30" s="19">
        <v>128000000</v>
      </c>
      <c r="AJ30" s="19">
        <v>147870</v>
      </c>
      <c r="AK30" s="19">
        <v>16778500</v>
      </c>
      <c r="AL30" s="19"/>
      <c r="AM30" s="19">
        <v>261485921</v>
      </c>
      <c r="AN30" s="19"/>
      <c r="AO30" s="19">
        <v>574900</v>
      </c>
      <c r="AP30" s="19"/>
      <c r="AQ30" s="19">
        <v>33473466</v>
      </c>
      <c r="AR30" s="19"/>
      <c r="AS30" s="19"/>
      <c r="AT30" s="19">
        <v>11260000</v>
      </c>
      <c r="AU30" s="19">
        <v>4252577</v>
      </c>
      <c r="AV30" s="19"/>
      <c r="AW30" s="19"/>
      <c r="AX30" s="19"/>
      <c r="AY30" s="19"/>
      <c r="AZ30" s="19"/>
      <c r="BA30" s="19"/>
      <c r="BB30" s="19"/>
      <c r="BC30" s="19">
        <v>20000000</v>
      </c>
      <c r="BD30" s="19"/>
      <c r="BE30" s="19"/>
      <c r="BF30" s="19">
        <v>266000</v>
      </c>
      <c r="BG30" s="19">
        <v>5778084</v>
      </c>
      <c r="BH30" s="19">
        <v>3289980</v>
      </c>
      <c r="BI30" s="19">
        <v>30821146</v>
      </c>
      <c r="BJ30" s="19">
        <v>22247341</v>
      </c>
      <c r="BK30" s="19"/>
      <c r="BL30" s="19"/>
      <c r="BM30" s="19"/>
      <c r="BN30" s="19"/>
      <c r="BO30" s="19">
        <v>1039550</v>
      </c>
      <c r="BP30" s="19"/>
      <c r="BQ30" s="19"/>
      <c r="BR30" s="19"/>
      <c r="BS30" s="19"/>
      <c r="BT30" s="19"/>
      <c r="BU30" s="19">
        <v>129001</v>
      </c>
      <c r="BV30" s="19">
        <v>14400000</v>
      </c>
      <c r="BW30" s="19">
        <v>2799268</v>
      </c>
      <c r="BX30" s="19">
        <v>550000</v>
      </c>
      <c r="BY30" s="19"/>
      <c r="BZ30" s="19">
        <v>65000000</v>
      </c>
      <c r="CA30" s="19">
        <v>4420000</v>
      </c>
      <c r="CB30" s="19"/>
      <c r="CC30" s="19"/>
      <c r="CD30" s="19"/>
      <c r="CE30" s="19">
        <v>17637500</v>
      </c>
      <c r="CF30" s="19" t="s">
        <v>139</v>
      </c>
      <c r="CG30" s="19"/>
      <c r="CH30" s="19"/>
      <c r="CI30" s="19">
        <v>75254500</v>
      </c>
      <c r="CJ30" s="19">
        <v>27945217</v>
      </c>
      <c r="CK30" s="19">
        <v>86321531</v>
      </c>
      <c r="CL30" s="19"/>
      <c r="CM30" s="19">
        <v>30000000</v>
      </c>
      <c r="CN30" s="19"/>
      <c r="CO30" s="19"/>
      <c r="CP30" s="19"/>
      <c r="CQ30" s="19" t="s">
        <v>96</v>
      </c>
      <c r="CR30" s="19">
        <v>181034000</v>
      </c>
    </row>
    <row r="31" spans="1:96" ht="17.55" customHeight="1">
      <c r="A31" s="7" t="s">
        <v>90</v>
      </c>
      <c r="B31" s="8" t="s">
        <v>18</v>
      </c>
      <c r="C31" s="19">
        <v>0</v>
      </c>
      <c r="D31" s="19">
        <v>6008394</v>
      </c>
      <c r="E31" s="19">
        <v>423892304</v>
      </c>
      <c r="F31" s="19">
        <v>0</v>
      </c>
      <c r="G31" s="19">
        <v>102000000</v>
      </c>
      <c r="H31" s="19">
        <v>137599597</v>
      </c>
      <c r="I31" s="19">
        <v>1299970000</v>
      </c>
      <c r="J31" s="19">
        <v>75527428</v>
      </c>
      <c r="K31" s="19">
        <v>137419008</v>
      </c>
      <c r="L31" s="19">
        <v>174511278</v>
      </c>
      <c r="M31" s="19">
        <v>60500000</v>
      </c>
      <c r="N31" s="19">
        <v>0</v>
      </c>
      <c r="O31" s="19">
        <v>1115908890</v>
      </c>
      <c r="P31" s="19">
        <v>492264699</v>
      </c>
      <c r="Q31" s="19">
        <v>139000000</v>
      </c>
      <c r="R31" s="19">
        <v>300200000</v>
      </c>
      <c r="S31" s="19">
        <v>318846116</v>
      </c>
      <c r="T31" s="19">
        <v>0</v>
      </c>
      <c r="U31" s="19">
        <v>359295535</v>
      </c>
      <c r="V31" s="19">
        <v>450000000</v>
      </c>
      <c r="W31" s="19">
        <v>437107969</v>
      </c>
      <c r="X31" s="19">
        <v>4144759380</v>
      </c>
      <c r="Y31" s="19">
        <v>85875000</v>
      </c>
      <c r="Z31" s="19">
        <v>8831288</v>
      </c>
      <c r="AA31" s="19">
        <v>1287146000</v>
      </c>
      <c r="AB31" s="19">
        <v>0</v>
      </c>
      <c r="AC31" s="19">
        <v>0</v>
      </c>
      <c r="AD31" s="19">
        <v>793407641</v>
      </c>
      <c r="AE31" s="19">
        <v>200000000</v>
      </c>
      <c r="AF31" s="19">
        <v>110000000</v>
      </c>
      <c r="AG31" s="19">
        <v>362112551</v>
      </c>
      <c r="AH31" s="19">
        <v>43128321</v>
      </c>
      <c r="AI31" s="19">
        <v>136000000</v>
      </c>
      <c r="AJ31" s="19">
        <v>217969134</v>
      </c>
      <c r="AK31" s="19">
        <v>9305051</v>
      </c>
      <c r="AL31" s="19">
        <v>91666670</v>
      </c>
      <c r="AM31" s="19">
        <v>1675209155</v>
      </c>
      <c r="AN31" s="19">
        <v>0</v>
      </c>
      <c r="AO31" s="19">
        <v>0</v>
      </c>
      <c r="AP31" s="19">
        <v>73270832</v>
      </c>
      <c r="AQ31" s="19">
        <v>37151033</v>
      </c>
      <c r="AR31" s="19">
        <v>80000000</v>
      </c>
      <c r="AS31" s="19">
        <v>0</v>
      </c>
      <c r="AT31" s="19">
        <v>1626768854</v>
      </c>
      <c r="AU31" s="19">
        <v>473000000</v>
      </c>
      <c r="AV31" s="19">
        <v>103204169</v>
      </c>
      <c r="AW31" s="19">
        <v>340000000</v>
      </c>
      <c r="AX31" s="19">
        <v>150000000</v>
      </c>
      <c r="AY31" s="19">
        <v>500830000</v>
      </c>
      <c r="AZ31" s="19">
        <v>0</v>
      </c>
      <c r="BA31" s="19">
        <v>10000000</v>
      </c>
      <c r="BB31" s="19">
        <v>0</v>
      </c>
      <c r="BC31" s="19">
        <v>1013542391</v>
      </c>
      <c r="BD31" s="19">
        <v>0</v>
      </c>
      <c r="BE31" s="19">
        <v>170236098</v>
      </c>
      <c r="BF31" s="19">
        <v>370000000</v>
      </c>
      <c r="BG31" s="19">
        <v>119100693</v>
      </c>
      <c r="BH31" s="19">
        <v>1072724</v>
      </c>
      <c r="BI31" s="19">
        <v>420555</v>
      </c>
      <c r="BJ31" s="19">
        <v>336108500</v>
      </c>
      <c r="BK31" s="19">
        <v>216950000</v>
      </c>
      <c r="BL31" s="19">
        <v>14566666</v>
      </c>
      <c r="BM31" s="19">
        <v>0</v>
      </c>
      <c r="BN31" s="19">
        <v>0</v>
      </c>
      <c r="BO31" s="19">
        <v>83791441</v>
      </c>
      <c r="BP31" s="19">
        <v>0</v>
      </c>
      <c r="BQ31" s="19">
        <v>69654208</v>
      </c>
      <c r="BR31" s="19">
        <v>0</v>
      </c>
      <c r="BS31" s="19">
        <v>0</v>
      </c>
      <c r="BT31" s="19">
        <v>0</v>
      </c>
      <c r="BU31" s="19">
        <v>0</v>
      </c>
      <c r="BV31" s="19">
        <v>0</v>
      </c>
      <c r="BW31" s="19">
        <v>0</v>
      </c>
      <c r="BX31" s="19">
        <v>0</v>
      </c>
      <c r="BY31" s="19">
        <v>169502473</v>
      </c>
      <c r="BZ31" s="19">
        <v>0</v>
      </c>
      <c r="CA31" s="19">
        <v>214988556</v>
      </c>
      <c r="CB31" s="19">
        <v>190000000</v>
      </c>
      <c r="CC31" s="19">
        <v>23755065</v>
      </c>
      <c r="CD31" s="19">
        <v>69869707</v>
      </c>
      <c r="CE31" s="19">
        <v>0</v>
      </c>
      <c r="CF31" s="19" t="s">
        <v>139</v>
      </c>
      <c r="CG31" s="19">
        <v>2476215</v>
      </c>
      <c r="CH31" s="19">
        <v>0</v>
      </c>
      <c r="CI31" s="19">
        <v>400000000</v>
      </c>
      <c r="CJ31" s="19">
        <v>110000000</v>
      </c>
      <c r="CK31" s="19">
        <v>1070000000</v>
      </c>
      <c r="CL31" s="19">
        <v>350000000</v>
      </c>
      <c r="CM31" s="19">
        <v>0</v>
      </c>
      <c r="CN31" s="19">
        <v>81800905</v>
      </c>
      <c r="CO31" s="19">
        <v>945437</v>
      </c>
      <c r="CP31" s="19">
        <v>147030450</v>
      </c>
      <c r="CQ31" s="19" t="s">
        <v>96</v>
      </c>
      <c r="CR31" s="19">
        <v>0</v>
      </c>
    </row>
    <row r="32" spans="1:96" ht="17.55" customHeight="1">
      <c r="A32" s="7" t="s">
        <v>90</v>
      </c>
      <c r="B32" s="11" t="s">
        <v>15</v>
      </c>
      <c r="C32" s="19"/>
      <c r="D32" s="19"/>
      <c r="E32" s="19">
        <v>398892304</v>
      </c>
      <c r="F32" s="19"/>
      <c r="G32" s="19">
        <v>100000000</v>
      </c>
      <c r="H32" s="19">
        <v>40000000</v>
      </c>
      <c r="I32" s="19">
        <v>500000000</v>
      </c>
      <c r="J32" s="19">
        <v>30000000</v>
      </c>
      <c r="K32" s="19">
        <v>0</v>
      </c>
      <c r="L32" s="19">
        <v>174511278</v>
      </c>
      <c r="M32" s="19">
        <v>60500000</v>
      </c>
      <c r="N32" s="19"/>
      <c r="O32" s="19">
        <v>951452118</v>
      </c>
      <c r="P32" s="19">
        <v>24950000</v>
      </c>
      <c r="Q32" s="19">
        <v>139000000</v>
      </c>
      <c r="R32" s="19">
        <v>200000000</v>
      </c>
      <c r="S32" s="19">
        <v>200000000</v>
      </c>
      <c r="T32" s="19"/>
      <c r="U32" s="19"/>
      <c r="V32" s="19">
        <v>200000000</v>
      </c>
      <c r="W32" s="19">
        <v>372805953</v>
      </c>
      <c r="X32" s="19">
        <v>3809759380</v>
      </c>
      <c r="Y32" s="19"/>
      <c r="Z32" s="19">
        <v>8831288</v>
      </c>
      <c r="AA32" s="19">
        <v>1287146000</v>
      </c>
      <c r="AB32" s="19"/>
      <c r="AC32" s="19"/>
      <c r="AD32" s="19">
        <v>769000000</v>
      </c>
      <c r="AE32" s="19">
        <v>200000000</v>
      </c>
      <c r="AF32" s="19">
        <v>110000000</v>
      </c>
      <c r="AG32" s="19">
        <v>192112551</v>
      </c>
      <c r="AH32" s="19"/>
      <c r="AI32" s="19">
        <v>36000000</v>
      </c>
      <c r="AJ32" s="19">
        <v>199969134</v>
      </c>
      <c r="AK32" s="19">
        <v>9305051</v>
      </c>
      <c r="AL32" s="19">
        <v>91666670</v>
      </c>
      <c r="AM32" s="19">
        <v>649999960</v>
      </c>
      <c r="AN32" s="19"/>
      <c r="AO32" s="19"/>
      <c r="AP32" s="19">
        <v>73270832</v>
      </c>
      <c r="AQ32" s="19">
        <v>37151033</v>
      </c>
      <c r="AR32" s="19"/>
      <c r="AS32" s="19"/>
      <c r="AT32" s="19">
        <v>1626768854</v>
      </c>
      <c r="AU32" s="19">
        <v>430000000</v>
      </c>
      <c r="AV32" s="19">
        <v>100000000</v>
      </c>
      <c r="AW32" s="19">
        <v>300000000</v>
      </c>
      <c r="AX32" s="19">
        <v>150000000</v>
      </c>
      <c r="AY32" s="19">
        <v>222980000</v>
      </c>
      <c r="AZ32" s="19"/>
      <c r="BA32" s="19"/>
      <c r="BB32" s="19"/>
      <c r="BC32" s="19">
        <v>847819500</v>
      </c>
      <c r="BD32" s="19"/>
      <c r="BE32" s="19"/>
      <c r="BF32" s="19">
        <v>370000000</v>
      </c>
      <c r="BG32" s="19">
        <v>46938776</v>
      </c>
      <c r="BH32" s="19"/>
      <c r="BI32" s="19"/>
      <c r="BJ32" s="19">
        <v>15387616</v>
      </c>
      <c r="BK32" s="19">
        <v>216950000</v>
      </c>
      <c r="BL32" s="19"/>
      <c r="BM32" s="19"/>
      <c r="BN32" s="19"/>
      <c r="BO32" s="19">
        <v>67556858</v>
      </c>
      <c r="BP32" s="19"/>
      <c r="BQ32" s="19">
        <v>69654208</v>
      </c>
      <c r="BR32" s="19"/>
      <c r="BS32" s="19"/>
      <c r="BT32" s="19"/>
      <c r="BU32" s="19"/>
      <c r="BV32" s="19"/>
      <c r="BW32" s="19"/>
      <c r="BX32" s="19"/>
      <c r="BY32" s="19">
        <v>151787908</v>
      </c>
      <c r="BZ32" s="19"/>
      <c r="CA32" s="19">
        <v>214988556</v>
      </c>
      <c r="CB32" s="19">
        <v>190000000</v>
      </c>
      <c r="CC32" s="19"/>
      <c r="CD32" s="19"/>
      <c r="CE32" s="19"/>
      <c r="CF32" s="19" t="s">
        <v>139</v>
      </c>
      <c r="CG32" s="19"/>
      <c r="CH32" s="19"/>
      <c r="CI32" s="19">
        <v>400000000</v>
      </c>
      <c r="CJ32" s="19">
        <v>110000000</v>
      </c>
      <c r="CK32" s="19">
        <v>1070000000</v>
      </c>
      <c r="CL32" s="19">
        <v>350000000</v>
      </c>
      <c r="CM32" s="19"/>
      <c r="CN32" s="19">
        <v>52000905</v>
      </c>
      <c r="CO32" s="19"/>
      <c r="CP32" s="19">
        <v>89233376</v>
      </c>
      <c r="CQ32" s="19" t="s">
        <v>96</v>
      </c>
      <c r="CR32" s="19"/>
    </row>
    <row r="33" spans="1:96" ht="17.55" customHeight="1">
      <c r="A33" s="7" t="s">
        <v>90</v>
      </c>
      <c r="B33" s="11" t="s">
        <v>45</v>
      </c>
      <c r="C33" s="19"/>
      <c r="D33" s="19">
        <v>6008394</v>
      </c>
      <c r="E33" s="19">
        <v>25000000</v>
      </c>
      <c r="F33" s="19"/>
      <c r="G33" s="19">
        <v>2000000</v>
      </c>
      <c r="H33" s="19">
        <v>97599597</v>
      </c>
      <c r="I33" s="19">
        <v>799970000</v>
      </c>
      <c r="J33" s="19">
        <v>45527428</v>
      </c>
      <c r="K33" s="19">
        <v>137419008</v>
      </c>
      <c r="L33" s="19"/>
      <c r="M33" s="19"/>
      <c r="N33" s="19"/>
      <c r="O33" s="19">
        <v>164456772</v>
      </c>
      <c r="P33" s="19">
        <v>467314699</v>
      </c>
      <c r="Q33" s="19"/>
      <c r="R33" s="19">
        <v>100200000</v>
      </c>
      <c r="S33" s="19">
        <v>118846116</v>
      </c>
      <c r="T33" s="19"/>
      <c r="U33" s="19">
        <v>359295535</v>
      </c>
      <c r="V33" s="19">
        <v>250000000</v>
      </c>
      <c r="W33" s="19">
        <v>64302016</v>
      </c>
      <c r="X33" s="19">
        <v>335000000</v>
      </c>
      <c r="Y33" s="19">
        <v>85875000</v>
      </c>
      <c r="Z33" s="19"/>
      <c r="AA33" s="19"/>
      <c r="AB33" s="19"/>
      <c r="AC33" s="19"/>
      <c r="AD33" s="19">
        <v>24407641</v>
      </c>
      <c r="AE33" s="19"/>
      <c r="AF33" s="19"/>
      <c r="AG33" s="19">
        <v>170000000</v>
      </c>
      <c r="AH33" s="19">
        <v>43128321</v>
      </c>
      <c r="AI33" s="19">
        <v>100000000</v>
      </c>
      <c r="AJ33" s="19">
        <v>18000000</v>
      </c>
      <c r="AK33" s="19"/>
      <c r="AL33" s="19"/>
      <c r="AM33" s="19">
        <v>1025209195</v>
      </c>
      <c r="AN33" s="19"/>
      <c r="AO33" s="19"/>
      <c r="AP33" s="19"/>
      <c r="AQ33" s="19"/>
      <c r="AR33" s="19">
        <v>80000000</v>
      </c>
      <c r="AS33" s="19"/>
      <c r="AT33" s="19"/>
      <c r="AU33" s="19">
        <v>43000000</v>
      </c>
      <c r="AV33" s="19">
        <v>3204169</v>
      </c>
      <c r="AW33" s="19">
        <v>40000000</v>
      </c>
      <c r="AX33" s="19"/>
      <c r="AY33" s="19">
        <v>277850000</v>
      </c>
      <c r="AZ33" s="19"/>
      <c r="BA33" s="19">
        <v>10000000</v>
      </c>
      <c r="BB33" s="19"/>
      <c r="BC33" s="19">
        <v>165722891</v>
      </c>
      <c r="BD33" s="19"/>
      <c r="BE33" s="19">
        <v>170236098</v>
      </c>
      <c r="BF33" s="19"/>
      <c r="BG33" s="19">
        <v>72161917</v>
      </c>
      <c r="BH33" s="19">
        <v>1072724</v>
      </c>
      <c r="BI33" s="19">
        <v>420555</v>
      </c>
      <c r="BJ33" s="19">
        <v>320720884</v>
      </c>
      <c r="BK33" s="19"/>
      <c r="BL33" s="19">
        <v>14566666</v>
      </c>
      <c r="BM33" s="19"/>
      <c r="BN33" s="19"/>
      <c r="BO33" s="19">
        <v>16234583</v>
      </c>
      <c r="BP33" s="19"/>
      <c r="BQ33" s="19"/>
      <c r="BR33" s="19"/>
      <c r="BS33" s="19"/>
      <c r="BT33" s="19"/>
      <c r="BU33" s="19"/>
      <c r="BV33" s="19"/>
      <c r="BW33" s="19"/>
      <c r="BX33" s="19"/>
      <c r="BY33" s="19">
        <v>17714565</v>
      </c>
      <c r="BZ33" s="19"/>
      <c r="CA33" s="19"/>
      <c r="CB33" s="19"/>
      <c r="CC33" s="19">
        <v>23755065</v>
      </c>
      <c r="CD33" s="19">
        <v>69869707</v>
      </c>
      <c r="CE33" s="19"/>
      <c r="CF33" s="19" t="s">
        <v>139</v>
      </c>
      <c r="CG33" s="19">
        <v>2476215</v>
      </c>
      <c r="CH33" s="19"/>
      <c r="CI33" s="19"/>
      <c r="CJ33" s="19"/>
      <c r="CK33" s="19"/>
      <c r="CL33" s="19"/>
      <c r="CM33" s="19"/>
      <c r="CN33" s="19">
        <v>29800000</v>
      </c>
      <c r="CO33" s="19">
        <v>945437</v>
      </c>
      <c r="CP33" s="19">
        <v>57797074</v>
      </c>
      <c r="CQ33" s="19" t="s">
        <v>96</v>
      </c>
      <c r="CR33" s="19"/>
    </row>
    <row r="34" spans="1:96" ht="17.55" customHeight="1">
      <c r="A34" s="7" t="s">
        <v>90</v>
      </c>
      <c r="B34" s="8" t="s">
        <v>110</v>
      </c>
      <c r="C34" s="19">
        <v>126251741</v>
      </c>
      <c r="D34" s="19">
        <v>957815477</v>
      </c>
      <c r="E34" s="19">
        <v>241199370</v>
      </c>
      <c r="F34" s="19">
        <v>467721045</v>
      </c>
      <c r="G34" s="19">
        <v>27520273</v>
      </c>
      <c r="H34" s="19">
        <v>85889785</v>
      </c>
      <c r="I34" s="19">
        <v>240358979</v>
      </c>
      <c r="J34" s="19">
        <v>-19780107</v>
      </c>
      <c r="K34" s="19">
        <v>415194961</v>
      </c>
      <c r="L34" s="19">
        <v>273824688</v>
      </c>
      <c r="M34" s="19">
        <v>807554673</v>
      </c>
      <c r="N34" s="19">
        <v>453675639</v>
      </c>
      <c r="O34" s="19">
        <v>1198769108</v>
      </c>
      <c r="P34" s="19">
        <v>1150209550</v>
      </c>
      <c r="Q34" s="19">
        <v>75317688</v>
      </c>
      <c r="R34" s="19">
        <v>14064835</v>
      </c>
      <c r="S34" s="19">
        <v>945629382</v>
      </c>
      <c r="T34" s="19">
        <v>-165163</v>
      </c>
      <c r="U34" s="19">
        <v>1709285646</v>
      </c>
      <c r="V34" s="19">
        <v>7502329</v>
      </c>
      <c r="W34" s="19">
        <v>182060485</v>
      </c>
      <c r="X34" s="19">
        <v>1595650012</v>
      </c>
      <c r="Y34" s="19">
        <v>400233997</v>
      </c>
      <c r="Z34" s="19">
        <v>19152455</v>
      </c>
      <c r="AA34" s="19">
        <v>986602342</v>
      </c>
      <c r="AB34" s="19">
        <v>162735808</v>
      </c>
      <c r="AC34" s="19">
        <v>311764999</v>
      </c>
      <c r="AD34" s="19">
        <v>559912462</v>
      </c>
      <c r="AE34" s="19">
        <v>398226656</v>
      </c>
      <c r="AF34" s="19">
        <v>50694623</v>
      </c>
      <c r="AG34" s="19">
        <v>-108267688</v>
      </c>
      <c r="AH34" s="19">
        <v>982703441</v>
      </c>
      <c r="AI34" s="19">
        <v>10488255</v>
      </c>
      <c r="AJ34" s="19">
        <v>456412296</v>
      </c>
      <c r="AK34" s="19">
        <v>508334653</v>
      </c>
      <c r="AL34" s="19">
        <v>105714114</v>
      </c>
      <c r="AM34" s="19">
        <v>634643082</v>
      </c>
      <c r="AN34" s="19">
        <v>78258799</v>
      </c>
      <c r="AO34" s="19">
        <v>841786084</v>
      </c>
      <c r="AP34" s="19">
        <v>562650230</v>
      </c>
      <c r="AQ34" s="19">
        <v>-66831779</v>
      </c>
      <c r="AR34" s="19">
        <v>65520501</v>
      </c>
      <c r="AS34" s="19">
        <v>112936768</v>
      </c>
      <c r="AT34" s="19">
        <v>308008369</v>
      </c>
      <c r="AU34" s="19">
        <v>60643532</v>
      </c>
      <c r="AV34" s="19">
        <v>95686605</v>
      </c>
      <c r="AW34" s="19">
        <v>12048642</v>
      </c>
      <c r="AX34" s="19">
        <v>1019196187</v>
      </c>
      <c r="AY34" s="19">
        <v>45286669</v>
      </c>
      <c r="AZ34" s="19">
        <v>242216431</v>
      </c>
      <c r="BA34" s="19">
        <v>30000000</v>
      </c>
      <c r="BB34" s="19">
        <v>99595954</v>
      </c>
      <c r="BC34" s="19">
        <v>360214968</v>
      </c>
      <c r="BD34" s="19">
        <v>10208401</v>
      </c>
      <c r="BE34" s="19">
        <v>199457408</v>
      </c>
      <c r="BF34" s="19">
        <v>887821066</v>
      </c>
      <c r="BG34" s="19">
        <v>1293238166</v>
      </c>
      <c r="BH34" s="19">
        <v>176590258</v>
      </c>
      <c r="BI34" s="19">
        <v>217827418</v>
      </c>
      <c r="BJ34" s="19">
        <v>126793300</v>
      </c>
      <c r="BK34" s="19">
        <v>72297001</v>
      </c>
      <c r="BL34" s="19">
        <v>95795634</v>
      </c>
      <c r="BM34" s="19">
        <v>14333882</v>
      </c>
      <c r="BN34" s="19">
        <v>92481387</v>
      </c>
      <c r="BO34" s="19">
        <v>131425043</v>
      </c>
      <c r="BP34" s="19">
        <v>23867516</v>
      </c>
      <c r="BQ34" s="19">
        <v>208555747</v>
      </c>
      <c r="BR34" s="19">
        <v>49871629</v>
      </c>
      <c r="BS34" s="19">
        <v>31974069</v>
      </c>
      <c r="BT34" s="19">
        <v>47472497</v>
      </c>
      <c r="BU34" s="19">
        <v>17278597</v>
      </c>
      <c r="BV34" s="19">
        <v>148000854</v>
      </c>
      <c r="BW34" s="19">
        <v>36524648</v>
      </c>
      <c r="BX34" s="19">
        <v>109295387</v>
      </c>
      <c r="BY34" s="19">
        <v>22794736</v>
      </c>
      <c r="BZ34" s="19">
        <v>104488874</v>
      </c>
      <c r="CA34" s="19">
        <v>74342016</v>
      </c>
      <c r="CB34" s="19">
        <v>104773168</v>
      </c>
      <c r="CC34" s="19">
        <v>-4043133</v>
      </c>
      <c r="CD34" s="19">
        <v>60075160</v>
      </c>
      <c r="CE34" s="19">
        <v>432380589</v>
      </c>
      <c r="CF34" s="19" t="s">
        <v>139</v>
      </c>
      <c r="CG34" s="19">
        <v>210191237</v>
      </c>
      <c r="CH34" s="19">
        <v>4136476</v>
      </c>
      <c r="CI34" s="19">
        <v>207902510</v>
      </c>
      <c r="CJ34" s="19">
        <v>63365216</v>
      </c>
      <c r="CK34" s="19">
        <v>782050295</v>
      </c>
      <c r="CL34" s="19">
        <v>226538004</v>
      </c>
      <c r="CM34" s="19">
        <v>866022994</v>
      </c>
      <c r="CN34" s="19">
        <v>43133971</v>
      </c>
      <c r="CO34" s="19">
        <v>268677296</v>
      </c>
      <c r="CP34" s="19">
        <v>119580847</v>
      </c>
      <c r="CQ34" s="19" t="s">
        <v>96</v>
      </c>
      <c r="CR34" s="19">
        <v>360674857</v>
      </c>
    </row>
    <row r="35" spans="1:96" ht="17.55" customHeight="1">
      <c r="A35" s="7" t="s">
        <v>90</v>
      </c>
      <c r="B35" s="8" t="s">
        <v>81</v>
      </c>
      <c r="C35" s="19">
        <v>150000000</v>
      </c>
      <c r="D35" s="19">
        <v>688602600</v>
      </c>
      <c r="E35" s="19">
        <v>117000000</v>
      </c>
      <c r="F35" s="19">
        <v>100000000</v>
      </c>
      <c r="G35" s="19">
        <v>30000000</v>
      </c>
      <c r="H35" s="19">
        <v>33359996</v>
      </c>
      <c r="I35" s="19">
        <v>140000000</v>
      </c>
      <c r="J35" s="19">
        <v>50000000</v>
      </c>
      <c r="K35" s="19">
        <v>1304144013</v>
      </c>
      <c r="L35" s="19">
        <v>90000000</v>
      </c>
      <c r="M35" s="19">
        <v>1297462581</v>
      </c>
      <c r="N35" s="19">
        <v>50000000</v>
      </c>
      <c r="O35" s="19">
        <v>1065422812</v>
      </c>
      <c r="P35" s="19">
        <v>980348673</v>
      </c>
      <c r="Q35" s="19">
        <v>10000000</v>
      </c>
      <c r="R35" s="19">
        <v>60000000</v>
      </c>
      <c r="S35" s="19">
        <v>538889000</v>
      </c>
      <c r="T35" s="19">
        <v>90000000</v>
      </c>
      <c r="U35" s="19">
        <v>370000000</v>
      </c>
      <c r="V35" s="19">
        <v>110000000</v>
      </c>
      <c r="W35" s="19">
        <v>216190000</v>
      </c>
      <c r="X35" s="19">
        <v>100000000</v>
      </c>
      <c r="Y35" s="19">
        <v>110975000</v>
      </c>
      <c r="Z35" s="19">
        <v>68000000</v>
      </c>
      <c r="AA35" s="19">
        <v>250000000</v>
      </c>
      <c r="AB35" s="19">
        <v>89000000</v>
      </c>
      <c r="AC35" s="19">
        <v>30000000</v>
      </c>
      <c r="AD35" s="19">
        <v>87000000</v>
      </c>
      <c r="AE35" s="19">
        <v>20000000</v>
      </c>
      <c r="AF35" s="19">
        <v>10000000</v>
      </c>
      <c r="AG35" s="19">
        <v>341580000</v>
      </c>
      <c r="AH35" s="19">
        <v>55320000</v>
      </c>
      <c r="AI35" s="19">
        <v>68500000</v>
      </c>
      <c r="AJ35" s="19">
        <v>314320000</v>
      </c>
      <c r="AK35" s="19">
        <v>60000000</v>
      </c>
      <c r="AL35" s="19">
        <v>90000000</v>
      </c>
      <c r="AM35" s="19">
        <v>1018970000</v>
      </c>
      <c r="AN35" s="19">
        <v>50000000</v>
      </c>
      <c r="AO35" s="19">
        <v>257280000</v>
      </c>
      <c r="AP35" s="19">
        <v>600000000</v>
      </c>
      <c r="AQ35" s="19">
        <v>62000000</v>
      </c>
      <c r="AR35" s="19">
        <v>50000000</v>
      </c>
      <c r="AS35" s="19">
        <v>50000000</v>
      </c>
      <c r="AT35" s="19">
        <v>200000000</v>
      </c>
      <c r="AU35" s="19">
        <v>250000000</v>
      </c>
      <c r="AV35" s="19">
        <v>172800000</v>
      </c>
      <c r="AW35" s="19">
        <v>5000000</v>
      </c>
      <c r="AX35" s="19">
        <v>700000000</v>
      </c>
      <c r="AY35" s="19"/>
      <c r="AZ35" s="19">
        <v>225000000</v>
      </c>
      <c r="BA35" s="19">
        <v>30000000</v>
      </c>
      <c r="BB35" s="19">
        <v>100000000</v>
      </c>
      <c r="BC35" s="19">
        <v>100000000</v>
      </c>
      <c r="BD35" s="19">
        <v>14290000</v>
      </c>
      <c r="BE35" s="19">
        <v>101000000</v>
      </c>
      <c r="BF35" s="19">
        <v>200000000</v>
      </c>
      <c r="BG35" s="19">
        <v>2200000000</v>
      </c>
      <c r="BH35" s="19">
        <v>148000000</v>
      </c>
      <c r="BI35" s="19">
        <v>25000000</v>
      </c>
      <c r="BJ35" s="19">
        <v>5000000</v>
      </c>
      <c r="BK35" s="19">
        <v>100000000</v>
      </c>
      <c r="BL35" s="19">
        <v>20000000</v>
      </c>
      <c r="BM35" s="19">
        <v>2450000</v>
      </c>
      <c r="BN35" s="19">
        <v>11250000</v>
      </c>
      <c r="BO35" s="19">
        <v>100000000</v>
      </c>
      <c r="BP35" s="19">
        <v>5000000</v>
      </c>
      <c r="BQ35" s="19">
        <v>5000000</v>
      </c>
      <c r="BR35" s="19">
        <v>21084698</v>
      </c>
      <c r="BS35" s="19">
        <v>41240000</v>
      </c>
      <c r="BT35" s="19">
        <v>27054662</v>
      </c>
      <c r="BU35" s="19">
        <v>25000000</v>
      </c>
      <c r="BV35" s="19">
        <v>50000000</v>
      </c>
      <c r="BW35" s="19">
        <v>360000</v>
      </c>
      <c r="BX35" s="19">
        <v>10000000</v>
      </c>
      <c r="BY35" s="19">
        <v>70000000</v>
      </c>
      <c r="BZ35" s="19">
        <v>10000000</v>
      </c>
      <c r="CA35" s="19">
        <v>80000000</v>
      </c>
      <c r="CB35" s="19">
        <v>10000000</v>
      </c>
      <c r="CC35" s="19">
        <v>1530562</v>
      </c>
      <c r="CD35" s="19">
        <v>105215000</v>
      </c>
      <c r="CE35" s="19">
        <v>50000000</v>
      </c>
      <c r="CF35" s="19" t="s">
        <v>139</v>
      </c>
      <c r="CG35" s="19">
        <v>97609170</v>
      </c>
      <c r="CH35" s="19">
        <v>5000000</v>
      </c>
      <c r="CI35" s="19">
        <v>186000000</v>
      </c>
      <c r="CJ35" s="19">
        <v>30000000</v>
      </c>
      <c r="CK35" s="19">
        <v>400000000</v>
      </c>
      <c r="CL35" s="19">
        <v>164000000</v>
      </c>
      <c r="CM35" s="19">
        <v>150000000</v>
      </c>
      <c r="CN35" s="19">
        <v>2000000</v>
      </c>
      <c r="CO35" s="19">
        <v>201460000</v>
      </c>
      <c r="CP35" s="19">
        <v>300000000</v>
      </c>
      <c r="CQ35" s="19" t="s">
        <v>96</v>
      </c>
      <c r="CR35" s="19">
        <v>210000000</v>
      </c>
    </row>
    <row r="36" spans="1:96" ht="17.55" customHeight="1">
      <c r="A36" s="7" t="s">
        <v>90</v>
      </c>
      <c r="B36" s="8" t="s">
        <v>11</v>
      </c>
      <c r="C36" s="19">
        <v>0</v>
      </c>
      <c r="D36" s="19">
        <v>0</v>
      </c>
      <c r="E36" s="19">
        <v>0</v>
      </c>
      <c r="F36" s="19">
        <v>0</v>
      </c>
      <c r="G36" s="19">
        <v>0</v>
      </c>
      <c r="H36" s="19">
        <v>0</v>
      </c>
      <c r="I36" s="19">
        <v>0</v>
      </c>
      <c r="J36" s="19">
        <v>0</v>
      </c>
      <c r="K36" s="19">
        <v>0</v>
      </c>
      <c r="L36" s="19">
        <v>64083618</v>
      </c>
      <c r="M36" s="19"/>
      <c r="N36" s="19">
        <v>0</v>
      </c>
      <c r="O36" s="19">
        <v>0</v>
      </c>
      <c r="P36" s="19"/>
      <c r="Q36" s="19">
        <v>0</v>
      </c>
      <c r="R36" s="19">
        <v>0</v>
      </c>
      <c r="S36" s="19">
        <v>342268884</v>
      </c>
      <c r="T36" s="19"/>
      <c r="U36" s="19">
        <v>1530000000</v>
      </c>
      <c r="V36" s="19">
        <v>190000000</v>
      </c>
      <c r="W36" s="19">
        <v>354830100</v>
      </c>
      <c r="X36" s="19">
        <v>0</v>
      </c>
      <c r="Y36" s="19">
        <v>153650000</v>
      </c>
      <c r="Z36" s="19"/>
      <c r="AA36" s="19">
        <v>0</v>
      </c>
      <c r="AB36" s="19">
        <v>0</v>
      </c>
      <c r="AC36" s="19"/>
      <c r="AD36" s="19">
        <v>99580870</v>
      </c>
      <c r="AE36" s="19">
        <v>0</v>
      </c>
      <c r="AF36" s="19">
        <v>0</v>
      </c>
      <c r="AG36" s="19">
        <v>167006000</v>
      </c>
      <c r="AH36" s="19">
        <v>790076520</v>
      </c>
      <c r="AI36" s="19">
        <v>99000000</v>
      </c>
      <c r="AJ36" s="19">
        <v>0</v>
      </c>
      <c r="AK36" s="19"/>
      <c r="AL36" s="19">
        <v>0</v>
      </c>
      <c r="AM36" s="19">
        <v>1841412692</v>
      </c>
      <c r="AN36" s="19"/>
      <c r="AO36" s="19">
        <v>1088778740</v>
      </c>
      <c r="AP36" s="19">
        <v>0</v>
      </c>
      <c r="AQ36" s="19"/>
      <c r="AR36" s="19">
        <v>0</v>
      </c>
      <c r="AS36" s="19">
        <v>0</v>
      </c>
      <c r="AT36" s="19">
        <v>0</v>
      </c>
      <c r="AU36" s="19">
        <v>0</v>
      </c>
      <c r="AV36" s="19">
        <v>0</v>
      </c>
      <c r="AW36" s="19">
        <v>0</v>
      </c>
      <c r="AX36" s="19"/>
      <c r="AY36" s="19"/>
      <c r="AZ36" s="19">
        <v>0</v>
      </c>
      <c r="BA36" s="19">
        <v>0</v>
      </c>
      <c r="BB36" s="19">
        <v>0</v>
      </c>
      <c r="BC36" s="19">
        <v>0</v>
      </c>
      <c r="BD36" s="19">
        <v>45709950</v>
      </c>
      <c r="BE36" s="19">
        <v>48335289</v>
      </c>
      <c r="BF36" s="19">
        <v>0</v>
      </c>
      <c r="BG36" s="19"/>
      <c r="BH36" s="19">
        <v>0</v>
      </c>
      <c r="BI36" s="19">
        <v>0</v>
      </c>
      <c r="BJ36" s="19">
        <v>0</v>
      </c>
      <c r="BK36" s="19">
        <v>0</v>
      </c>
      <c r="BL36" s="19"/>
      <c r="BM36" s="19">
        <v>0</v>
      </c>
      <c r="BN36" s="19">
        <v>0</v>
      </c>
      <c r="BO36" s="19">
        <v>0</v>
      </c>
      <c r="BP36" s="19"/>
      <c r="BQ36" s="19">
        <v>0</v>
      </c>
      <c r="BR36" s="19">
        <v>0</v>
      </c>
      <c r="BS36" s="19">
        <v>0</v>
      </c>
      <c r="BT36" s="19"/>
      <c r="BU36" s="19">
        <v>0</v>
      </c>
      <c r="BV36" s="19">
        <v>0</v>
      </c>
      <c r="BW36" s="19">
        <v>0</v>
      </c>
      <c r="BX36" s="19">
        <v>0</v>
      </c>
      <c r="BY36" s="19">
        <v>0</v>
      </c>
      <c r="BZ36" s="19"/>
      <c r="CA36" s="19"/>
      <c r="CB36" s="19">
        <v>0</v>
      </c>
      <c r="CC36" s="19">
        <v>0</v>
      </c>
      <c r="CD36" s="19">
        <v>84647444</v>
      </c>
      <c r="CE36" s="19">
        <v>0</v>
      </c>
      <c r="CF36" s="19" t="s">
        <v>139</v>
      </c>
      <c r="CG36" s="19">
        <v>0</v>
      </c>
      <c r="CH36" s="19">
        <v>0</v>
      </c>
      <c r="CI36" s="19"/>
      <c r="CJ36" s="19"/>
      <c r="CK36" s="19">
        <v>0</v>
      </c>
      <c r="CL36" s="19">
        <v>0</v>
      </c>
      <c r="CM36" s="19"/>
      <c r="CN36" s="19"/>
      <c r="CO36" s="19">
        <v>0</v>
      </c>
      <c r="CP36" s="19">
        <v>0</v>
      </c>
      <c r="CQ36" s="19" t="s">
        <v>96</v>
      </c>
      <c r="CR36" s="19">
        <v>0</v>
      </c>
    </row>
    <row r="37" spans="1:96" ht="17.55" customHeight="1">
      <c r="A37" s="7" t="s">
        <v>90</v>
      </c>
      <c r="B37" s="8" t="s">
        <v>31</v>
      </c>
      <c r="C37" s="19">
        <v>0</v>
      </c>
      <c r="D37" s="19">
        <v>0</v>
      </c>
      <c r="E37" s="19">
        <v>0</v>
      </c>
      <c r="F37" s="19">
        <v>0</v>
      </c>
      <c r="G37" s="19">
        <v>0</v>
      </c>
      <c r="H37" s="19">
        <v>0</v>
      </c>
      <c r="I37" s="19">
        <v>0</v>
      </c>
      <c r="J37" s="19">
        <v>0</v>
      </c>
      <c r="K37" s="19">
        <v>0</v>
      </c>
      <c r="L37" s="19">
        <v>-630240</v>
      </c>
      <c r="M37" s="19"/>
      <c r="N37" s="19">
        <v>0</v>
      </c>
      <c r="O37" s="19">
        <v>0</v>
      </c>
      <c r="P37" s="19"/>
      <c r="Q37" s="19">
        <v>0</v>
      </c>
      <c r="R37" s="19">
        <v>0</v>
      </c>
      <c r="S37" s="19">
        <v>0</v>
      </c>
      <c r="T37" s="19"/>
      <c r="U37" s="19">
        <v>0</v>
      </c>
      <c r="V37" s="19">
        <v>0</v>
      </c>
      <c r="W37" s="19">
        <v>0</v>
      </c>
      <c r="X37" s="19">
        <v>0</v>
      </c>
      <c r="Y37" s="19">
        <v>0</v>
      </c>
      <c r="Z37" s="19"/>
      <c r="AA37" s="19">
        <v>0</v>
      </c>
      <c r="AB37" s="19">
        <v>0</v>
      </c>
      <c r="AC37" s="19"/>
      <c r="AD37" s="19">
        <v>-5372500</v>
      </c>
      <c r="AE37" s="19">
        <v>0</v>
      </c>
      <c r="AF37" s="19">
        <v>0</v>
      </c>
      <c r="AG37" s="19">
        <v>0</v>
      </c>
      <c r="AH37" s="19">
        <v>0</v>
      </c>
      <c r="AI37" s="19">
        <v>0</v>
      </c>
      <c r="AJ37" s="19">
        <v>4500000</v>
      </c>
      <c r="AK37" s="19"/>
      <c r="AL37" s="19">
        <v>0</v>
      </c>
      <c r="AM37" s="19"/>
      <c r="AN37" s="19"/>
      <c r="AO37" s="19">
        <v>0</v>
      </c>
      <c r="AP37" s="19">
        <v>0</v>
      </c>
      <c r="AQ37" s="19"/>
      <c r="AR37" s="19">
        <v>0</v>
      </c>
      <c r="AS37" s="19">
        <v>0</v>
      </c>
      <c r="AT37" s="19">
        <v>0</v>
      </c>
      <c r="AU37" s="19">
        <v>-3680980</v>
      </c>
      <c r="AV37" s="19">
        <v>0</v>
      </c>
      <c r="AW37" s="19">
        <v>0</v>
      </c>
      <c r="AX37" s="19"/>
      <c r="AY37" s="19"/>
      <c r="AZ37" s="19">
        <v>0</v>
      </c>
      <c r="BA37" s="19">
        <v>0</v>
      </c>
      <c r="BB37" s="19">
        <v>0</v>
      </c>
      <c r="BC37" s="19">
        <v>0</v>
      </c>
      <c r="BD37" s="19">
        <v>0</v>
      </c>
      <c r="BE37" s="19">
        <v>0</v>
      </c>
      <c r="BF37" s="19">
        <v>0</v>
      </c>
      <c r="BG37" s="19"/>
      <c r="BH37" s="19">
        <v>0</v>
      </c>
      <c r="BI37" s="19">
        <v>0</v>
      </c>
      <c r="BJ37" s="19">
        <v>0</v>
      </c>
      <c r="BK37" s="19">
        <v>-529000</v>
      </c>
      <c r="BL37" s="19"/>
      <c r="BM37" s="19">
        <v>0</v>
      </c>
      <c r="BN37" s="19">
        <v>0</v>
      </c>
      <c r="BO37" s="19">
        <v>0</v>
      </c>
      <c r="BP37" s="19"/>
      <c r="BQ37" s="19">
        <v>0</v>
      </c>
      <c r="BR37" s="19">
        <v>0</v>
      </c>
      <c r="BS37" s="19">
        <v>0</v>
      </c>
      <c r="BT37" s="19"/>
      <c r="BU37" s="19">
        <v>0</v>
      </c>
      <c r="BV37" s="19">
        <v>0</v>
      </c>
      <c r="BW37" s="19">
        <v>0</v>
      </c>
      <c r="BX37" s="19">
        <v>0</v>
      </c>
      <c r="BY37" s="19">
        <v>0</v>
      </c>
      <c r="BZ37" s="19"/>
      <c r="CA37" s="19"/>
      <c r="CB37" s="19">
        <v>0</v>
      </c>
      <c r="CC37" s="19">
        <v>0</v>
      </c>
      <c r="CD37" s="19">
        <v>0</v>
      </c>
      <c r="CE37" s="19">
        <v>0</v>
      </c>
      <c r="CF37" s="19" t="s">
        <v>139</v>
      </c>
      <c r="CG37" s="19">
        <v>0</v>
      </c>
      <c r="CH37" s="19">
        <v>0</v>
      </c>
      <c r="CI37" s="19"/>
      <c r="CJ37" s="19"/>
      <c r="CK37" s="19">
        <v>0</v>
      </c>
      <c r="CL37" s="19">
        <v>0</v>
      </c>
      <c r="CM37" s="19"/>
      <c r="CN37" s="19"/>
      <c r="CO37" s="19">
        <v>0</v>
      </c>
      <c r="CP37" s="19">
        <v>2886000</v>
      </c>
      <c r="CQ37" s="19" t="s">
        <v>96</v>
      </c>
      <c r="CR37" s="19">
        <v>0</v>
      </c>
    </row>
    <row r="38" spans="1:96" ht="17.55" customHeight="1">
      <c r="A38" s="7" t="s">
        <v>90</v>
      </c>
      <c r="B38" s="8" t="s">
        <v>56</v>
      </c>
      <c r="C38" s="19">
        <v>0</v>
      </c>
      <c r="D38" s="19">
        <v>0</v>
      </c>
      <c r="E38" s="19">
        <v>0</v>
      </c>
      <c r="F38" s="19">
        <v>0</v>
      </c>
      <c r="G38" s="19">
        <v>0</v>
      </c>
      <c r="H38" s="19">
        <v>0</v>
      </c>
      <c r="I38" s="19">
        <v>0</v>
      </c>
      <c r="J38" s="19">
        <v>0</v>
      </c>
      <c r="K38" s="19">
        <v>0</v>
      </c>
      <c r="L38" s="19"/>
      <c r="M38" s="19"/>
      <c r="N38" s="19">
        <v>0</v>
      </c>
      <c r="O38" s="19">
        <v>0</v>
      </c>
      <c r="P38" s="19"/>
      <c r="Q38" s="19">
        <v>0</v>
      </c>
      <c r="R38" s="19">
        <v>0</v>
      </c>
      <c r="S38" s="19">
        <v>0</v>
      </c>
      <c r="T38" s="19"/>
      <c r="U38" s="19">
        <v>0</v>
      </c>
      <c r="V38" s="19">
        <v>0</v>
      </c>
      <c r="W38" s="19">
        <v>0</v>
      </c>
      <c r="X38" s="19">
        <v>0</v>
      </c>
      <c r="Y38" s="19">
        <v>0</v>
      </c>
      <c r="Z38" s="19"/>
      <c r="AA38" s="19">
        <v>0</v>
      </c>
      <c r="AB38" s="19">
        <v>0</v>
      </c>
      <c r="AC38" s="19"/>
      <c r="AD38" s="19"/>
      <c r="AE38" s="19">
        <v>0</v>
      </c>
      <c r="AF38" s="19">
        <v>0</v>
      </c>
      <c r="AG38" s="19">
        <v>0</v>
      </c>
      <c r="AH38" s="19">
        <v>0</v>
      </c>
      <c r="AI38" s="19">
        <v>0</v>
      </c>
      <c r="AJ38" s="19">
        <v>0</v>
      </c>
      <c r="AK38" s="19"/>
      <c r="AL38" s="19">
        <v>0</v>
      </c>
      <c r="AM38" s="19"/>
      <c r="AN38" s="19"/>
      <c r="AO38" s="19"/>
      <c r="AP38" s="19">
        <v>0</v>
      </c>
      <c r="AQ38" s="19"/>
      <c r="AR38" s="19">
        <v>0</v>
      </c>
      <c r="AS38" s="19">
        <v>0</v>
      </c>
      <c r="AT38" s="19">
        <v>0</v>
      </c>
      <c r="AU38" s="19">
        <v>0</v>
      </c>
      <c r="AV38" s="19">
        <v>0</v>
      </c>
      <c r="AW38" s="19">
        <v>0</v>
      </c>
      <c r="AX38" s="19"/>
      <c r="AY38" s="19"/>
      <c r="AZ38" s="19"/>
      <c r="BA38" s="19">
        <v>0</v>
      </c>
      <c r="BB38" s="19">
        <v>0</v>
      </c>
      <c r="BC38" s="19">
        <v>0</v>
      </c>
      <c r="BD38" s="19">
        <v>0</v>
      </c>
      <c r="BE38" s="19">
        <v>0</v>
      </c>
      <c r="BF38" s="19">
        <v>0</v>
      </c>
      <c r="BG38" s="19"/>
      <c r="BH38" s="19">
        <v>0</v>
      </c>
      <c r="BI38" s="19">
        <v>0</v>
      </c>
      <c r="BJ38" s="19">
        <v>0</v>
      </c>
      <c r="BK38" s="19">
        <v>0</v>
      </c>
      <c r="BL38" s="19"/>
      <c r="BM38" s="19">
        <v>0</v>
      </c>
      <c r="BN38" s="19">
        <v>0</v>
      </c>
      <c r="BO38" s="19">
        <v>0</v>
      </c>
      <c r="BP38" s="19"/>
      <c r="BQ38" s="19">
        <v>0</v>
      </c>
      <c r="BR38" s="19">
        <v>0</v>
      </c>
      <c r="BS38" s="19">
        <v>0</v>
      </c>
      <c r="BT38" s="19"/>
      <c r="BU38" s="19">
        <v>0</v>
      </c>
      <c r="BV38" s="19">
        <v>0</v>
      </c>
      <c r="BW38" s="19">
        <v>0</v>
      </c>
      <c r="BX38" s="19">
        <v>0</v>
      </c>
      <c r="BY38" s="19">
        <v>0</v>
      </c>
      <c r="BZ38" s="19"/>
      <c r="CA38" s="19"/>
      <c r="CB38" s="19">
        <v>0</v>
      </c>
      <c r="CC38" s="19">
        <v>0</v>
      </c>
      <c r="CD38" s="19">
        <v>0</v>
      </c>
      <c r="CE38" s="19">
        <v>0</v>
      </c>
      <c r="CF38" s="19" t="s">
        <v>139</v>
      </c>
      <c r="CG38" s="19">
        <v>0</v>
      </c>
      <c r="CH38" s="19">
        <v>0</v>
      </c>
      <c r="CI38" s="19"/>
      <c r="CJ38" s="19"/>
      <c r="CK38" s="19">
        <v>371966060</v>
      </c>
      <c r="CL38" s="19">
        <v>0</v>
      </c>
      <c r="CM38" s="19"/>
      <c r="CN38" s="19"/>
      <c r="CO38" s="19"/>
      <c r="CP38" s="19"/>
      <c r="CQ38" s="19" t="s">
        <v>96</v>
      </c>
      <c r="CR38" s="19"/>
    </row>
    <row r="39" spans="1:96" ht="17.55" customHeight="1">
      <c r="A39" s="7" t="s">
        <v>90</v>
      </c>
      <c r="B39" s="8" t="s">
        <v>82</v>
      </c>
      <c r="C39" s="19">
        <v>-23748259</v>
      </c>
      <c r="D39" s="19">
        <v>269212877</v>
      </c>
      <c r="E39" s="19">
        <v>124199370</v>
      </c>
      <c r="F39" s="19">
        <v>367721045</v>
      </c>
      <c r="G39" s="19">
        <v>-2479727</v>
      </c>
      <c r="H39" s="19">
        <v>52529789</v>
      </c>
      <c r="I39" s="19">
        <v>100358979</v>
      </c>
      <c r="J39" s="19">
        <v>-69780107</v>
      </c>
      <c r="K39" s="19">
        <v>-888949052</v>
      </c>
      <c r="L39" s="19">
        <v>120371310</v>
      </c>
      <c r="M39" s="19">
        <v>-489907908</v>
      </c>
      <c r="N39" s="19">
        <v>403675639</v>
      </c>
      <c r="O39" s="19">
        <v>133346296</v>
      </c>
      <c r="P39" s="19">
        <v>169860877</v>
      </c>
      <c r="Q39" s="19">
        <v>65317688</v>
      </c>
      <c r="R39" s="19">
        <v>-45935165</v>
      </c>
      <c r="S39" s="19">
        <v>64471498</v>
      </c>
      <c r="T39" s="19">
        <v>-90165163</v>
      </c>
      <c r="U39" s="19">
        <v>-190714354</v>
      </c>
      <c r="V39" s="19">
        <v>-292497671</v>
      </c>
      <c r="W39" s="19">
        <v>-388959615</v>
      </c>
      <c r="X39" s="19">
        <v>1495650012</v>
      </c>
      <c r="Y39" s="19">
        <v>135608997</v>
      </c>
      <c r="Z39" s="19">
        <v>-48847545</v>
      </c>
      <c r="AA39" s="19">
        <v>736602342</v>
      </c>
      <c r="AB39" s="19">
        <v>73735808</v>
      </c>
      <c r="AC39" s="19">
        <v>281764999</v>
      </c>
      <c r="AD39" s="19">
        <v>378704092</v>
      </c>
      <c r="AE39" s="19">
        <v>378226656</v>
      </c>
      <c r="AF39" s="19">
        <v>40694623</v>
      </c>
      <c r="AG39" s="19">
        <v>-616853688</v>
      </c>
      <c r="AH39" s="19">
        <v>137306921</v>
      </c>
      <c r="AI39" s="19">
        <v>-157011745</v>
      </c>
      <c r="AJ39" s="19">
        <v>137592296</v>
      </c>
      <c r="AK39" s="19">
        <v>448334653</v>
      </c>
      <c r="AL39" s="19">
        <v>15714114</v>
      </c>
      <c r="AM39" s="19">
        <v>-2225739610</v>
      </c>
      <c r="AN39" s="19">
        <v>28258799</v>
      </c>
      <c r="AO39" s="19">
        <v>-504272656</v>
      </c>
      <c r="AP39" s="19">
        <v>-37349770</v>
      </c>
      <c r="AQ39" s="19">
        <v>-128831779</v>
      </c>
      <c r="AR39" s="19">
        <v>15520501</v>
      </c>
      <c r="AS39" s="19">
        <v>62936768</v>
      </c>
      <c r="AT39" s="19">
        <v>108008369</v>
      </c>
      <c r="AU39" s="19">
        <v>-185675488</v>
      </c>
      <c r="AV39" s="19">
        <v>-77113395</v>
      </c>
      <c r="AW39" s="19">
        <v>7048642</v>
      </c>
      <c r="AX39" s="19">
        <v>319196187</v>
      </c>
      <c r="AY39" s="19">
        <v>45286669</v>
      </c>
      <c r="AZ39" s="19">
        <v>17216431</v>
      </c>
      <c r="BA39" s="19">
        <v>0</v>
      </c>
      <c r="BB39" s="19">
        <v>-404046</v>
      </c>
      <c r="BC39" s="19">
        <v>260214968</v>
      </c>
      <c r="BD39" s="19">
        <v>-49791549</v>
      </c>
      <c r="BE39" s="19">
        <v>50122119</v>
      </c>
      <c r="BF39" s="19">
        <v>687821066</v>
      </c>
      <c r="BG39" s="19">
        <v>-906761834</v>
      </c>
      <c r="BH39" s="19">
        <v>28590258</v>
      </c>
      <c r="BI39" s="19">
        <v>192827418</v>
      </c>
      <c r="BJ39" s="19">
        <v>121793300</v>
      </c>
      <c r="BK39" s="19">
        <v>-27173999</v>
      </c>
      <c r="BL39" s="19">
        <v>75795634</v>
      </c>
      <c r="BM39" s="19">
        <v>11883882</v>
      </c>
      <c r="BN39" s="19">
        <v>81231387</v>
      </c>
      <c r="BO39" s="19">
        <v>31425043</v>
      </c>
      <c r="BP39" s="19">
        <v>18867516</v>
      </c>
      <c r="BQ39" s="19">
        <v>203555747</v>
      </c>
      <c r="BR39" s="19">
        <v>28786931</v>
      </c>
      <c r="BS39" s="19">
        <v>-9265931</v>
      </c>
      <c r="BT39" s="19">
        <v>20417835</v>
      </c>
      <c r="BU39" s="19">
        <v>-7721403</v>
      </c>
      <c r="BV39" s="19">
        <v>98000854</v>
      </c>
      <c r="BW39" s="19">
        <v>36164648</v>
      </c>
      <c r="BX39" s="19">
        <v>99295387</v>
      </c>
      <c r="BY39" s="19">
        <v>-47205264</v>
      </c>
      <c r="BZ39" s="19">
        <v>94488874</v>
      </c>
      <c r="CA39" s="19">
        <v>-5657984</v>
      </c>
      <c r="CB39" s="19">
        <v>94773168</v>
      </c>
      <c r="CC39" s="19">
        <v>-5573695</v>
      </c>
      <c r="CD39" s="19">
        <v>-129787284</v>
      </c>
      <c r="CE39" s="19">
        <v>382380589</v>
      </c>
      <c r="CF39" s="19" t="s">
        <v>139</v>
      </c>
      <c r="CG39" s="19">
        <v>112582067</v>
      </c>
      <c r="CH39" s="19">
        <v>-863524</v>
      </c>
      <c r="CI39" s="19">
        <v>21902510</v>
      </c>
      <c r="CJ39" s="19">
        <v>33365216</v>
      </c>
      <c r="CK39" s="19">
        <v>10084235</v>
      </c>
      <c r="CL39" s="19">
        <v>62538004</v>
      </c>
      <c r="CM39" s="19">
        <v>716022994</v>
      </c>
      <c r="CN39" s="19">
        <v>41133971</v>
      </c>
      <c r="CO39" s="19">
        <v>67217296</v>
      </c>
      <c r="CP39" s="19">
        <v>-183305153</v>
      </c>
      <c r="CQ39" s="19" t="s">
        <v>96</v>
      </c>
      <c r="CR39" s="19">
        <v>150674857</v>
      </c>
    </row>
    <row r="40" spans="1:96" ht="17.55" customHeight="1">
      <c r="A40" s="9" t="s">
        <v>93</v>
      </c>
      <c r="B40" s="10" t="s">
        <v>85</v>
      </c>
      <c r="C40" s="19">
        <v>747928846</v>
      </c>
      <c r="D40" s="19">
        <v>2849304619</v>
      </c>
      <c r="E40" s="19">
        <v>1256476107</v>
      </c>
      <c r="F40" s="19">
        <v>1908885404</v>
      </c>
      <c r="G40" s="19">
        <v>175052312</v>
      </c>
      <c r="H40" s="19">
        <v>2570045976</v>
      </c>
      <c r="I40" s="19">
        <v>3252797273</v>
      </c>
      <c r="J40" s="19">
        <v>150708951</v>
      </c>
      <c r="K40" s="19">
        <v>3000756991</v>
      </c>
      <c r="L40" s="19">
        <v>1415968989</v>
      </c>
      <c r="M40" s="19">
        <v>2831766429</v>
      </c>
      <c r="N40" s="19">
        <v>1152733145</v>
      </c>
      <c r="O40" s="19">
        <v>3805756790</v>
      </c>
      <c r="P40" s="19">
        <v>5153075495</v>
      </c>
      <c r="Q40" s="19">
        <v>193022790</v>
      </c>
      <c r="R40" s="19">
        <v>291051330</v>
      </c>
      <c r="S40" s="19">
        <v>1315441523</v>
      </c>
      <c r="T40" s="19">
        <v>273577497</v>
      </c>
      <c r="U40" s="19">
        <v>1627298441</v>
      </c>
      <c r="V40" s="19">
        <v>652297554</v>
      </c>
      <c r="W40" s="19">
        <v>2817262711</v>
      </c>
      <c r="X40" s="19">
        <v>1772062910</v>
      </c>
      <c r="Y40" s="19">
        <v>709965261</v>
      </c>
      <c r="Z40" s="19">
        <v>501423475</v>
      </c>
      <c r="AA40" s="19">
        <v>6175447675</v>
      </c>
      <c r="AB40" s="19">
        <v>525413294</v>
      </c>
      <c r="AC40" s="19">
        <v>1540908493</v>
      </c>
      <c r="AD40" s="19">
        <v>2054096321</v>
      </c>
      <c r="AE40" s="19">
        <v>465969890</v>
      </c>
      <c r="AF40" s="19">
        <v>256925062</v>
      </c>
      <c r="AG40" s="19">
        <v>1173344260</v>
      </c>
      <c r="AH40" s="19">
        <v>907431070</v>
      </c>
      <c r="AI40" s="19">
        <v>443385378</v>
      </c>
      <c r="AJ40" s="19">
        <v>1054846514</v>
      </c>
      <c r="AK40" s="19">
        <v>3760658017</v>
      </c>
      <c r="AL40" s="19">
        <v>399313931</v>
      </c>
      <c r="AM40" s="19">
        <v>7582913449</v>
      </c>
      <c r="AN40" s="19">
        <v>94929469</v>
      </c>
      <c r="AO40" s="19">
        <v>1052039730</v>
      </c>
      <c r="AP40" s="19">
        <v>295068193</v>
      </c>
      <c r="AQ40" s="19">
        <v>196035047</v>
      </c>
      <c r="AR40" s="19">
        <v>139812214</v>
      </c>
      <c r="AS40" s="19">
        <v>1142765687</v>
      </c>
      <c r="AT40" s="19">
        <v>1333841048</v>
      </c>
      <c r="AU40" s="19">
        <v>943789769</v>
      </c>
      <c r="AV40" s="19">
        <v>66272728</v>
      </c>
      <c r="AW40" s="19">
        <v>317678123</v>
      </c>
      <c r="AX40" s="19">
        <v>1444723954</v>
      </c>
      <c r="AY40" s="19">
        <v>699925916</v>
      </c>
      <c r="AZ40" s="19">
        <v>439790406</v>
      </c>
      <c r="BA40" s="19">
        <v>824986887</v>
      </c>
      <c r="BB40" s="19">
        <v>120512396</v>
      </c>
      <c r="BC40" s="19">
        <v>3284059254</v>
      </c>
      <c r="BD40" s="19">
        <v>23459969</v>
      </c>
      <c r="BE40" s="19">
        <v>613457900</v>
      </c>
      <c r="BF40" s="19">
        <v>2785594643</v>
      </c>
      <c r="BG40" s="19">
        <v>2863908692</v>
      </c>
      <c r="BH40" s="19">
        <v>520735327</v>
      </c>
      <c r="BI40" s="19">
        <v>288265569</v>
      </c>
      <c r="BJ40" s="19">
        <v>802708298</v>
      </c>
      <c r="BK40" s="19">
        <v>285905456</v>
      </c>
      <c r="BL40" s="19">
        <v>586956649</v>
      </c>
      <c r="BM40" s="19">
        <v>24237329</v>
      </c>
      <c r="BN40" s="19">
        <v>443636580</v>
      </c>
      <c r="BO40" s="19">
        <v>937576794</v>
      </c>
      <c r="BP40" s="19">
        <v>91626464</v>
      </c>
      <c r="BQ40" s="19">
        <v>644678632</v>
      </c>
      <c r="BR40" s="19">
        <v>62023332</v>
      </c>
      <c r="BS40" s="19">
        <v>128224273</v>
      </c>
      <c r="BT40" s="19">
        <v>179838680</v>
      </c>
      <c r="BU40" s="19">
        <v>7724934</v>
      </c>
      <c r="BV40" s="19">
        <v>215473648</v>
      </c>
      <c r="BW40" s="19">
        <v>308589010</v>
      </c>
      <c r="BX40" s="19">
        <v>398784515</v>
      </c>
      <c r="BY40" s="19">
        <v>3742301695</v>
      </c>
      <c r="BZ40" s="19">
        <v>479479191</v>
      </c>
      <c r="CA40" s="19">
        <v>317752146</v>
      </c>
      <c r="CB40" s="19">
        <v>795564331</v>
      </c>
      <c r="CC40" s="19">
        <v>1587880342</v>
      </c>
      <c r="CD40" s="19">
        <v>1320717119</v>
      </c>
      <c r="CE40" s="19">
        <v>645912316</v>
      </c>
      <c r="CF40" s="19" t="s">
        <v>139</v>
      </c>
      <c r="CG40" s="19">
        <v>1118575586</v>
      </c>
      <c r="CH40" s="19">
        <v>19494511</v>
      </c>
      <c r="CI40" s="19">
        <v>1080834321</v>
      </c>
      <c r="CJ40" s="19">
        <v>468907781</v>
      </c>
      <c r="CK40" s="19">
        <v>1326279323</v>
      </c>
      <c r="CL40" s="19">
        <v>311103564</v>
      </c>
      <c r="CM40" s="19">
        <v>4310629695</v>
      </c>
      <c r="CN40" s="19">
        <v>152393209</v>
      </c>
      <c r="CO40" s="19">
        <v>481071794</v>
      </c>
      <c r="CP40" s="19">
        <v>729649092</v>
      </c>
      <c r="CQ40" s="19" t="s">
        <v>96</v>
      </c>
      <c r="CR40" s="19">
        <v>1217737846</v>
      </c>
    </row>
    <row r="41" spans="1:96" ht="17.55" customHeight="1">
      <c r="A41" s="9" t="s">
        <v>93</v>
      </c>
      <c r="B41" s="15" t="s">
        <v>12</v>
      </c>
      <c r="C41" s="19"/>
      <c r="D41" s="19"/>
      <c r="E41" s="19"/>
      <c r="F41" s="19">
        <v>32184905</v>
      </c>
      <c r="G41" s="19"/>
      <c r="H41" s="19"/>
      <c r="I41" s="19"/>
      <c r="J41" s="19"/>
      <c r="K41" s="19"/>
      <c r="L41" s="19"/>
      <c r="M41" s="19"/>
      <c r="N41" s="19"/>
      <c r="O41" s="19"/>
      <c r="P41" s="19"/>
      <c r="Q41" s="19"/>
      <c r="R41" s="19">
        <v>123557766</v>
      </c>
      <c r="S41" s="19">
        <v>111481016</v>
      </c>
      <c r="T41" s="19"/>
      <c r="U41" s="19">
        <v>10318585</v>
      </c>
      <c r="V41" s="19"/>
      <c r="W41" s="19"/>
      <c r="X41" s="19"/>
      <c r="Y41" s="19"/>
      <c r="Z41" s="19">
        <v>29582155</v>
      </c>
      <c r="AA41" s="19"/>
      <c r="AB41" s="19"/>
      <c r="AC41" s="19">
        <v>163553043</v>
      </c>
      <c r="AD41" s="19"/>
      <c r="AE41" s="19"/>
      <c r="AF41" s="19"/>
      <c r="AG41" s="19"/>
      <c r="AH41" s="19"/>
      <c r="AI41" s="19">
        <v>252073031</v>
      </c>
      <c r="AJ41" s="19">
        <v>1054846514</v>
      </c>
      <c r="AK41" s="19">
        <v>1797597939</v>
      </c>
      <c r="AL41" s="19">
        <v>113793253</v>
      </c>
      <c r="AM41" s="19">
        <v>477238367</v>
      </c>
      <c r="AN41" s="19"/>
      <c r="AO41" s="19"/>
      <c r="AP41" s="19"/>
      <c r="AQ41" s="19">
        <v>272280</v>
      </c>
      <c r="AR41" s="19">
        <v>139812214</v>
      </c>
      <c r="AS41" s="19"/>
      <c r="AT41" s="19"/>
      <c r="AU41" s="19"/>
      <c r="AV41" s="19"/>
      <c r="AW41" s="19"/>
      <c r="AX41" s="19"/>
      <c r="AY41" s="19"/>
      <c r="AZ41" s="19">
        <v>13575500</v>
      </c>
      <c r="BA41" s="19">
        <v>818351212</v>
      </c>
      <c r="BB41" s="19"/>
      <c r="BC41" s="19">
        <v>497619558</v>
      </c>
      <c r="BD41" s="19">
        <v>12797504</v>
      </c>
      <c r="BE41" s="19"/>
      <c r="BF41" s="19">
        <v>474303193</v>
      </c>
      <c r="BG41" s="19">
        <v>382732997</v>
      </c>
      <c r="BH41" s="19">
        <v>69164206</v>
      </c>
      <c r="BI41" s="19">
        <v>288265569</v>
      </c>
      <c r="BJ41" s="19">
        <v>244036302</v>
      </c>
      <c r="BK41" s="19"/>
      <c r="BL41" s="19"/>
      <c r="BM41" s="19"/>
      <c r="BN41" s="19"/>
      <c r="BO41" s="19">
        <v>731271711</v>
      </c>
      <c r="BP41" s="19"/>
      <c r="BQ41" s="19"/>
      <c r="BR41" s="19"/>
      <c r="BS41" s="19">
        <v>52022383</v>
      </c>
      <c r="BT41" s="19">
        <v>138777692</v>
      </c>
      <c r="BU41" s="19"/>
      <c r="BV41" s="19"/>
      <c r="BW41" s="19"/>
      <c r="BX41" s="19"/>
      <c r="BY41" s="19">
        <v>3742301695</v>
      </c>
      <c r="BZ41" s="19">
        <v>479479191</v>
      </c>
      <c r="CA41" s="19"/>
      <c r="CB41" s="19">
        <v>263254832</v>
      </c>
      <c r="CC41" s="19"/>
      <c r="CD41" s="19"/>
      <c r="CE41" s="19"/>
      <c r="CF41" s="19" t="s">
        <v>139</v>
      </c>
      <c r="CG41" s="19"/>
      <c r="CH41" s="19">
        <v>19494511</v>
      </c>
      <c r="CI41" s="19"/>
      <c r="CJ41" s="19">
        <v>6638647</v>
      </c>
      <c r="CK41" s="19"/>
      <c r="CL41" s="19"/>
      <c r="CM41" s="19"/>
      <c r="CN41" s="19"/>
      <c r="CO41" s="19"/>
      <c r="CP41" s="19"/>
      <c r="CQ41" s="19" t="s">
        <v>96</v>
      </c>
      <c r="CR41" s="19"/>
    </row>
    <row r="42" spans="1:96" ht="17.55" customHeight="1">
      <c r="A42" s="9" t="s">
        <v>93</v>
      </c>
      <c r="B42" s="15" t="s">
        <v>22</v>
      </c>
      <c r="C42" s="19"/>
      <c r="D42" s="19"/>
      <c r="E42" s="19">
        <v>171990425</v>
      </c>
      <c r="F42" s="19"/>
      <c r="G42" s="19"/>
      <c r="H42" s="19"/>
      <c r="I42" s="19"/>
      <c r="J42" s="19"/>
      <c r="K42" s="19">
        <v>3000756991</v>
      </c>
      <c r="L42" s="19">
        <v>1415968989</v>
      </c>
      <c r="M42" s="19"/>
      <c r="N42" s="19">
        <v>809846797</v>
      </c>
      <c r="O42" s="19"/>
      <c r="P42" s="19"/>
      <c r="Q42" s="19">
        <v>136923382</v>
      </c>
      <c r="R42" s="19"/>
      <c r="S42" s="19">
        <v>1203960507</v>
      </c>
      <c r="T42" s="19"/>
      <c r="U42" s="19"/>
      <c r="V42" s="19">
        <v>595601783</v>
      </c>
      <c r="W42" s="19"/>
      <c r="X42" s="19"/>
      <c r="Y42" s="19"/>
      <c r="Z42" s="19"/>
      <c r="AA42" s="19">
        <v>6175447675</v>
      </c>
      <c r="AB42" s="19"/>
      <c r="AC42" s="19">
        <v>1355078178</v>
      </c>
      <c r="AD42" s="19">
        <v>2054096321</v>
      </c>
      <c r="AE42" s="19">
        <v>178290428</v>
      </c>
      <c r="AF42" s="19"/>
      <c r="AG42" s="19"/>
      <c r="AH42" s="19"/>
      <c r="AI42" s="19"/>
      <c r="AJ42" s="19"/>
      <c r="AK42" s="19">
        <v>965777889</v>
      </c>
      <c r="AL42" s="19"/>
      <c r="AM42" s="19"/>
      <c r="AN42" s="19"/>
      <c r="AO42" s="19"/>
      <c r="AP42" s="19"/>
      <c r="AQ42" s="19"/>
      <c r="AR42" s="19"/>
      <c r="AS42" s="19"/>
      <c r="AT42" s="19"/>
      <c r="AU42" s="19"/>
      <c r="AV42" s="19"/>
      <c r="AW42" s="19">
        <v>312678123</v>
      </c>
      <c r="AX42" s="19"/>
      <c r="AY42" s="19">
        <v>288514200</v>
      </c>
      <c r="AZ42" s="19">
        <v>426214906</v>
      </c>
      <c r="BA42" s="19"/>
      <c r="BB42" s="19"/>
      <c r="BC42" s="19">
        <v>473589555</v>
      </c>
      <c r="BD42" s="19"/>
      <c r="BE42" s="19">
        <v>613457900</v>
      </c>
      <c r="BF42" s="19">
        <v>2262221450</v>
      </c>
      <c r="BG42" s="19">
        <v>2124811611</v>
      </c>
      <c r="BH42" s="19">
        <v>451571121</v>
      </c>
      <c r="BI42" s="19"/>
      <c r="BJ42" s="19">
        <v>459299270</v>
      </c>
      <c r="BK42" s="19">
        <v>149944444</v>
      </c>
      <c r="BL42" s="19"/>
      <c r="BM42" s="19">
        <v>24237329</v>
      </c>
      <c r="BN42" s="19"/>
      <c r="BO42" s="19">
        <v>206305083</v>
      </c>
      <c r="BP42" s="19"/>
      <c r="BQ42" s="19">
        <v>644678632</v>
      </c>
      <c r="BR42" s="19"/>
      <c r="BS42" s="19"/>
      <c r="BT42" s="19"/>
      <c r="BU42" s="19">
        <v>7724934</v>
      </c>
      <c r="BV42" s="19"/>
      <c r="BW42" s="19"/>
      <c r="BX42" s="19"/>
      <c r="BY42" s="19"/>
      <c r="BZ42" s="19"/>
      <c r="CA42" s="19"/>
      <c r="CB42" s="19"/>
      <c r="CC42" s="19"/>
      <c r="CD42" s="19">
        <v>1320717119</v>
      </c>
      <c r="CE42" s="19">
        <v>645912316</v>
      </c>
      <c r="CF42" s="19" t="s">
        <v>139</v>
      </c>
      <c r="CG42" s="19"/>
      <c r="CH42" s="19"/>
      <c r="CI42" s="19">
        <v>1080834321</v>
      </c>
      <c r="CJ42" s="19">
        <v>462269134</v>
      </c>
      <c r="CK42" s="19">
        <v>1326279323</v>
      </c>
      <c r="CL42" s="19">
        <v>311103564</v>
      </c>
      <c r="CM42" s="19"/>
      <c r="CN42" s="19"/>
      <c r="CO42" s="19"/>
      <c r="CP42" s="19"/>
      <c r="CQ42" s="19" t="s">
        <v>96</v>
      </c>
      <c r="CR42" s="19"/>
    </row>
    <row r="43" spans="1:96" ht="17.55" customHeight="1">
      <c r="A43" s="9" t="s">
        <v>93</v>
      </c>
      <c r="B43" s="15" t="s">
        <v>28</v>
      </c>
      <c r="C43" s="19">
        <v>342889662</v>
      </c>
      <c r="D43" s="19">
        <v>35000000</v>
      </c>
      <c r="E43" s="19"/>
      <c r="F43" s="19"/>
      <c r="G43" s="19"/>
      <c r="H43" s="19"/>
      <c r="I43" s="19">
        <v>3192741885</v>
      </c>
      <c r="J43" s="19">
        <v>108478951</v>
      </c>
      <c r="K43" s="19"/>
      <c r="L43" s="19"/>
      <c r="M43" s="19">
        <v>2831766429</v>
      </c>
      <c r="N43" s="19"/>
      <c r="O43" s="19">
        <v>3803756790</v>
      </c>
      <c r="P43" s="19">
        <v>5095510895</v>
      </c>
      <c r="Q43" s="19">
        <v>56099408</v>
      </c>
      <c r="R43" s="19">
        <v>167493564</v>
      </c>
      <c r="S43" s="19"/>
      <c r="T43" s="19"/>
      <c r="U43" s="19"/>
      <c r="V43" s="19"/>
      <c r="W43" s="19">
        <v>24350000</v>
      </c>
      <c r="X43" s="19"/>
      <c r="Y43" s="19">
        <v>174232828</v>
      </c>
      <c r="Z43" s="19">
        <v>337773190</v>
      </c>
      <c r="AA43" s="19"/>
      <c r="AB43" s="19"/>
      <c r="AC43" s="19">
        <v>22277272</v>
      </c>
      <c r="AD43" s="19"/>
      <c r="AE43" s="19">
        <v>287679462</v>
      </c>
      <c r="AF43" s="19">
        <v>147721800</v>
      </c>
      <c r="AG43" s="19">
        <v>1173344260</v>
      </c>
      <c r="AH43" s="19">
        <v>907431070</v>
      </c>
      <c r="AI43" s="19"/>
      <c r="AJ43" s="19"/>
      <c r="AK43" s="19"/>
      <c r="AL43" s="19">
        <v>284771694</v>
      </c>
      <c r="AM43" s="19">
        <v>7105675082</v>
      </c>
      <c r="AN43" s="19">
        <v>94929469</v>
      </c>
      <c r="AO43" s="19">
        <v>1052039730</v>
      </c>
      <c r="AP43" s="19"/>
      <c r="AQ43" s="19">
        <v>30347555</v>
      </c>
      <c r="AR43" s="19"/>
      <c r="AS43" s="19"/>
      <c r="AT43" s="19"/>
      <c r="AU43" s="19"/>
      <c r="AV43" s="19"/>
      <c r="AW43" s="19"/>
      <c r="AX43" s="19"/>
      <c r="AY43" s="19"/>
      <c r="AZ43" s="19"/>
      <c r="BA43" s="19"/>
      <c r="BB43" s="19">
        <v>120512396</v>
      </c>
      <c r="BC43" s="19"/>
      <c r="BD43" s="19"/>
      <c r="BE43" s="19"/>
      <c r="BF43" s="19"/>
      <c r="BG43" s="19">
        <v>65713424</v>
      </c>
      <c r="BH43" s="19"/>
      <c r="BI43" s="19"/>
      <c r="BJ43" s="19">
        <v>99372726</v>
      </c>
      <c r="BK43" s="19"/>
      <c r="BL43" s="19"/>
      <c r="BM43" s="19"/>
      <c r="BN43" s="19"/>
      <c r="BO43" s="19"/>
      <c r="BP43" s="19">
        <v>91626464</v>
      </c>
      <c r="BQ43" s="19"/>
      <c r="BR43" s="19">
        <v>62023332</v>
      </c>
      <c r="BS43" s="19"/>
      <c r="BT43" s="19"/>
      <c r="BU43" s="19"/>
      <c r="BV43" s="19"/>
      <c r="BW43" s="19">
        <v>308589010</v>
      </c>
      <c r="BX43" s="19">
        <v>228454515</v>
      </c>
      <c r="BY43" s="19"/>
      <c r="BZ43" s="19"/>
      <c r="CA43" s="19">
        <v>279388479</v>
      </c>
      <c r="CB43" s="19">
        <v>532309499</v>
      </c>
      <c r="CC43" s="19"/>
      <c r="CD43" s="19"/>
      <c r="CE43" s="19"/>
      <c r="CF43" s="19" t="s">
        <v>139</v>
      </c>
      <c r="CG43" s="19"/>
      <c r="CH43" s="19"/>
      <c r="CI43" s="19"/>
      <c r="CJ43" s="19"/>
      <c r="CK43" s="19"/>
      <c r="CL43" s="19"/>
      <c r="CM43" s="19">
        <v>579662090</v>
      </c>
      <c r="CN43" s="19"/>
      <c r="CO43" s="19"/>
      <c r="CP43" s="19">
        <v>729649092</v>
      </c>
      <c r="CQ43" s="19" t="s">
        <v>96</v>
      </c>
      <c r="CR43" s="19"/>
    </row>
    <row r="44" spans="1:96" ht="17.55" customHeight="1">
      <c r="A44" s="9" t="s">
        <v>93</v>
      </c>
      <c r="B44" s="15" t="s">
        <v>24</v>
      </c>
      <c r="C44" s="19">
        <v>405039184</v>
      </c>
      <c r="D44" s="19">
        <v>2814304619</v>
      </c>
      <c r="E44" s="19">
        <v>1084485682</v>
      </c>
      <c r="F44" s="19">
        <v>1876700499</v>
      </c>
      <c r="G44" s="19">
        <v>175052312</v>
      </c>
      <c r="H44" s="19">
        <v>2570045976</v>
      </c>
      <c r="I44" s="19">
        <v>60055388</v>
      </c>
      <c r="J44" s="19">
        <v>42230000</v>
      </c>
      <c r="K44" s="19"/>
      <c r="L44" s="19"/>
      <c r="M44" s="19"/>
      <c r="N44" s="19">
        <v>342886348</v>
      </c>
      <c r="O44" s="19">
        <v>2000000</v>
      </c>
      <c r="P44" s="19">
        <v>57564600</v>
      </c>
      <c r="Q44" s="19"/>
      <c r="R44" s="19"/>
      <c r="S44" s="19"/>
      <c r="T44" s="19">
        <v>273577497</v>
      </c>
      <c r="U44" s="19">
        <v>1616979856</v>
      </c>
      <c r="V44" s="19">
        <v>56695771</v>
      </c>
      <c r="W44" s="19">
        <v>2792912711</v>
      </c>
      <c r="X44" s="19">
        <v>1772062910</v>
      </c>
      <c r="Y44" s="19">
        <v>535732433</v>
      </c>
      <c r="Z44" s="19">
        <v>134068130</v>
      </c>
      <c r="AA44" s="19"/>
      <c r="AB44" s="19">
        <v>525413294</v>
      </c>
      <c r="AC44" s="19"/>
      <c r="AD44" s="19"/>
      <c r="AE44" s="19"/>
      <c r="AF44" s="19">
        <v>109203262</v>
      </c>
      <c r="AG44" s="19"/>
      <c r="AH44" s="19"/>
      <c r="AI44" s="19">
        <v>191312347</v>
      </c>
      <c r="AJ44" s="19"/>
      <c r="AK44" s="19">
        <v>997282189</v>
      </c>
      <c r="AL44" s="19">
        <v>748984</v>
      </c>
      <c r="AM44" s="19"/>
      <c r="AN44" s="19"/>
      <c r="AO44" s="19"/>
      <c r="AP44" s="19">
        <v>295068193</v>
      </c>
      <c r="AQ44" s="19">
        <v>165415212</v>
      </c>
      <c r="AR44" s="19"/>
      <c r="AS44" s="19">
        <v>1142765687</v>
      </c>
      <c r="AT44" s="19">
        <v>1333841048</v>
      </c>
      <c r="AU44" s="19">
        <v>943789769</v>
      </c>
      <c r="AV44" s="19">
        <v>66272728</v>
      </c>
      <c r="AW44" s="19">
        <v>5000000</v>
      </c>
      <c r="AX44" s="19">
        <v>1444723954</v>
      </c>
      <c r="AY44" s="19">
        <v>411411716</v>
      </c>
      <c r="AZ44" s="19"/>
      <c r="BA44" s="19">
        <v>6635675</v>
      </c>
      <c r="BB44" s="19"/>
      <c r="BC44" s="19">
        <v>2312850141</v>
      </c>
      <c r="BD44" s="19">
        <v>10662465</v>
      </c>
      <c r="BE44" s="19"/>
      <c r="BF44" s="19">
        <v>49070000</v>
      </c>
      <c r="BG44" s="19">
        <v>290650660</v>
      </c>
      <c r="BH44" s="19"/>
      <c r="BI44" s="19"/>
      <c r="BJ44" s="19"/>
      <c r="BK44" s="19">
        <v>135961012</v>
      </c>
      <c r="BL44" s="19">
        <v>586956649</v>
      </c>
      <c r="BM44" s="19"/>
      <c r="BN44" s="19">
        <v>443636580</v>
      </c>
      <c r="BO44" s="19"/>
      <c r="BP44" s="19"/>
      <c r="BQ44" s="19"/>
      <c r="BR44" s="19"/>
      <c r="BS44" s="19">
        <v>76201890</v>
      </c>
      <c r="BT44" s="19">
        <v>41060988</v>
      </c>
      <c r="BU44" s="19"/>
      <c r="BV44" s="19">
        <v>215473648</v>
      </c>
      <c r="BW44" s="19"/>
      <c r="BX44" s="19">
        <v>170330000</v>
      </c>
      <c r="BY44" s="19"/>
      <c r="BZ44" s="19"/>
      <c r="CA44" s="19">
        <v>38363667</v>
      </c>
      <c r="CB44" s="19"/>
      <c r="CC44" s="19">
        <v>1587880342</v>
      </c>
      <c r="CD44" s="19"/>
      <c r="CE44" s="19"/>
      <c r="CF44" s="19" t="s">
        <v>139</v>
      </c>
      <c r="CG44" s="19">
        <v>1118575586</v>
      </c>
      <c r="CH44" s="19"/>
      <c r="CI44" s="19"/>
      <c r="CJ44" s="19"/>
      <c r="CK44" s="19"/>
      <c r="CL44" s="19"/>
      <c r="CM44" s="19">
        <v>3730967605</v>
      </c>
      <c r="CN44" s="19">
        <v>152393209</v>
      </c>
      <c r="CO44" s="19">
        <v>481071794</v>
      </c>
      <c r="CP44" s="19"/>
      <c r="CQ44" s="19" t="s">
        <v>96</v>
      </c>
      <c r="CR44" s="19">
        <v>1217737846</v>
      </c>
    </row>
    <row r="45" spans="1:96" ht="17.55" customHeight="1">
      <c r="A45" s="9" t="s">
        <v>93</v>
      </c>
      <c r="B45" s="10" t="s">
        <v>144</v>
      </c>
      <c r="C45" s="19">
        <v>0</v>
      </c>
      <c r="D45" s="19">
        <v>2949343285</v>
      </c>
      <c r="E45" s="19">
        <v>894739217</v>
      </c>
      <c r="F45" s="19">
        <v>30700000</v>
      </c>
      <c r="G45" s="19">
        <v>55384982</v>
      </c>
      <c r="H45" s="19">
        <v>0</v>
      </c>
      <c r="I45" s="19">
        <v>0</v>
      </c>
      <c r="J45" s="19">
        <v>0</v>
      </c>
      <c r="K45" s="19">
        <v>2867548576</v>
      </c>
      <c r="L45" s="19">
        <v>1280913102</v>
      </c>
      <c r="M45" s="19">
        <v>285858165</v>
      </c>
      <c r="N45" s="19">
        <v>503790302</v>
      </c>
      <c r="O45" s="19">
        <v>289640595</v>
      </c>
      <c r="P45" s="19">
        <v>639450351</v>
      </c>
      <c r="Q45" s="19">
        <v>154296572</v>
      </c>
      <c r="R45" s="19">
        <v>10571650</v>
      </c>
      <c r="S45" s="19">
        <v>837805325</v>
      </c>
      <c r="T45" s="19">
        <v>0</v>
      </c>
      <c r="U45" s="19">
        <v>6002495</v>
      </c>
      <c r="V45" s="19">
        <v>450953036</v>
      </c>
      <c r="W45" s="19">
        <v>996040694</v>
      </c>
      <c r="X45" s="19">
        <v>742063777</v>
      </c>
      <c r="Y45" s="19">
        <v>0</v>
      </c>
      <c r="Z45" s="19">
        <v>71151519</v>
      </c>
      <c r="AA45" s="19">
        <v>5887414442</v>
      </c>
      <c r="AB45" s="19">
        <v>0</v>
      </c>
      <c r="AC45" s="19">
        <v>1182396440</v>
      </c>
      <c r="AD45" s="19">
        <v>1703966419</v>
      </c>
      <c r="AE45" s="19">
        <v>181331381</v>
      </c>
      <c r="AF45" s="19">
        <v>0</v>
      </c>
      <c r="AG45" s="19">
        <v>0</v>
      </c>
      <c r="AH45" s="19">
        <v>0</v>
      </c>
      <c r="AI45" s="19">
        <v>295578629</v>
      </c>
      <c r="AJ45" s="19">
        <v>390172567</v>
      </c>
      <c r="AK45" s="19">
        <v>3574636211</v>
      </c>
      <c r="AL45" s="19">
        <v>0</v>
      </c>
      <c r="AM45" s="19">
        <v>7360384678</v>
      </c>
      <c r="AN45" s="19">
        <v>0</v>
      </c>
      <c r="AO45" s="19">
        <v>192012014</v>
      </c>
      <c r="AP45" s="19">
        <v>83276454</v>
      </c>
      <c r="AQ45" s="19">
        <v>6334879</v>
      </c>
      <c r="AR45" s="19">
        <v>29672068</v>
      </c>
      <c r="AS45" s="19">
        <v>0</v>
      </c>
      <c r="AT45" s="19">
        <v>1085397857</v>
      </c>
      <c r="AU45" s="19">
        <v>592339906</v>
      </c>
      <c r="AV45" s="19">
        <v>0</v>
      </c>
      <c r="AW45" s="19">
        <v>374027549</v>
      </c>
      <c r="AX45" s="19">
        <v>720542247</v>
      </c>
      <c r="AY45" s="19">
        <v>482031165</v>
      </c>
      <c r="AZ45" s="19">
        <v>272391543</v>
      </c>
      <c r="BA45" s="19">
        <v>684327237</v>
      </c>
      <c r="BB45" s="19">
        <v>0</v>
      </c>
      <c r="BC45" s="19">
        <v>2655479207</v>
      </c>
      <c r="BD45" s="19">
        <v>39722689</v>
      </c>
      <c r="BE45" s="19">
        <v>620824207</v>
      </c>
      <c r="BF45" s="19">
        <v>2143439589</v>
      </c>
      <c r="BG45" s="19">
        <v>1591986684</v>
      </c>
      <c r="BH45" s="19">
        <v>420134195</v>
      </c>
      <c r="BI45" s="19">
        <v>73630572</v>
      </c>
      <c r="BJ45" s="19">
        <v>492188237</v>
      </c>
      <c r="BK45" s="19">
        <v>94764272</v>
      </c>
      <c r="BL45" s="19">
        <v>88229154</v>
      </c>
      <c r="BM45" s="19">
        <v>23102201</v>
      </c>
      <c r="BN45" s="19">
        <v>363563970</v>
      </c>
      <c r="BO45" s="19">
        <v>830332433</v>
      </c>
      <c r="BP45" s="19">
        <v>0</v>
      </c>
      <c r="BQ45" s="19">
        <v>482388476</v>
      </c>
      <c r="BR45" s="19">
        <v>0</v>
      </c>
      <c r="BS45" s="19">
        <v>6811167</v>
      </c>
      <c r="BT45" s="19">
        <v>115804164</v>
      </c>
      <c r="BU45" s="19">
        <v>36079397</v>
      </c>
      <c r="BV45" s="19">
        <v>0</v>
      </c>
      <c r="BW45" s="19">
        <v>0</v>
      </c>
      <c r="BX45" s="19">
        <v>0</v>
      </c>
      <c r="BY45" s="19">
        <v>2840631035</v>
      </c>
      <c r="BZ45" s="19">
        <v>161489512</v>
      </c>
      <c r="CA45" s="19">
        <v>0</v>
      </c>
      <c r="CB45" s="19">
        <v>101981571</v>
      </c>
      <c r="CC45" s="19">
        <v>0</v>
      </c>
      <c r="CD45" s="19">
        <v>1154823306</v>
      </c>
      <c r="CE45" s="19">
        <v>486189340</v>
      </c>
      <c r="CF45" s="19" t="s">
        <v>139</v>
      </c>
      <c r="CG45" s="19">
        <v>0</v>
      </c>
      <c r="CH45" s="19">
        <v>15218793</v>
      </c>
      <c r="CI45" s="19">
        <v>855785292</v>
      </c>
      <c r="CJ45" s="19">
        <v>421263805</v>
      </c>
      <c r="CK45" s="19">
        <v>976164666</v>
      </c>
      <c r="CL45" s="19">
        <v>269414304</v>
      </c>
      <c r="CM45" s="19">
        <v>0</v>
      </c>
      <c r="CN45" s="19">
        <v>0</v>
      </c>
      <c r="CO45" s="19">
        <v>0</v>
      </c>
      <c r="CP45" s="19">
        <v>81407401</v>
      </c>
      <c r="CQ45" s="19" t="s">
        <v>96</v>
      </c>
      <c r="CR45" s="19">
        <v>802463945</v>
      </c>
    </row>
    <row r="46" spans="1:96" ht="17.55" customHeight="1">
      <c r="A46" s="9" t="s">
        <v>93</v>
      </c>
      <c r="B46" s="15" t="s">
        <v>67</v>
      </c>
      <c r="C46" s="19"/>
      <c r="D46" s="19"/>
      <c r="E46" s="19"/>
      <c r="F46" s="19">
        <v>30700000</v>
      </c>
      <c r="G46" s="19">
        <v>0</v>
      </c>
      <c r="H46" s="19"/>
      <c r="I46" s="19"/>
      <c r="J46" s="19"/>
      <c r="K46" s="19"/>
      <c r="L46" s="19"/>
      <c r="M46" s="19"/>
      <c r="N46" s="19"/>
      <c r="O46" s="19"/>
      <c r="P46" s="19"/>
      <c r="Q46" s="19">
        <v>0</v>
      </c>
      <c r="R46" s="19">
        <v>10571650</v>
      </c>
      <c r="S46" s="19">
        <v>87680542</v>
      </c>
      <c r="T46" s="19"/>
      <c r="U46" s="19">
        <v>6002495</v>
      </c>
      <c r="V46" s="19">
        <v>0</v>
      </c>
      <c r="W46" s="19"/>
      <c r="X46" s="19"/>
      <c r="Y46" s="19"/>
      <c r="Z46" s="19">
        <v>44872516</v>
      </c>
      <c r="AA46" s="19"/>
      <c r="AB46" s="19"/>
      <c r="AC46" s="19">
        <v>93697199</v>
      </c>
      <c r="AD46" s="19"/>
      <c r="AE46" s="19"/>
      <c r="AF46" s="19"/>
      <c r="AG46" s="19"/>
      <c r="AH46" s="19"/>
      <c r="AI46" s="19">
        <v>217589850</v>
      </c>
      <c r="AJ46" s="19">
        <v>390172567</v>
      </c>
      <c r="AK46" s="19">
        <v>1127529997</v>
      </c>
      <c r="AL46" s="19"/>
      <c r="AM46" s="19">
        <v>183228758</v>
      </c>
      <c r="AN46" s="19"/>
      <c r="AO46" s="19"/>
      <c r="AP46" s="19">
        <v>83276454</v>
      </c>
      <c r="AQ46" s="19">
        <v>51363</v>
      </c>
      <c r="AR46" s="19">
        <v>29672068</v>
      </c>
      <c r="AS46" s="19"/>
      <c r="AT46" s="19"/>
      <c r="AU46" s="19"/>
      <c r="AV46" s="19"/>
      <c r="AW46" s="19"/>
      <c r="AX46" s="19"/>
      <c r="AY46" s="19"/>
      <c r="AZ46" s="19">
        <v>11501500</v>
      </c>
      <c r="BA46" s="19">
        <v>684327237</v>
      </c>
      <c r="BB46" s="19"/>
      <c r="BC46" s="19">
        <v>2298679419</v>
      </c>
      <c r="BD46" s="19">
        <v>39722689</v>
      </c>
      <c r="BE46" s="19"/>
      <c r="BF46" s="19">
        <v>343635477</v>
      </c>
      <c r="BG46" s="19">
        <v>258623632</v>
      </c>
      <c r="BH46" s="19">
        <v>63815820</v>
      </c>
      <c r="BI46" s="19">
        <v>73630572</v>
      </c>
      <c r="BJ46" s="19">
        <v>95064479</v>
      </c>
      <c r="BK46" s="19"/>
      <c r="BL46" s="19">
        <v>88229154</v>
      </c>
      <c r="BM46" s="19"/>
      <c r="BN46" s="19"/>
      <c r="BO46" s="19">
        <v>647310856</v>
      </c>
      <c r="BP46" s="19"/>
      <c r="BQ46" s="19"/>
      <c r="BR46" s="19"/>
      <c r="BS46" s="19">
        <v>6811167</v>
      </c>
      <c r="BT46" s="19">
        <v>115804164</v>
      </c>
      <c r="BU46" s="19"/>
      <c r="BV46" s="19"/>
      <c r="BW46" s="19"/>
      <c r="BX46" s="19"/>
      <c r="BY46" s="19">
        <v>2840631035</v>
      </c>
      <c r="BZ46" s="19">
        <v>161489512</v>
      </c>
      <c r="CA46" s="19"/>
      <c r="CB46" s="19">
        <v>101981571</v>
      </c>
      <c r="CC46" s="19"/>
      <c r="CD46" s="19"/>
      <c r="CE46" s="19">
        <v>0</v>
      </c>
      <c r="CF46" s="19" t="s">
        <v>139</v>
      </c>
      <c r="CG46" s="19">
        <v>0</v>
      </c>
      <c r="CH46" s="19">
        <v>15218793</v>
      </c>
      <c r="CI46" s="19"/>
      <c r="CJ46" s="19"/>
      <c r="CK46" s="19"/>
      <c r="CL46" s="19">
        <v>0</v>
      </c>
      <c r="CM46" s="19"/>
      <c r="CN46" s="19"/>
      <c r="CO46" s="19"/>
      <c r="CP46" s="19">
        <v>81407401</v>
      </c>
      <c r="CQ46" s="19" t="s">
        <v>96</v>
      </c>
      <c r="CR46" s="19"/>
    </row>
    <row r="47" spans="1:96" ht="17.55" customHeight="1">
      <c r="A47" s="9" t="s">
        <v>93</v>
      </c>
      <c r="B47" s="15" t="s">
        <v>72</v>
      </c>
      <c r="C47" s="19"/>
      <c r="D47" s="19">
        <v>2949343285</v>
      </c>
      <c r="E47" s="19">
        <v>894739217</v>
      </c>
      <c r="F47" s="19"/>
      <c r="G47" s="19">
        <v>55384982</v>
      </c>
      <c r="H47" s="19"/>
      <c r="I47" s="19"/>
      <c r="J47" s="19"/>
      <c r="K47" s="19">
        <v>2867548576</v>
      </c>
      <c r="L47" s="19">
        <v>1280913102</v>
      </c>
      <c r="M47" s="19"/>
      <c r="N47" s="19">
        <v>503790302</v>
      </c>
      <c r="O47" s="19"/>
      <c r="P47" s="19"/>
      <c r="Q47" s="19">
        <v>154296572</v>
      </c>
      <c r="R47" s="19"/>
      <c r="S47" s="19">
        <v>750124783</v>
      </c>
      <c r="T47" s="19"/>
      <c r="U47" s="19"/>
      <c r="V47" s="19">
        <v>450953036</v>
      </c>
      <c r="W47" s="19"/>
      <c r="X47" s="19"/>
      <c r="Y47" s="19"/>
      <c r="Z47" s="19">
        <v>26279003</v>
      </c>
      <c r="AA47" s="19">
        <v>5887414442</v>
      </c>
      <c r="AB47" s="19"/>
      <c r="AC47" s="19">
        <v>1088699241</v>
      </c>
      <c r="AD47" s="19">
        <v>1703966419</v>
      </c>
      <c r="AE47" s="19">
        <v>181331381</v>
      </c>
      <c r="AF47" s="19"/>
      <c r="AG47" s="19"/>
      <c r="AH47" s="19"/>
      <c r="AI47" s="19"/>
      <c r="AJ47" s="19">
        <v>0</v>
      </c>
      <c r="AK47" s="19">
        <v>1580875342</v>
      </c>
      <c r="AL47" s="19"/>
      <c r="AM47" s="19"/>
      <c r="AN47" s="19"/>
      <c r="AO47" s="19"/>
      <c r="AP47" s="19"/>
      <c r="AQ47" s="19">
        <v>6283516</v>
      </c>
      <c r="AR47" s="19"/>
      <c r="AS47" s="19"/>
      <c r="AT47" s="19">
        <v>1085397857</v>
      </c>
      <c r="AU47" s="19"/>
      <c r="AV47" s="19"/>
      <c r="AW47" s="19">
        <v>374027549</v>
      </c>
      <c r="AX47" s="19"/>
      <c r="AY47" s="19">
        <v>317188098</v>
      </c>
      <c r="AZ47" s="19">
        <v>260890043</v>
      </c>
      <c r="BA47" s="19"/>
      <c r="BB47" s="19"/>
      <c r="BC47" s="19">
        <v>356799788</v>
      </c>
      <c r="BD47" s="19"/>
      <c r="BE47" s="19">
        <v>620824207</v>
      </c>
      <c r="BF47" s="19">
        <v>1799804112</v>
      </c>
      <c r="BG47" s="19">
        <v>1333363052</v>
      </c>
      <c r="BH47" s="19">
        <v>356318375</v>
      </c>
      <c r="BI47" s="19"/>
      <c r="BJ47" s="19">
        <v>397123758</v>
      </c>
      <c r="BK47" s="19">
        <v>94764272</v>
      </c>
      <c r="BL47" s="19"/>
      <c r="BM47" s="19">
        <v>23102201</v>
      </c>
      <c r="BN47" s="19"/>
      <c r="BO47" s="19">
        <v>183021577</v>
      </c>
      <c r="BP47" s="19"/>
      <c r="BQ47" s="19">
        <v>482388476</v>
      </c>
      <c r="BR47" s="19"/>
      <c r="BS47" s="19"/>
      <c r="BT47" s="19"/>
      <c r="BU47" s="19">
        <v>36079397</v>
      </c>
      <c r="BV47" s="19"/>
      <c r="BW47" s="19"/>
      <c r="BX47" s="19"/>
      <c r="BY47" s="19"/>
      <c r="BZ47" s="19"/>
      <c r="CA47" s="19"/>
      <c r="CB47" s="19"/>
      <c r="CC47" s="19"/>
      <c r="CD47" s="19">
        <v>1154823306</v>
      </c>
      <c r="CE47" s="19">
        <v>486189340</v>
      </c>
      <c r="CF47" s="19" t="s">
        <v>139</v>
      </c>
      <c r="CG47" s="19"/>
      <c r="CH47" s="19"/>
      <c r="CI47" s="19">
        <v>855785292</v>
      </c>
      <c r="CJ47" s="19">
        <v>421263805</v>
      </c>
      <c r="CK47" s="19">
        <v>976164666</v>
      </c>
      <c r="CL47" s="19">
        <v>269414304</v>
      </c>
      <c r="CM47" s="19"/>
      <c r="CN47" s="19"/>
      <c r="CO47" s="19"/>
      <c r="CP47" s="19"/>
      <c r="CQ47" s="19" t="s">
        <v>96</v>
      </c>
      <c r="CR47" s="19"/>
    </row>
    <row r="48" spans="1:96" ht="17.55" customHeight="1">
      <c r="A48" s="9" t="s">
        <v>93</v>
      </c>
      <c r="B48" s="15" t="s">
        <v>63</v>
      </c>
      <c r="C48" s="19"/>
      <c r="D48" s="19"/>
      <c r="E48" s="19"/>
      <c r="F48" s="19"/>
      <c r="G48" s="19"/>
      <c r="H48" s="19"/>
      <c r="I48" s="19"/>
      <c r="J48" s="19"/>
      <c r="K48" s="19"/>
      <c r="L48" s="19"/>
      <c r="M48" s="19"/>
      <c r="N48" s="19"/>
      <c r="O48" s="19"/>
      <c r="P48" s="19"/>
      <c r="Q48" s="19"/>
      <c r="R48" s="19"/>
      <c r="S48" s="19"/>
      <c r="T48" s="19"/>
      <c r="U48" s="19"/>
      <c r="V48" s="19"/>
      <c r="W48" s="19"/>
      <c r="X48" s="19"/>
      <c r="Y48" s="19"/>
      <c r="Z48" s="19"/>
      <c r="AA48" s="19"/>
      <c r="AB48" s="19"/>
      <c r="AC48" s="19"/>
      <c r="AD48" s="19"/>
      <c r="AE48" s="19"/>
      <c r="AF48" s="19"/>
      <c r="AG48" s="19"/>
      <c r="AH48" s="19"/>
      <c r="AI48" s="19"/>
      <c r="AJ48" s="19"/>
      <c r="AK48" s="19"/>
      <c r="AL48" s="19"/>
      <c r="AM48" s="19">
        <v>7177155920</v>
      </c>
      <c r="AN48" s="19"/>
      <c r="AO48" s="19">
        <v>192012014</v>
      </c>
      <c r="AP48" s="19"/>
      <c r="AQ48" s="19"/>
      <c r="AR48" s="19"/>
      <c r="AS48" s="19"/>
      <c r="AT48" s="19"/>
      <c r="AU48" s="19"/>
      <c r="AV48" s="19"/>
      <c r="AW48" s="19"/>
      <c r="AX48" s="19"/>
      <c r="AY48" s="19"/>
      <c r="AZ48" s="19"/>
      <c r="BA48" s="19"/>
      <c r="BB48" s="19"/>
      <c r="BC48" s="19"/>
      <c r="BD48" s="19"/>
      <c r="BE48" s="19"/>
      <c r="BF48" s="19"/>
      <c r="BG48" s="19"/>
      <c r="BH48" s="19"/>
      <c r="BI48" s="19"/>
      <c r="BJ48" s="19"/>
      <c r="BK48" s="19"/>
      <c r="BL48" s="19"/>
      <c r="BM48" s="19"/>
      <c r="BN48" s="19"/>
      <c r="BO48" s="19"/>
      <c r="BP48" s="19"/>
      <c r="BQ48" s="19"/>
      <c r="BR48" s="19"/>
      <c r="BS48" s="19"/>
      <c r="BT48" s="19"/>
      <c r="BU48" s="19"/>
      <c r="BV48" s="19"/>
      <c r="BW48" s="19"/>
      <c r="BX48" s="19"/>
      <c r="BY48" s="19"/>
      <c r="BZ48" s="19"/>
      <c r="CA48" s="19"/>
      <c r="CB48" s="19"/>
      <c r="CC48" s="19"/>
      <c r="CD48" s="19"/>
      <c r="CE48" s="19"/>
      <c r="CF48" s="19" t="s">
        <v>139</v>
      </c>
      <c r="CG48" s="19"/>
      <c r="CH48" s="19"/>
      <c r="CI48" s="19"/>
      <c r="CJ48" s="19"/>
      <c r="CK48" s="19"/>
      <c r="CL48" s="19"/>
      <c r="CM48" s="19"/>
      <c r="CN48" s="19"/>
      <c r="CO48" s="19"/>
      <c r="CP48" s="19"/>
      <c r="CQ48" s="19" t="s">
        <v>96</v>
      </c>
      <c r="CR48" s="19"/>
    </row>
    <row r="49" spans="1:96" ht="17.55" customHeight="1">
      <c r="A49" s="9" t="s">
        <v>93</v>
      </c>
      <c r="B49" s="15" t="s">
        <v>64</v>
      </c>
      <c r="C49" s="19"/>
      <c r="D49" s="19"/>
      <c r="E49" s="19"/>
      <c r="F49" s="19"/>
      <c r="G49" s="19"/>
      <c r="H49" s="19"/>
      <c r="I49" s="19"/>
      <c r="J49" s="19"/>
      <c r="K49" s="19"/>
      <c r="L49" s="19"/>
      <c r="M49" s="19">
        <v>285858165</v>
      </c>
      <c r="N49" s="19"/>
      <c r="O49" s="19">
        <v>289640595</v>
      </c>
      <c r="P49" s="19">
        <v>639450351</v>
      </c>
      <c r="Q49" s="19"/>
      <c r="R49" s="19"/>
      <c r="S49" s="19"/>
      <c r="T49" s="19"/>
      <c r="U49" s="19"/>
      <c r="V49" s="19"/>
      <c r="W49" s="19">
        <v>996040694</v>
      </c>
      <c r="X49" s="19">
        <v>742063777</v>
      </c>
      <c r="Y49" s="19"/>
      <c r="Z49" s="19"/>
      <c r="AA49" s="19"/>
      <c r="AB49" s="19"/>
      <c r="AC49" s="19"/>
      <c r="AD49" s="19"/>
      <c r="AE49" s="19"/>
      <c r="AF49" s="19"/>
      <c r="AG49" s="19"/>
      <c r="AH49" s="19"/>
      <c r="AI49" s="19">
        <v>77988779</v>
      </c>
      <c r="AJ49" s="19"/>
      <c r="AK49" s="19">
        <v>866230872</v>
      </c>
      <c r="AL49" s="19"/>
      <c r="AM49" s="19"/>
      <c r="AN49" s="19"/>
      <c r="AO49" s="19"/>
      <c r="AP49" s="19"/>
      <c r="AQ49" s="19"/>
      <c r="AR49" s="19"/>
      <c r="AS49" s="19"/>
      <c r="AT49" s="19"/>
      <c r="AU49" s="19">
        <v>592339906</v>
      </c>
      <c r="AV49" s="19"/>
      <c r="AW49" s="19"/>
      <c r="AX49" s="19">
        <v>720542247</v>
      </c>
      <c r="AY49" s="19">
        <v>164843067</v>
      </c>
      <c r="AZ49" s="19"/>
      <c r="BA49" s="19"/>
      <c r="BB49" s="19"/>
      <c r="BC49" s="19"/>
      <c r="BD49" s="19"/>
      <c r="BE49" s="19"/>
      <c r="BF49" s="19"/>
      <c r="BG49" s="19"/>
      <c r="BH49" s="19"/>
      <c r="BI49" s="19"/>
      <c r="BJ49" s="19"/>
      <c r="BK49" s="19"/>
      <c r="BL49" s="19"/>
      <c r="BM49" s="19"/>
      <c r="BN49" s="19">
        <v>363563970</v>
      </c>
      <c r="BO49" s="19"/>
      <c r="BP49" s="19"/>
      <c r="BQ49" s="19"/>
      <c r="BR49" s="19"/>
      <c r="BS49" s="19"/>
      <c r="BT49" s="19"/>
      <c r="BU49" s="19"/>
      <c r="BV49" s="19"/>
      <c r="BW49" s="19"/>
      <c r="BX49" s="19"/>
      <c r="BY49" s="19"/>
      <c r="BZ49" s="19"/>
      <c r="CA49" s="19"/>
      <c r="CB49" s="19"/>
      <c r="CC49" s="19"/>
      <c r="CD49" s="19"/>
      <c r="CE49" s="19"/>
      <c r="CF49" s="19" t="s">
        <v>139</v>
      </c>
      <c r="CG49" s="19"/>
      <c r="CH49" s="19"/>
      <c r="CI49" s="19"/>
      <c r="CJ49" s="19"/>
      <c r="CK49" s="19"/>
      <c r="CL49" s="19"/>
      <c r="CM49" s="19"/>
      <c r="CN49" s="19"/>
      <c r="CO49" s="19"/>
      <c r="CP49" s="19"/>
      <c r="CQ49" s="19" t="s">
        <v>96</v>
      </c>
      <c r="CR49" s="19">
        <v>802463945</v>
      </c>
    </row>
    <row r="50" spans="1:96" ht="17.55" customHeight="1">
      <c r="A50" s="9" t="s">
        <v>93</v>
      </c>
      <c r="B50" s="10" t="s">
        <v>14</v>
      </c>
      <c r="C50" s="19">
        <v>747928846</v>
      </c>
      <c r="D50" s="19">
        <v>-100038666</v>
      </c>
      <c r="E50" s="19">
        <v>361736890</v>
      </c>
      <c r="F50" s="19">
        <v>1878185404</v>
      </c>
      <c r="G50" s="19">
        <v>119667330</v>
      </c>
      <c r="H50" s="19">
        <v>2570045976</v>
      </c>
      <c r="I50" s="19">
        <v>3252797273</v>
      </c>
      <c r="J50" s="19">
        <v>150708951</v>
      </c>
      <c r="K50" s="19">
        <v>133208415</v>
      </c>
      <c r="L50" s="19">
        <v>135055887</v>
      </c>
      <c r="M50" s="19">
        <v>2545908264</v>
      </c>
      <c r="N50" s="19">
        <v>648942843</v>
      </c>
      <c r="O50" s="19">
        <v>3516116195</v>
      </c>
      <c r="P50" s="19">
        <v>4513625144</v>
      </c>
      <c r="Q50" s="19">
        <v>38726218</v>
      </c>
      <c r="R50" s="19">
        <v>280479680</v>
      </c>
      <c r="S50" s="19">
        <v>477636198</v>
      </c>
      <c r="T50" s="19">
        <v>273577497</v>
      </c>
      <c r="U50" s="19">
        <v>1621295946</v>
      </c>
      <c r="V50" s="19">
        <v>201344518</v>
      </c>
      <c r="W50" s="19">
        <v>1821222017</v>
      </c>
      <c r="X50" s="19">
        <v>1029999133</v>
      </c>
      <c r="Y50" s="19">
        <v>709965261</v>
      </c>
      <c r="Z50" s="19">
        <v>430271956</v>
      </c>
      <c r="AA50" s="19">
        <v>288033233</v>
      </c>
      <c r="AB50" s="19">
        <v>525413294</v>
      </c>
      <c r="AC50" s="19">
        <v>358512053</v>
      </c>
      <c r="AD50" s="19">
        <v>350129902</v>
      </c>
      <c r="AE50" s="19">
        <v>284638509</v>
      </c>
      <c r="AF50" s="19">
        <v>256925062</v>
      </c>
      <c r="AG50" s="19">
        <v>1173344260</v>
      </c>
      <c r="AH50" s="19">
        <v>907431070</v>
      </c>
      <c r="AI50" s="19">
        <v>147806749</v>
      </c>
      <c r="AJ50" s="19">
        <v>664673947</v>
      </c>
      <c r="AK50" s="19">
        <v>186021806</v>
      </c>
      <c r="AL50" s="19">
        <v>399313931</v>
      </c>
      <c r="AM50" s="19">
        <v>222528771</v>
      </c>
      <c r="AN50" s="19">
        <v>94929469</v>
      </c>
      <c r="AO50" s="19">
        <v>860027716</v>
      </c>
      <c r="AP50" s="19">
        <v>211791739</v>
      </c>
      <c r="AQ50" s="19">
        <v>189700168</v>
      </c>
      <c r="AR50" s="19">
        <v>110140146</v>
      </c>
      <c r="AS50" s="19">
        <v>1142765687</v>
      </c>
      <c r="AT50" s="19">
        <v>248443191</v>
      </c>
      <c r="AU50" s="19">
        <v>351449863</v>
      </c>
      <c r="AV50" s="19">
        <v>66272728</v>
      </c>
      <c r="AW50" s="19">
        <v>-56349426</v>
      </c>
      <c r="AX50" s="19">
        <v>724181707</v>
      </c>
      <c r="AY50" s="19">
        <v>217894751</v>
      </c>
      <c r="AZ50" s="19">
        <v>167398863</v>
      </c>
      <c r="BA50" s="19">
        <v>140659650</v>
      </c>
      <c r="BB50" s="19">
        <v>120512396</v>
      </c>
      <c r="BC50" s="19">
        <v>628580047</v>
      </c>
      <c r="BD50" s="19">
        <v>-16262720</v>
      </c>
      <c r="BE50" s="19">
        <v>-7366307</v>
      </c>
      <c r="BF50" s="19">
        <v>642155054</v>
      </c>
      <c r="BG50" s="19">
        <v>1271922008</v>
      </c>
      <c r="BH50" s="19">
        <v>100601132</v>
      </c>
      <c r="BI50" s="19">
        <v>214634997</v>
      </c>
      <c r="BJ50" s="19">
        <v>310520061</v>
      </c>
      <c r="BK50" s="19">
        <v>191141184</v>
      </c>
      <c r="BL50" s="19">
        <v>498727495</v>
      </c>
      <c r="BM50" s="19">
        <v>1135128</v>
      </c>
      <c r="BN50" s="19">
        <v>80072610</v>
      </c>
      <c r="BO50" s="19">
        <v>107244361</v>
      </c>
      <c r="BP50" s="19">
        <v>91626464</v>
      </c>
      <c r="BQ50" s="19">
        <v>162290156</v>
      </c>
      <c r="BR50" s="19">
        <v>62023332</v>
      </c>
      <c r="BS50" s="19">
        <v>121413106</v>
      </c>
      <c r="BT50" s="19">
        <v>64034516</v>
      </c>
      <c r="BU50" s="19">
        <v>-28354463</v>
      </c>
      <c r="BV50" s="19">
        <v>215473648</v>
      </c>
      <c r="BW50" s="19">
        <v>308589010</v>
      </c>
      <c r="BX50" s="19">
        <v>398784515</v>
      </c>
      <c r="BY50" s="19">
        <v>901670660</v>
      </c>
      <c r="BZ50" s="19">
        <v>317989679</v>
      </c>
      <c r="CA50" s="19">
        <v>317752146</v>
      </c>
      <c r="CB50" s="19">
        <v>693582760</v>
      </c>
      <c r="CC50" s="19">
        <v>1587880342</v>
      </c>
      <c r="CD50" s="19">
        <v>165893813</v>
      </c>
      <c r="CE50" s="19">
        <v>159722976</v>
      </c>
      <c r="CF50" s="19" t="s">
        <v>139</v>
      </c>
      <c r="CG50" s="19">
        <v>1118575586</v>
      </c>
      <c r="CH50" s="19">
        <v>4275718</v>
      </c>
      <c r="CI50" s="19">
        <v>225049029</v>
      </c>
      <c r="CJ50" s="19">
        <v>47643976</v>
      </c>
      <c r="CK50" s="19">
        <v>350114657</v>
      </c>
      <c r="CL50" s="19">
        <v>41689260</v>
      </c>
      <c r="CM50" s="19">
        <v>4310629695</v>
      </c>
      <c r="CN50" s="19">
        <v>152393209</v>
      </c>
      <c r="CO50" s="19">
        <v>481071794</v>
      </c>
      <c r="CP50" s="19">
        <v>648241691</v>
      </c>
      <c r="CQ50" s="19" t="s">
        <v>96</v>
      </c>
      <c r="CR50" s="19">
        <v>415273901</v>
      </c>
    </row>
    <row r="51" spans="1:96" ht="17.55" customHeight="1">
      <c r="A51" s="9" t="s">
        <v>93</v>
      </c>
      <c r="B51" s="10" t="s">
        <v>102</v>
      </c>
      <c r="C51" s="19">
        <v>762834990</v>
      </c>
      <c r="D51" s="19">
        <v>843643675</v>
      </c>
      <c r="E51" s="19">
        <v>372769981</v>
      </c>
      <c r="F51" s="19">
        <v>1828785246</v>
      </c>
      <c r="G51" s="19">
        <v>156755000</v>
      </c>
      <c r="H51" s="19">
        <v>2661932615</v>
      </c>
      <c r="I51" s="19">
        <v>3349627052</v>
      </c>
      <c r="J51" s="19">
        <v>265734687</v>
      </c>
      <c r="K51" s="19">
        <v>887870904</v>
      </c>
      <c r="L51" s="19">
        <v>180700330</v>
      </c>
      <c r="M51" s="19">
        <v>2395181299</v>
      </c>
      <c r="N51" s="19">
        <v>917243126</v>
      </c>
      <c r="O51" s="19">
        <v>3643901668</v>
      </c>
      <c r="P51" s="19">
        <v>4509283232</v>
      </c>
      <c r="Q51" s="19">
        <v>79345039</v>
      </c>
      <c r="R51" s="19">
        <v>460712872</v>
      </c>
      <c r="S51" s="19">
        <v>426568731</v>
      </c>
      <c r="T51" s="19">
        <v>289190113</v>
      </c>
      <c r="U51" s="19">
        <v>1208914265</v>
      </c>
      <c r="V51" s="19">
        <v>555437501</v>
      </c>
      <c r="W51" s="19">
        <v>2116616579</v>
      </c>
      <c r="X51" s="19">
        <v>874206472</v>
      </c>
      <c r="Y51" s="19">
        <v>680458260</v>
      </c>
      <c r="Z51" s="19">
        <v>437420444</v>
      </c>
      <c r="AA51" s="19">
        <v>161622201</v>
      </c>
      <c r="AB51" s="19">
        <v>520496180</v>
      </c>
      <c r="AC51" s="19">
        <v>295961616</v>
      </c>
      <c r="AD51" s="19">
        <v>313279912</v>
      </c>
      <c r="AE51" s="19">
        <v>273657531</v>
      </c>
      <c r="AF51" s="19">
        <v>361583018</v>
      </c>
      <c r="AG51" s="19">
        <v>1235543065</v>
      </c>
      <c r="AH51" s="19">
        <v>1034829376</v>
      </c>
      <c r="AI51" s="19">
        <v>407512548</v>
      </c>
      <c r="AJ51" s="19">
        <v>590740776</v>
      </c>
      <c r="AK51" s="19">
        <v>426078886</v>
      </c>
      <c r="AL51" s="19">
        <v>431011513</v>
      </c>
      <c r="AM51" s="19">
        <v>1047992873</v>
      </c>
      <c r="AN51" s="19">
        <v>118009762</v>
      </c>
      <c r="AO51" s="19">
        <v>1117169972</v>
      </c>
      <c r="AP51" s="19">
        <v>245969415</v>
      </c>
      <c r="AQ51" s="19">
        <v>204759425</v>
      </c>
      <c r="AR51" s="19">
        <v>105543813</v>
      </c>
      <c r="AS51" s="19">
        <v>1789606388</v>
      </c>
      <c r="AT51" s="19">
        <v>376642428</v>
      </c>
      <c r="AU51" s="19">
        <v>435208387</v>
      </c>
      <c r="AV51" s="19">
        <v>105895394</v>
      </c>
      <c r="AW51" s="19">
        <v>85300142</v>
      </c>
      <c r="AX51" s="19">
        <v>536053120</v>
      </c>
      <c r="AY51" s="19">
        <v>298902027</v>
      </c>
      <c r="AZ51" s="19">
        <v>158567440</v>
      </c>
      <c r="BA51" s="19">
        <v>210064721</v>
      </c>
      <c r="BB51" s="19">
        <v>109365419</v>
      </c>
      <c r="BC51" s="19">
        <v>512531767</v>
      </c>
      <c r="BD51" s="19">
        <v>120885240</v>
      </c>
      <c r="BE51" s="19">
        <v>184800753</v>
      </c>
      <c r="BF51" s="19">
        <v>557247695</v>
      </c>
      <c r="BG51" s="19">
        <v>1836748751</v>
      </c>
      <c r="BH51" s="19">
        <v>123999002</v>
      </c>
      <c r="BI51" s="19">
        <v>194975090</v>
      </c>
      <c r="BJ51" s="19">
        <v>307020293</v>
      </c>
      <c r="BK51" s="19">
        <v>152696171</v>
      </c>
      <c r="BL51" s="19">
        <v>439978767</v>
      </c>
      <c r="BM51" s="19">
        <v>14740235</v>
      </c>
      <c r="BN51" s="19">
        <v>132090238</v>
      </c>
      <c r="BO51" s="19">
        <v>227185307</v>
      </c>
      <c r="BP51" s="19">
        <v>154413704</v>
      </c>
      <c r="BQ51" s="19">
        <v>148470803</v>
      </c>
      <c r="BR51" s="19">
        <v>50072197</v>
      </c>
      <c r="BS51" s="19">
        <v>105640296</v>
      </c>
      <c r="BT51" s="19">
        <v>352365934</v>
      </c>
      <c r="BU51" s="19">
        <v>115182675</v>
      </c>
      <c r="BV51" s="19">
        <v>272755760</v>
      </c>
      <c r="BW51" s="19">
        <v>479000495</v>
      </c>
      <c r="BX51" s="19">
        <v>388320592</v>
      </c>
      <c r="BY51" s="19">
        <v>967015213</v>
      </c>
      <c r="BZ51" s="19">
        <v>130473450</v>
      </c>
      <c r="CA51" s="19">
        <v>275637371</v>
      </c>
      <c r="CB51" s="19">
        <v>716709611</v>
      </c>
      <c r="CC51" s="19">
        <v>1618678512</v>
      </c>
      <c r="CD51" s="19">
        <v>412223480</v>
      </c>
      <c r="CE51" s="19">
        <v>163877538</v>
      </c>
      <c r="CF51" s="19" t="s">
        <v>139</v>
      </c>
      <c r="CG51" s="19">
        <v>1119127663</v>
      </c>
      <c r="CH51" s="19">
        <v>58921318</v>
      </c>
      <c r="CI51" s="19">
        <v>250677473</v>
      </c>
      <c r="CJ51" s="19">
        <v>116928277</v>
      </c>
      <c r="CK51" s="19">
        <v>288750427</v>
      </c>
      <c r="CL51" s="19">
        <v>40385383</v>
      </c>
      <c r="CM51" s="19">
        <v>4213899981</v>
      </c>
      <c r="CN51" s="19">
        <v>311143159</v>
      </c>
      <c r="CO51" s="19">
        <v>480780772</v>
      </c>
      <c r="CP51" s="19">
        <v>632366480</v>
      </c>
      <c r="CQ51" s="19" t="s">
        <v>96</v>
      </c>
      <c r="CR51" s="19">
        <v>361564863</v>
      </c>
    </row>
    <row r="52" spans="1:96" ht="17.55" customHeight="1">
      <c r="A52" s="9" t="s">
        <v>93</v>
      </c>
      <c r="B52" s="15" t="s">
        <v>26</v>
      </c>
      <c r="C52" s="19">
        <v>625941276</v>
      </c>
      <c r="D52" s="19">
        <v>426019980</v>
      </c>
      <c r="E52" s="19">
        <v>204171867</v>
      </c>
      <c r="F52" s="19">
        <v>1403255836</v>
      </c>
      <c r="G52" s="19">
        <v>81500000</v>
      </c>
      <c r="H52" s="19">
        <v>2297701824</v>
      </c>
      <c r="I52" s="19">
        <v>2712135527</v>
      </c>
      <c r="J52" s="19">
        <v>117270000</v>
      </c>
      <c r="K52" s="19">
        <v>646764738</v>
      </c>
      <c r="L52" s="19">
        <v>114718040</v>
      </c>
      <c r="M52" s="19">
        <v>1559648475</v>
      </c>
      <c r="N52" s="19">
        <v>408954799</v>
      </c>
      <c r="O52" s="19">
        <v>2392838102</v>
      </c>
      <c r="P52" s="19">
        <v>3155877848</v>
      </c>
      <c r="Q52" s="19">
        <v>39858997</v>
      </c>
      <c r="R52" s="19">
        <v>135273970</v>
      </c>
      <c r="S52" s="19">
        <v>55362116</v>
      </c>
      <c r="T52" s="19">
        <v>90345740</v>
      </c>
      <c r="U52" s="19">
        <v>612543897</v>
      </c>
      <c r="V52" s="19">
        <v>318786049</v>
      </c>
      <c r="W52" s="19">
        <v>1293017600</v>
      </c>
      <c r="X52" s="19">
        <v>376679335</v>
      </c>
      <c r="Y52" s="19">
        <v>194137871</v>
      </c>
      <c r="Z52" s="19">
        <v>195413613</v>
      </c>
      <c r="AA52" s="19">
        <v>60000000</v>
      </c>
      <c r="AB52" s="19">
        <v>82396197</v>
      </c>
      <c r="AC52" s="19">
        <v>146271002</v>
      </c>
      <c r="AD52" s="19">
        <v>150813131</v>
      </c>
      <c r="AE52" s="19">
        <v>134325404</v>
      </c>
      <c r="AF52" s="19">
        <v>212569830</v>
      </c>
      <c r="AG52" s="19">
        <v>558862524</v>
      </c>
      <c r="AH52" s="19">
        <v>260641296</v>
      </c>
      <c r="AI52" s="19">
        <v>215678598</v>
      </c>
      <c r="AJ52" s="19">
        <v>320231316</v>
      </c>
      <c r="AK52" s="19">
        <v>280416080</v>
      </c>
      <c r="AL52" s="19">
        <v>212850370</v>
      </c>
      <c r="AM52" s="19">
        <v>514541010</v>
      </c>
      <c r="AN52" s="19">
        <v>55244900</v>
      </c>
      <c r="AO52" s="19">
        <v>600622847</v>
      </c>
      <c r="AP52" s="19">
        <v>86818954</v>
      </c>
      <c r="AQ52" s="19">
        <v>121746080</v>
      </c>
      <c r="AR52" s="19">
        <v>92724069</v>
      </c>
      <c r="AS52" s="19">
        <v>416500584</v>
      </c>
      <c r="AT52" s="19">
        <v>259459633</v>
      </c>
      <c r="AU52" s="19">
        <v>283564040</v>
      </c>
      <c r="AV52" s="19">
        <v>32288699</v>
      </c>
      <c r="AW52" s="19">
        <v>56102988</v>
      </c>
      <c r="AX52" s="19">
        <v>297272687</v>
      </c>
      <c r="AY52" s="19">
        <v>166774670</v>
      </c>
      <c r="AZ52" s="19">
        <v>120810515</v>
      </c>
      <c r="BA52" s="19">
        <v>108745950</v>
      </c>
      <c r="BB52" s="19">
        <v>93111084</v>
      </c>
      <c r="BC52" s="19">
        <v>259518645</v>
      </c>
      <c r="BD52" s="19">
        <v>49777000</v>
      </c>
      <c r="BE52" s="19">
        <v>87459830</v>
      </c>
      <c r="BF52" s="19">
        <v>182892210</v>
      </c>
      <c r="BG52" s="19">
        <v>842882673</v>
      </c>
      <c r="BH52" s="19">
        <v>69255474</v>
      </c>
      <c r="BI52" s="19">
        <v>120762711</v>
      </c>
      <c r="BJ52" s="19">
        <v>124898370</v>
      </c>
      <c r="BK52" s="19">
        <v>39600000</v>
      </c>
      <c r="BL52" s="19">
        <v>277560855</v>
      </c>
      <c r="BM52" s="19">
        <v>3200000</v>
      </c>
      <c r="BN52" s="19">
        <v>56505670</v>
      </c>
      <c r="BO52" s="19">
        <v>32562275</v>
      </c>
      <c r="BP52" s="19">
        <v>93828934</v>
      </c>
      <c r="BQ52" s="19">
        <v>39600000</v>
      </c>
      <c r="BR52" s="19">
        <v>22192660</v>
      </c>
      <c r="BS52" s="19">
        <v>26403060</v>
      </c>
      <c r="BT52" s="19">
        <v>207002619</v>
      </c>
      <c r="BU52" s="19">
        <v>22723869</v>
      </c>
      <c r="BV52" s="19">
        <v>109988260</v>
      </c>
      <c r="BW52" s="19">
        <v>192355440</v>
      </c>
      <c r="BX52" s="19">
        <v>122700000</v>
      </c>
      <c r="BY52" s="19">
        <v>500610275</v>
      </c>
      <c r="BZ52" s="19">
        <v>34780000</v>
      </c>
      <c r="CA52" s="19">
        <v>118460837</v>
      </c>
      <c r="CB52" s="19">
        <v>368099645</v>
      </c>
      <c r="CC52" s="19">
        <v>104658306</v>
      </c>
      <c r="CD52" s="19">
        <v>169293033</v>
      </c>
      <c r="CE52" s="19">
        <v>52750000</v>
      </c>
      <c r="CF52" s="19" t="s">
        <v>139</v>
      </c>
      <c r="CG52" s="19">
        <v>1011204118</v>
      </c>
      <c r="CH52" s="19">
        <v>2800000</v>
      </c>
      <c r="CI52" s="19">
        <v>46997321</v>
      </c>
      <c r="CJ52" s="19">
        <v>68368190</v>
      </c>
      <c r="CK52" s="19">
        <v>165500000</v>
      </c>
      <c r="CL52" s="19">
        <v>0</v>
      </c>
      <c r="CM52" s="19">
        <v>3723065443</v>
      </c>
      <c r="CN52" s="19">
        <v>180924004</v>
      </c>
      <c r="CO52" s="19">
        <v>247698073</v>
      </c>
      <c r="CP52" s="19">
        <v>431378241</v>
      </c>
      <c r="CQ52" s="19" t="s">
        <v>96</v>
      </c>
      <c r="CR52" s="19">
        <v>263644700</v>
      </c>
    </row>
    <row r="53" spans="1:96" ht="17.55" customHeight="1">
      <c r="A53" s="9" t="s">
        <v>93</v>
      </c>
      <c r="B53" s="15" t="s">
        <v>35</v>
      </c>
      <c r="C53" s="19"/>
      <c r="D53" s="19"/>
      <c r="E53" s="19"/>
      <c r="F53" s="19"/>
      <c r="G53" s="19"/>
      <c r="H53" s="19"/>
      <c r="I53" s="19"/>
      <c r="J53" s="19"/>
      <c r="K53" s="19"/>
      <c r="L53" s="19"/>
      <c r="M53" s="19"/>
      <c r="N53" s="19"/>
      <c r="O53" s="19"/>
      <c r="P53" s="19"/>
      <c r="Q53" s="19">
        <v>-8128000</v>
      </c>
      <c r="R53" s="19">
        <v>-37466800</v>
      </c>
      <c r="S53" s="19"/>
      <c r="T53" s="19">
        <v>-40064000</v>
      </c>
      <c r="U53" s="19"/>
      <c r="V53" s="19"/>
      <c r="W53" s="19"/>
      <c r="X53" s="19"/>
      <c r="Y53" s="19"/>
      <c r="Z53" s="19"/>
      <c r="AA53" s="19"/>
      <c r="AB53" s="19"/>
      <c r="AC53" s="19"/>
      <c r="AD53" s="19"/>
      <c r="AE53" s="19"/>
      <c r="AF53" s="19"/>
      <c r="AG53" s="19"/>
      <c r="AH53" s="19"/>
      <c r="AI53" s="19"/>
      <c r="AJ53" s="19">
        <v>-29191030</v>
      </c>
      <c r="AK53" s="19"/>
      <c r="AL53" s="19"/>
      <c r="AM53" s="19"/>
      <c r="AN53" s="19"/>
      <c r="AO53" s="19"/>
      <c r="AP53" s="19"/>
      <c r="AQ53" s="19">
        <v>-34571000</v>
      </c>
      <c r="AR53" s="19">
        <v>-35494000</v>
      </c>
      <c r="AS53" s="19"/>
      <c r="AT53" s="19"/>
      <c r="AU53" s="19"/>
      <c r="AV53" s="19"/>
      <c r="AW53" s="19"/>
      <c r="AX53" s="19"/>
      <c r="AY53" s="19"/>
      <c r="AZ53" s="19">
        <v>-19591444</v>
      </c>
      <c r="BA53" s="19"/>
      <c r="BB53" s="19"/>
      <c r="BC53" s="19"/>
      <c r="BD53" s="19"/>
      <c r="BE53" s="19"/>
      <c r="BF53" s="19"/>
      <c r="BG53" s="19"/>
      <c r="BH53" s="19"/>
      <c r="BI53" s="19"/>
      <c r="BJ53" s="19"/>
      <c r="BK53" s="19"/>
      <c r="BL53" s="19"/>
      <c r="BM53" s="19"/>
      <c r="BN53" s="19"/>
      <c r="BO53" s="19"/>
      <c r="BP53" s="19"/>
      <c r="BQ53" s="19"/>
      <c r="BR53" s="19"/>
      <c r="BS53" s="19"/>
      <c r="BT53" s="19"/>
      <c r="BU53" s="19"/>
      <c r="BV53" s="19"/>
      <c r="BW53" s="19"/>
      <c r="BX53" s="19"/>
      <c r="BY53" s="19"/>
      <c r="BZ53" s="19"/>
      <c r="CA53" s="19">
        <v>-13828000</v>
      </c>
      <c r="CB53" s="19"/>
      <c r="CC53" s="19"/>
      <c r="CD53" s="19"/>
      <c r="CE53" s="19"/>
      <c r="CF53" s="19" t="s">
        <v>139</v>
      </c>
      <c r="CG53" s="19"/>
      <c r="CH53" s="19"/>
      <c r="CI53" s="19"/>
      <c r="CJ53" s="19"/>
      <c r="CK53" s="19">
        <v>-43193000</v>
      </c>
      <c r="CL53" s="19"/>
      <c r="CM53" s="19"/>
      <c r="CN53" s="19"/>
      <c r="CO53" s="19"/>
      <c r="CP53" s="19"/>
      <c r="CQ53" s="19" t="s">
        <v>96</v>
      </c>
      <c r="CR53" s="19"/>
    </row>
    <row r="54" spans="1:96" ht="17.55" customHeight="1">
      <c r="A54" s="9" t="s">
        <v>93</v>
      </c>
      <c r="B54" s="15" t="s">
        <v>73</v>
      </c>
      <c r="C54" s="19">
        <v>7557002</v>
      </c>
      <c r="D54" s="19">
        <v>2752404</v>
      </c>
      <c r="E54" s="19">
        <v>23564881</v>
      </c>
      <c r="F54" s="19">
        <v>26592721</v>
      </c>
      <c r="G54" s="19">
        <v>2101495</v>
      </c>
      <c r="H54" s="19"/>
      <c r="I54" s="19"/>
      <c r="J54" s="19"/>
      <c r="K54" s="19">
        <v>32266904</v>
      </c>
      <c r="L54" s="19">
        <v>690039</v>
      </c>
      <c r="M54" s="19">
        <v>159786923</v>
      </c>
      <c r="N54" s="19">
        <v>6842317</v>
      </c>
      <c r="O54" s="19">
        <v>127668738</v>
      </c>
      <c r="P54" s="19">
        <v>219245344</v>
      </c>
      <c r="Q54" s="19">
        <v>4170354</v>
      </c>
      <c r="R54" s="19">
        <v>46263723</v>
      </c>
      <c r="S54" s="19">
        <v>89827351</v>
      </c>
      <c r="T54" s="19"/>
      <c r="U54" s="19">
        <v>98883926</v>
      </c>
      <c r="V54" s="19">
        <v>24065131</v>
      </c>
      <c r="W54" s="19">
        <v>7177477</v>
      </c>
      <c r="X54" s="19">
        <v>45469553</v>
      </c>
      <c r="Y54" s="19"/>
      <c r="Z54" s="19"/>
      <c r="AA54" s="19"/>
      <c r="AB54" s="19"/>
      <c r="AC54" s="19">
        <v>5882274</v>
      </c>
      <c r="AD54" s="19">
        <v>3190461</v>
      </c>
      <c r="AE54" s="19"/>
      <c r="AF54" s="19">
        <v>18436744</v>
      </c>
      <c r="AG54" s="19"/>
      <c r="AH54" s="19">
        <v>6366633</v>
      </c>
      <c r="AI54" s="19"/>
      <c r="AJ54" s="19">
        <v>48330914</v>
      </c>
      <c r="AK54" s="19">
        <v>21021181</v>
      </c>
      <c r="AL54" s="19">
        <v>11333060</v>
      </c>
      <c r="AM54" s="19">
        <v>72661501</v>
      </c>
      <c r="AN54" s="19">
        <v>3591092</v>
      </c>
      <c r="AO54" s="19">
        <v>9660706</v>
      </c>
      <c r="AP54" s="19">
        <v>0</v>
      </c>
      <c r="AQ54" s="19"/>
      <c r="AR54" s="19"/>
      <c r="AS54" s="19"/>
      <c r="AT54" s="19"/>
      <c r="AU54" s="19">
        <v>20439249</v>
      </c>
      <c r="AV54" s="19">
        <v>6654672</v>
      </c>
      <c r="AW54" s="19"/>
      <c r="AX54" s="19"/>
      <c r="AY54" s="19"/>
      <c r="AZ54" s="19">
        <v>19432051</v>
      </c>
      <c r="BA54" s="19"/>
      <c r="BB54" s="19">
        <v>5357575</v>
      </c>
      <c r="BC54" s="19"/>
      <c r="BD54" s="19">
        <v>1034120</v>
      </c>
      <c r="BE54" s="19">
        <v>2109148</v>
      </c>
      <c r="BF54" s="19">
        <v>199502666</v>
      </c>
      <c r="BG54" s="19">
        <v>41740408</v>
      </c>
      <c r="BH54" s="19">
        <v>2521402</v>
      </c>
      <c r="BI54" s="19">
        <v>7843984</v>
      </c>
      <c r="BJ54" s="19">
        <v>45959029</v>
      </c>
      <c r="BK54" s="19">
        <v>9247289</v>
      </c>
      <c r="BL54" s="19">
        <v>3884802</v>
      </c>
      <c r="BM54" s="19">
        <v>48210</v>
      </c>
      <c r="BN54" s="19">
        <v>2409879</v>
      </c>
      <c r="BO54" s="19">
        <v>55121007</v>
      </c>
      <c r="BP54" s="19"/>
      <c r="BQ54" s="19">
        <v>17787164</v>
      </c>
      <c r="BR54" s="19"/>
      <c r="BS54" s="19">
        <v>10358712</v>
      </c>
      <c r="BT54" s="19"/>
      <c r="BU54" s="19">
        <v>24242</v>
      </c>
      <c r="BV54" s="19">
        <v>35934617</v>
      </c>
      <c r="BW54" s="19"/>
      <c r="BX54" s="19">
        <v>3115290</v>
      </c>
      <c r="BY54" s="19">
        <v>61198782</v>
      </c>
      <c r="BZ54" s="19">
        <v>1578500</v>
      </c>
      <c r="CA54" s="19">
        <v>64006597</v>
      </c>
      <c r="CB54" s="19">
        <v>77783770</v>
      </c>
      <c r="CC54" s="19"/>
      <c r="CD54" s="19">
        <v>39149835</v>
      </c>
      <c r="CE54" s="19">
        <v>2644294</v>
      </c>
      <c r="CF54" s="19" t="s">
        <v>139</v>
      </c>
      <c r="CG54" s="19">
        <v>5354822</v>
      </c>
      <c r="CH54" s="19"/>
      <c r="CI54" s="19"/>
      <c r="CJ54" s="19">
        <v>5490942</v>
      </c>
      <c r="CK54" s="19">
        <v>42606835</v>
      </c>
      <c r="CL54" s="19">
        <v>0</v>
      </c>
      <c r="CM54" s="19">
        <v>15557177</v>
      </c>
      <c r="CN54" s="19">
        <v>2115267</v>
      </c>
      <c r="CO54" s="19">
        <v>44143341</v>
      </c>
      <c r="CP54" s="19"/>
      <c r="CQ54" s="19" t="s">
        <v>96</v>
      </c>
      <c r="CR54" s="19">
        <v>9240911</v>
      </c>
    </row>
    <row r="55" spans="1:96" ht="17.55" customHeight="1">
      <c r="A55" s="9" t="s">
        <v>93</v>
      </c>
      <c r="B55" s="15" t="s">
        <v>58</v>
      </c>
      <c r="C55" s="19"/>
      <c r="D55" s="19"/>
      <c r="E55" s="19"/>
      <c r="F55" s="19"/>
      <c r="G55" s="19"/>
      <c r="H55" s="19"/>
      <c r="I55" s="19"/>
      <c r="J55" s="19"/>
      <c r="K55" s="19"/>
      <c r="L55" s="19"/>
      <c r="M55" s="19"/>
      <c r="N55" s="19"/>
      <c r="O55" s="19"/>
      <c r="P55" s="19"/>
      <c r="Q55" s="19"/>
      <c r="R55" s="19"/>
      <c r="S55" s="19">
        <v>1618968</v>
      </c>
      <c r="T55" s="19"/>
      <c r="U55" s="19"/>
      <c r="V55" s="19"/>
      <c r="W55" s="19"/>
      <c r="X55" s="19"/>
      <c r="Y55" s="19"/>
      <c r="Z55" s="19"/>
      <c r="AA55" s="19"/>
      <c r="AB55" s="19"/>
      <c r="AC55" s="19"/>
      <c r="AD55" s="19"/>
      <c r="AE55" s="19"/>
      <c r="AF55" s="19"/>
      <c r="AG55" s="19"/>
      <c r="AH55" s="19"/>
      <c r="AI55" s="19"/>
      <c r="AJ55" s="19"/>
      <c r="AK55" s="19"/>
      <c r="AL55" s="19"/>
      <c r="AM55" s="19">
        <v>14007372</v>
      </c>
      <c r="AN55" s="19"/>
      <c r="AO55" s="19">
        <v>0</v>
      </c>
      <c r="AP55" s="19">
        <v>2969450</v>
      </c>
      <c r="AQ55" s="19"/>
      <c r="AR55" s="19"/>
      <c r="AS55" s="19"/>
      <c r="AT55" s="19"/>
      <c r="AU55" s="19"/>
      <c r="AV55" s="19"/>
      <c r="AW55" s="19"/>
      <c r="AX55" s="19"/>
      <c r="AY55" s="19"/>
      <c r="AZ55" s="19"/>
      <c r="BA55" s="19"/>
      <c r="BB55" s="19"/>
      <c r="BC55" s="19"/>
      <c r="BD55" s="19"/>
      <c r="BE55" s="19"/>
      <c r="BF55" s="19"/>
      <c r="BG55" s="19">
        <v>34510</v>
      </c>
      <c r="BH55" s="19"/>
      <c r="BI55" s="19">
        <v>43308</v>
      </c>
      <c r="BJ55" s="19">
        <v>1539040</v>
      </c>
      <c r="BK55" s="19"/>
      <c r="BL55" s="19"/>
      <c r="BM55" s="19"/>
      <c r="BN55" s="19">
        <v>0</v>
      </c>
      <c r="BO55" s="19">
        <v>678969</v>
      </c>
      <c r="BP55" s="19"/>
      <c r="BQ55" s="19"/>
      <c r="BR55" s="19"/>
      <c r="BS55" s="19"/>
      <c r="BT55" s="19"/>
      <c r="BU55" s="19"/>
      <c r="BV55" s="19">
        <v>1237280</v>
      </c>
      <c r="BW55" s="19"/>
      <c r="BX55" s="19"/>
      <c r="BY55" s="19">
        <v>0</v>
      </c>
      <c r="BZ55" s="19"/>
      <c r="CA55" s="19"/>
      <c r="CB55" s="19"/>
      <c r="CC55" s="19"/>
      <c r="CD55" s="19"/>
      <c r="CE55" s="19"/>
      <c r="CF55" s="19" t="s">
        <v>139</v>
      </c>
      <c r="CG55" s="19"/>
      <c r="CH55" s="19"/>
      <c r="CI55" s="19"/>
      <c r="CJ55" s="19">
        <v>834619</v>
      </c>
      <c r="CK55" s="19"/>
      <c r="CL55" s="19"/>
      <c r="CM55" s="19"/>
      <c r="CN55" s="19"/>
      <c r="CO55" s="19"/>
      <c r="CP55" s="19"/>
      <c r="CQ55" s="19" t="s">
        <v>96</v>
      </c>
      <c r="CR55" s="19"/>
    </row>
    <row r="56" spans="1:96" ht="17.55" customHeight="1">
      <c r="A56" s="9" t="s">
        <v>93</v>
      </c>
      <c r="B56" s="15" t="s">
        <v>55</v>
      </c>
      <c r="C56" s="19">
        <v>2088810</v>
      </c>
      <c r="D56" s="19">
        <v>6195410</v>
      </c>
      <c r="E56" s="19">
        <v>2953176</v>
      </c>
      <c r="F56" s="19">
        <v>28480790</v>
      </c>
      <c r="G56" s="19">
        <v>3282731</v>
      </c>
      <c r="H56" s="19">
        <v>388000</v>
      </c>
      <c r="I56" s="19">
        <v>24493440</v>
      </c>
      <c r="J56" s="19">
        <v>6077373</v>
      </c>
      <c r="K56" s="19">
        <v>31420910</v>
      </c>
      <c r="L56" s="19">
        <v>2000150</v>
      </c>
      <c r="M56" s="19">
        <v>49990730</v>
      </c>
      <c r="N56" s="19">
        <v>17285440</v>
      </c>
      <c r="O56" s="19">
        <v>5676680</v>
      </c>
      <c r="P56" s="19">
        <v>27990188</v>
      </c>
      <c r="Q56" s="19">
        <v>2685450</v>
      </c>
      <c r="R56" s="19">
        <v>4108900</v>
      </c>
      <c r="S56" s="19">
        <v>16218027</v>
      </c>
      <c r="T56" s="19">
        <v>7696670</v>
      </c>
      <c r="U56" s="19">
        <v>321790</v>
      </c>
      <c r="V56" s="19">
        <v>11311230</v>
      </c>
      <c r="W56" s="19">
        <v>6543000</v>
      </c>
      <c r="X56" s="19">
        <v>33968762</v>
      </c>
      <c r="Y56" s="19">
        <v>9377763</v>
      </c>
      <c r="Z56" s="19">
        <v>7933461</v>
      </c>
      <c r="AA56" s="19">
        <v>34771168</v>
      </c>
      <c r="AB56" s="19">
        <v>2102650</v>
      </c>
      <c r="AC56" s="19">
        <v>14376840</v>
      </c>
      <c r="AD56" s="19">
        <v>1729980</v>
      </c>
      <c r="AE56" s="19">
        <v>5981380</v>
      </c>
      <c r="AF56" s="19">
        <v>7892850</v>
      </c>
      <c r="AG56" s="19">
        <v>19287000</v>
      </c>
      <c r="AH56" s="19">
        <v>10926575</v>
      </c>
      <c r="AI56" s="19">
        <v>7734860</v>
      </c>
      <c r="AJ56" s="19">
        <v>1214470</v>
      </c>
      <c r="AK56" s="19">
        <v>54667830</v>
      </c>
      <c r="AL56" s="19">
        <v>9496870</v>
      </c>
      <c r="AM56" s="19">
        <v>50626140</v>
      </c>
      <c r="AN56" s="19">
        <v>3163584</v>
      </c>
      <c r="AO56" s="19">
        <v>25053395</v>
      </c>
      <c r="AP56" s="19"/>
      <c r="AQ56" s="19">
        <v>4128330</v>
      </c>
      <c r="AR56" s="19">
        <v>2182150</v>
      </c>
      <c r="AS56" s="19">
        <v>6515670</v>
      </c>
      <c r="AT56" s="19">
        <v>10272800</v>
      </c>
      <c r="AU56" s="19">
        <v>15652530</v>
      </c>
      <c r="AV56" s="19">
        <v>767990</v>
      </c>
      <c r="AW56" s="19">
        <v>268760</v>
      </c>
      <c r="AX56" s="19">
        <v>23863843</v>
      </c>
      <c r="AY56" s="19">
        <v>529010</v>
      </c>
      <c r="AZ56" s="19">
        <v>739110</v>
      </c>
      <c r="BA56" s="19">
        <v>6043838</v>
      </c>
      <c r="BB56" s="19">
        <v>2771630</v>
      </c>
      <c r="BC56" s="19">
        <v>13840383</v>
      </c>
      <c r="BD56" s="19">
        <v>1792990</v>
      </c>
      <c r="BE56" s="19">
        <v>4168537</v>
      </c>
      <c r="BF56" s="19">
        <v>13223670</v>
      </c>
      <c r="BG56" s="19">
        <v>28491170</v>
      </c>
      <c r="BH56" s="19">
        <v>4129130</v>
      </c>
      <c r="BI56" s="19">
        <v>586960</v>
      </c>
      <c r="BJ56" s="19">
        <v>8084019</v>
      </c>
      <c r="BK56" s="19">
        <v>4484330</v>
      </c>
      <c r="BL56" s="19"/>
      <c r="BM56" s="19">
        <v>219450</v>
      </c>
      <c r="BN56" s="19">
        <v>2045050</v>
      </c>
      <c r="BO56" s="19">
        <v>2200430</v>
      </c>
      <c r="BP56" s="19">
        <v>3056273</v>
      </c>
      <c r="BQ56" s="19">
        <v>5832690</v>
      </c>
      <c r="BR56" s="19">
        <v>689703</v>
      </c>
      <c r="BS56" s="19">
        <v>559940</v>
      </c>
      <c r="BT56" s="19">
        <v>8607780</v>
      </c>
      <c r="BU56" s="19">
        <v>1327810</v>
      </c>
      <c r="BV56" s="19">
        <v>930370</v>
      </c>
      <c r="BW56" s="19">
        <v>5034610</v>
      </c>
      <c r="BX56" s="19">
        <v>5472168</v>
      </c>
      <c r="BY56" s="19">
        <v>15884250</v>
      </c>
      <c r="BZ56" s="19">
        <v>1855310</v>
      </c>
      <c r="CA56" s="19">
        <v>4688591</v>
      </c>
      <c r="CB56" s="19">
        <v>14761790</v>
      </c>
      <c r="CC56" s="19">
        <v>0</v>
      </c>
      <c r="CD56" s="19">
        <v>68584380</v>
      </c>
      <c r="CE56" s="19">
        <v>8794540</v>
      </c>
      <c r="CF56" s="19" t="s">
        <v>139</v>
      </c>
      <c r="CG56" s="19">
        <v>2510780</v>
      </c>
      <c r="CH56" s="19">
        <v>145420</v>
      </c>
      <c r="CI56" s="19">
        <v>2041075</v>
      </c>
      <c r="CJ56" s="19">
        <v>5796960</v>
      </c>
      <c r="CK56" s="19">
        <v>23394400</v>
      </c>
      <c r="CL56" s="19">
        <v>1829030</v>
      </c>
      <c r="CM56" s="19">
        <v>975540</v>
      </c>
      <c r="CN56" s="19">
        <v>4496180</v>
      </c>
      <c r="CO56" s="19">
        <v>7211290</v>
      </c>
      <c r="CP56" s="19">
        <v>22732415</v>
      </c>
      <c r="CQ56" s="19" t="s">
        <v>96</v>
      </c>
      <c r="CR56" s="19">
        <v>5047980</v>
      </c>
    </row>
    <row r="57" spans="1:96" ht="17.55" customHeight="1">
      <c r="A57" s="9" t="s">
        <v>93</v>
      </c>
      <c r="B57" s="15" t="s">
        <v>77</v>
      </c>
      <c r="C57" s="19">
        <v>127247902</v>
      </c>
      <c r="D57" s="19">
        <v>408675881</v>
      </c>
      <c r="E57" s="19">
        <v>142080057</v>
      </c>
      <c r="F57" s="19">
        <v>370455899</v>
      </c>
      <c r="G57" s="19">
        <v>69870774</v>
      </c>
      <c r="H57" s="19">
        <v>363842791</v>
      </c>
      <c r="I57" s="19">
        <v>612998085</v>
      </c>
      <c r="J57" s="19">
        <v>142387314</v>
      </c>
      <c r="K57" s="19">
        <v>177418352</v>
      </c>
      <c r="L57" s="19">
        <v>63292101</v>
      </c>
      <c r="M57" s="19">
        <v>625755171</v>
      </c>
      <c r="N57" s="19">
        <v>484160570</v>
      </c>
      <c r="O57" s="19">
        <v>1117718148</v>
      </c>
      <c r="P57" s="19">
        <v>1106169852</v>
      </c>
      <c r="Q57" s="19">
        <v>40758238</v>
      </c>
      <c r="R57" s="19">
        <v>312533079</v>
      </c>
      <c r="S57" s="19">
        <v>263542269</v>
      </c>
      <c r="T57" s="19">
        <v>231211703</v>
      </c>
      <c r="U57" s="19">
        <v>497164652</v>
      </c>
      <c r="V57" s="19">
        <v>201275091</v>
      </c>
      <c r="W57" s="19">
        <v>809878502</v>
      </c>
      <c r="X57" s="19">
        <v>418088822</v>
      </c>
      <c r="Y57" s="19">
        <v>476942626</v>
      </c>
      <c r="Z57" s="19">
        <v>234073370</v>
      </c>
      <c r="AA57" s="19">
        <v>66851033</v>
      </c>
      <c r="AB57" s="19">
        <v>435997333</v>
      </c>
      <c r="AC57" s="19">
        <v>129431500</v>
      </c>
      <c r="AD57" s="19">
        <v>157546340</v>
      </c>
      <c r="AE57" s="19">
        <v>133350747</v>
      </c>
      <c r="AF57" s="19">
        <v>122683594</v>
      </c>
      <c r="AG57" s="19">
        <v>657393541</v>
      </c>
      <c r="AH57" s="19">
        <v>756894872</v>
      </c>
      <c r="AI57" s="19">
        <v>184099090</v>
      </c>
      <c r="AJ57" s="19">
        <v>250155106</v>
      </c>
      <c r="AK57" s="19">
        <v>69973795</v>
      </c>
      <c r="AL57" s="19">
        <v>197331213</v>
      </c>
      <c r="AM57" s="19">
        <v>396156850</v>
      </c>
      <c r="AN57" s="19">
        <v>56010186</v>
      </c>
      <c r="AO57" s="19">
        <v>481833024</v>
      </c>
      <c r="AP57" s="19">
        <v>156181011</v>
      </c>
      <c r="AQ57" s="19">
        <v>113456015</v>
      </c>
      <c r="AR57" s="19">
        <v>46131594</v>
      </c>
      <c r="AS57" s="19">
        <v>1366590134</v>
      </c>
      <c r="AT57" s="19">
        <v>106909995</v>
      </c>
      <c r="AU57" s="19">
        <v>115552568</v>
      </c>
      <c r="AV57" s="19">
        <v>66184033</v>
      </c>
      <c r="AW57" s="19">
        <v>28928394</v>
      </c>
      <c r="AX57" s="19">
        <v>214916590</v>
      </c>
      <c r="AY57" s="19">
        <v>131598347</v>
      </c>
      <c r="AZ57" s="19">
        <v>37177208</v>
      </c>
      <c r="BA57" s="19">
        <v>95274933</v>
      </c>
      <c r="BB57" s="19">
        <v>8125130</v>
      </c>
      <c r="BC57" s="19">
        <v>239172739</v>
      </c>
      <c r="BD57" s="19">
        <v>68281130</v>
      </c>
      <c r="BE57" s="19">
        <v>91063238</v>
      </c>
      <c r="BF57" s="19">
        <v>161629149</v>
      </c>
      <c r="BG57" s="19">
        <v>923599990</v>
      </c>
      <c r="BH57" s="19">
        <v>48092996</v>
      </c>
      <c r="BI57" s="19">
        <v>65738127</v>
      </c>
      <c r="BJ57" s="19">
        <v>126539835</v>
      </c>
      <c r="BK57" s="19">
        <v>99364552</v>
      </c>
      <c r="BL57" s="19">
        <v>158533110</v>
      </c>
      <c r="BM57" s="19">
        <v>11272575</v>
      </c>
      <c r="BN57" s="19">
        <v>71129639</v>
      </c>
      <c r="BO57" s="19">
        <v>136622626</v>
      </c>
      <c r="BP57" s="19">
        <v>57528497</v>
      </c>
      <c r="BQ57" s="19">
        <v>85250949</v>
      </c>
      <c r="BR57" s="19">
        <v>27189834</v>
      </c>
      <c r="BS57" s="19">
        <v>68318584</v>
      </c>
      <c r="BT57" s="19">
        <v>136755535</v>
      </c>
      <c r="BU57" s="19">
        <v>91106754</v>
      </c>
      <c r="BV57" s="19">
        <v>124665233</v>
      </c>
      <c r="BW57" s="19">
        <v>281610445</v>
      </c>
      <c r="BX57" s="19">
        <v>257033134</v>
      </c>
      <c r="BY57" s="19">
        <v>389321906</v>
      </c>
      <c r="BZ57" s="19">
        <v>92259640</v>
      </c>
      <c r="CA57" s="19">
        <v>102309346</v>
      </c>
      <c r="CB57" s="19">
        <v>256064406</v>
      </c>
      <c r="CC57" s="19">
        <v>1514020206</v>
      </c>
      <c r="CD57" s="19">
        <v>135196232</v>
      </c>
      <c r="CE57" s="19">
        <v>99688704</v>
      </c>
      <c r="CF57" s="19" t="s">
        <v>139</v>
      </c>
      <c r="CG57" s="19">
        <v>100057943</v>
      </c>
      <c r="CH57" s="19">
        <v>55975898</v>
      </c>
      <c r="CI57" s="19">
        <v>201639077</v>
      </c>
      <c r="CJ57" s="19">
        <v>36437566</v>
      </c>
      <c r="CK57" s="19">
        <v>100442192</v>
      </c>
      <c r="CL57" s="19">
        <v>38556353</v>
      </c>
      <c r="CM57" s="19">
        <v>474301821</v>
      </c>
      <c r="CN57" s="19">
        <v>123607708</v>
      </c>
      <c r="CO57" s="19">
        <v>181728068</v>
      </c>
      <c r="CP57" s="19">
        <v>178255824</v>
      </c>
      <c r="CQ57" s="19" t="s">
        <v>96</v>
      </c>
      <c r="CR57" s="19">
        <v>83631272</v>
      </c>
    </row>
    <row r="58" spans="1:96" ht="17.55" customHeight="1">
      <c r="A58" s="9" t="s">
        <v>93</v>
      </c>
      <c r="B58" s="10" t="s">
        <v>87</v>
      </c>
      <c r="C58" s="19">
        <v>-14906144</v>
      </c>
      <c r="D58" s="19">
        <v>-943682341</v>
      </c>
      <c r="E58" s="19">
        <v>-11033091</v>
      </c>
      <c r="F58" s="19">
        <v>49400158</v>
      </c>
      <c r="G58" s="19">
        <v>-37087670</v>
      </c>
      <c r="H58" s="19">
        <v>-91886639</v>
      </c>
      <c r="I58" s="19">
        <v>-96829779</v>
      </c>
      <c r="J58" s="19">
        <v>-115025736</v>
      </c>
      <c r="K58" s="19">
        <v>-754662489</v>
      </c>
      <c r="L58" s="19">
        <v>-45644443</v>
      </c>
      <c r="M58" s="19">
        <v>150726965</v>
      </c>
      <c r="N58" s="19">
        <v>-268300283</v>
      </c>
      <c r="O58" s="19">
        <v>-127785473</v>
      </c>
      <c r="P58" s="19">
        <v>4341912</v>
      </c>
      <c r="Q58" s="19">
        <v>-40618821</v>
      </c>
      <c r="R58" s="19">
        <v>-180233192</v>
      </c>
      <c r="S58" s="19">
        <v>51067467</v>
      </c>
      <c r="T58" s="19">
        <v>-15612616</v>
      </c>
      <c r="U58" s="19">
        <v>412381681</v>
      </c>
      <c r="V58" s="19">
        <v>-354092983</v>
      </c>
      <c r="W58" s="19">
        <v>-295394562</v>
      </c>
      <c r="X58" s="19">
        <v>155792661</v>
      </c>
      <c r="Y58" s="19">
        <v>29507001</v>
      </c>
      <c r="Z58" s="19">
        <v>-7148488</v>
      </c>
      <c r="AA58" s="19">
        <v>126411032</v>
      </c>
      <c r="AB58" s="19">
        <v>4917114</v>
      </c>
      <c r="AC58" s="19">
        <v>62550437</v>
      </c>
      <c r="AD58" s="19">
        <v>36849990</v>
      </c>
      <c r="AE58" s="19">
        <v>10980978</v>
      </c>
      <c r="AF58" s="19">
        <v>-104657956</v>
      </c>
      <c r="AG58" s="19">
        <v>-62198805</v>
      </c>
      <c r="AH58" s="19">
        <v>-127398306</v>
      </c>
      <c r="AI58" s="19">
        <v>-259705799</v>
      </c>
      <c r="AJ58" s="19">
        <v>73933171</v>
      </c>
      <c r="AK58" s="19">
        <v>-240057080</v>
      </c>
      <c r="AL58" s="19">
        <v>-31697582</v>
      </c>
      <c r="AM58" s="19">
        <v>-825464102</v>
      </c>
      <c r="AN58" s="19">
        <v>-23080293</v>
      </c>
      <c r="AO58" s="19">
        <v>-257142256</v>
      </c>
      <c r="AP58" s="19">
        <v>-34177676</v>
      </c>
      <c r="AQ58" s="19">
        <v>-15059257</v>
      </c>
      <c r="AR58" s="19">
        <v>4596333</v>
      </c>
      <c r="AS58" s="19">
        <v>-646840701</v>
      </c>
      <c r="AT58" s="19">
        <v>-128199237</v>
      </c>
      <c r="AU58" s="19">
        <v>-83758524</v>
      </c>
      <c r="AV58" s="19">
        <v>-39622666</v>
      </c>
      <c r="AW58" s="19">
        <v>-141649568</v>
      </c>
      <c r="AX58" s="19">
        <v>188128587</v>
      </c>
      <c r="AY58" s="19">
        <v>-81007276</v>
      </c>
      <c r="AZ58" s="19">
        <v>8831423</v>
      </c>
      <c r="BA58" s="19">
        <v>-69405071</v>
      </c>
      <c r="BB58" s="19">
        <v>11146977</v>
      </c>
      <c r="BC58" s="19">
        <v>116048280</v>
      </c>
      <c r="BD58" s="19">
        <v>-137147960</v>
      </c>
      <c r="BE58" s="19">
        <v>-192167060</v>
      </c>
      <c r="BF58" s="19">
        <v>84907359</v>
      </c>
      <c r="BG58" s="19">
        <v>-564826743</v>
      </c>
      <c r="BH58" s="19">
        <v>-23397870</v>
      </c>
      <c r="BI58" s="19">
        <v>19659907</v>
      </c>
      <c r="BJ58" s="19">
        <v>3499768</v>
      </c>
      <c r="BK58" s="19">
        <v>38445013</v>
      </c>
      <c r="BL58" s="19">
        <v>58748728</v>
      </c>
      <c r="BM58" s="19">
        <v>-13605107</v>
      </c>
      <c r="BN58" s="19">
        <v>-52017628</v>
      </c>
      <c r="BO58" s="19">
        <v>-119940946</v>
      </c>
      <c r="BP58" s="19">
        <v>-62787240</v>
      </c>
      <c r="BQ58" s="19">
        <v>13819353</v>
      </c>
      <c r="BR58" s="19">
        <v>11951135</v>
      </c>
      <c r="BS58" s="19">
        <v>15772810</v>
      </c>
      <c r="BT58" s="19">
        <v>-288331418</v>
      </c>
      <c r="BU58" s="19">
        <v>-143537138</v>
      </c>
      <c r="BV58" s="19">
        <v>-57282112</v>
      </c>
      <c r="BW58" s="19">
        <v>-170411485</v>
      </c>
      <c r="BX58" s="19">
        <v>10463923</v>
      </c>
      <c r="BY58" s="19">
        <v>-65344553</v>
      </c>
      <c r="BZ58" s="19">
        <v>187516229</v>
      </c>
      <c r="CA58" s="19">
        <v>42114775</v>
      </c>
      <c r="CB58" s="19">
        <v>-23126851</v>
      </c>
      <c r="CC58" s="19">
        <v>-30798170</v>
      </c>
      <c r="CD58" s="19">
        <v>-246329667</v>
      </c>
      <c r="CE58" s="19">
        <v>-4154562</v>
      </c>
      <c r="CF58" s="19" t="s">
        <v>139</v>
      </c>
      <c r="CG58" s="19">
        <v>-552077</v>
      </c>
      <c r="CH58" s="19">
        <v>-54645600</v>
      </c>
      <c r="CI58" s="19">
        <v>-25628444</v>
      </c>
      <c r="CJ58" s="19">
        <v>-69284301</v>
      </c>
      <c r="CK58" s="19">
        <v>61364230</v>
      </c>
      <c r="CL58" s="19">
        <v>1303877</v>
      </c>
      <c r="CM58" s="19">
        <v>96729714</v>
      </c>
      <c r="CN58" s="19">
        <v>-158749950</v>
      </c>
      <c r="CO58" s="19">
        <v>291022</v>
      </c>
      <c r="CP58" s="19">
        <v>15875211</v>
      </c>
      <c r="CQ58" s="19" t="s">
        <v>96</v>
      </c>
      <c r="CR58" s="19">
        <v>53709038</v>
      </c>
    </row>
    <row r="59" spans="1:96" ht="17.55" customHeight="1">
      <c r="A59" s="9" t="s">
        <v>93</v>
      </c>
      <c r="B59" s="10" t="s">
        <v>16</v>
      </c>
      <c r="C59" s="19">
        <v>12410012</v>
      </c>
      <c r="D59" s="19">
        <v>948730606</v>
      </c>
      <c r="E59" s="19">
        <v>42044739</v>
      </c>
      <c r="F59" s="19">
        <v>115744758</v>
      </c>
      <c r="G59" s="19">
        <v>49216180</v>
      </c>
      <c r="H59" s="19">
        <v>170053645</v>
      </c>
      <c r="I59" s="19">
        <v>199272500</v>
      </c>
      <c r="J59" s="19">
        <v>20035805</v>
      </c>
      <c r="K59" s="19">
        <v>727090886</v>
      </c>
      <c r="L59" s="19">
        <v>97119783</v>
      </c>
      <c r="M59" s="19">
        <v>21823052</v>
      </c>
      <c r="N59" s="19">
        <v>653889442</v>
      </c>
      <c r="O59" s="19">
        <v>93567547</v>
      </c>
      <c r="P59" s="19">
        <v>25865240</v>
      </c>
      <c r="Q59" s="19">
        <v>648713</v>
      </c>
      <c r="R59" s="19">
        <v>158420723</v>
      </c>
      <c r="S59" s="19">
        <v>171701228</v>
      </c>
      <c r="T59" s="19">
        <v>2312595</v>
      </c>
      <c r="U59" s="19">
        <v>10382262</v>
      </c>
      <c r="V59" s="19">
        <v>148891006</v>
      </c>
      <c r="W59" s="19">
        <v>170788998</v>
      </c>
      <c r="X59" s="19">
        <v>211120510</v>
      </c>
      <c r="Y59" s="19">
        <v>92916782</v>
      </c>
      <c r="Z59" s="19">
        <v>22545</v>
      </c>
      <c r="AA59" s="19">
        <v>46583152</v>
      </c>
      <c r="AB59" s="19">
        <v>3724879</v>
      </c>
      <c r="AC59" s="19">
        <v>117942974</v>
      </c>
      <c r="AD59" s="19">
        <v>4379994</v>
      </c>
      <c r="AE59" s="19">
        <v>31327636</v>
      </c>
      <c r="AF59" s="19">
        <v>122758518</v>
      </c>
      <c r="AG59" s="19">
        <v>122424895</v>
      </c>
      <c r="AH59" s="19">
        <v>207412887</v>
      </c>
      <c r="AI59" s="19">
        <v>198118902</v>
      </c>
      <c r="AJ59" s="19">
        <v>432646</v>
      </c>
      <c r="AK59" s="19">
        <v>314348054</v>
      </c>
      <c r="AL59" s="19">
        <v>129565722</v>
      </c>
      <c r="AM59" s="19">
        <v>17936636</v>
      </c>
      <c r="AN59" s="19">
        <v>79352455</v>
      </c>
      <c r="AO59" s="19">
        <v>2981631</v>
      </c>
      <c r="AP59" s="19">
        <v>83182283</v>
      </c>
      <c r="AQ59" s="19">
        <v>2766481</v>
      </c>
      <c r="AR59" s="19">
        <v>34871</v>
      </c>
      <c r="AS59" s="19">
        <v>292492149</v>
      </c>
      <c r="AT59" s="19">
        <v>174762174</v>
      </c>
      <c r="AU59" s="19">
        <v>123394506</v>
      </c>
      <c r="AV59" s="19">
        <v>29065608</v>
      </c>
      <c r="AW59" s="19">
        <v>158284301</v>
      </c>
      <c r="AX59" s="19">
        <v>11502829</v>
      </c>
      <c r="AY59" s="19">
        <v>107782955</v>
      </c>
      <c r="AZ59" s="19">
        <v>340422</v>
      </c>
      <c r="BA59" s="19">
        <v>76690466</v>
      </c>
      <c r="BB59" s="19">
        <v>29556502</v>
      </c>
      <c r="BC59" s="19">
        <v>2057135</v>
      </c>
      <c r="BD59" s="19">
        <v>89812764</v>
      </c>
      <c r="BE59" s="19">
        <v>252882057</v>
      </c>
      <c r="BF59" s="19">
        <v>1776017</v>
      </c>
      <c r="BG59" s="19">
        <v>24928631</v>
      </c>
      <c r="BH59" s="19">
        <v>67795758</v>
      </c>
      <c r="BI59" s="19">
        <v>82011963</v>
      </c>
      <c r="BJ59" s="19">
        <v>21442782</v>
      </c>
      <c r="BK59" s="19">
        <v>46829</v>
      </c>
      <c r="BL59" s="19">
        <v>79035</v>
      </c>
      <c r="BM59" s="19">
        <v>25703771</v>
      </c>
      <c r="BN59" s="19">
        <v>58085306</v>
      </c>
      <c r="BO59" s="19">
        <v>89242797</v>
      </c>
      <c r="BP59" s="19">
        <v>63272026</v>
      </c>
      <c r="BQ59" s="19">
        <v>52178621</v>
      </c>
      <c r="BR59" s="19">
        <v>20610210</v>
      </c>
      <c r="BS59" s="19">
        <v>793202</v>
      </c>
      <c r="BT59" s="19">
        <v>314347284</v>
      </c>
      <c r="BU59" s="19">
        <v>136614463</v>
      </c>
      <c r="BV59" s="19">
        <v>110868662</v>
      </c>
      <c r="BW59" s="19">
        <v>174275178</v>
      </c>
      <c r="BX59" s="19">
        <v>87578893</v>
      </c>
      <c r="BY59" s="19">
        <v>303198240</v>
      </c>
      <c r="BZ59" s="19">
        <v>12340838</v>
      </c>
      <c r="CA59" s="19">
        <v>6047776</v>
      </c>
      <c r="CB59" s="19">
        <v>72817193</v>
      </c>
      <c r="CC59" s="19">
        <v>40783276</v>
      </c>
      <c r="CD59" s="19">
        <v>154782022</v>
      </c>
      <c r="CE59" s="19">
        <v>22424878</v>
      </c>
      <c r="CF59" s="19" t="s">
        <v>139</v>
      </c>
      <c r="CG59" s="19">
        <v>16000587</v>
      </c>
      <c r="CH59" s="19">
        <v>19711218</v>
      </c>
      <c r="CI59" s="19">
        <v>143902456</v>
      </c>
      <c r="CJ59" s="19">
        <v>91185801</v>
      </c>
      <c r="CK59" s="19">
        <v>9854856</v>
      </c>
      <c r="CL59" s="19">
        <v>39352131</v>
      </c>
      <c r="CM59" s="19">
        <v>149597138</v>
      </c>
      <c r="CN59" s="19">
        <v>194013168</v>
      </c>
      <c r="CO59" s="19">
        <v>3691384</v>
      </c>
      <c r="CP59" s="19">
        <v>16230826</v>
      </c>
      <c r="CQ59" s="19" t="s">
        <v>96</v>
      </c>
      <c r="CR59" s="19">
        <v>16950548</v>
      </c>
    </row>
    <row r="60" spans="1:96" ht="17.55" customHeight="1">
      <c r="A60" s="9" t="s">
        <v>93</v>
      </c>
      <c r="B60" s="15" t="s">
        <v>148</v>
      </c>
      <c r="C60" s="19">
        <v>29111</v>
      </c>
      <c r="D60" s="19">
        <v>1042336</v>
      </c>
      <c r="E60" s="19">
        <v>81004</v>
      </c>
      <c r="F60" s="19">
        <v>3317743</v>
      </c>
      <c r="G60" s="19">
        <v>62061</v>
      </c>
      <c r="H60" s="19">
        <v>213189</v>
      </c>
      <c r="I60" s="19">
        <v>25837</v>
      </c>
      <c r="J60" s="19">
        <v>4498</v>
      </c>
      <c r="K60" s="19">
        <v>8516141</v>
      </c>
      <c r="L60" s="19">
        <v>25493</v>
      </c>
      <c r="M60" s="19">
        <v>2307931</v>
      </c>
      <c r="N60" s="19">
        <v>684620</v>
      </c>
      <c r="O60" s="19">
        <v>2694556</v>
      </c>
      <c r="P60" s="19">
        <v>1020569</v>
      </c>
      <c r="Q60" s="19">
        <v>48123</v>
      </c>
      <c r="R60" s="19">
        <v>106360</v>
      </c>
      <c r="S60" s="19">
        <v>421926</v>
      </c>
      <c r="T60" s="19">
        <v>13505</v>
      </c>
      <c r="U60" s="19">
        <v>1166331</v>
      </c>
      <c r="V60" s="19">
        <v>3215240</v>
      </c>
      <c r="W60" s="19">
        <v>1659717</v>
      </c>
      <c r="X60" s="19">
        <v>11475816</v>
      </c>
      <c r="Y60" s="19">
        <v>497105</v>
      </c>
      <c r="Z60" s="19">
        <v>3352</v>
      </c>
      <c r="AA60" s="19">
        <v>41204</v>
      </c>
      <c r="AB60" s="19">
        <v>3714788</v>
      </c>
      <c r="AC60" s="19">
        <v>110169</v>
      </c>
      <c r="AD60" s="19">
        <v>411226</v>
      </c>
      <c r="AE60" s="19">
        <v>729292</v>
      </c>
      <c r="AF60" s="19">
        <v>7466</v>
      </c>
      <c r="AG60" s="19">
        <v>103833</v>
      </c>
      <c r="AH60" s="19">
        <v>5183068</v>
      </c>
      <c r="AI60" s="19">
        <v>9991</v>
      </c>
      <c r="AJ60" s="19">
        <v>60542</v>
      </c>
      <c r="AK60" s="19">
        <v>29068943</v>
      </c>
      <c r="AL60" s="19">
        <v>130481</v>
      </c>
      <c r="AM60" s="19">
        <v>5755264</v>
      </c>
      <c r="AN60" s="19">
        <v>26907</v>
      </c>
      <c r="AO60" s="19">
        <v>2587284</v>
      </c>
      <c r="AP60" s="19">
        <v>18863</v>
      </c>
      <c r="AQ60" s="19">
        <v>18803</v>
      </c>
      <c r="AR60" s="19">
        <v>34866</v>
      </c>
      <c r="AS60" s="19">
        <v>575928</v>
      </c>
      <c r="AT60" s="19">
        <v>44152</v>
      </c>
      <c r="AU60" s="19">
        <v>40953</v>
      </c>
      <c r="AV60" s="19">
        <v>33577</v>
      </c>
      <c r="AW60" s="19">
        <v>13558</v>
      </c>
      <c r="AX60" s="19">
        <v>165780</v>
      </c>
      <c r="AY60" s="19">
        <v>265032</v>
      </c>
      <c r="AZ60" s="19">
        <v>45976</v>
      </c>
      <c r="BA60" s="19">
        <v>6806</v>
      </c>
      <c r="BB60" s="19">
        <v>44616</v>
      </c>
      <c r="BC60" s="19">
        <v>66785</v>
      </c>
      <c r="BD60" s="19">
        <v>30118</v>
      </c>
      <c r="BE60" s="19">
        <v>21225</v>
      </c>
      <c r="BF60" s="19">
        <v>601674</v>
      </c>
      <c r="BG60" s="19">
        <v>6954405</v>
      </c>
      <c r="BH60" s="19">
        <v>116385</v>
      </c>
      <c r="BI60" s="19">
        <v>82119</v>
      </c>
      <c r="BJ60" s="19">
        <v>16036</v>
      </c>
      <c r="BK60" s="19">
        <v>44240</v>
      </c>
      <c r="BL60" s="19">
        <v>79035</v>
      </c>
      <c r="BM60" s="19">
        <v>2101</v>
      </c>
      <c r="BN60" s="19">
        <v>75071</v>
      </c>
      <c r="BO60" s="19">
        <v>28389</v>
      </c>
      <c r="BP60" s="19">
        <v>7258</v>
      </c>
      <c r="BQ60" s="19">
        <v>36621</v>
      </c>
      <c r="BR60" s="19">
        <v>13482</v>
      </c>
      <c r="BS60" s="19">
        <v>14051</v>
      </c>
      <c r="BT60" s="19">
        <v>32692</v>
      </c>
      <c r="BU60" s="19">
        <v>22642</v>
      </c>
      <c r="BV60" s="19">
        <v>705104</v>
      </c>
      <c r="BW60" s="19">
        <v>19150</v>
      </c>
      <c r="BX60" s="19">
        <v>57877</v>
      </c>
      <c r="BY60" s="19">
        <v>46702</v>
      </c>
      <c r="BZ60" s="19">
        <v>340830</v>
      </c>
      <c r="CA60" s="19">
        <v>41683</v>
      </c>
      <c r="CB60" s="19">
        <v>38515</v>
      </c>
      <c r="CC60" s="19">
        <v>46676</v>
      </c>
      <c r="CD60" s="19">
        <v>76771</v>
      </c>
      <c r="CE60" s="19">
        <v>5432</v>
      </c>
      <c r="CF60" s="19" t="s">
        <v>139</v>
      </c>
      <c r="CG60" s="19">
        <v>794028</v>
      </c>
      <c r="CH60" s="19">
        <v>20753</v>
      </c>
      <c r="CI60" s="19">
        <v>5805802</v>
      </c>
      <c r="CJ60" s="19">
        <v>9858</v>
      </c>
      <c r="CK60" s="19">
        <v>7707</v>
      </c>
      <c r="CL60" s="19">
        <v>3410528</v>
      </c>
      <c r="CM60" s="19">
        <v>6421221</v>
      </c>
      <c r="CN60" s="19">
        <v>20744</v>
      </c>
      <c r="CO60" s="19">
        <v>70109</v>
      </c>
      <c r="CP60" s="19">
        <v>1246</v>
      </c>
      <c r="CQ60" s="19" t="s">
        <v>96</v>
      </c>
      <c r="CR60" s="19">
        <v>755054</v>
      </c>
    </row>
    <row r="61" spans="1:96" ht="17.55" customHeight="1">
      <c r="A61" s="9" t="s">
        <v>93</v>
      </c>
      <c r="B61" s="15" t="s">
        <v>62</v>
      </c>
      <c r="C61" s="19"/>
      <c r="D61" s="19"/>
      <c r="E61" s="19"/>
      <c r="F61" s="19"/>
      <c r="G61" s="19"/>
      <c r="H61" s="19"/>
      <c r="I61" s="19"/>
      <c r="J61" s="19">
        <v>0</v>
      </c>
      <c r="K61" s="19"/>
      <c r="L61" s="19"/>
      <c r="M61" s="19"/>
      <c r="N61" s="19"/>
      <c r="O61" s="19"/>
      <c r="P61" s="19"/>
      <c r="Q61" s="19"/>
      <c r="R61" s="19">
        <v>551980</v>
      </c>
      <c r="S61" s="19">
        <v>64000000</v>
      </c>
      <c r="T61" s="19"/>
      <c r="U61" s="19"/>
      <c r="V61" s="19"/>
      <c r="W61" s="19">
        <v>0</v>
      </c>
      <c r="X61" s="19"/>
      <c r="Y61" s="19"/>
      <c r="Z61" s="19"/>
      <c r="AA61" s="19"/>
      <c r="AB61" s="19"/>
      <c r="AC61" s="19"/>
      <c r="AD61" s="19"/>
      <c r="AE61" s="19"/>
      <c r="AF61" s="19"/>
      <c r="AG61" s="19">
        <v>46903770</v>
      </c>
      <c r="AH61" s="19"/>
      <c r="AI61" s="19"/>
      <c r="AJ61" s="19"/>
      <c r="AK61" s="19">
        <v>39730953</v>
      </c>
      <c r="AL61" s="19"/>
      <c r="AM61" s="19"/>
      <c r="AN61" s="19"/>
      <c r="AO61" s="19"/>
      <c r="AP61" s="19"/>
      <c r="AQ61" s="19"/>
      <c r="AR61" s="19"/>
      <c r="AS61" s="19"/>
      <c r="AT61" s="19"/>
      <c r="AU61" s="19"/>
      <c r="AV61" s="19"/>
      <c r="AW61" s="19"/>
      <c r="AX61" s="19"/>
      <c r="AY61" s="19"/>
      <c r="AZ61" s="19"/>
      <c r="BA61" s="19"/>
      <c r="BB61" s="19"/>
      <c r="BC61" s="19"/>
      <c r="BD61" s="19"/>
      <c r="BE61" s="19"/>
      <c r="BF61" s="19"/>
      <c r="BG61" s="19"/>
      <c r="BH61" s="19"/>
      <c r="BI61" s="19"/>
      <c r="BJ61" s="19"/>
      <c r="BK61" s="19"/>
      <c r="BL61" s="19"/>
      <c r="BM61" s="19"/>
      <c r="BN61" s="19"/>
      <c r="BO61" s="19"/>
      <c r="BP61" s="19">
        <v>63264768</v>
      </c>
      <c r="BQ61" s="19"/>
      <c r="BR61" s="19"/>
      <c r="BS61" s="19"/>
      <c r="BT61" s="19"/>
      <c r="BU61" s="19"/>
      <c r="BV61" s="19"/>
      <c r="BW61" s="19"/>
      <c r="BX61" s="19"/>
      <c r="BY61" s="19"/>
      <c r="BZ61" s="19"/>
      <c r="CA61" s="19"/>
      <c r="CB61" s="19"/>
      <c r="CC61" s="19"/>
      <c r="CD61" s="19"/>
      <c r="CE61" s="19"/>
      <c r="CF61" s="19" t="s">
        <v>139</v>
      </c>
      <c r="CG61" s="19"/>
      <c r="CH61" s="19"/>
      <c r="CI61" s="19"/>
      <c r="CJ61" s="19"/>
      <c r="CK61" s="19"/>
      <c r="CL61" s="19">
        <v>0</v>
      </c>
      <c r="CM61" s="19"/>
      <c r="CN61" s="19"/>
      <c r="CO61" s="19"/>
      <c r="CP61" s="19"/>
      <c r="CQ61" s="19" t="s">
        <v>96</v>
      </c>
      <c r="CR61" s="19"/>
    </row>
    <row r="62" spans="1:96" ht="17.55" customHeight="1">
      <c r="A62" s="9" t="s">
        <v>93</v>
      </c>
      <c r="B62" s="15" t="s">
        <v>20</v>
      </c>
      <c r="C62" s="19">
        <v>8480901</v>
      </c>
      <c r="D62" s="19">
        <v>3794340</v>
      </c>
      <c r="E62" s="19">
        <v>21128885</v>
      </c>
      <c r="F62" s="19">
        <v>138015</v>
      </c>
      <c r="G62" s="19">
        <v>2255</v>
      </c>
      <c r="H62" s="19">
        <v>1715966</v>
      </c>
      <c r="I62" s="19">
        <v>11044773</v>
      </c>
      <c r="J62" s="19">
        <v>31307</v>
      </c>
      <c r="K62" s="19">
        <v>22749884</v>
      </c>
      <c r="L62" s="19">
        <v>80814598</v>
      </c>
      <c r="M62" s="19">
        <v>7815121</v>
      </c>
      <c r="N62" s="19">
        <v>312458</v>
      </c>
      <c r="O62" s="19">
        <v>8210387</v>
      </c>
      <c r="P62" s="19">
        <v>22750711</v>
      </c>
      <c r="Q62" s="19">
        <v>600590</v>
      </c>
      <c r="R62" s="19">
        <v>518687</v>
      </c>
      <c r="S62" s="19">
        <v>2589302</v>
      </c>
      <c r="T62" s="19">
        <v>2299090</v>
      </c>
      <c r="U62" s="19">
        <v>518767</v>
      </c>
      <c r="V62" s="19">
        <v>2200732</v>
      </c>
      <c r="W62" s="19">
        <v>3904221</v>
      </c>
      <c r="X62" s="19">
        <v>14436694</v>
      </c>
      <c r="Y62" s="19">
        <v>1699357</v>
      </c>
      <c r="Z62" s="19">
        <v>19193</v>
      </c>
      <c r="AA62" s="19">
        <v>24</v>
      </c>
      <c r="AB62" s="19">
        <v>10091</v>
      </c>
      <c r="AC62" s="19">
        <v>15671805</v>
      </c>
      <c r="AD62" s="19">
        <v>3349418</v>
      </c>
      <c r="AE62" s="19">
        <v>545414</v>
      </c>
      <c r="AF62" s="19">
        <v>52</v>
      </c>
      <c r="AG62" s="19">
        <v>10846742</v>
      </c>
      <c r="AH62" s="19">
        <v>4982905</v>
      </c>
      <c r="AI62" s="19">
        <v>60311</v>
      </c>
      <c r="AJ62" s="19">
        <v>60742</v>
      </c>
      <c r="AK62" s="19">
        <v>241630738</v>
      </c>
      <c r="AL62" s="19">
        <v>640190</v>
      </c>
      <c r="AM62" s="19">
        <v>2181372</v>
      </c>
      <c r="AN62" s="19">
        <v>7548</v>
      </c>
      <c r="AO62" s="19">
        <v>71202</v>
      </c>
      <c r="AP62" s="19">
        <v>979420</v>
      </c>
      <c r="AQ62" s="19">
        <v>2747678</v>
      </c>
      <c r="AR62" s="19">
        <v>5</v>
      </c>
      <c r="AS62" s="19">
        <v>288213473</v>
      </c>
      <c r="AT62" s="19"/>
      <c r="AU62" s="19">
        <v>29061113</v>
      </c>
      <c r="AV62" s="19">
        <v>1073751</v>
      </c>
      <c r="AW62" s="19">
        <v>31699493</v>
      </c>
      <c r="AX62" s="19">
        <v>11337049</v>
      </c>
      <c r="AY62" s="19">
        <v>29211923</v>
      </c>
      <c r="AZ62" s="19">
        <v>273043</v>
      </c>
      <c r="BA62" s="19">
        <v>73683660</v>
      </c>
      <c r="BB62" s="19">
        <v>12002794</v>
      </c>
      <c r="BC62" s="19">
        <v>1990350</v>
      </c>
      <c r="BD62" s="19">
        <v>214646</v>
      </c>
      <c r="BE62" s="19">
        <v>57</v>
      </c>
      <c r="BF62" s="19">
        <v>1174343</v>
      </c>
      <c r="BG62" s="19">
        <v>417573</v>
      </c>
      <c r="BH62" s="19">
        <v>2279373</v>
      </c>
      <c r="BI62" s="19">
        <v>81929844</v>
      </c>
      <c r="BJ62" s="19">
        <v>3908413</v>
      </c>
      <c r="BK62" s="19">
        <v>2589</v>
      </c>
      <c r="BL62" s="19"/>
      <c r="BM62" s="19">
        <v>1636</v>
      </c>
      <c r="BN62" s="19">
        <v>397438</v>
      </c>
      <c r="BO62" s="19">
        <v>77163</v>
      </c>
      <c r="BP62" s="19"/>
      <c r="BQ62" s="19">
        <v>52142000</v>
      </c>
      <c r="BR62" s="19">
        <v>27</v>
      </c>
      <c r="BS62" s="19">
        <v>779151</v>
      </c>
      <c r="BT62" s="19">
        <v>70019</v>
      </c>
      <c r="BU62" s="19">
        <v>4534055</v>
      </c>
      <c r="BV62" s="19">
        <v>110163558</v>
      </c>
      <c r="BW62" s="19"/>
      <c r="BX62" s="19">
        <v>308966</v>
      </c>
      <c r="BY62" s="19">
        <v>580064</v>
      </c>
      <c r="BZ62" s="19">
        <v>12000008</v>
      </c>
      <c r="CA62" s="19">
        <v>6093</v>
      </c>
      <c r="CB62" s="19">
        <v>31234488</v>
      </c>
      <c r="CC62" s="19">
        <v>0</v>
      </c>
      <c r="CD62" s="19">
        <v>18807249</v>
      </c>
      <c r="CE62" s="19">
        <v>2039446</v>
      </c>
      <c r="CF62" s="19" t="s">
        <v>139</v>
      </c>
      <c r="CG62" s="19">
        <v>9</v>
      </c>
      <c r="CH62" s="19">
        <v>265772</v>
      </c>
      <c r="CI62" s="19">
        <v>2454</v>
      </c>
      <c r="CJ62" s="19">
        <v>10000051</v>
      </c>
      <c r="CK62" s="19">
        <v>853149</v>
      </c>
      <c r="CL62" s="19">
        <v>2114603</v>
      </c>
      <c r="CM62" s="19">
        <v>12712357</v>
      </c>
      <c r="CN62" s="19">
        <v>27441</v>
      </c>
      <c r="CO62" s="19">
        <v>1459665</v>
      </c>
      <c r="CP62" s="19">
        <v>3798185</v>
      </c>
      <c r="CQ62" s="19" t="s">
        <v>96</v>
      </c>
      <c r="CR62" s="19">
        <v>704294</v>
      </c>
    </row>
    <row r="63" spans="1:96" ht="17.55" customHeight="1">
      <c r="A63" s="9" t="s">
        <v>93</v>
      </c>
      <c r="B63" s="15" t="s">
        <v>145</v>
      </c>
      <c r="C63" s="19"/>
      <c r="D63" s="19"/>
      <c r="E63" s="19"/>
      <c r="F63" s="19"/>
      <c r="G63" s="19"/>
      <c r="H63" s="19"/>
      <c r="I63" s="19"/>
      <c r="J63" s="19"/>
      <c r="K63" s="19"/>
      <c r="L63" s="19"/>
      <c r="M63" s="19"/>
      <c r="N63" s="19"/>
      <c r="O63" s="19">
        <v>1803052</v>
      </c>
      <c r="P63" s="19"/>
      <c r="Q63" s="19"/>
      <c r="R63" s="19"/>
      <c r="S63" s="19"/>
      <c r="T63" s="19"/>
      <c r="U63" s="19"/>
      <c r="V63" s="19"/>
      <c r="W63" s="19"/>
      <c r="X63" s="19"/>
      <c r="Y63" s="19"/>
      <c r="Z63" s="19"/>
      <c r="AA63" s="19"/>
      <c r="AB63" s="19"/>
      <c r="AC63" s="19"/>
      <c r="AD63" s="19"/>
      <c r="AE63" s="19"/>
      <c r="AF63" s="19"/>
      <c r="AG63" s="19"/>
      <c r="AH63" s="19">
        <v>16669</v>
      </c>
      <c r="AI63" s="19"/>
      <c r="AJ63" s="19"/>
      <c r="AK63" s="19"/>
      <c r="AL63" s="19"/>
      <c r="AM63" s="19"/>
      <c r="AN63" s="19"/>
      <c r="AO63" s="19"/>
      <c r="AP63" s="19"/>
      <c r="AQ63" s="19"/>
      <c r="AR63" s="19"/>
      <c r="AS63" s="19"/>
      <c r="AT63" s="19"/>
      <c r="AU63" s="19"/>
      <c r="AV63" s="19"/>
      <c r="AW63" s="19"/>
      <c r="AX63" s="19"/>
      <c r="AY63" s="19"/>
      <c r="AZ63" s="19">
        <v>21403</v>
      </c>
      <c r="BA63" s="19"/>
      <c r="BB63" s="19"/>
      <c r="BC63" s="19"/>
      <c r="BD63" s="19"/>
      <c r="BE63" s="19"/>
      <c r="BF63" s="19"/>
      <c r="BG63" s="19"/>
      <c r="BH63" s="19"/>
      <c r="BI63" s="19"/>
      <c r="BJ63" s="19"/>
      <c r="BK63" s="19"/>
      <c r="BL63" s="19"/>
      <c r="BM63" s="19"/>
      <c r="BN63" s="19"/>
      <c r="BO63" s="19"/>
      <c r="BP63" s="19"/>
      <c r="BQ63" s="19"/>
      <c r="BR63" s="19"/>
      <c r="BS63" s="19"/>
      <c r="BT63" s="19"/>
      <c r="BU63" s="19"/>
      <c r="BV63" s="19"/>
      <c r="BW63" s="19"/>
      <c r="BX63" s="19"/>
      <c r="BY63" s="19"/>
      <c r="BZ63" s="19"/>
      <c r="CA63" s="19"/>
      <c r="CB63" s="19"/>
      <c r="CC63" s="19"/>
      <c r="CD63" s="19"/>
      <c r="CE63" s="19"/>
      <c r="CF63" s="19" t="s">
        <v>139</v>
      </c>
      <c r="CG63" s="19"/>
      <c r="CH63" s="19"/>
      <c r="CI63" s="19"/>
      <c r="CJ63" s="19"/>
      <c r="CK63" s="19"/>
      <c r="CL63" s="19"/>
      <c r="CM63" s="19"/>
      <c r="CN63" s="19"/>
      <c r="CO63" s="19"/>
      <c r="CP63" s="19"/>
      <c r="CQ63" s="19" t="s">
        <v>96</v>
      </c>
      <c r="CR63" s="19"/>
    </row>
    <row r="64" spans="1:96" ht="17.55" customHeight="1">
      <c r="A64" s="9" t="s">
        <v>93</v>
      </c>
      <c r="B64" s="16" t="s">
        <v>78</v>
      </c>
      <c r="C64" s="19">
        <v>3900000</v>
      </c>
      <c r="D64" s="19">
        <v>943893930</v>
      </c>
      <c r="E64" s="19">
        <v>20834850</v>
      </c>
      <c r="F64" s="19">
        <v>112289000</v>
      </c>
      <c r="G64" s="19">
        <v>49151864</v>
      </c>
      <c r="H64" s="19">
        <v>143135000</v>
      </c>
      <c r="I64" s="19">
        <v>188201890</v>
      </c>
      <c r="J64" s="19">
        <v>20000000</v>
      </c>
      <c r="K64" s="19">
        <v>695824861</v>
      </c>
      <c r="L64" s="19">
        <v>13673000</v>
      </c>
      <c r="M64" s="19">
        <v>7200000</v>
      </c>
      <c r="N64" s="19">
        <v>652892364</v>
      </c>
      <c r="O64" s="19">
        <v>74065604</v>
      </c>
      <c r="P64" s="19">
        <v>0</v>
      </c>
      <c r="Q64" s="19">
        <v>0</v>
      </c>
      <c r="R64" s="19">
        <v>137200000</v>
      </c>
      <c r="S64" s="19">
        <v>104690000</v>
      </c>
      <c r="T64" s="19">
        <v>0</v>
      </c>
      <c r="U64" s="19">
        <v>0</v>
      </c>
      <c r="V64" s="19">
        <v>143475034</v>
      </c>
      <c r="W64" s="19">
        <v>165225060</v>
      </c>
      <c r="X64" s="19">
        <v>38463000</v>
      </c>
      <c r="Y64" s="19">
        <v>90720320</v>
      </c>
      <c r="Z64" s="19">
        <v>0</v>
      </c>
      <c r="AA64" s="19">
        <v>40000000</v>
      </c>
      <c r="AB64" s="19">
        <v>0</v>
      </c>
      <c r="AC64" s="19">
        <v>102161000</v>
      </c>
      <c r="AD64" s="19">
        <v>619350</v>
      </c>
      <c r="AE64" s="19">
        <v>30052930</v>
      </c>
      <c r="AF64" s="19">
        <v>122751000</v>
      </c>
      <c r="AG64" s="19">
        <v>64570550</v>
      </c>
      <c r="AH64" s="19">
        <v>190076796</v>
      </c>
      <c r="AI64" s="19">
        <v>88398600</v>
      </c>
      <c r="AJ64" s="19">
        <v>0</v>
      </c>
      <c r="AK64" s="19">
        <v>0</v>
      </c>
      <c r="AL64" s="19">
        <v>128795051</v>
      </c>
      <c r="AM64" s="19">
        <v>0</v>
      </c>
      <c r="AN64" s="19">
        <v>79318000</v>
      </c>
      <c r="AO64" s="19">
        <v>0</v>
      </c>
      <c r="AP64" s="19">
        <v>82184000</v>
      </c>
      <c r="AQ64" s="19">
        <v>0</v>
      </c>
      <c r="AR64" s="19">
        <v>0</v>
      </c>
      <c r="AS64" s="19">
        <v>0</v>
      </c>
      <c r="AT64" s="19">
        <v>0</v>
      </c>
      <c r="AU64" s="19">
        <v>92982000</v>
      </c>
      <c r="AV64" s="19">
        <v>27958280</v>
      </c>
      <c r="AW64" s="19">
        <v>126571250</v>
      </c>
      <c r="AX64" s="19">
        <v>0</v>
      </c>
      <c r="AY64" s="19">
        <v>78306000</v>
      </c>
      <c r="AZ64" s="19">
        <v>0</v>
      </c>
      <c r="BA64" s="19">
        <v>0</v>
      </c>
      <c r="BB64" s="19">
        <v>0</v>
      </c>
      <c r="BC64" s="19">
        <v>0</v>
      </c>
      <c r="BD64" s="19">
        <v>89568000</v>
      </c>
      <c r="BE64" s="19">
        <v>252860775</v>
      </c>
      <c r="BF64" s="19">
        <v>0</v>
      </c>
      <c r="BG64" s="19">
        <v>0</v>
      </c>
      <c r="BH64" s="19">
        <v>49722000</v>
      </c>
      <c r="BI64" s="19">
        <v>0</v>
      </c>
      <c r="BJ64" s="19">
        <v>16028360</v>
      </c>
      <c r="BK64" s="19">
        <v>0</v>
      </c>
      <c r="BL64" s="19">
        <v>0</v>
      </c>
      <c r="BM64" s="19">
        <v>25700034</v>
      </c>
      <c r="BN64" s="19">
        <v>57145930</v>
      </c>
      <c r="BO64" s="19">
        <v>88000000</v>
      </c>
      <c r="BP64" s="19">
        <v>0</v>
      </c>
      <c r="BQ64" s="19">
        <v>0</v>
      </c>
      <c r="BR64" s="19">
        <v>20596701</v>
      </c>
      <c r="BS64" s="19">
        <v>0</v>
      </c>
      <c r="BT64" s="19">
        <v>0</v>
      </c>
      <c r="BU64" s="19">
        <v>132000000</v>
      </c>
      <c r="BV64" s="19">
        <v>0</v>
      </c>
      <c r="BW64" s="19">
        <v>174256028</v>
      </c>
      <c r="BX64" s="19">
        <v>87212050</v>
      </c>
      <c r="BY64" s="19">
        <v>252571474</v>
      </c>
      <c r="BZ64" s="19">
        <v>0</v>
      </c>
      <c r="CA64" s="19">
        <v>6000000</v>
      </c>
      <c r="CB64" s="19">
        <v>41544190</v>
      </c>
      <c r="CC64" s="19">
        <v>40736600</v>
      </c>
      <c r="CD64" s="19">
        <v>132778000</v>
      </c>
      <c r="CE64" s="19">
        <v>20380000</v>
      </c>
      <c r="CF64" s="19" t="s">
        <v>139</v>
      </c>
      <c r="CG64" s="19">
        <v>11609383</v>
      </c>
      <c r="CH64" s="19">
        <v>19424693</v>
      </c>
      <c r="CI64" s="19">
        <v>138094200</v>
      </c>
      <c r="CJ64" s="19">
        <v>80714233</v>
      </c>
      <c r="CK64" s="19">
        <v>8994000</v>
      </c>
      <c r="CL64" s="19">
        <v>33827000</v>
      </c>
      <c r="CM64" s="19">
        <v>130463560</v>
      </c>
      <c r="CN64" s="19">
        <v>175264983</v>
      </c>
      <c r="CO64" s="19">
        <v>0</v>
      </c>
      <c r="CP64" s="19">
        <v>12431395</v>
      </c>
      <c r="CQ64" s="19" t="s">
        <v>96</v>
      </c>
      <c r="CR64" s="19">
        <v>15491200</v>
      </c>
    </row>
    <row r="65" spans="1:96" ht="17.55" customHeight="1">
      <c r="A65" s="9" t="s">
        <v>93</v>
      </c>
      <c r="B65" s="17" t="s">
        <v>80</v>
      </c>
      <c r="C65" s="19">
        <v>3900000</v>
      </c>
      <c r="D65" s="19"/>
      <c r="E65" s="19"/>
      <c r="F65" s="19"/>
      <c r="G65" s="19"/>
      <c r="H65" s="19"/>
      <c r="I65" s="19"/>
      <c r="J65" s="19"/>
      <c r="K65" s="19"/>
      <c r="L65" s="19">
        <v>13673000</v>
      </c>
      <c r="M65" s="19">
        <v>7200000</v>
      </c>
      <c r="N65" s="19"/>
      <c r="O65" s="19"/>
      <c r="P65" s="19"/>
      <c r="Q65" s="19">
        <v>0</v>
      </c>
      <c r="R65" s="19"/>
      <c r="S65" s="19">
        <v>104690000</v>
      </c>
      <c r="T65" s="19"/>
      <c r="U65" s="19"/>
      <c r="V65" s="19">
        <v>29896670</v>
      </c>
      <c r="W65" s="19"/>
      <c r="X65" s="19"/>
      <c r="Y65" s="19">
        <v>90720320</v>
      </c>
      <c r="Z65" s="19"/>
      <c r="AA65" s="19">
        <v>40000000</v>
      </c>
      <c r="AB65" s="19"/>
      <c r="AC65" s="19">
        <v>102161000</v>
      </c>
      <c r="AD65" s="19">
        <v>619350</v>
      </c>
      <c r="AE65" s="19">
        <v>30052930</v>
      </c>
      <c r="AF65" s="19">
        <v>122751000</v>
      </c>
      <c r="AG65" s="19"/>
      <c r="AH65" s="19"/>
      <c r="AI65" s="19"/>
      <c r="AJ65" s="19"/>
      <c r="AK65" s="19"/>
      <c r="AL65" s="19"/>
      <c r="AM65" s="19"/>
      <c r="AN65" s="19"/>
      <c r="AO65" s="19"/>
      <c r="AP65" s="19"/>
      <c r="AQ65" s="19"/>
      <c r="AR65" s="19">
        <v>0</v>
      </c>
      <c r="AS65" s="19"/>
      <c r="AT65" s="19"/>
      <c r="AU65" s="19">
        <v>85416000</v>
      </c>
      <c r="AV65" s="19"/>
      <c r="AW65" s="19"/>
      <c r="AX65" s="19"/>
      <c r="AY65" s="19"/>
      <c r="AZ65" s="19"/>
      <c r="BA65" s="19"/>
      <c r="BB65" s="19"/>
      <c r="BC65" s="19"/>
      <c r="BD65" s="19"/>
      <c r="BE65" s="19">
        <v>252860775</v>
      </c>
      <c r="BF65" s="19"/>
      <c r="BG65" s="19"/>
      <c r="BH65" s="19"/>
      <c r="BI65" s="19"/>
      <c r="BJ65" s="19"/>
      <c r="BK65" s="19"/>
      <c r="BL65" s="19"/>
      <c r="BM65" s="19"/>
      <c r="BN65" s="19">
        <v>56645930</v>
      </c>
      <c r="BO65" s="19"/>
      <c r="BP65" s="19"/>
      <c r="BQ65" s="19"/>
      <c r="BR65" s="19"/>
      <c r="BS65" s="19"/>
      <c r="BT65" s="19"/>
      <c r="BU65" s="19"/>
      <c r="BV65" s="19"/>
      <c r="BW65" s="19"/>
      <c r="BX65" s="19"/>
      <c r="BY65" s="19"/>
      <c r="BZ65" s="19"/>
      <c r="CA65" s="19"/>
      <c r="CB65" s="19">
        <v>41544190</v>
      </c>
      <c r="CC65" s="19">
        <v>14090000</v>
      </c>
      <c r="CD65" s="19"/>
      <c r="CE65" s="19">
        <v>20380000</v>
      </c>
      <c r="CF65" s="19" t="s">
        <v>139</v>
      </c>
      <c r="CG65" s="19"/>
      <c r="CH65" s="19"/>
      <c r="CI65" s="19">
        <v>138094200</v>
      </c>
      <c r="CJ65" s="19">
        <v>80714233</v>
      </c>
      <c r="CK65" s="19">
        <v>8994000</v>
      </c>
      <c r="CL65" s="19"/>
      <c r="CM65" s="19">
        <v>82588320</v>
      </c>
      <c r="CN65" s="19"/>
      <c r="CO65" s="19"/>
      <c r="CP65" s="19"/>
      <c r="CQ65" s="19" t="s">
        <v>96</v>
      </c>
      <c r="CR65" s="19"/>
    </row>
    <row r="66" spans="1:96" ht="17.55" customHeight="1">
      <c r="A66" s="9" t="s">
        <v>93</v>
      </c>
      <c r="B66" s="17" t="s">
        <v>7</v>
      </c>
      <c r="C66" s="19"/>
      <c r="D66" s="19">
        <v>918200930</v>
      </c>
      <c r="E66" s="19"/>
      <c r="F66" s="19">
        <v>112289000</v>
      </c>
      <c r="G66" s="19">
        <v>49151864</v>
      </c>
      <c r="H66" s="19">
        <v>24708000</v>
      </c>
      <c r="I66" s="19"/>
      <c r="J66" s="19"/>
      <c r="K66" s="19"/>
      <c r="L66" s="19"/>
      <c r="M66" s="19"/>
      <c r="N66" s="19"/>
      <c r="O66" s="19"/>
      <c r="P66" s="19"/>
      <c r="Q66" s="19"/>
      <c r="R66" s="19"/>
      <c r="S66" s="19"/>
      <c r="T66" s="19"/>
      <c r="U66" s="19"/>
      <c r="V66" s="19"/>
      <c r="W66" s="19">
        <v>165225060</v>
      </c>
      <c r="X66" s="19"/>
      <c r="Y66" s="19"/>
      <c r="Z66" s="19"/>
      <c r="AA66" s="19"/>
      <c r="AB66" s="19">
        <v>0</v>
      </c>
      <c r="AC66" s="19"/>
      <c r="AD66" s="19"/>
      <c r="AE66" s="19"/>
      <c r="AF66" s="19"/>
      <c r="AG66" s="19">
        <v>64570550</v>
      </c>
      <c r="AH66" s="19"/>
      <c r="AI66" s="19">
        <v>88398600</v>
      </c>
      <c r="AJ66" s="19">
        <v>0</v>
      </c>
      <c r="AK66" s="19"/>
      <c r="AL66" s="19"/>
      <c r="AM66" s="19"/>
      <c r="AN66" s="19"/>
      <c r="AO66" s="19"/>
      <c r="AP66" s="19"/>
      <c r="AQ66" s="19"/>
      <c r="AR66" s="19">
        <v>0</v>
      </c>
      <c r="AS66" s="19"/>
      <c r="AT66" s="19"/>
      <c r="AU66" s="19">
        <v>7566000</v>
      </c>
      <c r="AV66" s="19"/>
      <c r="AW66" s="19">
        <v>126571250</v>
      </c>
      <c r="AX66" s="19"/>
      <c r="AY66" s="19">
        <v>78306000</v>
      </c>
      <c r="AZ66" s="19"/>
      <c r="BA66" s="19"/>
      <c r="BB66" s="19"/>
      <c r="BC66" s="19"/>
      <c r="BD66" s="19"/>
      <c r="BE66" s="19"/>
      <c r="BF66" s="19"/>
      <c r="BG66" s="19"/>
      <c r="BH66" s="19"/>
      <c r="BI66" s="19"/>
      <c r="BJ66" s="19"/>
      <c r="BK66" s="19"/>
      <c r="BL66" s="19"/>
      <c r="BM66" s="19">
        <v>25700034</v>
      </c>
      <c r="BN66" s="19"/>
      <c r="BO66" s="19">
        <v>88000000</v>
      </c>
      <c r="BP66" s="19"/>
      <c r="BQ66" s="19"/>
      <c r="BR66" s="19">
        <v>20596701</v>
      </c>
      <c r="BS66" s="19"/>
      <c r="BT66" s="19"/>
      <c r="BU66" s="19"/>
      <c r="BV66" s="19"/>
      <c r="BW66" s="19"/>
      <c r="BX66" s="19"/>
      <c r="BY66" s="19">
        <v>252571474</v>
      </c>
      <c r="BZ66" s="19"/>
      <c r="CA66" s="19">
        <v>6000000</v>
      </c>
      <c r="CB66" s="19"/>
      <c r="CC66" s="19"/>
      <c r="CD66" s="19"/>
      <c r="CE66" s="19"/>
      <c r="CF66" s="19" t="s">
        <v>139</v>
      </c>
      <c r="CG66" s="19"/>
      <c r="CH66" s="19">
        <v>19424693</v>
      </c>
      <c r="CI66" s="19"/>
      <c r="CJ66" s="19"/>
      <c r="CK66" s="19"/>
      <c r="CL66" s="19"/>
      <c r="CM66" s="19"/>
      <c r="CN66" s="19"/>
      <c r="CO66" s="19">
        <v>0</v>
      </c>
      <c r="CP66" s="19"/>
      <c r="CQ66" s="19" t="s">
        <v>96</v>
      </c>
      <c r="CR66" s="19">
        <v>15491200</v>
      </c>
    </row>
    <row r="67" spans="1:96" ht="17.55" customHeight="1">
      <c r="A67" s="9" t="s">
        <v>93</v>
      </c>
      <c r="B67" s="17" t="s">
        <v>25</v>
      </c>
      <c r="C67" s="19"/>
      <c r="D67" s="19">
        <v>25693000</v>
      </c>
      <c r="E67" s="19"/>
      <c r="F67" s="19"/>
      <c r="G67" s="19"/>
      <c r="H67" s="19"/>
      <c r="I67" s="19"/>
      <c r="J67" s="19"/>
      <c r="K67" s="19">
        <v>695824861</v>
      </c>
      <c r="L67" s="19"/>
      <c r="M67" s="19"/>
      <c r="N67" s="19">
        <v>100303587</v>
      </c>
      <c r="O67" s="19">
        <v>74065604</v>
      </c>
      <c r="P67" s="19"/>
      <c r="Q67" s="19"/>
      <c r="R67" s="19"/>
      <c r="S67" s="19"/>
      <c r="T67" s="19"/>
      <c r="U67" s="19"/>
      <c r="V67" s="19"/>
      <c r="W67" s="19"/>
      <c r="X67" s="19"/>
      <c r="Y67" s="19"/>
      <c r="Z67" s="19"/>
      <c r="AA67" s="19"/>
      <c r="AB67" s="19">
        <v>0</v>
      </c>
      <c r="AC67" s="19"/>
      <c r="AD67" s="19"/>
      <c r="AE67" s="19"/>
      <c r="AF67" s="19"/>
      <c r="AG67" s="19"/>
      <c r="AH67" s="19"/>
      <c r="AI67" s="19"/>
      <c r="AJ67" s="19"/>
      <c r="AK67" s="19"/>
      <c r="AL67" s="19">
        <v>2334900</v>
      </c>
      <c r="AM67" s="19"/>
      <c r="AN67" s="19"/>
      <c r="AO67" s="19"/>
      <c r="AP67" s="19"/>
      <c r="AQ67" s="19"/>
      <c r="AR67" s="19"/>
      <c r="AS67" s="19"/>
      <c r="AT67" s="19"/>
      <c r="AU67" s="19"/>
      <c r="AV67" s="19">
        <v>0</v>
      </c>
      <c r="AW67" s="19"/>
      <c r="AX67" s="19"/>
      <c r="AY67" s="19"/>
      <c r="AZ67" s="19"/>
      <c r="BA67" s="19"/>
      <c r="BB67" s="19"/>
      <c r="BC67" s="19"/>
      <c r="BD67" s="19"/>
      <c r="BE67" s="19"/>
      <c r="BF67" s="19"/>
      <c r="BG67" s="19"/>
      <c r="BH67" s="19"/>
      <c r="BI67" s="19"/>
      <c r="BJ67" s="19"/>
      <c r="BK67" s="19"/>
      <c r="BL67" s="19"/>
      <c r="BM67" s="19"/>
      <c r="BN67" s="19">
        <v>500000</v>
      </c>
      <c r="BO67" s="19"/>
      <c r="BP67" s="19"/>
      <c r="BQ67" s="19"/>
      <c r="BR67" s="19"/>
      <c r="BS67" s="19"/>
      <c r="BT67" s="19"/>
      <c r="BU67" s="19"/>
      <c r="BV67" s="19"/>
      <c r="BW67" s="19">
        <v>27700000</v>
      </c>
      <c r="BX67" s="19">
        <v>29559050</v>
      </c>
      <c r="BY67" s="19"/>
      <c r="BZ67" s="19"/>
      <c r="CA67" s="19"/>
      <c r="CB67" s="19"/>
      <c r="CC67" s="19">
        <v>26646600</v>
      </c>
      <c r="CD67" s="19"/>
      <c r="CE67" s="19"/>
      <c r="CF67" s="19" t="s">
        <v>139</v>
      </c>
      <c r="CG67" s="19"/>
      <c r="CH67" s="19"/>
      <c r="CI67" s="19"/>
      <c r="CJ67" s="19"/>
      <c r="CK67" s="19">
        <v>0</v>
      </c>
      <c r="CL67" s="19"/>
      <c r="CM67" s="19">
        <v>7108240</v>
      </c>
      <c r="CN67" s="19">
        <v>1000000</v>
      </c>
      <c r="CO67" s="19">
        <v>0</v>
      </c>
      <c r="CP67" s="19"/>
      <c r="CQ67" s="19" t="s">
        <v>96</v>
      </c>
      <c r="CR67" s="19"/>
    </row>
    <row r="68" spans="1:96" ht="17.55" customHeight="1">
      <c r="A68" s="9" t="s">
        <v>93</v>
      </c>
      <c r="B68" s="17" t="s">
        <v>17</v>
      </c>
      <c r="C68" s="19"/>
      <c r="D68" s="19"/>
      <c r="E68" s="19">
        <v>20834850</v>
      </c>
      <c r="F68" s="19"/>
      <c r="G68" s="19"/>
      <c r="H68" s="19">
        <v>118427000</v>
      </c>
      <c r="I68" s="19">
        <v>188201890</v>
      </c>
      <c r="J68" s="19">
        <v>20000000</v>
      </c>
      <c r="K68" s="19"/>
      <c r="L68" s="19"/>
      <c r="M68" s="19"/>
      <c r="N68" s="19">
        <v>552588777</v>
      </c>
      <c r="O68" s="19"/>
      <c r="P68" s="19">
        <v>0</v>
      </c>
      <c r="Q68" s="19"/>
      <c r="R68" s="19">
        <v>137200000</v>
      </c>
      <c r="S68" s="19"/>
      <c r="T68" s="19"/>
      <c r="U68" s="19"/>
      <c r="V68" s="19">
        <v>113578364</v>
      </c>
      <c r="W68" s="19"/>
      <c r="X68" s="19">
        <v>38463000</v>
      </c>
      <c r="Y68" s="19"/>
      <c r="Z68" s="19"/>
      <c r="AA68" s="19"/>
      <c r="AB68" s="19"/>
      <c r="AC68" s="19"/>
      <c r="AD68" s="19"/>
      <c r="AE68" s="19"/>
      <c r="AF68" s="19"/>
      <c r="AG68" s="19"/>
      <c r="AH68" s="19">
        <v>190076796</v>
      </c>
      <c r="AI68" s="19"/>
      <c r="AJ68" s="19"/>
      <c r="AK68" s="19"/>
      <c r="AL68" s="19">
        <v>126460151</v>
      </c>
      <c r="AM68" s="19"/>
      <c r="AN68" s="19">
        <v>79318000</v>
      </c>
      <c r="AO68" s="19"/>
      <c r="AP68" s="19">
        <v>82184000</v>
      </c>
      <c r="AQ68" s="19"/>
      <c r="AR68" s="19"/>
      <c r="AS68" s="19"/>
      <c r="AT68" s="19"/>
      <c r="AU68" s="19"/>
      <c r="AV68" s="19">
        <v>27958280</v>
      </c>
      <c r="AW68" s="19"/>
      <c r="AX68" s="19"/>
      <c r="AY68" s="19"/>
      <c r="AZ68" s="19"/>
      <c r="BA68" s="19"/>
      <c r="BB68" s="19"/>
      <c r="BC68" s="19"/>
      <c r="BD68" s="19">
        <v>89568000</v>
      </c>
      <c r="BE68" s="19"/>
      <c r="BF68" s="19"/>
      <c r="BG68" s="19"/>
      <c r="BH68" s="19">
        <v>49722000</v>
      </c>
      <c r="BI68" s="19"/>
      <c r="BJ68" s="19">
        <v>16028360</v>
      </c>
      <c r="BK68" s="19"/>
      <c r="BL68" s="19"/>
      <c r="BM68" s="19"/>
      <c r="BN68" s="19"/>
      <c r="BO68" s="19"/>
      <c r="BP68" s="19"/>
      <c r="BQ68" s="19"/>
      <c r="BR68" s="19"/>
      <c r="BS68" s="19"/>
      <c r="BT68" s="19"/>
      <c r="BU68" s="19">
        <v>132000000</v>
      </c>
      <c r="BV68" s="19"/>
      <c r="BW68" s="19">
        <v>146556028</v>
      </c>
      <c r="BX68" s="19">
        <v>57653000</v>
      </c>
      <c r="BY68" s="19"/>
      <c r="BZ68" s="19"/>
      <c r="CA68" s="19"/>
      <c r="CB68" s="19"/>
      <c r="CC68" s="19"/>
      <c r="CD68" s="19">
        <v>132778000</v>
      </c>
      <c r="CE68" s="19"/>
      <c r="CF68" s="19" t="s">
        <v>139</v>
      </c>
      <c r="CG68" s="19">
        <v>11609383</v>
      </c>
      <c r="CH68" s="19"/>
      <c r="CI68" s="19"/>
      <c r="CJ68" s="19"/>
      <c r="CK68" s="19"/>
      <c r="CL68" s="19">
        <v>33827000</v>
      </c>
      <c r="CM68" s="19">
        <v>40767000</v>
      </c>
      <c r="CN68" s="19">
        <v>174264983</v>
      </c>
      <c r="CO68" s="19"/>
      <c r="CP68" s="19">
        <v>12431395</v>
      </c>
      <c r="CQ68" s="19" t="s">
        <v>96</v>
      </c>
      <c r="CR68" s="19"/>
    </row>
    <row r="69" spans="1:96" ht="17.55" customHeight="1">
      <c r="A69" s="9" t="s">
        <v>93</v>
      </c>
      <c r="B69" s="18" t="s">
        <v>41</v>
      </c>
      <c r="C69" s="19"/>
      <c r="D69" s="19"/>
      <c r="E69" s="19"/>
      <c r="F69" s="19"/>
      <c r="G69" s="19"/>
      <c r="H69" s="19">
        <v>24989490</v>
      </c>
      <c r="I69" s="19"/>
      <c r="J69" s="19"/>
      <c r="K69" s="19"/>
      <c r="L69" s="19">
        <v>2606692</v>
      </c>
      <c r="M69" s="19">
        <v>4500000</v>
      </c>
      <c r="N69" s="19"/>
      <c r="O69" s="19">
        <v>6793948</v>
      </c>
      <c r="P69" s="19">
        <v>2093960</v>
      </c>
      <c r="Q69" s="19"/>
      <c r="R69" s="19">
        <v>20043696</v>
      </c>
      <c r="S69" s="19"/>
      <c r="T69" s="19"/>
      <c r="U69" s="19">
        <v>8697164</v>
      </c>
      <c r="V69" s="19"/>
      <c r="W69" s="19"/>
      <c r="X69" s="19">
        <v>146745000</v>
      </c>
      <c r="Y69" s="19"/>
      <c r="Z69" s="19"/>
      <c r="AA69" s="19">
        <v>6541924</v>
      </c>
      <c r="AB69" s="19"/>
      <c r="AC69" s="19"/>
      <c r="AD69" s="19"/>
      <c r="AE69" s="19"/>
      <c r="AF69" s="19"/>
      <c r="AG69" s="19"/>
      <c r="AH69" s="19">
        <v>7153449</v>
      </c>
      <c r="AI69" s="19">
        <v>109650000</v>
      </c>
      <c r="AJ69" s="19">
        <v>311362</v>
      </c>
      <c r="AK69" s="19">
        <v>3917420</v>
      </c>
      <c r="AL69" s="19"/>
      <c r="AM69" s="19">
        <v>10000000</v>
      </c>
      <c r="AN69" s="19"/>
      <c r="AO69" s="19">
        <v>323145</v>
      </c>
      <c r="AP69" s="19"/>
      <c r="AQ69" s="19"/>
      <c r="AR69" s="19"/>
      <c r="AS69" s="19">
        <v>3702748</v>
      </c>
      <c r="AT69" s="19">
        <v>174718022</v>
      </c>
      <c r="AU69" s="19">
        <v>1310440</v>
      </c>
      <c r="AV69" s="19"/>
      <c r="AW69" s="19"/>
      <c r="AX69" s="19"/>
      <c r="AY69" s="19"/>
      <c r="AZ69" s="19"/>
      <c r="BA69" s="19">
        <v>3000000</v>
      </c>
      <c r="BB69" s="19">
        <v>17509092</v>
      </c>
      <c r="BC69" s="19"/>
      <c r="BD69" s="19"/>
      <c r="BE69" s="19"/>
      <c r="BF69" s="19"/>
      <c r="BG69" s="19">
        <v>17556653</v>
      </c>
      <c r="BH69" s="19">
        <v>15678000</v>
      </c>
      <c r="BI69" s="19"/>
      <c r="BJ69" s="19">
        <v>1489973</v>
      </c>
      <c r="BK69" s="19"/>
      <c r="BL69" s="19"/>
      <c r="BM69" s="19"/>
      <c r="BN69" s="19">
        <v>466867</v>
      </c>
      <c r="BO69" s="19">
        <v>1137245</v>
      </c>
      <c r="BP69" s="19"/>
      <c r="BQ69" s="19"/>
      <c r="BR69" s="19"/>
      <c r="BS69" s="19"/>
      <c r="BT69" s="19">
        <v>314244573</v>
      </c>
      <c r="BU69" s="19">
        <v>57766</v>
      </c>
      <c r="BV69" s="19"/>
      <c r="BW69" s="19"/>
      <c r="BX69" s="19"/>
      <c r="BY69" s="19">
        <v>50000000</v>
      </c>
      <c r="BZ69" s="19"/>
      <c r="CA69" s="19"/>
      <c r="CB69" s="19"/>
      <c r="CC69" s="19"/>
      <c r="CD69" s="19">
        <v>3120002</v>
      </c>
      <c r="CE69" s="19"/>
      <c r="CF69" s="19" t="s">
        <v>139</v>
      </c>
      <c r="CG69" s="19">
        <v>3597167</v>
      </c>
      <c r="CH69" s="19"/>
      <c r="CI69" s="19"/>
      <c r="CJ69" s="19">
        <v>461659</v>
      </c>
      <c r="CK69" s="19"/>
      <c r="CL69" s="19"/>
      <c r="CM69" s="19"/>
      <c r="CN69" s="19">
        <v>18700000</v>
      </c>
      <c r="CO69" s="19">
        <v>2161610</v>
      </c>
      <c r="CP69" s="19"/>
      <c r="CQ69" s="19" t="s">
        <v>96</v>
      </c>
      <c r="CR69" s="19"/>
    </row>
    <row r="70" spans="1:96" ht="17.55" customHeight="1">
      <c r="A70" s="9" t="s">
        <v>93</v>
      </c>
      <c r="B70" s="10" t="s">
        <v>10</v>
      </c>
      <c r="C70" s="19">
        <v>7400090</v>
      </c>
      <c r="D70" s="19">
        <v>2282336</v>
      </c>
      <c r="E70" s="19">
        <v>24577555</v>
      </c>
      <c r="F70" s="19">
        <v>27424394</v>
      </c>
      <c r="G70" s="19">
        <v>23358314</v>
      </c>
      <c r="H70" s="19">
        <v>40065700</v>
      </c>
      <c r="I70" s="19">
        <v>47139465</v>
      </c>
      <c r="J70" s="19">
        <v>284123</v>
      </c>
      <c r="K70" s="19">
        <v>5613048</v>
      </c>
      <c r="L70" s="19">
        <v>11189678</v>
      </c>
      <c r="M70" s="19">
        <v>35408917</v>
      </c>
      <c r="N70" s="19">
        <v>17033291</v>
      </c>
      <c r="O70" s="19">
        <v>90889945</v>
      </c>
      <c r="P70" s="19">
        <v>22567192</v>
      </c>
      <c r="Q70" s="19">
        <v>4718754</v>
      </c>
      <c r="R70" s="19">
        <v>12714385</v>
      </c>
      <c r="S70" s="19">
        <v>85055048</v>
      </c>
      <c r="T70" s="19">
        <v>497666</v>
      </c>
      <c r="U70" s="19">
        <v>3424174</v>
      </c>
      <c r="V70" s="19">
        <v>33103868</v>
      </c>
      <c r="W70" s="19">
        <v>44863364</v>
      </c>
      <c r="X70" s="19">
        <v>92736322</v>
      </c>
      <c r="Y70" s="19">
        <v>77542</v>
      </c>
      <c r="Z70" s="19">
        <v>386430</v>
      </c>
      <c r="AA70" s="19">
        <v>82577848</v>
      </c>
      <c r="AB70" s="19">
        <v>873023</v>
      </c>
      <c r="AC70" s="19">
        <v>3604390</v>
      </c>
      <c r="AD70" s="19">
        <v>36023818</v>
      </c>
      <c r="AE70" s="19">
        <v>6931478</v>
      </c>
      <c r="AF70" s="19">
        <v>11</v>
      </c>
      <c r="AG70" s="19">
        <v>16707549</v>
      </c>
      <c r="AH70" s="19">
        <v>10859771</v>
      </c>
      <c r="AI70" s="19">
        <v>8022756</v>
      </c>
      <c r="AJ70" s="19">
        <v>20673692</v>
      </c>
      <c r="AK70" s="19">
        <v>48924937</v>
      </c>
      <c r="AL70" s="19">
        <v>91299136</v>
      </c>
      <c r="AM70" s="19">
        <v>970241389</v>
      </c>
      <c r="AN70" s="19">
        <v>400124</v>
      </c>
      <c r="AO70" s="19">
        <v>6938281</v>
      </c>
      <c r="AP70" s="19">
        <v>2701590</v>
      </c>
      <c r="AQ70" s="19">
        <v>9478122</v>
      </c>
      <c r="AR70" s="19">
        <v>4</v>
      </c>
      <c r="AS70" s="19">
        <v>23353507</v>
      </c>
      <c r="AT70" s="19">
        <v>33828985</v>
      </c>
      <c r="AU70" s="19">
        <v>11258269</v>
      </c>
      <c r="AV70" s="19">
        <v>6763</v>
      </c>
      <c r="AW70" s="19">
        <v>15984762</v>
      </c>
      <c r="AX70" s="19">
        <v>10962133</v>
      </c>
      <c r="AY70" s="19">
        <v>6677531</v>
      </c>
      <c r="AZ70" s="19">
        <v>2635826</v>
      </c>
      <c r="BA70" s="19">
        <v>8580519</v>
      </c>
      <c r="BB70" s="19">
        <v>0</v>
      </c>
      <c r="BC70" s="19">
        <v>27420403</v>
      </c>
      <c r="BD70" s="19">
        <v>41546</v>
      </c>
      <c r="BE70" s="19">
        <v>6815819</v>
      </c>
      <c r="BF70" s="19">
        <v>73973571</v>
      </c>
      <c r="BG70" s="19">
        <v>62826901</v>
      </c>
      <c r="BH70" s="19">
        <v>30238904</v>
      </c>
      <c r="BI70" s="19">
        <v>158370</v>
      </c>
      <c r="BJ70" s="19">
        <v>434043</v>
      </c>
      <c r="BK70" s="19">
        <v>8386951</v>
      </c>
      <c r="BL70" s="19">
        <v>3180000</v>
      </c>
      <c r="BM70" s="19">
        <v>214782</v>
      </c>
      <c r="BN70" s="19">
        <v>1740002</v>
      </c>
      <c r="BO70" s="19">
        <v>7776845</v>
      </c>
      <c r="BP70" s="19">
        <v>240000</v>
      </c>
      <c r="BQ70" s="19">
        <v>46009003</v>
      </c>
      <c r="BR70" s="19">
        <v>3774414</v>
      </c>
      <c r="BS70" s="19">
        <v>1611759</v>
      </c>
      <c r="BT70" s="19">
        <v>2910</v>
      </c>
      <c r="BU70" s="19">
        <v>149001</v>
      </c>
      <c r="BV70" s="19">
        <v>5597315</v>
      </c>
      <c r="BW70" s="19">
        <v>0</v>
      </c>
      <c r="BX70" s="19">
        <v>732746</v>
      </c>
      <c r="BY70" s="19">
        <v>78175688</v>
      </c>
      <c r="BZ70" s="19">
        <v>62363975</v>
      </c>
      <c r="CA70" s="19">
        <v>5830205</v>
      </c>
      <c r="CB70" s="19">
        <v>7368809</v>
      </c>
      <c r="CC70" s="19">
        <v>46996</v>
      </c>
      <c r="CD70" s="19">
        <v>38239639</v>
      </c>
      <c r="CE70" s="19">
        <v>5638850</v>
      </c>
      <c r="CF70" s="19" t="s">
        <v>139</v>
      </c>
      <c r="CG70" s="19">
        <v>11614690</v>
      </c>
      <c r="CH70" s="19">
        <v>28285</v>
      </c>
      <c r="CI70" s="19">
        <v>39947684</v>
      </c>
      <c r="CJ70" s="19">
        <v>8388633</v>
      </c>
      <c r="CK70" s="19">
        <v>63283798</v>
      </c>
      <c r="CL70" s="19">
        <v>10423508</v>
      </c>
      <c r="CM70" s="19">
        <v>55942768</v>
      </c>
      <c r="CN70" s="19">
        <v>1958868</v>
      </c>
      <c r="CO70" s="19">
        <v>945467</v>
      </c>
      <c r="CP70" s="19">
        <v>13911701</v>
      </c>
      <c r="CQ70" s="19" t="s">
        <v>96</v>
      </c>
      <c r="CR70" s="19">
        <v>11080948</v>
      </c>
    </row>
    <row r="71" spans="1:96" ht="17.55" customHeight="1">
      <c r="A71" s="9" t="s">
        <v>93</v>
      </c>
      <c r="B71" s="15" t="s">
        <v>60</v>
      </c>
      <c r="C71" s="19"/>
      <c r="D71" s="19">
        <v>0</v>
      </c>
      <c r="E71" s="19">
        <v>13218466</v>
      </c>
      <c r="F71" s="19"/>
      <c r="G71" s="19">
        <v>2704782</v>
      </c>
      <c r="H71" s="19">
        <v>1800000</v>
      </c>
      <c r="I71" s="19">
        <v>38755385</v>
      </c>
      <c r="J71" s="19">
        <v>127630</v>
      </c>
      <c r="K71" s="19">
        <v>231162</v>
      </c>
      <c r="L71" s="19">
        <v>2867657</v>
      </c>
      <c r="M71" s="19">
        <v>34616594</v>
      </c>
      <c r="N71" s="19"/>
      <c r="O71" s="19">
        <v>36383180</v>
      </c>
      <c r="P71" s="19"/>
      <c r="Q71" s="19">
        <v>1119628</v>
      </c>
      <c r="R71" s="19">
        <v>3840317</v>
      </c>
      <c r="S71" s="19">
        <v>11862592</v>
      </c>
      <c r="T71" s="19">
        <v>497666</v>
      </c>
      <c r="U71" s="19"/>
      <c r="V71" s="19">
        <v>26013824</v>
      </c>
      <c r="W71" s="19">
        <v>6584692</v>
      </c>
      <c r="X71" s="19">
        <v>53941137</v>
      </c>
      <c r="Y71" s="19"/>
      <c r="Z71" s="19">
        <v>252760</v>
      </c>
      <c r="AA71" s="19">
        <v>82484445</v>
      </c>
      <c r="AB71" s="19"/>
      <c r="AC71" s="19"/>
      <c r="AD71" s="19">
        <v>18324291</v>
      </c>
      <c r="AE71" s="19">
        <v>2330115</v>
      </c>
      <c r="AF71" s="19"/>
      <c r="AG71" s="19">
        <v>12061400</v>
      </c>
      <c r="AH71" s="19">
        <v>0</v>
      </c>
      <c r="AI71" s="19">
        <v>3185200</v>
      </c>
      <c r="AJ71" s="19">
        <v>5059986</v>
      </c>
      <c r="AK71" s="19">
        <v>40486398</v>
      </c>
      <c r="AL71" s="19">
        <v>1158080</v>
      </c>
      <c r="AM71" s="19">
        <v>156177805</v>
      </c>
      <c r="AN71" s="19"/>
      <c r="AO71" s="19">
        <v>6180486</v>
      </c>
      <c r="AP71" s="19">
        <v>2604688</v>
      </c>
      <c r="AQ71" s="19">
        <v>824217</v>
      </c>
      <c r="AR71" s="19"/>
      <c r="AS71" s="19">
        <v>21533470</v>
      </c>
      <c r="AT71" s="19">
        <v>32330517</v>
      </c>
      <c r="AU71" s="19">
        <v>7233536</v>
      </c>
      <c r="AV71" s="19"/>
      <c r="AW71" s="19">
        <v>14240254</v>
      </c>
      <c r="AX71" s="19">
        <v>10847995</v>
      </c>
      <c r="AY71" s="19">
        <v>6677046</v>
      </c>
      <c r="AZ71" s="19">
        <v>2607626</v>
      </c>
      <c r="BA71" s="19"/>
      <c r="BB71" s="19"/>
      <c r="BC71" s="19">
        <v>26764846</v>
      </c>
      <c r="BD71" s="19"/>
      <c r="BE71" s="19">
        <v>2281489</v>
      </c>
      <c r="BF71" s="19">
        <v>73931038</v>
      </c>
      <c r="BG71" s="19">
        <v>1467280</v>
      </c>
      <c r="BH71" s="19"/>
      <c r="BI71" s="19"/>
      <c r="BJ71" s="19">
        <v>0</v>
      </c>
      <c r="BK71" s="19">
        <v>7874227</v>
      </c>
      <c r="BL71" s="19"/>
      <c r="BM71" s="19">
        <v>14782</v>
      </c>
      <c r="BN71" s="19"/>
      <c r="BO71" s="19">
        <v>7176207</v>
      </c>
      <c r="BP71" s="19"/>
      <c r="BQ71" s="19">
        <v>849912</v>
      </c>
      <c r="BR71" s="19"/>
      <c r="BS71" s="19">
        <v>779151</v>
      </c>
      <c r="BT71" s="19"/>
      <c r="BU71" s="19"/>
      <c r="BV71" s="19">
        <v>5588681</v>
      </c>
      <c r="BW71" s="19"/>
      <c r="BX71" s="19">
        <v>645435</v>
      </c>
      <c r="BY71" s="19">
        <v>755991</v>
      </c>
      <c r="BZ71" s="19"/>
      <c r="CA71" s="19">
        <v>5827777</v>
      </c>
      <c r="CB71" s="19">
        <v>2972537</v>
      </c>
      <c r="CC71" s="19"/>
      <c r="CD71" s="19">
        <v>4070689</v>
      </c>
      <c r="CE71" s="19">
        <v>3537918</v>
      </c>
      <c r="CF71" s="19" t="s">
        <v>139</v>
      </c>
      <c r="CG71" s="19"/>
      <c r="CH71" s="19"/>
      <c r="CI71" s="19">
        <v>21092989</v>
      </c>
      <c r="CJ71" s="19">
        <v>8240133</v>
      </c>
      <c r="CK71" s="19">
        <v>62489726</v>
      </c>
      <c r="CL71" s="19">
        <v>10423008</v>
      </c>
      <c r="CM71" s="19"/>
      <c r="CN71" s="19">
        <v>1012167</v>
      </c>
      <c r="CO71" s="19"/>
      <c r="CP71" s="19">
        <v>6423537</v>
      </c>
      <c r="CQ71" s="19" t="s">
        <v>96</v>
      </c>
      <c r="CR71" s="19"/>
    </row>
    <row r="72" spans="1:96" ht="17.55" customHeight="1">
      <c r="A72" s="9" t="s">
        <v>93</v>
      </c>
      <c r="B72" s="15" t="s">
        <v>29</v>
      </c>
      <c r="C72" s="19">
        <v>7400000</v>
      </c>
      <c r="D72" s="19"/>
      <c r="E72" s="19">
        <v>4456800</v>
      </c>
      <c r="F72" s="19">
        <v>27400000</v>
      </c>
      <c r="G72" s="19">
        <v>9037500</v>
      </c>
      <c r="H72" s="19"/>
      <c r="I72" s="19">
        <v>8370980</v>
      </c>
      <c r="J72" s="19"/>
      <c r="K72" s="19"/>
      <c r="L72" s="19">
        <v>1800000</v>
      </c>
      <c r="M72" s="19">
        <v>100000</v>
      </c>
      <c r="N72" s="19">
        <v>2500000</v>
      </c>
      <c r="O72" s="19">
        <v>4631899</v>
      </c>
      <c r="P72" s="19"/>
      <c r="Q72" s="19"/>
      <c r="R72" s="19"/>
      <c r="S72" s="19">
        <v>72852900</v>
      </c>
      <c r="T72" s="19"/>
      <c r="U72" s="19">
        <v>1000000</v>
      </c>
      <c r="V72" s="19"/>
      <c r="W72" s="19">
        <v>1500000</v>
      </c>
      <c r="X72" s="19">
        <v>32065000</v>
      </c>
      <c r="Y72" s="19">
        <v>0</v>
      </c>
      <c r="Z72" s="19">
        <v>20500</v>
      </c>
      <c r="AA72" s="19">
        <v>0</v>
      </c>
      <c r="AB72" s="19">
        <v>800000</v>
      </c>
      <c r="AC72" s="19">
        <v>2860000</v>
      </c>
      <c r="AD72" s="19">
        <v>14068049</v>
      </c>
      <c r="AE72" s="19">
        <v>4600000</v>
      </c>
      <c r="AF72" s="19"/>
      <c r="AG72" s="19">
        <v>3000000</v>
      </c>
      <c r="AH72" s="19">
        <v>7000000</v>
      </c>
      <c r="AI72" s="19">
        <v>4250000</v>
      </c>
      <c r="AJ72" s="19">
        <v>6089572</v>
      </c>
      <c r="AK72" s="19">
        <v>100000</v>
      </c>
      <c r="AL72" s="19">
        <v>4580624</v>
      </c>
      <c r="AM72" s="19">
        <v>18101800</v>
      </c>
      <c r="AN72" s="19">
        <v>400000</v>
      </c>
      <c r="AO72" s="19">
        <v>0</v>
      </c>
      <c r="AP72" s="19"/>
      <c r="AQ72" s="19"/>
      <c r="AR72" s="19"/>
      <c r="AS72" s="19">
        <v>1820000</v>
      </c>
      <c r="AT72" s="19">
        <v>150000</v>
      </c>
      <c r="AU72" s="19">
        <v>100000</v>
      </c>
      <c r="AV72" s="19"/>
      <c r="AW72" s="19"/>
      <c r="AX72" s="19"/>
      <c r="AY72" s="19"/>
      <c r="AZ72" s="19"/>
      <c r="BA72" s="19">
        <v>2600000</v>
      </c>
      <c r="BB72" s="19"/>
      <c r="BC72" s="19">
        <v>0</v>
      </c>
      <c r="BD72" s="19"/>
      <c r="BE72" s="19">
        <v>3633900</v>
      </c>
      <c r="BF72" s="19"/>
      <c r="BG72" s="19">
        <v>257594</v>
      </c>
      <c r="BH72" s="19">
        <v>18654820</v>
      </c>
      <c r="BI72" s="19">
        <v>0</v>
      </c>
      <c r="BJ72" s="19">
        <v>0</v>
      </c>
      <c r="BK72" s="19">
        <v>500000</v>
      </c>
      <c r="BL72" s="19">
        <v>3180000</v>
      </c>
      <c r="BM72" s="19">
        <v>200000</v>
      </c>
      <c r="BN72" s="19">
        <v>1740000</v>
      </c>
      <c r="BO72" s="19">
        <v>600000</v>
      </c>
      <c r="BP72" s="19">
        <v>240000</v>
      </c>
      <c r="BQ72" s="19"/>
      <c r="BR72" s="19">
        <v>3774400</v>
      </c>
      <c r="BS72" s="19"/>
      <c r="BT72" s="19"/>
      <c r="BU72" s="19"/>
      <c r="BV72" s="19"/>
      <c r="BW72" s="19"/>
      <c r="BX72" s="19"/>
      <c r="BY72" s="19">
        <v>77225799</v>
      </c>
      <c r="BZ72" s="19">
        <v>62338250</v>
      </c>
      <c r="CA72" s="19"/>
      <c r="CB72" s="19">
        <v>4390000</v>
      </c>
      <c r="CC72" s="19"/>
      <c r="CD72" s="19">
        <v>33896200</v>
      </c>
      <c r="CE72" s="19">
        <v>2100000</v>
      </c>
      <c r="CF72" s="19" t="s">
        <v>139</v>
      </c>
      <c r="CG72" s="19"/>
      <c r="CH72" s="19"/>
      <c r="CI72" s="19">
        <v>16370000</v>
      </c>
      <c r="CJ72" s="19"/>
      <c r="CK72" s="19">
        <v>650000</v>
      </c>
      <c r="CL72" s="19"/>
      <c r="CM72" s="19">
        <v>5657000</v>
      </c>
      <c r="CN72" s="19"/>
      <c r="CO72" s="19"/>
      <c r="CP72" s="19">
        <v>50000</v>
      </c>
      <c r="CQ72" s="19" t="s">
        <v>96</v>
      </c>
      <c r="CR72" s="19">
        <v>10900000</v>
      </c>
    </row>
    <row r="73" spans="1:96" ht="17.55" customHeight="1">
      <c r="A73" s="9" t="s">
        <v>93</v>
      </c>
      <c r="B73" s="15" t="s">
        <v>57</v>
      </c>
      <c r="C73" s="19"/>
      <c r="D73" s="19"/>
      <c r="E73" s="19"/>
      <c r="F73" s="19">
        <v>24394</v>
      </c>
      <c r="G73" s="19"/>
      <c r="H73" s="19"/>
      <c r="I73" s="19"/>
      <c r="J73" s="19"/>
      <c r="K73" s="19">
        <v>5157389</v>
      </c>
      <c r="L73" s="19"/>
      <c r="M73" s="19"/>
      <c r="N73" s="19">
        <v>331951</v>
      </c>
      <c r="O73" s="19"/>
      <c r="P73" s="19"/>
      <c r="Q73" s="19"/>
      <c r="R73" s="19">
        <v>8151294</v>
      </c>
      <c r="S73" s="19"/>
      <c r="T73" s="19"/>
      <c r="U73" s="19">
        <v>1398404</v>
      </c>
      <c r="V73" s="19">
        <v>6475519</v>
      </c>
      <c r="W73" s="19">
        <v>0</v>
      </c>
      <c r="X73" s="19">
        <v>6648942</v>
      </c>
      <c r="Y73" s="19"/>
      <c r="Z73" s="19"/>
      <c r="AA73" s="19"/>
      <c r="AB73" s="19"/>
      <c r="AC73" s="19">
        <v>74872</v>
      </c>
      <c r="AD73" s="19"/>
      <c r="AE73" s="19"/>
      <c r="AF73" s="19"/>
      <c r="AG73" s="19"/>
      <c r="AH73" s="19">
        <v>1317488</v>
      </c>
      <c r="AI73" s="19"/>
      <c r="AJ73" s="19">
        <v>0</v>
      </c>
      <c r="AK73" s="19">
        <v>6894050</v>
      </c>
      <c r="AL73" s="19"/>
      <c r="AM73" s="19"/>
      <c r="AN73" s="19"/>
      <c r="AO73" s="19"/>
      <c r="AP73" s="19"/>
      <c r="AQ73" s="19"/>
      <c r="AR73" s="19"/>
      <c r="AS73" s="19"/>
      <c r="AT73" s="19"/>
      <c r="AU73" s="19">
        <v>1948592</v>
      </c>
      <c r="AV73" s="19"/>
      <c r="AW73" s="19"/>
      <c r="AX73" s="19">
        <v>114104</v>
      </c>
      <c r="AY73" s="19"/>
      <c r="AZ73" s="19"/>
      <c r="BA73" s="19"/>
      <c r="BB73" s="19"/>
      <c r="BC73" s="19"/>
      <c r="BD73" s="19"/>
      <c r="BE73" s="19"/>
      <c r="BF73" s="19">
        <v>12540</v>
      </c>
      <c r="BG73" s="19">
        <v>13778405</v>
      </c>
      <c r="BH73" s="19">
        <v>0</v>
      </c>
      <c r="BI73" s="19"/>
      <c r="BJ73" s="19"/>
      <c r="BK73" s="19"/>
      <c r="BL73" s="19"/>
      <c r="BM73" s="19"/>
      <c r="BN73" s="19">
        <v>0</v>
      </c>
      <c r="BO73" s="19"/>
      <c r="BP73" s="19"/>
      <c r="BQ73" s="19"/>
      <c r="BR73" s="19"/>
      <c r="BS73" s="19"/>
      <c r="BT73" s="19"/>
      <c r="BU73" s="19"/>
      <c r="BV73" s="19"/>
      <c r="BW73" s="19"/>
      <c r="BX73" s="19"/>
      <c r="BY73" s="19"/>
      <c r="BZ73" s="19"/>
      <c r="CA73" s="19"/>
      <c r="CB73" s="19"/>
      <c r="CC73" s="19"/>
      <c r="CD73" s="19"/>
      <c r="CE73" s="19"/>
      <c r="CF73" s="19" t="s">
        <v>139</v>
      </c>
      <c r="CG73" s="19"/>
      <c r="CH73" s="19"/>
      <c r="CI73" s="19">
        <v>2422727</v>
      </c>
      <c r="CJ73" s="19"/>
      <c r="CK73" s="19">
        <v>118380</v>
      </c>
      <c r="CL73" s="19"/>
      <c r="CM73" s="19"/>
      <c r="CN73" s="19"/>
      <c r="CO73" s="19"/>
      <c r="CP73" s="19">
        <v>7364089</v>
      </c>
      <c r="CQ73" s="19" t="s">
        <v>96</v>
      </c>
      <c r="CR73" s="19">
        <v>76250</v>
      </c>
    </row>
    <row r="74" spans="1:96" ht="17.55" customHeight="1">
      <c r="A74" s="9" t="s">
        <v>93</v>
      </c>
      <c r="B74" s="15" t="s">
        <v>9</v>
      </c>
      <c r="C74" s="19">
        <v>90</v>
      </c>
      <c r="D74" s="19"/>
      <c r="E74" s="19">
        <v>4902289</v>
      </c>
      <c r="F74" s="19"/>
      <c r="G74" s="19">
        <v>32</v>
      </c>
      <c r="H74" s="19"/>
      <c r="I74" s="19">
        <v>13100</v>
      </c>
      <c r="J74" s="19">
        <v>156493</v>
      </c>
      <c r="K74" s="19">
        <v>224497</v>
      </c>
      <c r="L74" s="19">
        <v>6522021</v>
      </c>
      <c r="M74" s="19">
        <v>692323</v>
      </c>
      <c r="N74" s="19">
        <v>429680</v>
      </c>
      <c r="O74" s="19">
        <v>10270</v>
      </c>
      <c r="P74" s="19">
        <v>5126120</v>
      </c>
      <c r="Q74" s="19">
        <v>234436</v>
      </c>
      <c r="R74" s="19">
        <v>722774</v>
      </c>
      <c r="S74" s="19">
        <v>339556</v>
      </c>
      <c r="T74" s="19"/>
      <c r="U74" s="19">
        <v>1161</v>
      </c>
      <c r="V74" s="19">
        <v>614525</v>
      </c>
      <c r="W74" s="19">
        <v>102411</v>
      </c>
      <c r="X74" s="19">
        <v>81243</v>
      </c>
      <c r="Y74" s="19">
        <v>77542</v>
      </c>
      <c r="Z74" s="19">
        <v>113170</v>
      </c>
      <c r="AA74" s="19">
        <v>93403</v>
      </c>
      <c r="AB74" s="19">
        <v>73023</v>
      </c>
      <c r="AC74" s="19">
        <v>669518</v>
      </c>
      <c r="AD74" s="19">
        <v>3631478</v>
      </c>
      <c r="AE74" s="19">
        <v>1363</v>
      </c>
      <c r="AF74" s="19">
        <v>11</v>
      </c>
      <c r="AG74" s="19">
        <v>1646149</v>
      </c>
      <c r="AH74" s="19">
        <v>2542283</v>
      </c>
      <c r="AI74" s="19">
        <v>587556</v>
      </c>
      <c r="AJ74" s="19">
        <v>4403612</v>
      </c>
      <c r="AK74" s="19">
        <v>1444489</v>
      </c>
      <c r="AL74" s="19">
        <v>19854</v>
      </c>
      <c r="AM74" s="19">
        <v>924968</v>
      </c>
      <c r="AN74" s="19">
        <v>124</v>
      </c>
      <c r="AO74" s="19">
        <v>510913</v>
      </c>
      <c r="AP74" s="19">
        <v>96902</v>
      </c>
      <c r="AQ74" s="19">
        <v>386000</v>
      </c>
      <c r="AR74" s="19">
        <v>4</v>
      </c>
      <c r="AS74" s="19">
        <v>37</v>
      </c>
      <c r="AT74" s="19"/>
      <c r="AU74" s="19">
        <v>1976141</v>
      </c>
      <c r="AV74" s="19">
        <v>6763</v>
      </c>
      <c r="AW74" s="19">
        <v>1721428</v>
      </c>
      <c r="AX74" s="19">
        <v>34</v>
      </c>
      <c r="AY74" s="19">
        <v>485</v>
      </c>
      <c r="AZ74" s="19">
        <v>28200</v>
      </c>
      <c r="BA74" s="19">
        <v>5980519</v>
      </c>
      <c r="BB74" s="19"/>
      <c r="BC74" s="19">
        <v>524860</v>
      </c>
      <c r="BD74" s="19">
        <v>41546</v>
      </c>
      <c r="BE74" s="19">
        <v>900430</v>
      </c>
      <c r="BF74" s="19">
        <v>29993</v>
      </c>
      <c r="BG74" s="19">
        <v>41031</v>
      </c>
      <c r="BH74" s="19">
        <v>816084</v>
      </c>
      <c r="BI74" s="19">
        <v>158370</v>
      </c>
      <c r="BJ74" s="19">
        <v>434043</v>
      </c>
      <c r="BK74" s="19">
        <v>12724</v>
      </c>
      <c r="BL74" s="19"/>
      <c r="BM74" s="19"/>
      <c r="BN74" s="19">
        <v>2</v>
      </c>
      <c r="BO74" s="19">
        <v>638</v>
      </c>
      <c r="BP74" s="19"/>
      <c r="BQ74" s="19">
        <v>0</v>
      </c>
      <c r="BR74" s="19">
        <v>14</v>
      </c>
      <c r="BS74" s="19">
        <v>832608</v>
      </c>
      <c r="BT74" s="19">
        <v>2910</v>
      </c>
      <c r="BU74" s="19">
        <v>13</v>
      </c>
      <c r="BV74" s="19">
        <v>8634</v>
      </c>
      <c r="BW74" s="19"/>
      <c r="BX74" s="19">
        <v>87311</v>
      </c>
      <c r="BY74" s="19">
        <v>193898</v>
      </c>
      <c r="BZ74" s="19">
        <v>25725</v>
      </c>
      <c r="CA74" s="19">
        <v>2428</v>
      </c>
      <c r="CB74" s="19">
        <v>6272</v>
      </c>
      <c r="CC74" s="19">
        <v>320</v>
      </c>
      <c r="CD74" s="19">
        <v>272750</v>
      </c>
      <c r="CE74" s="19">
        <v>932</v>
      </c>
      <c r="CF74" s="19" t="s">
        <v>139</v>
      </c>
      <c r="CG74" s="19"/>
      <c r="CH74" s="19">
        <v>28285</v>
      </c>
      <c r="CI74" s="19">
        <v>61968</v>
      </c>
      <c r="CJ74" s="19">
        <v>148500</v>
      </c>
      <c r="CK74" s="19">
        <v>25692</v>
      </c>
      <c r="CL74" s="19">
        <v>500</v>
      </c>
      <c r="CM74" s="19">
        <v>110768</v>
      </c>
      <c r="CN74" s="19">
        <v>109641</v>
      </c>
      <c r="CO74" s="19">
        <v>30</v>
      </c>
      <c r="CP74" s="19">
        <v>74075</v>
      </c>
      <c r="CQ74" s="19" t="s">
        <v>96</v>
      </c>
      <c r="CR74" s="19">
        <v>104698</v>
      </c>
    </row>
    <row r="75" spans="1:96" ht="17.55" customHeight="1">
      <c r="A75" s="9" t="s">
        <v>93</v>
      </c>
      <c r="B75" s="15" t="s">
        <v>43</v>
      </c>
      <c r="C75" s="19"/>
      <c r="D75" s="19">
        <v>2282336</v>
      </c>
      <c r="E75" s="19">
        <v>2000000</v>
      </c>
      <c r="F75" s="19"/>
      <c r="G75" s="19">
        <v>11616000</v>
      </c>
      <c r="H75" s="19">
        <v>38265700</v>
      </c>
      <c r="I75" s="19"/>
      <c r="J75" s="19"/>
      <c r="K75" s="19"/>
      <c r="L75" s="19"/>
      <c r="M75" s="19"/>
      <c r="N75" s="19">
        <v>13771660</v>
      </c>
      <c r="O75" s="19">
        <v>49864596</v>
      </c>
      <c r="P75" s="19">
        <v>17441072</v>
      </c>
      <c r="Q75" s="19">
        <v>3364690</v>
      </c>
      <c r="R75" s="19"/>
      <c r="S75" s="19"/>
      <c r="T75" s="19"/>
      <c r="U75" s="19">
        <v>1024609</v>
      </c>
      <c r="V75" s="19"/>
      <c r="W75" s="19">
        <v>36676261</v>
      </c>
      <c r="X75" s="19"/>
      <c r="Y75" s="19"/>
      <c r="Z75" s="19"/>
      <c r="AA75" s="19"/>
      <c r="AB75" s="19"/>
      <c r="AC75" s="19"/>
      <c r="AD75" s="19"/>
      <c r="AE75" s="19"/>
      <c r="AF75" s="19"/>
      <c r="AG75" s="19"/>
      <c r="AH75" s="19"/>
      <c r="AI75" s="19"/>
      <c r="AJ75" s="19">
        <v>5120522</v>
      </c>
      <c r="AK75" s="19"/>
      <c r="AL75" s="19">
        <v>85540578</v>
      </c>
      <c r="AM75" s="19">
        <v>795036816</v>
      </c>
      <c r="AN75" s="19"/>
      <c r="AO75" s="19">
        <v>246882</v>
      </c>
      <c r="AP75" s="19"/>
      <c r="AQ75" s="19">
        <v>8267905</v>
      </c>
      <c r="AR75" s="19"/>
      <c r="AS75" s="19"/>
      <c r="AT75" s="19">
        <v>1348468</v>
      </c>
      <c r="AU75" s="19"/>
      <c r="AV75" s="19"/>
      <c r="AW75" s="19">
        <v>23080</v>
      </c>
      <c r="AX75" s="19"/>
      <c r="AY75" s="19"/>
      <c r="AZ75" s="19"/>
      <c r="BA75" s="19"/>
      <c r="BB75" s="19"/>
      <c r="BC75" s="19">
        <v>130697</v>
      </c>
      <c r="BD75" s="19"/>
      <c r="BE75" s="19"/>
      <c r="BF75" s="19"/>
      <c r="BG75" s="19">
        <v>47282591</v>
      </c>
      <c r="BH75" s="19">
        <v>10768000</v>
      </c>
      <c r="BI75" s="19"/>
      <c r="BJ75" s="19"/>
      <c r="BK75" s="19"/>
      <c r="BL75" s="19"/>
      <c r="BM75" s="19"/>
      <c r="BN75" s="19"/>
      <c r="BO75" s="19"/>
      <c r="BP75" s="19"/>
      <c r="BQ75" s="19">
        <v>45159091</v>
      </c>
      <c r="BR75" s="19"/>
      <c r="BS75" s="19"/>
      <c r="BT75" s="19"/>
      <c r="BU75" s="19">
        <v>148988</v>
      </c>
      <c r="BV75" s="19"/>
      <c r="BW75" s="19"/>
      <c r="BX75" s="19"/>
      <c r="BY75" s="19"/>
      <c r="BZ75" s="19"/>
      <c r="CA75" s="19"/>
      <c r="CB75" s="19"/>
      <c r="CC75" s="19">
        <v>46676</v>
      </c>
      <c r="CD75" s="19"/>
      <c r="CE75" s="19"/>
      <c r="CF75" s="19" t="s">
        <v>139</v>
      </c>
      <c r="CG75" s="19">
        <v>11614690</v>
      </c>
      <c r="CH75" s="19"/>
      <c r="CI75" s="19"/>
      <c r="CJ75" s="19"/>
      <c r="CK75" s="19"/>
      <c r="CL75" s="19"/>
      <c r="CM75" s="19">
        <v>50175000</v>
      </c>
      <c r="CN75" s="19">
        <v>837060</v>
      </c>
      <c r="CO75" s="19">
        <v>945437</v>
      </c>
      <c r="CP75" s="19"/>
      <c r="CQ75" s="19" t="s">
        <v>96</v>
      </c>
      <c r="CR75" s="19"/>
    </row>
    <row r="76" spans="1:96" ht="17.55" customHeight="1">
      <c r="A76" s="9" t="s">
        <v>93</v>
      </c>
      <c r="B76" s="10" t="s">
        <v>65</v>
      </c>
      <c r="C76" s="19">
        <v>-9896222</v>
      </c>
      <c r="D76" s="19">
        <v>2765929</v>
      </c>
      <c r="E76" s="19">
        <v>6434093</v>
      </c>
      <c r="F76" s="19">
        <v>137720522</v>
      </c>
      <c r="G76" s="19">
        <v>-11229804</v>
      </c>
      <c r="H76" s="19">
        <v>38101306</v>
      </c>
      <c r="I76" s="19">
        <v>55303256</v>
      </c>
      <c r="J76" s="19">
        <v>-95274054</v>
      </c>
      <c r="K76" s="19">
        <v>-33184651</v>
      </c>
      <c r="L76" s="19">
        <v>40285662</v>
      </c>
      <c r="M76" s="19">
        <v>137141100</v>
      </c>
      <c r="N76" s="19">
        <v>368555868</v>
      </c>
      <c r="O76" s="19">
        <v>-125107871</v>
      </c>
      <c r="P76" s="19">
        <v>7639960</v>
      </c>
      <c r="Q76" s="19">
        <v>-44688862</v>
      </c>
      <c r="R76" s="19">
        <v>-34526854</v>
      </c>
      <c r="S76" s="19">
        <v>137713647</v>
      </c>
      <c r="T76" s="19">
        <v>-13797687</v>
      </c>
      <c r="U76" s="19">
        <v>419339769</v>
      </c>
      <c r="V76" s="19">
        <v>-238305845</v>
      </c>
      <c r="W76" s="19">
        <v>-169468928</v>
      </c>
      <c r="X76" s="19">
        <v>274176849</v>
      </c>
      <c r="Y76" s="19">
        <v>122346241</v>
      </c>
      <c r="Z76" s="19">
        <v>-7512373</v>
      </c>
      <c r="AA76" s="19">
        <v>90416336</v>
      </c>
      <c r="AB76" s="19">
        <v>7768970</v>
      </c>
      <c r="AC76" s="19">
        <v>176889021</v>
      </c>
      <c r="AD76" s="19">
        <v>5206166</v>
      </c>
      <c r="AE76" s="19">
        <v>35377136</v>
      </c>
      <c r="AF76" s="19">
        <v>18100551</v>
      </c>
      <c r="AG76" s="19">
        <v>43518541</v>
      </c>
      <c r="AH76" s="19">
        <v>69154810</v>
      </c>
      <c r="AI76" s="19">
        <v>-69609653</v>
      </c>
      <c r="AJ76" s="19">
        <v>53692125</v>
      </c>
      <c r="AK76" s="19">
        <v>25366037</v>
      </c>
      <c r="AL76" s="19">
        <v>6569004</v>
      </c>
      <c r="AM76" s="19">
        <v>-1777768855</v>
      </c>
      <c r="AN76" s="19">
        <v>55872038</v>
      </c>
      <c r="AO76" s="19">
        <v>-261098906</v>
      </c>
      <c r="AP76" s="19">
        <v>46303017</v>
      </c>
      <c r="AQ76" s="19">
        <v>-21770898</v>
      </c>
      <c r="AR76" s="19">
        <v>4631200</v>
      </c>
      <c r="AS76" s="19">
        <v>-377702059</v>
      </c>
      <c r="AT76" s="19">
        <v>12733952</v>
      </c>
      <c r="AU76" s="19">
        <v>28377713</v>
      </c>
      <c r="AV76" s="19">
        <v>-10563821</v>
      </c>
      <c r="AW76" s="19">
        <v>649971</v>
      </c>
      <c r="AX76" s="19">
        <v>188669283</v>
      </c>
      <c r="AY76" s="19">
        <v>20098148</v>
      </c>
      <c r="AZ76" s="19">
        <v>6536019</v>
      </c>
      <c r="BA76" s="19">
        <v>-1295124</v>
      </c>
      <c r="BB76" s="19">
        <v>40703479</v>
      </c>
      <c r="BC76" s="19">
        <v>90685012</v>
      </c>
      <c r="BD76" s="19">
        <v>-47376742</v>
      </c>
      <c r="BE76" s="19">
        <v>53899178</v>
      </c>
      <c r="BF76" s="19">
        <v>12709805</v>
      </c>
      <c r="BG76" s="19">
        <v>-602725013</v>
      </c>
      <c r="BH76" s="19">
        <v>14158984</v>
      </c>
      <c r="BI76" s="19">
        <v>101513500</v>
      </c>
      <c r="BJ76" s="19">
        <v>24508507</v>
      </c>
      <c r="BK76" s="19">
        <v>30104891</v>
      </c>
      <c r="BL76" s="19">
        <v>55647763</v>
      </c>
      <c r="BM76" s="19">
        <v>11883882</v>
      </c>
      <c r="BN76" s="19">
        <v>4327676</v>
      </c>
      <c r="BO76" s="19">
        <v>-38474994</v>
      </c>
      <c r="BP76" s="19">
        <v>244786</v>
      </c>
      <c r="BQ76" s="19">
        <v>19988971</v>
      </c>
      <c r="BR76" s="19">
        <v>28786931</v>
      </c>
      <c r="BS76" s="19">
        <v>14954253</v>
      </c>
      <c r="BT76" s="19">
        <v>26012956</v>
      </c>
      <c r="BU76" s="19">
        <v>-7071676</v>
      </c>
      <c r="BV76" s="19">
        <v>47989235</v>
      </c>
      <c r="BW76" s="19">
        <v>3863693</v>
      </c>
      <c r="BX76" s="19">
        <v>97310070</v>
      </c>
      <c r="BY76" s="19">
        <v>159677999</v>
      </c>
      <c r="BZ76" s="19">
        <v>137493092</v>
      </c>
      <c r="CA76" s="19">
        <v>42332346</v>
      </c>
      <c r="CB76" s="19">
        <v>42321533</v>
      </c>
      <c r="CC76" s="19">
        <v>9938110</v>
      </c>
      <c r="CD76" s="19">
        <v>-129787284</v>
      </c>
      <c r="CE76" s="19">
        <v>12631466</v>
      </c>
      <c r="CF76" s="19" t="s">
        <v>139</v>
      </c>
      <c r="CG76" s="19">
        <v>3833820</v>
      </c>
      <c r="CH76" s="19">
        <v>-34962667</v>
      </c>
      <c r="CI76" s="19">
        <v>78326328</v>
      </c>
      <c r="CJ76" s="19">
        <v>13512867</v>
      </c>
      <c r="CK76" s="19">
        <v>7935288</v>
      </c>
      <c r="CL76" s="19">
        <v>30232500</v>
      </c>
      <c r="CM76" s="19">
        <v>190384084</v>
      </c>
      <c r="CN76" s="19">
        <v>33304350</v>
      </c>
      <c r="CO76" s="19">
        <v>3036939</v>
      </c>
      <c r="CP76" s="19">
        <v>18194336</v>
      </c>
      <c r="CQ76" s="19" t="s">
        <v>96</v>
      </c>
      <c r="CR76" s="19">
        <v>59578638</v>
      </c>
    </row>
    <row r="77" spans="1:96" ht="17.55" customHeight="1">
      <c r="A77" s="9" t="s">
        <v>93</v>
      </c>
      <c r="B77" s="10" t="s">
        <v>101</v>
      </c>
      <c r="C77" s="19">
        <v>0</v>
      </c>
      <c r="D77" s="19">
        <v>0</v>
      </c>
      <c r="E77" s="19">
        <v>728970</v>
      </c>
      <c r="F77" s="19">
        <v>10838240</v>
      </c>
      <c r="G77" s="19">
        <v>0</v>
      </c>
      <c r="H77" s="19">
        <v>455640</v>
      </c>
      <c r="I77" s="19">
        <v>0</v>
      </c>
      <c r="J77" s="19">
        <v>0</v>
      </c>
      <c r="K77" s="19">
        <v>0</v>
      </c>
      <c r="L77" s="19"/>
      <c r="M77" s="19">
        <v>0</v>
      </c>
      <c r="N77" s="19">
        <v>469450</v>
      </c>
      <c r="O77" s="19">
        <v>0</v>
      </c>
      <c r="P77" s="19">
        <v>0</v>
      </c>
      <c r="Q77" s="19">
        <v>0</v>
      </c>
      <c r="R77" s="19">
        <v>0</v>
      </c>
      <c r="S77" s="19">
        <v>0</v>
      </c>
      <c r="T77" s="19">
        <v>0</v>
      </c>
      <c r="U77" s="19">
        <v>-64649681</v>
      </c>
      <c r="V77" s="19">
        <v>0</v>
      </c>
      <c r="W77" s="19">
        <v>0</v>
      </c>
      <c r="X77" s="19">
        <v>16972549</v>
      </c>
      <c r="Y77" s="19">
        <v>1133150</v>
      </c>
      <c r="Z77" s="19">
        <v>0</v>
      </c>
      <c r="AA77" s="19">
        <v>18645490</v>
      </c>
      <c r="AB77" s="19">
        <v>336910</v>
      </c>
      <c r="AC77" s="19">
        <v>18315780</v>
      </c>
      <c r="AD77" s="19"/>
      <c r="AE77" s="19">
        <v>1693150</v>
      </c>
      <c r="AF77" s="19">
        <v>0</v>
      </c>
      <c r="AG77" s="19">
        <v>0</v>
      </c>
      <c r="AH77" s="19">
        <v>8282792</v>
      </c>
      <c r="AI77" s="19">
        <v>0</v>
      </c>
      <c r="AJ77" s="19">
        <v>7781764</v>
      </c>
      <c r="AK77" s="19">
        <v>7915450</v>
      </c>
      <c r="AL77" s="19">
        <v>1356010</v>
      </c>
      <c r="AM77" s="19">
        <v>0</v>
      </c>
      <c r="AN77" s="19">
        <v>0</v>
      </c>
      <c r="AO77" s="19">
        <v>0</v>
      </c>
      <c r="AP77" s="19">
        <v>0</v>
      </c>
      <c r="AQ77" s="19"/>
      <c r="AR77" s="19">
        <v>0</v>
      </c>
      <c r="AS77" s="19">
        <v>0</v>
      </c>
      <c r="AT77" s="19">
        <v>2011730</v>
      </c>
      <c r="AU77" s="19">
        <v>0</v>
      </c>
      <c r="AV77" s="19">
        <v>0</v>
      </c>
      <c r="AW77" s="19">
        <v>0</v>
      </c>
      <c r="AX77" s="19">
        <v>6625340</v>
      </c>
      <c r="AY77" s="19">
        <v>2734280</v>
      </c>
      <c r="AZ77" s="19">
        <v>0</v>
      </c>
      <c r="BA77" s="19">
        <v>0</v>
      </c>
      <c r="BB77" s="19">
        <v>0</v>
      </c>
      <c r="BC77" s="19">
        <v>351480</v>
      </c>
      <c r="BD77" s="19">
        <v>0</v>
      </c>
      <c r="BE77" s="19">
        <v>1626651</v>
      </c>
      <c r="BF77" s="19">
        <v>0</v>
      </c>
      <c r="BG77" s="19"/>
      <c r="BH77" s="19">
        <v>0</v>
      </c>
      <c r="BI77" s="19">
        <v>12929623</v>
      </c>
      <c r="BJ77" s="19">
        <v>0</v>
      </c>
      <c r="BK77" s="19">
        <v>0</v>
      </c>
      <c r="BL77" s="19"/>
      <c r="BM77" s="19">
        <v>0</v>
      </c>
      <c r="BN77" s="19">
        <v>0</v>
      </c>
      <c r="BO77" s="19">
        <v>0</v>
      </c>
      <c r="BP77" s="19">
        <v>43630</v>
      </c>
      <c r="BQ77" s="19">
        <v>0</v>
      </c>
      <c r="BR77" s="19">
        <v>0</v>
      </c>
      <c r="BS77" s="19">
        <v>0</v>
      </c>
      <c r="BT77" s="19">
        <v>2571908</v>
      </c>
      <c r="BU77" s="19">
        <v>650000</v>
      </c>
      <c r="BV77" s="19">
        <v>5279070</v>
      </c>
      <c r="BW77" s="19">
        <v>3002410</v>
      </c>
      <c r="BX77" s="19">
        <v>0</v>
      </c>
      <c r="BY77" s="19">
        <v>0</v>
      </c>
      <c r="BZ77" s="19">
        <v>17952870</v>
      </c>
      <c r="CA77" s="19">
        <v>4656558</v>
      </c>
      <c r="CB77" s="19">
        <v>4564630</v>
      </c>
      <c r="CC77" s="19">
        <v>0</v>
      </c>
      <c r="CD77" s="19">
        <v>0</v>
      </c>
      <c r="CE77" s="19">
        <v>931690</v>
      </c>
      <c r="CF77" s="19" t="s">
        <v>139</v>
      </c>
      <c r="CG77" s="19">
        <v>396144</v>
      </c>
      <c r="CH77" s="19">
        <v>0</v>
      </c>
      <c r="CI77" s="19">
        <v>3132120</v>
      </c>
      <c r="CJ77" s="19">
        <v>1349800</v>
      </c>
      <c r="CK77" s="19">
        <v>420010</v>
      </c>
      <c r="CL77" s="19">
        <v>5046260</v>
      </c>
      <c r="CM77" s="19">
        <v>11110720</v>
      </c>
      <c r="CN77" s="19">
        <v>0</v>
      </c>
      <c r="CO77" s="19">
        <v>135240</v>
      </c>
      <c r="CP77" s="19">
        <v>0</v>
      </c>
      <c r="CQ77" s="19" t="s">
        <v>96</v>
      </c>
      <c r="CR77" s="19">
        <v>2306470</v>
      </c>
    </row>
    <row r="78" spans="1:96" ht="17.55" customHeight="1">
      <c r="A78" s="9" t="s">
        <v>93</v>
      </c>
      <c r="B78" s="10" t="s">
        <v>149</v>
      </c>
      <c r="C78" s="19">
        <v>-9896222</v>
      </c>
      <c r="D78" s="19">
        <v>2765929</v>
      </c>
      <c r="E78" s="19">
        <v>5705123</v>
      </c>
      <c r="F78" s="19">
        <v>126882282</v>
      </c>
      <c r="G78" s="19">
        <v>-11229804</v>
      </c>
      <c r="H78" s="19">
        <v>37645666</v>
      </c>
      <c r="I78" s="19">
        <v>55303256</v>
      </c>
      <c r="J78" s="19">
        <v>-95274054</v>
      </c>
      <c r="K78" s="19">
        <v>-33184651</v>
      </c>
      <c r="L78" s="19">
        <v>40285662</v>
      </c>
      <c r="M78" s="19">
        <v>137141100</v>
      </c>
      <c r="N78" s="19">
        <v>368086418</v>
      </c>
      <c r="O78" s="19">
        <v>-125107871</v>
      </c>
      <c r="P78" s="19">
        <v>7636960</v>
      </c>
      <c r="Q78" s="19">
        <v>-44688862</v>
      </c>
      <c r="R78" s="19">
        <v>-34526854</v>
      </c>
      <c r="S78" s="19">
        <v>137713647</v>
      </c>
      <c r="T78" s="19">
        <v>-13797687</v>
      </c>
      <c r="U78" s="19">
        <v>483989450</v>
      </c>
      <c r="V78" s="19">
        <v>-238305845</v>
      </c>
      <c r="W78" s="19">
        <v>-169468928</v>
      </c>
      <c r="X78" s="19">
        <v>257204300</v>
      </c>
      <c r="Y78" s="19">
        <v>121213091</v>
      </c>
      <c r="Z78" s="19">
        <v>-7512373</v>
      </c>
      <c r="AA78" s="19">
        <v>71770846</v>
      </c>
      <c r="AB78" s="19">
        <v>7432060</v>
      </c>
      <c r="AC78" s="19">
        <v>158573241</v>
      </c>
      <c r="AD78" s="19">
        <v>5206166</v>
      </c>
      <c r="AE78" s="19">
        <v>33683986</v>
      </c>
      <c r="AF78" s="19">
        <v>18100551</v>
      </c>
      <c r="AG78" s="19">
        <v>43518541</v>
      </c>
      <c r="AH78" s="19">
        <v>60872018</v>
      </c>
      <c r="AI78" s="19">
        <v>-69609653</v>
      </c>
      <c r="AJ78" s="19">
        <v>45910361</v>
      </c>
      <c r="AK78" s="19">
        <v>17450587</v>
      </c>
      <c r="AL78" s="19">
        <v>5212994</v>
      </c>
      <c r="AM78" s="19">
        <v>-1777768855</v>
      </c>
      <c r="AN78" s="19">
        <v>55872038</v>
      </c>
      <c r="AO78" s="19">
        <v>-261098906</v>
      </c>
      <c r="AP78" s="19">
        <v>46303017</v>
      </c>
      <c r="AQ78" s="19">
        <v>-21770898</v>
      </c>
      <c r="AR78" s="19">
        <v>4631200</v>
      </c>
      <c r="AS78" s="19">
        <v>-377702059</v>
      </c>
      <c r="AT78" s="19">
        <v>10722222</v>
      </c>
      <c r="AU78" s="19">
        <v>28377713</v>
      </c>
      <c r="AV78" s="19">
        <v>-10563821</v>
      </c>
      <c r="AW78" s="19">
        <v>649971</v>
      </c>
      <c r="AX78" s="19">
        <v>182043943</v>
      </c>
      <c r="AY78" s="19">
        <v>17363868</v>
      </c>
      <c r="AZ78" s="19">
        <v>6536019</v>
      </c>
      <c r="BA78" s="19">
        <v>-1295124</v>
      </c>
      <c r="BB78" s="19">
        <v>40703479</v>
      </c>
      <c r="BC78" s="19">
        <v>90333532</v>
      </c>
      <c r="BD78" s="19">
        <v>-47376742</v>
      </c>
      <c r="BE78" s="19">
        <v>52272527</v>
      </c>
      <c r="BF78" s="19">
        <v>12709805</v>
      </c>
      <c r="BG78" s="19">
        <v>-602725013</v>
      </c>
      <c r="BH78" s="19">
        <v>14158984</v>
      </c>
      <c r="BI78" s="19">
        <v>88583877</v>
      </c>
      <c r="BJ78" s="19">
        <v>24508507</v>
      </c>
      <c r="BK78" s="19">
        <v>30104891</v>
      </c>
      <c r="BL78" s="19">
        <v>55647763</v>
      </c>
      <c r="BM78" s="19">
        <v>11883882</v>
      </c>
      <c r="BN78" s="19">
        <v>4327676</v>
      </c>
      <c r="BO78" s="19">
        <v>-38474994</v>
      </c>
      <c r="BP78" s="19">
        <v>201156</v>
      </c>
      <c r="BQ78" s="19">
        <v>19988971</v>
      </c>
      <c r="BR78" s="19">
        <v>28786931</v>
      </c>
      <c r="BS78" s="19">
        <v>14954253</v>
      </c>
      <c r="BT78" s="19">
        <v>23441048</v>
      </c>
      <c r="BU78" s="19">
        <v>-7721676</v>
      </c>
      <c r="BV78" s="19">
        <v>42710165</v>
      </c>
      <c r="BW78" s="19">
        <v>861283</v>
      </c>
      <c r="BX78" s="19">
        <v>97310070</v>
      </c>
      <c r="BY78" s="19">
        <v>159677999</v>
      </c>
      <c r="BZ78" s="19">
        <v>119540222</v>
      </c>
      <c r="CA78" s="19">
        <v>37675788</v>
      </c>
      <c r="CB78" s="19">
        <v>37756903</v>
      </c>
      <c r="CC78" s="19">
        <v>9938110</v>
      </c>
      <c r="CD78" s="19">
        <v>-129787284</v>
      </c>
      <c r="CE78" s="19">
        <v>11699776</v>
      </c>
      <c r="CF78" s="19" t="s">
        <v>139</v>
      </c>
      <c r="CG78" s="19">
        <v>3437676</v>
      </c>
      <c r="CH78" s="19">
        <v>-34962667</v>
      </c>
      <c r="CI78" s="19">
        <v>75194208</v>
      </c>
      <c r="CJ78" s="19">
        <v>12163067</v>
      </c>
      <c r="CK78" s="19">
        <v>7515278</v>
      </c>
      <c r="CL78" s="19">
        <v>25186240</v>
      </c>
      <c r="CM78" s="19">
        <v>179273364</v>
      </c>
      <c r="CN78" s="19">
        <v>33304350</v>
      </c>
      <c r="CO78" s="19">
        <v>2901699</v>
      </c>
      <c r="CP78" s="19">
        <v>18194336</v>
      </c>
      <c r="CQ78" s="19" t="s">
        <v>96</v>
      </c>
      <c r="CR78" s="19">
        <v>57272168</v>
      </c>
    </row>
  </sheetData>
  <phoneticPr fontId="14" type="noConversion"/>
  <pageMargins left="0.69972223043441772" right="0.69972223043441772" top="0.75" bottom="0.75" header="0.30000001192092896" footer="0.30000001192092896"/>
  <pageSetup paperSize="9" orientation="portrai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5"/>
  <dimension ref="A1:EB78"/>
  <sheetViews>
    <sheetView zoomScale="70" zoomScaleNormal="70" zoomScaleSheetLayoutView="80" workbookViewId="0">
      <pane xSplit="2" ySplit="1" topLeftCell="C2" activePane="bottomRight" state="frozen"/>
      <selection pane="topRight"/>
      <selection pane="bottomLeft"/>
      <selection pane="bottomRight" activeCell="E27" sqref="A1:EB78"/>
    </sheetView>
  </sheetViews>
  <sheetFormatPr defaultColWidth="8.796875" defaultRowHeight="17.399999999999999"/>
  <cols>
    <col min="2" max="2" width="27.19921875" customWidth="1"/>
    <col min="3" max="132" width="15.69921875" customWidth="1"/>
  </cols>
  <sheetData>
    <row r="1" spans="1:132">
      <c r="A1" s="5"/>
      <c r="B1" s="6" t="s">
        <v>111</v>
      </c>
      <c r="C1" s="20">
        <v>1510001</v>
      </c>
      <c r="D1" s="20">
        <v>1510002</v>
      </c>
      <c r="E1" s="20">
        <v>1510003</v>
      </c>
      <c r="F1" s="20">
        <v>1510004</v>
      </c>
      <c r="G1" s="20">
        <v>1510005</v>
      </c>
      <c r="H1" s="20">
        <v>1510006</v>
      </c>
      <c r="I1" s="20">
        <v>1510007</v>
      </c>
      <c r="J1" s="20">
        <v>1510008</v>
      </c>
      <c r="K1" s="20">
        <v>1510009</v>
      </c>
      <c r="L1" s="20">
        <v>1510010</v>
      </c>
      <c r="M1" s="20">
        <v>1510011</v>
      </c>
      <c r="N1" s="20">
        <v>1510012</v>
      </c>
      <c r="O1" s="20">
        <v>1510013</v>
      </c>
      <c r="P1" s="20">
        <v>1510014</v>
      </c>
      <c r="Q1" s="20">
        <v>1510015</v>
      </c>
      <c r="R1" s="20">
        <v>1510016</v>
      </c>
      <c r="S1" s="20">
        <v>1510017</v>
      </c>
      <c r="T1" s="20">
        <v>1510018</v>
      </c>
      <c r="U1" s="20">
        <v>1510019</v>
      </c>
      <c r="V1" s="20">
        <v>1510020</v>
      </c>
      <c r="W1" s="20">
        <v>1510021</v>
      </c>
      <c r="X1" s="20">
        <v>1510022</v>
      </c>
      <c r="Y1" s="20">
        <v>1510023</v>
      </c>
      <c r="Z1" s="20">
        <v>1510024</v>
      </c>
      <c r="AA1" s="20">
        <v>1510025</v>
      </c>
      <c r="AB1" s="20">
        <v>1510026</v>
      </c>
      <c r="AC1" s="20">
        <v>1510027</v>
      </c>
      <c r="AD1" s="20">
        <v>1510028</v>
      </c>
      <c r="AE1" s="20">
        <v>1510029</v>
      </c>
      <c r="AF1" s="20">
        <v>1510030</v>
      </c>
      <c r="AG1" s="20">
        <v>1510031</v>
      </c>
      <c r="AH1" s="20">
        <v>1510032</v>
      </c>
      <c r="AI1" s="20">
        <v>1510033</v>
      </c>
      <c r="AJ1" s="20">
        <v>1510034</v>
      </c>
      <c r="AK1" s="20">
        <v>1510035</v>
      </c>
      <c r="AL1" s="20">
        <v>1510036</v>
      </c>
      <c r="AM1" s="20">
        <v>1510037</v>
      </c>
      <c r="AN1" s="20">
        <v>1510038</v>
      </c>
      <c r="AO1" s="20">
        <v>1510039</v>
      </c>
      <c r="AP1" s="20">
        <v>1510040</v>
      </c>
      <c r="AQ1" s="20">
        <v>1510041</v>
      </c>
      <c r="AR1" s="20">
        <v>1510042</v>
      </c>
      <c r="AS1" s="20">
        <v>1510043</v>
      </c>
      <c r="AT1" s="20">
        <v>1510044</v>
      </c>
      <c r="AU1" s="20">
        <v>1510045</v>
      </c>
      <c r="AV1" s="20">
        <v>1510046</v>
      </c>
      <c r="AW1" s="20">
        <v>1510047</v>
      </c>
      <c r="AX1" s="20">
        <v>1510048</v>
      </c>
      <c r="AY1" s="20">
        <v>1510049</v>
      </c>
      <c r="AZ1" s="20">
        <v>1510050</v>
      </c>
      <c r="BA1" s="20">
        <v>1510051</v>
      </c>
      <c r="BB1" s="20">
        <v>1510052</v>
      </c>
      <c r="BC1" s="20">
        <v>1604053</v>
      </c>
      <c r="BD1" s="20">
        <v>1604054</v>
      </c>
      <c r="BE1" s="20">
        <v>1604055</v>
      </c>
      <c r="BF1" s="20">
        <v>1604056</v>
      </c>
      <c r="BG1" s="20">
        <v>1604057</v>
      </c>
      <c r="BH1" s="20">
        <v>1604058</v>
      </c>
      <c r="BI1" s="20">
        <v>1604059</v>
      </c>
      <c r="BJ1" s="20">
        <v>1604060</v>
      </c>
      <c r="BK1" s="20">
        <v>1604061</v>
      </c>
      <c r="BL1" s="20">
        <v>1608062</v>
      </c>
      <c r="BM1" s="20">
        <v>1608063</v>
      </c>
      <c r="BN1" s="20">
        <v>1608064</v>
      </c>
      <c r="BO1" s="20">
        <v>1608065</v>
      </c>
      <c r="BP1" s="20">
        <v>1608066</v>
      </c>
      <c r="BQ1" s="20">
        <v>1608067</v>
      </c>
      <c r="BR1" s="20">
        <v>1608068</v>
      </c>
      <c r="BS1" s="20">
        <v>1608069</v>
      </c>
      <c r="BT1" s="20">
        <v>1608070</v>
      </c>
      <c r="BU1" s="20">
        <v>1608071</v>
      </c>
      <c r="BV1" s="20">
        <v>1608072</v>
      </c>
      <c r="BW1" s="20">
        <v>1608073</v>
      </c>
      <c r="BX1" s="20">
        <v>1608074</v>
      </c>
      <c r="BY1" s="20">
        <v>1608075</v>
      </c>
      <c r="BZ1" s="20">
        <v>1608076</v>
      </c>
      <c r="CA1" s="20">
        <v>1608077</v>
      </c>
      <c r="CB1" s="20">
        <v>1608078</v>
      </c>
      <c r="CC1" s="20">
        <v>1608079</v>
      </c>
      <c r="CD1" s="20">
        <v>1608080</v>
      </c>
      <c r="CE1" s="20">
        <v>1608081</v>
      </c>
      <c r="CF1" s="20">
        <v>1608082</v>
      </c>
      <c r="CG1" s="20">
        <v>1608083</v>
      </c>
      <c r="CH1" s="20">
        <v>1608084</v>
      </c>
      <c r="CI1" s="20">
        <v>1608085</v>
      </c>
      <c r="CJ1" s="20">
        <v>1608086</v>
      </c>
      <c r="CK1" s="20">
        <v>1608087</v>
      </c>
      <c r="CL1" s="20">
        <v>1608088</v>
      </c>
      <c r="CM1" s="20">
        <v>1608089</v>
      </c>
      <c r="CN1" s="20">
        <v>1608090</v>
      </c>
      <c r="CO1" s="20">
        <v>1608091</v>
      </c>
      <c r="CP1" s="20">
        <v>1608092</v>
      </c>
      <c r="CQ1" s="20">
        <v>1608093</v>
      </c>
      <c r="CR1" s="20">
        <v>1608094</v>
      </c>
      <c r="CS1" s="20">
        <v>1612095</v>
      </c>
      <c r="CT1" s="20">
        <v>1612096</v>
      </c>
      <c r="CU1" s="20">
        <v>1612097</v>
      </c>
      <c r="CV1" s="20">
        <v>1612098</v>
      </c>
      <c r="CW1" s="20">
        <v>1612099</v>
      </c>
      <c r="CX1" s="20">
        <v>1612100</v>
      </c>
      <c r="CY1" s="20">
        <v>1612101</v>
      </c>
      <c r="CZ1" s="20">
        <v>1708102</v>
      </c>
      <c r="DA1" s="20">
        <v>1708103</v>
      </c>
      <c r="DB1" s="20">
        <v>1708104</v>
      </c>
      <c r="DC1" s="20">
        <v>1708105</v>
      </c>
      <c r="DD1" s="20">
        <v>1708106</v>
      </c>
      <c r="DE1" s="20">
        <v>1708107</v>
      </c>
      <c r="DF1" s="20">
        <v>1708108</v>
      </c>
      <c r="DG1" s="20">
        <v>1708109</v>
      </c>
      <c r="DH1" s="20">
        <v>1708110</v>
      </c>
      <c r="DI1" s="20">
        <v>1708111</v>
      </c>
      <c r="DJ1" s="20">
        <v>1708112</v>
      </c>
      <c r="DK1" s="20">
        <v>1708113</v>
      </c>
      <c r="DL1" s="20">
        <v>1708114</v>
      </c>
      <c r="DM1" s="20">
        <v>1708115</v>
      </c>
      <c r="DN1" s="20">
        <v>1708116</v>
      </c>
      <c r="DO1" s="20">
        <v>1708117</v>
      </c>
      <c r="DP1" s="20">
        <v>1708118</v>
      </c>
      <c r="DQ1" s="20">
        <v>1708119</v>
      </c>
      <c r="DR1" s="20">
        <v>1708120</v>
      </c>
      <c r="DS1" s="20">
        <v>1708121</v>
      </c>
      <c r="DT1" s="20">
        <v>1708122</v>
      </c>
      <c r="DU1" s="20">
        <v>1708123</v>
      </c>
      <c r="DV1" s="20">
        <v>1708124</v>
      </c>
      <c r="DW1" s="20">
        <v>1708125</v>
      </c>
      <c r="DX1" s="20">
        <v>1708126</v>
      </c>
      <c r="DY1" s="20">
        <v>1708127</v>
      </c>
      <c r="DZ1" s="20">
        <v>1708128</v>
      </c>
      <c r="EA1" s="20">
        <v>1708129</v>
      </c>
      <c r="EB1" s="20">
        <v>1708130</v>
      </c>
    </row>
    <row r="2" spans="1:132">
      <c r="A2" s="7" t="s">
        <v>98</v>
      </c>
      <c r="B2" s="8" t="s">
        <v>112</v>
      </c>
      <c r="C2" s="19">
        <v>273330194</v>
      </c>
      <c r="D2" s="19">
        <v>1603617220</v>
      </c>
      <c r="E2" s="19">
        <v>732928724</v>
      </c>
      <c r="F2" s="19">
        <v>800626170</v>
      </c>
      <c r="G2" s="19">
        <v>141641778</v>
      </c>
      <c r="H2" s="19">
        <v>262228654</v>
      </c>
      <c r="I2" s="19">
        <v>1815796839</v>
      </c>
      <c r="J2" s="19" t="s">
        <v>89</v>
      </c>
      <c r="K2" s="19">
        <v>830981523</v>
      </c>
      <c r="L2" s="19">
        <v>760637916</v>
      </c>
      <c r="M2" s="19">
        <v>2180565314</v>
      </c>
      <c r="N2" s="19">
        <v>560877231</v>
      </c>
      <c r="O2" s="19">
        <v>2850441177</v>
      </c>
      <c r="P2" s="19">
        <v>2212739512</v>
      </c>
      <c r="Q2" s="19">
        <v>248008813</v>
      </c>
      <c r="R2" s="19">
        <v>315217385</v>
      </c>
      <c r="S2" s="19">
        <v>2666775352</v>
      </c>
      <c r="T2" s="19">
        <v>277396711</v>
      </c>
      <c r="U2" s="19">
        <v>2434551568</v>
      </c>
      <c r="V2" s="19">
        <v>289032997</v>
      </c>
      <c r="W2" s="19">
        <v>1045441763</v>
      </c>
      <c r="X2" s="19">
        <v>5929017570</v>
      </c>
      <c r="Y2" s="19">
        <v>536339224</v>
      </c>
      <c r="Z2" s="19">
        <v>609404746</v>
      </c>
      <c r="AA2" s="19">
        <v>3548760836</v>
      </c>
      <c r="AB2" s="19">
        <v>207470786</v>
      </c>
      <c r="AC2" s="19">
        <v>545863811</v>
      </c>
      <c r="AD2" s="19">
        <v>1707318089</v>
      </c>
      <c r="AE2" s="19">
        <v>651255724</v>
      </c>
      <c r="AF2" s="19">
        <v>264319611</v>
      </c>
      <c r="AG2" s="19">
        <v>2181169814</v>
      </c>
      <c r="AH2" s="19">
        <v>1081223937</v>
      </c>
      <c r="AI2" s="19">
        <v>354031872</v>
      </c>
      <c r="AJ2" s="19">
        <v>824668344</v>
      </c>
      <c r="AK2" s="19">
        <v>1901751177</v>
      </c>
      <c r="AL2" s="19">
        <v>187516971</v>
      </c>
      <c r="AM2" s="19">
        <v>3573342309</v>
      </c>
      <c r="AN2" s="19">
        <v>141471777</v>
      </c>
      <c r="AO2" s="19">
        <v>466762280</v>
      </c>
      <c r="AP2" s="19">
        <v>712698775</v>
      </c>
      <c r="AQ2" s="19">
        <v>91538634</v>
      </c>
      <c r="AR2" s="19">
        <v>218036918</v>
      </c>
      <c r="AS2" s="19">
        <v>863430202</v>
      </c>
      <c r="AT2" s="19">
        <v>2090313371</v>
      </c>
      <c r="AU2" s="19">
        <v>1367505207</v>
      </c>
      <c r="AV2" s="19">
        <v>339380286</v>
      </c>
      <c r="AW2" s="19">
        <v>678493538</v>
      </c>
      <c r="AX2" s="19">
        <v>1069830129</v>
      </c>
      <c r="AY2" s="19">
        <v>505068514</v>
      </c>
      <c r="AZ2" s="19">
        <v>405565843</v>
      </c>
      <c r="BA2" s="19">
        <v>1949927915</v>
      </c>
      <c r="BB2" s="19">
        <v>76741045</v>
      </c>
      <c r="BC2" s="19">
        <v>1886039767</v>
      </c>
      <c r="BD2" s="19">
        <v>141667916</v>
      </c>
      <c r="BE2" s="19">
        <v>797532496</v>
      </c>
      <c r="BF2" s="19">
        <v>2408684851</v>
      </c>
      <c r="BG2" s="19">
        <v>1600773950</v>
      </c>
      <c r="BH2" s="19">
        <v>311817960</v>
      </c>
      <c r="BI2" s="19">
        <v>503020140</v>
      </c>
      <c r="BJ2" s="19">
        <v>740358937</v>
      </c>
      <c r="BK2" s="19">
        <v>468127383</v>
      </c>
      <c r="BL2" s="19">
        <v>154123158</v>
      </c>
      <c r="BM2" s="19">
        <v>174270907</v>
      </c>
      <c r="BN2" s="19">
        <v>178594405</v>
      </c>
      <c r="BO2" s="19">
        <v>418972059</v>
      </c>
      <c r="BP2" s="19">
        <v>77939166</v>
      </c>
      <c r="BQ2" s="19">
        <v>503955661</v>
      </c>
      <c r="BR2" s="19">
        <v>97896342</v>
      </c>
      <c r="BS2" s="19">
        <v>77107399</v>
      </c>
      <c r="BT2" s="19">
        <v>71912813</v>
      </c>
      <c r="BU2" s="19">
        <v>268884334</v>
      </c>
      <c r="BV2" s="19">
        <v>468720176</v>
      </c>
      <c r="BW2" s="19">
        <v>46720372</v>
      </c>
      <c r="BX2" s="19">
        <v>275712222</v>
      </c>
      <c r="BY2" s="19">
        <v>871578587</v>
      </c>
      <c r="BZ2" s="19">
        <v>238845619</v>
      </c>
      <c r="CA2" s="19">
        <v>390087115</v>
      </c>
      <c r="CB2" s="19">
        <v>404604814</v>
      </c>
      <c r="CC2" s="19">
        <v>52948077</v>
      </c>
      <c r="CD2" s="19">
        <v>392418104</v>
      </c>
      <c r="CE2" s="19">
        <v>567445546</v>
      </c>
      <c r="CF2" s="19" t="s">
        <v>127</v>
      </c>
      <c r="CG2" s="19">
        <v>254003090</v>
      </c>
      <c r="CH2" s="19">
        <v>30999334</v>
      </c>
      <c r="CI2" s="19">
        <v>1739774868</v>
      </c>
      <c r="CJ2" s="19">
        <v>591733884</v>
      </c>
      <c r="CK2" s="19">
        <v>3009757867</v>
      </c>
      <c r="CL2" s="19">
        <v>697984060</v>
      </c>
      <c r="CM2" s="19">
        <v>1235122708</v>
      </c>
      <c r="CN2" s="19">
        <v>171848920</v>
      </c>
      <c r="CO2" s="19">
        <v>315768584</v>
      </c>
      <c r="CP2" s="19">
        <v>701226702</v>
      </c>
      <c r="CQ2" s="19" t="s">
        <v>96</v>
      </c>
      <c r="CR2" s="19">
        <v>558359553</v>
      </c>
      <c r="CS2" s="19">
        <v>807949523</v>
      </c>
      <c r="CT2" s="19">
        <v>43820848</v>
      </c>
      <c r="CU2" s="19">
        <v>458467606</v>
      </c>
      <c r="CV2" s="19" t="s">
        <v>89</v>
      </c>
      <c r="CW2" s="19">
        <v>1212111495</v>
      </c>
      <c r="CX2" s="19">
        <v>1617221000</v>
      </c>
      <c r="CY2" s="19">
        <v>1906005441</v>
      </c>
      <c r="CZ2" s="19">
        <v>168755282</v>
      </c>
      <c r="DA2" s="19">
        <v>47779987</v>
      </c>
      <c r="DB2" s="19">
        <v>466107001</v>
      </c>
      <c r="DC2" s="19">
        <v>5315480</v>
      </c>
      <c r="DD2" s="19">
        <v>139551757</v>
      </c>
      <c r="DE2" s="19">
        <v>712413697</v>
      </c>
      <c r="DF2" s="19">
        <v>49293525</v>
      </c>
      <c r="DG2" s="19">
        <v>279293938</v>
      </c>
      <c r="DH2" s="19">
        <v>113971518</v>
      </c>
      <c r="DI2" s="19">
        <v>2680096874</v>
      </c>
      <c r="DJ2" s="19">
        <v>31324417</v>
      </c>
      <c r="DK2" s="19">
        <v>823626794</v>
      </c>
      <c r="DL2" s="19">
        <v>114222748</v>
      </c>
      <c r="DM2" s="19">
        <v>863401544</v>
      </c>
      <c r="DN2" s="19">
        <v>50553398</v>
      </c>
      <c r="DO2" s="19">
        <v>140787065</v>
      </c>
      <c r="DP2" s="19">
        <v>884672295</v>
      </c>
      <c r="DQ2" s="19">
        <v>503630161</v>
      </c>
      <c r="DR2" s="19">
        <v>43663038</v>
      </c>
      <c r="DS2" s="19">
        <v>110445923</v>
      </c>
      <c r="DT2" s="19">
        <v>344315478</v>
      </c>
      <c r="DU2" s="19">
        <v>141924973</v>
      </c>
      <c r="DV2" s="19">
        <v>305613573</v>
      </c>
      <c r="DW2" s="19">
        <v>111512958</v>
      </c>
      <c r="DX2" s="19">
        <v>107354313</v>
      </c>
      <c r="DY2" s="19">
        <v>215140372</v>
      </c>
      <c r="DZ2" s="19">
        <v>588876333</v>
      </c>
      <c r="EA2" s="19">
        <v>72826564</v>
      </c>
      <c r="EB2" s="19">
        <v>371291251</v>
      </c>
    </row>
    <row r="3" spans="1:132">
      <c r="A3" s="7" t="s">
        <v>98</v>
      </c>
      <c r="B3" s="8" t="s">
        <v>84</v>
      </c>
      <c r="C3" s="19">
        <v>232962937</v>
      </c>
      <c r="D3" s="19">
        <v>1129021554</v>
      </c>
      <c r="E3" s="19">
        <v>158116660</v>
      </c>
      <c r="F3" s="19">
        <v>637921189</v>
      </c>
      <c r="G3" s="19">
        <v>130153787</v>
      </c>
      <c r="H3" s="19">
        <v>111040532</v>
      </c>
      <c r="I3" s="19">
        <v>471051652</v>
      </c>
      <c r="J3" s="19" t="s">
        <v>89</v>
      </c>
      <c r="K3" s="19">
        <v>535977731</v>
      </c>
      <c r="L3" s="19">
        <v>654948391</v>
      </c>
      <c r="M3" s="19">
        <v>569357832</v>
      </c>
      <c r="N3" s="19">
        <v>330081721</v>
      </c>
      <c r="O3" s="19">
        <v>978241393</v>
      </c>
      <c r="P3" s="19">
        <v>1500096682</v>
      </c>
      <c r="Q3" s="19">
        <v>210413673</v>
      </c>
      <c r="R3" s="19">
        <v>107602369</v>
      </c>
      <c r="S3" s="19">
        <v>1173588351</v>
      </c>
      <c r="T3" s="19">
        <v>5959290</v>
      </c>
      <c r="U3" s="19">
        <v>1996226501</v>
      </c>
      <c r="V3" s="19">
        <v>160801783</v>
      </c>
      <c r="W3" s="19">
        <v>550052485</v>
      </c>
      <c r="X3" s="19">
        <v>955965404</v>
      </c>
      <c r="Y3" s="19">
        <v>285239917</v>
      </c>
      <c r="Z3" s="19">
        <v>278643567</v>
      </c>
      <c r="AA3" s="19">
        <v>2524048077</v>
      </c>
      <c r="AB3" s="19">
        <v>173281413</v>
      </c>
      <c r="AC3" s="19">
        <v>290638383</v>
      </c>
      <c r="AD3" s="19">
        <v>690925392</v>
      </c>
      <c r="AE3" s="19">
        <v>275703235</v>
      </c>
      <c r="AF3" s="19">
        <v>93892462</v>
      </c>
      <c r="AG3" s="19">
        <v>569962332</v>
      </c>
      <c r="AH3" s="19">
        <v>1018935103</v>
      </c>
      <c r="AI3" s="19">
        <v>75374312</v>
      </c>
      <c r="AJ3" s="19">
        <v>585815922</v>
      </c>
      <c r="AK3" s="19">
        <v>1613576806</v>
      </c>
      <c r="AL3" s="19">
        <v>144289836</v>
      </c>
      <c r="AM3" s="19">
        <v>1559271534</v>
      </c>
      <c r="AN3" s="19">
        <v>41935774</v>
      </c>
      <c r="AO3" s="19">
        <v>346688642</v>
      </c>
      <c r="AP3" s="19">
        <v>671972045</v>
      </c>
      <c r="AQ3" s="19">
        <v>52289790</v>
      </c>
      <c r="AR3" s="19">
        <v>164736400</v>
      </c>
      <c r="AS3" s="19">
        <v>719586915</v>
      </c>
      <c r="AT3" s="19">
        <v>375250322</v>
      </c>
      <c r="AU3" s="19">
        <v>435128316</v>
      </c>
      <c r="AV3" s="19">
        <v>164087542</v>
      </c>
      <c r="AW3" s="19">
        <v>65530173</v>
      </c>
      <c r="AX3" s="19">
        <v>729937850</v>
      </c>
      <c r="AY3" s="19">
        <v>117288757</v>
      </c>
      <c r="AZ3" s="19">
        <v>215919893</v>
      </c>
      <c r="BA3" s="19">
        <v>820456201</v>
      </c>
      <c r="BB3" s="19">
        <v>49953163</v>
      </c>
      <c r="BC3" s="19">
        <v>1003912847</v>
      </c>
      <c r="BD3" s="19">
        <v>120035140</v>
      </c>
      <c r="BE3" s="19">
        <v>539232489</v>
      </c>
      <c r="BF3" s="19">
        <v>1060454619</v>
      </c>
      <c r="BG3" s="19">
        <v>1114553940</v>
      </c>
      <c r="BH3" s="19">
        <v>134586807</v>
      </c>
      <c r="BI3" s="19">
        <v>446945452</v>
      </c>
      <c r="BJ3" s="19">
        <v>675716852</v>
      </c>
      <c r="BK3" s="19">
        <v>301027048</v>
      </c>
      <c r="BL3" s="19">
        <v>117501309</v>
      </c>
      <c r="BM3" s="19">
        <v>110250341</v>
      </c>
      <c r="BN3" s="19">
        <v>134408482</v>
      </c>
      <c r="BO3" s="19">
        <v>293639508</v>
      </c>
      <c r="BP3" s="19">
        <v>55311410</v>
      </c>
      <c r="BQ3" s="19">
        <v>244390827</v>
      </c>
      <c r="BR3" s="19">
        <v>96552760</v>
      </c>
      <c r="BS3" s="19">
        <v>21619739</v>
      </c>
      <c r="BT3" s="19">
        <v>42403095</v>
      </c>
      <c r="BU3" s="19">
        <v>208672174</v>
      </c>
      <c r="BV3" s="19">
        <v>453621367</v>
      </c>
      <c r="BW3" s="19">
        <v>29363753</v>
      </c>
      <c r="BX3" s="19">
        <v>250635098</v>
      </c>
      <c r="BY3" s="19">
        <v>489360471</v>
      </c>
      <c r="BZ3" s="19">
        <v>227790715</v>
      </c>
      <c r="CA3" s="19">
        <v>117181457</v>
      </c>
      <c r="CB3" s="19">
        <v>127504907</v>
      </c>
      <c r="CC3" s="19">
        <v>49898077</v>
      </c>
      <c r="CD3" s="19">
        <v>331612987</v>
      </c>
      <c r="CE3" s="19">
        <v>474599172</v>
      </c>
      <c r="CF3" s="19" t="s">
        <v>127</v>
      </c>
      <c r="CG3" s="19">
        <v>208575049</v>
      </c>
      <c r="CH3" s="19">
        <v>27534590</v>
      </c>
      <c r="CI3" s="19">
        <v>1072357157</v>
      </c>
      <c r="CJ3" s="19">
        <v>534043317</v>
      </c>
      <c r="CK3" s="19">
        <v>274733622</v>
      </c>
      <c r="CL3" s="19">
        <v>225864399</v>
      </c>
      <c r="CM3" s="19">
        <v>642297196</v>
      </c>
      <c r="CN3" s="19">
        <v>68763023</v>
      </c>
      <c r="CO3" s="19">
        <v>237828537</v>
      </c>
      <c r="CP3" s="19">
        <v>555121412</v>
      </c>
      <c r="CQ3" s="19" t="s">
        <v>96</v>
      </c>
      <c r="CR3" s="19">
        <v>428382522</v>
      </c>
      <c r="CS3" s="19">
        <v>438640517</v>
      </c>
      <c r="CT3" s="19">
        <v>11405070</v>
      </c>
      <c r="CU3" s="19">
        <v>389499055</v>
      </c>
      <c r="CV3" s="19" t="s">
        <v>89</v>
      </c>
      <c r="CW3" s="19">
        <v>458730876</v>
      </c>
      <c r="CX3" s="19">
        <v>1467026494</v>
      </c>
      <c r="CY3" s="19">
        <v>1532876527</v>
      </c>
      <c r="CZ3" s="19">
        <v>125268118</v>
      </c>
      <c r="DA3" s="19">
        <v>47779987</v>
      </c>
      <c r="DB3" s="19">
        <v>435317216</v>
      </c>
      <c r="DC3" s="19">
        <v>5315480</v>
      </c>
      <c r="DD3" s="19">
        <v>16341211</v>
      </c>
      <c r="DE3" s="19">
        <v>34561785</v>
      </c>
      <c r="DF3" s="19">
        <v>19999022</v>
      </c>
      <c r="DG3" s="19">
        <v>193254223</v>
      </c>
      <c r="DH3" s="19">
        <v>113971518</v>
      </c>
      <c r="DI3" s="19">
        <v>521018888</v>
      </c>
      <c r="DJ3" s="19">
        <v>23711234</v>
      </c>
      <c r="DK3" s="19">
        <v>737718902</v>
      </c>
      <c r="DL3" s="19">
        <v>91882508</v>
      </c>
      <c r="DM3" s="19">
        <v>820135836</v>
      </c>
      <c r="DN3" s="19">
        <v>48096705</v>
      </c>
      <c r="DO3" s="19">
        <v>80609293</v>
      </c>
      <c r="DP3" s="19">
        <v>600920878</v>
      </c>
      <c r="DQ3" s="19">
        <v>419232175</v>
      </c>
      <c r="DR3" s="19">
        <v>38663038</v>
      </c>
      <c r="DS3" s="19">
        <v>42238113</v>
      </c>
      <c r="DT3" s="19">
        <v>280406750</v>
      </c>
      <c r="DU3" s="19">
        <v>114809035</v>
      </c>
      <c r="DV3" s="19">
        <v>304296573</v>
      </c>
      <c r="DW3" s="19">
        <v>85324730</v>
      </c>
      <c r="DX3" s="19">
        <v>84452357</v>
      </c>
      <c r="DY3" s="19">
        <v>63585505</v>
      </c>
      <c r="DZ3" s="19">
        <v>501542540</v>
      </c>
      <c r="EA3" s="19">
        <v>9255354</v>
      </c>
      <c r="EB3" s="19">
        <v>303407301</v>
      </c>
    </row>
    <row r="4" spans="1:132">
      <c r="A4" s="7" t="s">
        <v>98</v>
      </c>
      <c r="B4" s="11" t="s">
        <v>23</v>
      </c>
      <c r="C4" s="19">
        <v>232962937</v>
      </c>
      <c r="D4" s="19">
        <v>1045386374</v>
      </c>
      <c r="E4" s="19">
        <v>124323520</v>
      </c>
      <c r="F4" s="19">
        <v>637921189</v>
      </c>
      <c r="G4" s="19">
        <v>79803787</v>
      </c>
      <c r="H4" s="19">
        <v>111040532</v>
      </c>
      <c r="I4" s="19">
        <v>471051652</v>
      </c>
      <c r="J4" s="19" t="s">
        <v>89</v>
      </c>
      <c r="K4" s="19">
        <v>509791231</v>
      </c>
      <c r="L4" s="19">
        <v>130056981</v>
      </c>
      <c r="M4" s="19">
        <v>515528268</v>
      </c>
      <c r="N4" s="19">
        <v>330081721</v>
      </c>
      <c r="O4" s="19">
        <v>838843077</v>
      </c>
      <c r="P4" s="19">
        <v>1415164483</v>
      </c>
      <c r="Q4" s="19">
        <v>136160727</v>
      </c>
      <c r="R4" s="19">
        <v>96292369</v>
      </c>
      <c r="S4" s="19">
        <v>1148540824</v>
      </c>
      <c r="T4" s="19">
        <v>5959290</v>
      </c>
      <c r="U4" s="19">
        <v>1955229774</v>
      </c>
      <c r="V4" s="19">
        <v>89737227</v>
      </c>
      <c r="W4" s="19">
        <v>517668425</v>
      </c>
      <c r="X4" s="19">
        <v>955965404</v>
      </c>
      <c r="Y4" s="19">
        <v>285239917</v>
      </c>
      <c r="Z4" s="19">
        <v>211383491</v>
      </c>
      <c r="AA4" s="19">
        <v>1483333725</v>
      </c>
      <c r="AB4" s="19">
        <v>173281413</v>
      </c>
      <c r="AC4" s="19">
        <v>283016883</v>
      </c>
      <c r="AD4" s="19">
        <v>648084392</v>
      </c>
      <c r="AE4" s="19">
        <v>245045925</v>
      </c>
      <c r="AF4" s="19">
        <v>93892462</v>
      </c>
      <c r="AG4" s="19">
        <v>516132768</v>
      </c>
      <c r="AH4" s="19">
        <v>1018935103</v>
      </c>
      <c r="AI4" s="19">
        <v>50876180</v>
      </c>
      <c r="AJ4" s="19">
        <v>152620824</v>
      </c>
      <c r="AK4" s="19">
        <v>1613576806</v>
      </c>
      <c r="AL4" s="19">
        <v>144289836</v>
      </c>
      <c r="AM4" s="19">
        <v>1559271534</v>
      </c>
      <c r="AN4" s="19">
        <v>41043424</v>
      </c>
      <c r="AO4" s="19">
        <v>346688642</v>
      </c>
      <c r="AP4" s="19">
        <v>640927957</v>
      </c>
      <c r="AQ4" s="19">
        <v>49989790</v>
      </c>
      <c r="AR4" s="19">
        <v>123943750</v>
      </c>
      <c r="AS4" s="19">
        <v>719586915</v>
      </c>
      <c r="AT4" s="19">
        <v>99994778</v>
      </c>
      <c r="AU4" s="19">
        <v>435128316</v>
      </c>
      <c r="AV4" s="19">
        <v>164087542</v>
      </c>
      <c r="AW4" s="19">
        <v>40420623</v>
      </c>
      <c r="AX4" s="19">
        <v>717211410</v>
      </c>
      <c r="AY4" s="19">
        <v>117288757</v>
      </c>
      <c r="AZ4" s="19">
        <v>150073793</v>
      </c>
      <c r="BA4" s="19">
        <v>578689157</v>
      </c>
      <c r="BB4" s="19">
        <v>49953163</v>
      </c>
      <c r="BC4" s="19">
        <v>761753327</v>
      </c>
      <c r="BD4" s="19">
        <v>120035140</v>
      </c>
      <c r="BE4" s="19">
        <v>257602489</v>
      </c>
      <c r="BF4" s="19">
        <v>506371099</v>
      </c>
      <c r="BG4" s="19">
        <v>439334195</v>
      </c>
      <c r="BH4" s="19">
        <v>69614037</v>
      </c>
      <c r="BI4" s="19">
        <v>315509378</v>
      </c>
      <c r="BJ4" s="19">
        <v>443613072</v>
      </c>
      <c r="BK4" s="19">
        <v>262930048</v>
      </c>
      <c r="BL4" s="19">
        <v>107819309</v>
      </c>
      <c r="BM4" s="19">
        <v>88049437</v>
      </c>
      <c r="BN4" s="19">
        <v>134408482</v>
      </c>
      <c r="BO4" s="19">
        <v>102453128</v>
      </c>
      <c r="BP4" s="19">
        <v>55311410</v>
      </c>
      <c r="BQ4" s="19">
        <v>76402940</v>
      </c>
      <c r="BR4" s="19">
        <v>96552760</v>
      </c>
      <c r="BS4" s="19">
        <v>5121339</v>
      </c>
      <c r="BT4" s="19">
        <v>42403095</v>
      </c>
      <c r="BU4" s="19">
        <v>31849012</v>
      </c>
      <c r="BV4" s="19">
        <v>453621367</v>
      </c>
      <c r="BW4" s="19">
        <v>29363753</v>
      </c>
      <c r="BX4" s="19">
        <v>250635098</v>
      </c>
      <c r="BY4" s="19">
        <v>475167921</v>
      </c>
      <c r="BZ4" s="19">
        <v>193160197</v>
      </c>
      <c r="CA4" s="19">
        <v>95581457</v>
      </c>
      <c r="CB4" s="19">
        <v>81611004</v>
      </c>
      <c r="CC4" s="19">
        <v>30258177</v>
      </c>
      <c r="CD4" s="19">
        <v>289861854</v>
      </c>
      <c r="CE4" s="19">
        <v>137448622</v>
      </c>
      <c r="CF4" s="19" t="s">
        <v>127</v>
      </c>
      <c r="CG4" s="19">
        <v>208575049</v>
      </c>
      <c r="CH4" s="19">
        <v>15670354</v>
      </c>
      <c r="CI4" s="19">
        <v>707118367</v>
      </c>
      <c r="CJ4" s="19">
        <v>151353317</v>
      </c>
      <c r="CK4" s="19">
        <v>254132240</v>
      </c>
      <c r="CL4" s="19">
        <v>161554085</v>
      </c>
      <c r="CM4" s="19">
        <v>642297196</v>
      </c>
      <c r="CN4" s="19">
        <v>68763023</v>
      </c>
      <c r="CO4" s="19">
        <v>237828537</v>
      </c>
      <c r="CP4" s="19">
        <v>294291012</v>
      </c>
      <c r="CQ4" s="19" t="s">
        <v>96</v>
      </c>
      <c r="CR4" s="19">
        <v>381817522</v>
      </c>
      <c r="CS4" s="19">
        <v>438640517</v>
      </c>
      <c r="CT4" s="19">
        <v>11405070</v>
      </c>
      <c r="CU4" s="19">
        <v>389499055</v>
      </c>
      <c r="CV4" s="19" t="s">
        <v>89</v>
      </c>
      <c r="CW4" s="19">
        <v>418506635</v>
      </c>
      <c r="CX4" s="19">
        <v>1467026494</v>
      </c>
      <c r="CY4" s="19">
        <v>1491899097</v>
      </c>
      <c r="CZ4" s="19">
        <v>125268118</v>
      </c>
      <c r="DA4" s="19">
        <v>45779987</v>
      </c>
      <c r="DB4" s="19">
        <v>435317216</v>
      </c>
      <c r="DC4" s="19">
        <v>5315480</v>
      </c>
      <c r="DD4" s="19">
        <v>15489171</v>
      </c>
      <c r="DE4" s="19">
        <v>34561785</v>
      </c>
      <c r="DF4" s="19">
        <v>13024401</v>
      </c>
      <c r="DG4" s="19">
        <v>193254223</v>
      </c>
      <c r="DH4" s="19">
        <v>111763018</v>
      </c>
      <c r="DI4" s="19">
        <v>460325708</v>
      </c>
      <c r="DJ4" s="19">
        <v>23711234</v>
      </c>
      <c r="DK4" s="19">
        <v>425475996</v>
      </c>
      <c r="DL4" s="19">
        <v>91882508</v>
      </c>
      <c r="DM4" s="19">
        <v>283877146</v>
      </c>
      <c r="DN4" s="19">
        <v>33964230</v>
      </c>
      <c r="DO4" s="19">
        <v>80609293</v>
      </c>
      <c r="DP4" s="19">
        <v>578722128</v>
      </c>
      <c r="DQ4" s="19">
        <v>340092760</v>
      </c>
      <c r="DR4" s="19">
        <v>6356038</v>
      </c>
      <c r="DS4" s="19">
        <v>42238113</v>
      </c>
      <c r="DT4" s="19">
        <v>280406750</v>
      </c>
      <c r="DU4" s="19">
        <v>114809035</v>
      </c>
      <c r="DV4" s="19">
        <v>304296573</v>
      </c>
      <c r="DW4" s="19">
        <v>84131930</v>
      </c>
      <c r="DX4" s="19">
        <v>84452357</v>
      </c>
      <c r="DY4" s="19">
        <v>55298361</v>
      </c>
      <c r="DZ4" s="19">
        <v>319694840</v>
      </c>
      <c r="EA4" s="19">
        <v>9255354</v>
      </c>
      <c r="EB4" s="19">
        <v>303407301</v>
      </c>
    </row>
    <row r="5" spans="1:132">
      <c r="A5" s="7" t="s">
        <v>98</v>
      </c>
      <c r="B5" s="12" t="s">
        <v>61</v>
      </c>
      <c r="C5" s="19">
        <v>133992997</v>
      </c>
      <c r="D5" s="19">
        <v>506833964</v>
      </c>
      <c r="E5" s="19">
        <v>107627151</v>
      </c>
      <c r="F5" s="19">
        <v>174305807</v>
      </c>
      <c r="G5" s="19">
        <v>38150525</v>
      </c>
      <c r="H5" s="19"/>
      <c r="I5" s="19">
        <v>24648752</v>
      </c>
      <c r="J5" s="19" t="s">
        <v>89</v>
      </c>
      <c r="K5" s="19">
        <v>318882187</v>
      </c>
      <c r="L5" s="19">
        <v>34799885</v>
      </c>
      <c r="M5" s="19">
        <v>204970042</v>
      </c>
      <c r="N5" s="19">
        <v>289206887</v>
      </c>
      <c r="O5" s="19">
        <v>521643255</v>
      </c>
      <c r="P5" s="19">
        <v>947080225</v>
      </c>
      <c r="Q5" s="19">
        <v>90271220</v>
      </c>
      <c r="R5" s="19">
        <v>93138911</v>
      </c>
      <c r="S5" s="19">
        <v>838046908</v>
      </c>
      <c r="T5" s="19">
        <v>3009515</v>
      </c>
      <c r="U5" s="19">
        <v>1788265485</v>
      </c>
      <c r="V5" s="19">
        <v>12528522</v>
      </c>
      <c r="W5" s="19">
        <v>501641031</v>
      </c>
      <c r="X5" s="19">
        <v>491329477</v>
      </c>
      <c r="Y5" s="19">
        <v>249034058</v>
      </c>
      <c r="Z5" s="19">
        <v>4010572</v>
      </c>
      <c r="AA5" s="19">
        <v>44113223</v>
      </c>
      <c r="AB5" s="19">
        <v>137371578</v>
      </c>
      <c r="AC5" s="19">
        <v>144432094</v>
      </c>
      <c r="AD5" s="19">
        <v>74224522</v>
      </c>
      <c r="AE5" s="19">
        <v>106637265</v>
      </c>
      <c r="AF5" s="19">
        <v>93892462</v>
      </c>
      <c r="AG5" s="19">
        <v>192565484</v>
      </c>
      <c r="AH5" s="19">
        <v>149496880</v>
      </c>
      <c r="AI5" s="19">
        <v>6261490</v>
      </c>
      <c r="AJ5" s="19">
        <v>76435058</v>
      </c>
      <c r="AK5" s="19">
        <v>42383779</v>
      </c>
      <c r="AL5" s="19">
        <v>142740644</v>
      </c>
      <c r="AM5" s="19">
        <v>103352219</v>
      </c>
      <c r="AN5" s="19">
        <v>38111874</v>
      </c>
      <c r="AO5" s="19">
        <v>122202244</v>
      </c>
      <c r="AP5" s="19">
        <v>562985717</v>
      </c>
      <c r="AQ5" s="19">
        <v>47859833</v>
      </c>
      <c r="AR5" s="19">
        <v>104464553</v>
      </c>
      <c r="AS5" s="19">
        <v>54528643</v>
      </c>
      <c r="AT5" s="19">
        <v>13443010</v>
      </c>
      <c r="AU5" s="19">
        <v>254462336</v>
      </c>
      <c r="AV5" s="19">
        <v>112495349</v>
      </c>
      <c r="AW5" s="19">
        <v>11046343</v>
      </c>
      <c r="AX5" s="19">
        <v>61786241</v>
      </c>
      <c r="AY5" s="19">
        <v>114788697</v>
      </c>
      <c r="AZ5" s="19">
        <v>53756017</v>
      </c>
      <c r="BA5" s="19">
        <v>53821523</v>
      </c>
      <c r="BB5" s="19">
        <v>49922320</v>
      </c>
      <c r="BC5" s="19">
        <v>119052162</v>
      </c>
      <c r="BD5" s="19">
        <v>103851734</v>
      </c>
      <c r="BE5" s="19">
        <v>153469573</v>
      </c>
      <c r="BF5" s="19">
        <v>333320174</v>
      </c>
      <c r="BG5" s="19">
        <v>263098171</v>
      </c>
      <c r="BH5" s="19">
        <v>17594181</v>
      </c>
      <c r="BI5" s="19">
        <v>285018497</v>
      </c>
      <c r="BJ5" s="19">
        <v>59398361</v>
      </c>
      <c r="BK5" s="19">
        <v>41400648</v>
      </c>
      <c r="BL5" s="19">
        <v>83394346</v>
      </c>
      <c r="BM5" s="19">
        <v>70426201</v>
      </c>
      <c r="BN5" s="19">
        <v>118989379</v>
      </c>
      <c r="BO5" s="19">
        <v>22702117</v>
      </c>
      <c r="BP5" s="19">
        <v>33718655</v>
      </c>
      <c r="BQ5" s="19">
        <v>56767503</v>
      </c>
      <c r="BR5" s="19">
        <v>95617735</v>
      </c>
      <c r="BS5" s="19">
        <v>4608089</v>
      </c>
      <c r="BT5" s="19">
        <v>33038586</v>
      </c>
      <c r="BU5" s="19">
        <v>24836430</v>
      </c>
      <c r="BV5" s="19">
        <v>30877169</v>
      </c>
      <c r="BW5" s="19">
        <v>27583971</v>
      </c>
      <c r="BX5" s="19">
        <v>218081384</v>
      </c>
      <c r="BY5" s="19">
        <v>177540770</v>
      </c>
      <c r="BZ5" s="19">
        <v>3234962</v>
      </c>
      <c r="CA5" s="19">
        <v>32945391</v>
      </c>
      <c r="CB5" s="19">
        <v>33691657</v>
      </c>
      <c r="CC5" s="19">
        <v>27701382</v>
      </c>
      <c r="CD5" s="19">
        <v>141284821</v>
      </c>
      <c r="CE5" s="19">
        <v>23889543</v>
      </c>
      <c r="CF5" s="19" t="s">
        <v>127</v>
      </c>
      <c r="CG5" s="19">
        <v>202107489</v>
      </c>
      <c r="CH5" s="19">
        <v>14379182</v>
      </c>
      <c r="CI5" s="19">
        <v>78595480</v>
      </c>
      <c r="CJ5" s="19">
        <v>8523252</v>
      </c>
      <c r="CK5" s="19">
        <v>32584585</v>
      </c>
      <c r="CL5" s="19">
        <v>8349910</v>
      </c>
      <c r="CM5" s="19">
        <v>80734916</v>
      </c>
      <c r="CN5" s="19">
        <v>35275122</v>
      </c>
      <c r="CO5" s="19">
        <v>136879222</v>
      </c>
      <c r="CP5" s="19">
        <v>34008255</v>
      </c>
      <c r="CQ5" s="19" t="s">
        <v>96</v>
      </c>
      <c r="CR5" s="19">
        <v>307716001</v>
      </c>
      <c r="CS5" s="19">
        <v>144343580</v>
      </c>
      <c r="CT5" s="19">
        <v>8175232</v>
      </c>
      <c r="CU5" s="19">
        <v>389499055</v>
      </c>
      <c r="CV5" s="19" t="s">
        <v>89</v>
      </c>
      <c r="CW5" s="19">
        <v>268314460</v>
      </c>
      <c r="CX5" s="19">
        <v>594230027</v>
      </c>
      <c r="CY5" s="19">
        <v>922055106</v>
      </c>
      <c r="CZ5" s="19">
        <v>59177967</v>
      </c>
      <c r="DA5" s="19">
        <v>45779987</v>
      </c>
      <c r="DB5" s="19">
        <v>325415909</v>
      </c>
      <c r="DC5" s="19">
        <v>5315480</v>
      </c>
      <c r="DD5" s="19">
        <v>14122065</v>
      </c>
      <c r="DE5" s="19">
        <v>34561785</v>
      </c>
      <c r="DF5" s="19">
        <v>7711531</v>
      </c>
      <c r="DG5" s="19">
        <v>78915339</v>
      </c>
      <c r="DH5" s="19">
        <v>19993218</v>
      </c>
      <c r="DI5" s="19">
        <v>81028242</v>
      </c>
      <c r="DJ5" s="19">
        <v>23711234</v>
      </c>
      <c r="DK5" s="19">
        <v>24184154</v>
      </c>
      <c r="DL5" s="19">
        <v>40501344</v>
      </c>
      <c r="DM5" s="19">
        <v>24814075</v>
      </c>
      <c r="DN5" s="19">
        <v>30961369</v>
      </c>
      <c r="DO5" s="19">
        <v>32037320</v>
      </c>
      <c r="DP5" s="19">
        <v>447413588</v>
      </c>
      <c r="DQ5" s="19">
        <v>7849710</v>
      </c>
      <c r="DR5" s="19">
        <v>3365768</v>
      </c>
      <c r="DS5" s="19">
        <v>4582506</v>
      </c>
      <c r="DT5" s="19">
        <v>84439218</v>
      </c>
      <c r="DU5" s="19">
        <v>56909035</v>
      </c>
      <c r="DV5" s="19">
        <v>304190043</v>
      </c>
      <c r="DW5" s="19">
        <v>51395064</v>
      </c>
      <c r="DX5" s="19">
        <v>51371115</v>
      </c>
      <c r="DY5" s="19">
        <v>6562733</v>
      </c>
      <c r="DZ5" s="19">
        <v>263533428</v>
      </c>
      <c r="EA5" s="19">
        <v>2680128</v>
      </c>
      <c r="EB5" s="19">
        <v>73480964</v>
      </c>
    </row>
    <row r="6" spans="1:132">
      <c r="A6" s="7" t="s">
        <v>98</v>
      </c>
      <c r="B6" s="12" t="s">
        <v>75</v>
      </c>
      <c r="C6" s="19"/>
      <c r="D6" s="19"/>
      <c r="E6" s="19"/>
      <c r="F6" s="19">
        <v>451429944</v>
      </c>
      <c r="G6" s="19"/>
      <c r="H6" s="19"/>
      <c r="I6" s="19"/>
      <c r="J6" s="19" t="s">
        <v>89</v>
      </c>
      <c r="K6" s="19"/>
      <c r="L6" s="19">
        <v>4500000</v>
      </c>
      <c r="M6" s="19"/>
      <c r="N6" s="19"/>
      <c r="O6" s="19">
        <v>900000</v>
      </c>
      <c r="P6" s="19">
        <v>110000</v>
      </c>
      <c r="Q6" s="19"/>
      <c r="R6" s="19"/>
      <c r="S6" s="19"/>
      <c r="T6" s="19"/>
      <c r="U6" s="19"/>
      <c r="V6" s="19"/>
      <c r="W6" s="19"/>
      <c r="X6" s="19">
        <v>34657558</v>
      </c>
      <c r="Y6" s="19">
        <v>1100000</v>
      </c>
      <c r="Z6" s="19"/>
      <c r="AA6" s="19"/>
      <c r="AB6" s="19"/>
      <c r="AC6" s="19">
        <v>91582732</v>
      </c>
      <c r="AD6" s="19"/>
      <c r="AE6" s="19">
        <v>9582954</v>
      </c>
      <c r="AF6" s="19"/>
      <c r="AG6" s="19"/>
      <c r="AH6" s="19">
        <v>774323759</v>
      </c>
      <c r="AI6" s="19"/>
      <c r="AJ6" s="19"/>
      <c r="AK6" s="19">
        <v>1073582</v>
      </c>
      <c r="AL6" s="19"/>
      <c r="AM6" s="19">
        <v>249577671</v>
      </c>
      <c r="AN6" s="19"/>
      <c r="AO6" s="19">
        <v>100580021</v>
      </c>
      <c r="AP6" s="19">
        <v>1700000</v>
      </c>
      <c r="AQ6" s="19"/>
      <c r="AR6" s="19"/>
      <c r="AS6" s="19"/>
      <c r="AT6" s="19"/>
      <c r="AU6" s="19"/>
      <c r="AV6" s="19"/>
      <c r="AW6" s="19">
        <v>13513600</v>
      </c>
      <c r="AX6" s="19"/>
      <c r="AY6" s="19"/>
      <c r="AZ6" s="19"/>
      <c r="BA6" s="19"/>
      <c r="BB6" s="19"/>
      <c r="BC6" s="19"/>
      <c r="BD6" s="19"/>
      <c r="BE6" s="19">
        <v>800000</v>
      </c>
      <c r="BF6" s="19"/>
      <c r="BG6" s="19"/>
      <c r="BH6" s="19"/>
      <c r="BI6" s="19"/>
      <c r="BJ6" s="19"/>
      <c r="BK6" s="19"/>
      <c r="BL6" s="19">
        <v>16000000</v>
      </c>
      <c r="BM6" s="19"/>
      <c r="BN6" s="19"/>
      <c r="BO6" s="19"/>
      <c r="BP6" s="19"/>
      <c r="BQ6" s="19"/>
      <c r="BR6" s="19"/>
      <c r="BS6" s="19"/>
      <c r="BT6" s="19"/>
      <c r="BU6" s="19"/>
      <c r="BV6" s="19"/>
      <c r="BW6" s="19"/>
      <c r="BX6" s="19"/>
      <c r="BY6" s="19"/>
      <c r="BZ6" s="19">
        <v>127904081</v>
      </c>
      <c r="CA6" s="19"/>
      <c r="CB6" s="19"/>
      <c r="CC6" s="19"/>
      <c r="CD6" s="19"/>
      <c r="CE6" s="19"/>
      <c r="CF6" s="19" t="s">
        <v>127</v>
      </c>
      <c r="CG6" s="19">
        <v>925000</v>
      </c>
      <c r="CH6" s="19"/>
      <c r="CI6" s="19"/>
      <c r="CJ6" s="19">
        <v>20000000</v>
      </c>
      <c r="CK6" s="19"/>
      <c r="CL6" s="19">
        <v>9000000</v>
      </c>
      <c r="CM6" s="19">
        <v>262315187</v>
      </c>
      <c r="CN6" s="19"/>
      <c r="CO6" s="19"/>
      <c r="CP6" s="19">
        <v>13500000</v>
      </c>
      <c r="CQ6" s="19" t="s">
        <v>96</v>
      </c>
      <c r="CR6" s="19"/>
      <c r="CS6" s="19"/>
      <c r="CT6" s="19"/>
      <c r="CU6" s="19"/>
      <c r="CV6" s="19" t="s">
        <v>89</v>
      </c>
      <c r="CW6" s="19"/>
      <c r="CX6" s="19">
        <v>655353172</v>
      </c>
      <c r="CY6" s="19"/>
      <c r="CZ6" s="19"/>
      <c r="DA6" s="19"/>
      <c r="DB6" s="19">
        <v>12000000</v>
      </c>
      <c r="DC6" s="19"/>
      <c r="DD6" s="19"/>
      <c r="DE6" s="19"/>
      <c r="DF6" s="19"/>
      <c r="DG6" s="19"/>
      <c r="DH6" s="19"/>
      <c r="DI6" s="19"/>
      <c r="DJ6" s="19"/>
      <c r="DK6" s="19">
        <v>15060570</v>
      </c>
      <c r="DL6" s="19"/>
      <c r="DM6" s="19"/>
      <c r="DN6" s="19"/>
      <c r="DO6" s="19"/>
      <c r="DP6" s="19">
        <v>2796404</v>
      </c>
      <c r="DQ6" s="19"/>
      <c r="DR6" s="19"/>
      <c r="DS6" s="19"/>
      <c r="DT6" s="19"/>
      <c r="DU6" s="19"/>
      <c r="DV6" s="19"/>
      <c r="DW6" s="19"/>
      <c r="DX6" s="19"/>
      <c r="DY6" s="19"/>
      <c r="DZ6" s="19">
        <v>25006997</v>
      </c>
      <c r="EA6" s="19"/>
      <c r="EB6" s="19"/>
    </row>
    <row r="7" spans="1:132">
      <c r="A7" s="7" t="s">
        <v>98</v>
      </c>
      <c r="B7" s="13" t="s">
        <v>51</v>
      </c>
      <c r="C7" s="19">
        <v>9739600</v>
      </c>
      <c r="D7" s="19">
        <v>533629346</v>
      </c>
      <c r="E7" s="19">
        <v>3547956</v>
      </c>
      <c r="F7" s="19"/>
      <c r="G7" s="19">
        <v>30930370</v>
      </c>
      <c r="H7" s="19"/>
      <c r="I7" s="19"/>
      <c r="J7" s="19" t="s">
        <v>89</v>
      </c>
      <c r="K7" s="19">
        <v>189024414</v>
      </c>
      <c r="L7" s="19">
        <v>89622921</v>
      </c>
      <c r="M7" s="19"/>
      <c r="N7" s="19">
        <v>16616348</v>
      </c>
      <c r="O7" s="19"/>
      <c r="P7" s="19"/>
      <c r="Q7" s="19">
        <v>44714217</v>
      </c>
      <c r="R7" s="19">
        <v>700321</v>
      </c>
      <c r="S7" s="19">
        <v>208407682</v>
      </c>
      <c r="T7" s="19"/>
      <c r="U7" s="19">
        <v>159212219</v>
      </c>
      <c r="V7" s="19">
        <v>20441332</v>
      </c>
      <c r="W7" s="19">
        <v>14208196</v>
      </c>
      <c r="X7" s="19">
        <v>214105080</v>
      </c>
      <c r="Y7" s="19">
        <v>22197710</v>
      </c>
      <c r="Z7" s="19">
        <v>26509243</v>
      </c>
      <c r="AA7" s="19">
        <v>1114102013</v>
      </c>
      <c r="AB7" s="19"/>
      <c r="AC7" s="19">
        <v>25953999</v>
      </c>
      <c r="AD7" s="19">
        <v>542330953</v>
      </c>
      <c r="AE7" s="19">
        <v>67516459</v>
      </c>
      <c r="AF7" s="19"/>
      <c r="AG7" s="19"/>
      <c r="AH7" s="19">
        <v>93384452</v>
      </c>
      <c r="AI7" s="19">
        <v>477400</v>
      </c>
      <c r="AJ7" s="19">
        <v>57426363</v>
      </c>
      <c r="AK7" s="19">
        <v>651783966</v>
      </c>
      <c r="AL7" s="19"/>
      <c r="AM7" s="19">
        <v>464107215</v>
      </c>
      <c r="AN7" s="19"/>
      <c r="AO7" s="19">
        <v>105156001</v>
      </c>
      <c r="AP7" s="19">
        <v>49620000</v>
      </c>
      <c r="AQ7" s="19"/>
      <c r="AR7" s="19"/>
      <c r="AS7" s="19">
        <v>329124796</v>
      </c>
      <c r="AT7" s="19">
        <v>42705135</v>
      </c>
      <c r="AU7" s="19">
        <v>35035000</v>
      </c>
      <c r="AV7" s="19">
        <v>32000000</v>
      </c>
      <c r="AW7" s="19">
        <v>10782860</v>
      </c>
      <c r="AX7" s="19">
        <v>98586660</v>
      </c>
      <c r="AY7" s="19"/>
      <c r="AZ7" s="19">
        <v>55301965</v>
      </c>
      <c r="BA7" s="19">
        <v>265858380</v>
      </c>
      <c r="BB7" s="19"/>
      <c r="BC7" s="19">
        <v>631689743</v>
      </c>
      <c r="BD7" s="19">
        <v>8366652</v>
      </c>
      <c r="BE7" s="19">
        <v>74356920</v>
      </c>
      <c r="BF7" s="19">
        <v>151919619</v>
      </c>
      <c r="BG7" s="19">
        <v>70965963</v>
      </c>
      <c r="BH7" s="19">
        <v>41714527</v>
      </c>
      <c r="BI7" s="19">
        <v>27815502</v>
      </c>
      <c r="BJ7" s="19">
        <v>171338006</v>
      </c>
      <c r="BK7" s="19">
        <v>157231345</v>
      </c>
      <c r="BL7" s="19">
        <v>8424963</v>
      </c>
      <c r="BM7" s="19">
        <v>679856</v>
      </c>
      <c r="BN7" s="19">
        <v>12414600</v>
      </c>
      <c r="BO7" s="19">
        <v>51946175</v>
      </c>
      <c r="BP7" s="19">
        <v>14710000</v>
      </c>
      <c r="BQ7" s="19">
        <v>18935824</v>
      </c>
      <c r="BR7" s="19">
        <v>327025</v>
      </c>
      <c r="BS7" s="19">
        <v>511540</v>
      </c>
      <c r="BT7" s="19">
        <v>567839</v>
      </c>
      <c r="BU7" s="19">
        <v>1884852</v>
      </c>
      <c r="BV7" s="19">
        <v>164780637</v>
      </c>
      <c r="BW7" s="19"/>
      <c r="BX7" s="19">
        <v>1047147</v>
      </c>
      <c r="BY7" s="19">
        <v>277291611</v>
      </c>
      <c r="BZ7" s="19">
        <v>38839059</v>
      </c>
      <c r="CA7" s="19">
        <v>51471299</v>
      </c>
      <c r="CB7" s="19">
        <v>40445297</v>
      </c>
      <c r="CC7" s="19"/>
      <c r="CD7" s="19">
        <v>133138008</v>
      </c>
      <c r="CE7" s="19">
        <v>73813539</v>
      </c>
      <c r="CF7" s="19" t="s">
        <v>127</v>
      </c>
      <c r="CG7" s="19"/>
      <c r="CH7" s="19">
        <v>922657</v>
      </c>
      <c r="CI7" s="19">
        <v>439478631</v>
      </c>
      <c r="CJ7" s="19">
        <v>122289408</v>
      </c>
      <c r="CK7" s="19">
        <v>190399990</v>
      </c>
      <c r="CL7" s="19">
        <v>43170372</v>
      </c>
      <c r="CM7" s="19">
        <v>291825620</v>
      </c>
      <c r="CN7" s="19">
        <v>4349980</v>
      </c>
      <c r="CO7" s="19"/>
      <c r="CP7" s="19">
        <v>246782757</v>
      </c>
      <c r="CQ7" s="19" t="s">
        <v>96</v>
      </c>
      <c r="CR7" s="19"/>
      <c r="CS7" s="19">
        <v>191393160</v>
      </c>
      <c r="CT7" s="19">
        <v>455000</v>
      </c>
      <c r="CU7" s="19"/>
      <c r="CV7" s="19" t="s">
        <v>89</v>
      </c>
      <c r="CW7" s="19">
        <v>105842266</v>
      </c>
      <c r="CX7" s="19"/>
      <c r="CY7" s="19"/>
      <c r="CZ7" s="19">
        <v>49066752</v>
      </c>
      <c r="DA7" s="19"/>
      <c r="DB7" s="19">
        <v>91150640</v>
      </c>
      <c r="DC7" s="19"/>
      <c r="DD7" s="19">
        <v>1100000</v>
      </c>
      <c r="DE7" s="19"/>
      <c r="DF7" s="19"/>
      <c r="DG7" s="19"/>
      <c r="DH7" s="19">
        <v>91717000</v>
      </c>
      <c r="DI7" s="19">
        <v>364635300</v>
      </c>
      <c r="DJ7" s="19"/>
      <c r="DK7" s="19">
        <v>258126334</v>
      </c>
      <c r="DL7" s="19">
        <v>11717780</v>
      </c>
      <c r="DM7" s="19">
        <v>170871079</v>
      </c>
      <c r="DN7" s="19">
        <v>1138500</v>
      </c>
      <c r="DO7" s="19">
        <v>11144500</v>
      </c>
      <c r="DP7" s="19">
        <v>119977259</v>
      </c>
      <c r="DQ7" s="19">
        <v>254324800</v>
      </c>
      <c r="DR7" s="19">
        <v>1316970</v>
      </c>
      <c r="DS7" s="19">
        <v>32426498</v>
      </c>
      <c r="DT7" s="19">
        <v>99020000</v>
      </c>
      <c r="DU7" s="19">
        <v>57900000</v>
      </c>
      <c r="DV7" s="19"/>
      <c r="DW7" s="19">
        <v>23407552</v>
      </c>
      <c r="DX7" s="19">
        <v>13285800</v>
      </c>
      <c r="DY7" s="19">
        <v>41092986</v>
      </c>
      <c r="DZ7" s="19"/>
      <c r="EA7" s="19"/>
      <c r="EB7" s="19"/>
    </row>
    <row r="8" spans="1:132">
      <c r="A8" s="7" t="s">
        <v>98</v>
      </c>
      <c r="B8" s="13" t="s">
        <v>69</v>
      </c>
      <c r="C8" s="19">
        <v>11152254</v>
      </c>
      <c r="D8" s="19"/>
      <c r="E8" s="19"/>
      <c r="F8" s="19"/>
      <c r="G8" s="19">
        <v>9387860</v>
      </c>
      <c r="H8" s="19"/>
      <c r="I8" s="19"/>
      <c r="J8" s="19" t="s">
        <v>89</v>
      </c>
      <c r="K8" s="19"/>
      <c r="L8" s="19"/>
      <c r="M8" s="19">
        <v>36500000</v>
      </c>
      <c r="N8" s="19"/>
      <c r="O8" s="19"/>
      <c r="P8" s="19"/>
      <c r="Q8" s="19"/>
      <c r="R8" s="19"/>
      <c r="S8" s="19">
        <v>4017594</v>
      </c>
      <c r="T8" s="19"/>
      <c r="U8" s="19"/>
      <c r="V8" s="19">
        <v>1000000</v>
      </c>
      <c r="W8" s="19"/>
      <c r="X8" s="19"/>
      <c r="Y8" s="19"/>
      <c r="Z8" s="19">
        <v>122190430</v>
      </c>
      <c r="AA8" s="19"/>
      <c r="AB8" s="19"/>
      <c r="AC8" s="19"/>
      <c r="AD8" s="19"/>
      <c r="AE8" s="19">
        <v>43267653</v>
      </c>
      <c r="AF8" s="19"/>
      <c r="AG8" s="19">
        <v>36500000</v>
      </c>
      <c r="AH8" s="19"/>
      <c r="AI8" s="19"/>
      <c r="AJ8" s="19">
        <v>1000000</v>
      </c>
      <c r="AK8" s="19"/>
      <c r="AL8" s="19"/>
      <c r="AM8" s="19">
        <v>719284443</v>
      </c>
      <c r="AN8" s="19"/>
      <c r="AO8" s="19"/>
      <c r="AP8" s="19">
        <v>13880000</v>
      </c>
      <c r="AQ8" s="19"/>
      <c r="AR8" s="19"/>
      <c r="AS8" s="19">
        <v>10000000</v>
      </c>
      <c r="AT8" s="19"/>
      <c r="AU8" s="19">
        <v>2500000</v>
      </c>
      <c r="AV8" s="19">
        <v>19589843</v>
      </c>
      <c r="AW8" s="19"/>
      <c r="AX8" s="19"/>
      <c r="AY8" s="19"/>
      <c r="AZ8" s="19"/>
      <c r="BA8" s="19">
        <v>145293064</v>
      </c>
      <c r="BB8" s="19"/>
      <c r="BC8" s="19"/>
      <c r="BD8" s="19"/>
      <c r="BE8" s="19">
        <v>22048917</v>
      </c>
      <c r="BF8" s="19"/>
      <c r="BG8" s="19"/>
      <c r="BH8" s="19"/>
      <c r="BI8" s="19"/>
      <c r="BJ8" s="19"/>
      <c r="BK8" s="19"/>
      <c r="BL8" s="19"/>
      <c r="BM8" s="19"/>
      <c r="BN8" s="19"/>
      <c r="BO8" s="19">
        <v>4654000</v>
      </c>
      <c r="BP8" s="19">
        <v>6860945</v>
      </c>
      <c r="BQ8" s="19"/>
      <c r="BR8" s="19"/>
      <c r="BS8" s="19"/>
      <c r="BT8" s="19"/>
      <c r="BU8" s="19"/>
      <c r="BV8" s="19">
        <v>24416400</v>
      </c>
      <c r="BW8" s="19"/>
      <c r="BX8" s="19"/>
      <c r="BY8" s="19"/>
      <c r="BZ8" s="19"/>
      <c r="CA8" s="19"/>
      <c r="CB8" s="19">
        <v>2100000</v>
      </c>
      <c r="CC8" s="19"/>
      <c r="CD8" s="19">
        <v>15439025</v>
      </c>
      <c r="CE8" s="19"/>
      <c r="CF8" s="19" t="s">
        <v>127</v>
      </c>
      <c r="CG8" s="19"/>
      <c r="CH8" s="19"/>
      <c r="CI8" s="19">
        <v>158809698</v>
      </c>
      <c r="CJ8" s="19"/>
      <c r="CK8" s="19"/>
      <c r="CL8" s="19">
        <v>23000000</v>
      </c>
      <c r="CM8" s="19"/>
      <c r="CN8" s="19"/>
      <c r="CO8" s="19">
        <v>88727486</v>
      </c>
      <c r="CP8" s="19"/>
      <c r="CQ8" s="19" t="s">
        <v>96</v>
      </c>
      <c r="CR8" s="19"/>
      <c r="CS8" s="19"/>
      <c r="CT8" s="19"/>
      <c r="CU8" s="19"/>
      <c r="CV8" s="19" t="s">
        <v>89</v>
      </c>
      <c r="CW8" s="19"/>
      <c r="CX8" s="19">
        <v>20000000</v>
      </c>
      <c r="CY8" s="19"/>
      <c r="CZ8" s="19">
        <v>15000000</v>
      </c>
      <c r="DA8" s="19"/>
      <c r="DB8" s="19"/>
      <c r="DC8" s="19"/>
      <c r="DD8" s="19"/>
      <c r="DE8" s="19"/>
      <c r="DF8" s="19">
        <v>5000000</v>
      </c>
      <c r="DG8" s="19"/>
      <c r="DH8" s="19"/>
      <c r="DI8" s="19"/>
      <c r="DJ8" s="19"/>
      <c r="DK8" s="19">
        <v>100680640</v>
      </c>
      <c r="DL8" s="19"/>
      <c r="DM8" s="19">
        <v>2607239</v>
      </c>
      <c r="DN8" s="19"/>
      <c r="DO8" s="19">
        <v>33201830</v>
      </c>
      <c r="DP8" s="19"/>
      <c r="DQ8" s="19"/>
      <c r="DR8" s="19"/>
      <c r="DS8" s="19"/>
      <c r="DT8" s="19"/>
      <c r="DU8" s="19"/>
      <c r="DV8" s="19"/>
      <c r="DW8" s="19"/>
      <c r="DX8" s="19"/>
      <c r="DY8" s="19"/>
      <c r="DZ8" s="19"/>
      <c r="EA8" s="19"/>
      <c r="EB8" s="19"/>
    </row>
    <row r="9" spans="1:132">
      <c r="A9" s="7" t="s">
        <v>98</v>
      </c>
      <c r="B9" s="13" t="s">
        <v>134</v>
      </c>
      <c r="C9" s="19">
        <v>6606667</v>
      </c>
      <c r="D9" s="19">
        <v>49000</v>
      </c>
      <c r="E9" s="19">
        <v>304500</v>
      </c>
      <c r="F9" s="19"/>
      <c r="G9" s="19">
        <v>86299</v>
      </c>
      <c r="H9" s="19"/>
      <c r="I9" s="19">
        <v>446402900</v>
      </c>
      <c r="J9" s="19" t="s">
        <v>89</v>
      </c>
      <c r="K9" s="19"/>
      <c r="L9" s="19">
        <v>55820</v>
      </c>
      <c r="M9" s="19">
        <v>232145305</v>
      </c>
      <c r="N9" s="19">
        <v>4515859</v>
      </c>
      <c r="O9" s="19">
        <v>297674821</v>
      </c>
      <c r="P9" s="19">
        <v>451690708</v>
      </c>
      <c r="Q9" s="19">
        <v>1159150</v>
      </c>
      <c r="R9" s="19">
        <v>588810</v>
      </c>
      <c r="S9" s="19">
        <v>35395399</v>
      </c>
      <c r="T9" s="19">
        <v>2949775</v>
      </c>
      <c r="U9" s="19"/>
      <c r="V9" s="19"/>
      <c r="W9" s="19">
        <v>1793920</v>
      </c>
      <c r="X9" s="19"/>
      <c r="Y9" s="19">
        <v>2973730</v>
      </c>
      <c r="Z9" s="19">
        <v>8509090</v>
      </c>
      <c r="AA9" s="19"/>
      <c r="AB9" s="19">
        <v>1252305</v>
      </c>
      <c r="AC9" s="19">
        <v>4850000</v>
      </c>
      <c r="AD9" s="19">
        <v>25895528</v>
      </c>
      <c r="AE9" s="19">
        <v>1970813</v>
      </c>
      <c r="AF9" s="19"/>
      <c r="AG9" s="19">
        <v>232145305</v>
      </c>
      <c r="AH9" s="19"/>
      <c r="AI9" s="19">
        <v>145523</v>
      </c>
      <c r="AJ9" s="19"/>
      <c r="AK9" s="19">
        <v>41036013</v>
      </c>
      <c r="AL9" s="19"/>
      <c r="AM9" s="19"/>
      <c r="AN9" s="19">
        <v>1746000</v>
      </c>
      <c r="AO9" s="19"/>
      <c r="AP9" s="19">
        <v>9590511</v>
      </c>
      <c r="AQ9" s="19">
        <v>278646</v>
      </c>
      <c r="AR9" s="19">
        <v>366923</v>
      </c>
      <c r="AS9" s="19">
        <v>9127105</v>
      </c>
      <c r="AT9" s="19">
        <v>1970100</v>
      </c>
      <c r="AU9" s="19">
        <v>4096280</v>
      </c>
      <c r="AV9" s="19"/>
      <c r="AW9" s="19">
        <v>4552820</v>
      </c>
      <c r="AX9" s="19"/>
      <c r="AY9" s="19">
        <v>2500060</v>
      </c>
      <c r="AZ9" s="19"/>
      <c r="BA9" s="19">
        <v>1097870</v>
      </c>
      <c r="BB9" s="19">
        <v>17600</v>
      </c>
      <c r="BC9" s="19">
        <v>814982</v>
      </c>
      <c r="BD9" s="19">
        <v>69220</v>
      </c>
      <c r="BE9" s="19">
        <v>3771999</v>
      </c>
      <c r="BF9" s="19">
        <v>83046</v>
      </c>
      <c r="BG9" s="19">
        <v>61661840</v>
      </c>
      <c r="BH9" s="19"/>
      <c r="BI9" s="19">
        <v>2661199</v>
      </c>
      <c r="BJ9" s="19">
        <v>200407</v>
      </c>
      <c r="BK9" s="19">
        <v>400</v>
      </c>
      <c r="BL9" s="19"/>
      <c r="BM9" s="19">
        <v>18180</v>
      </c>
      <c r="BN9" s="19">
        <v>686840</v>
      </c>
      <c r="BO9" s="19"/>
      <c r="BP9" s="19"/>
      <c r="BQ9" s="19"/>
      <c r="BR9" s="19"/>
      <c r="BS9" s="19"/>
      <c r="BT9" s="19">
        <v>6296270</v>
      </c>
      <c r="BU9" s="19">
        <v>5127730</v>
      </c>
      <c r="BV9" s="19">
        <v>33949680</v>
      </c>
      <c r="BW9" s="19">
        <v>1228000</v>
      </c>
      <c r="BX9" s="19">
        <v>25460</v>
      </c>
      <c r="BY9" s="19"/>
      <c r="BZ9" s="19">
        <v>23182095</v>
      </c>
      <c r="CA9" s="19">
        <v>1164767</v>
      </c>
      <c r="CB9" s="19"/>
      <c r="CC9" s="19">
        <v>2555675</v>
      </c>
      <c r="CD9" s="19"/>
      <c r="CE9" s="19"/>
      <c r="CF9" s="19" t="s">
        <v>127</v>
      </c>
      <c r="CG9" s="19">
        <v>5250000</v>
      </c>
      <c r="CH9" s="19">
        <v>110000</v>
      </c>
      <c r="CI9" s="19">
        <v>11694816</v>
      </c>
      <c r="CJ9" s="19"/>
      <c r="CK9" s="19">
        <v>14845080</v>
      </c>
      <c r="CL9" s="19">
        <v>2188144</v>
      </c>
      <c r="CM9" s="19">
        <v>52220</v>
      </c>
      <c r="CN9" s="19">
        <v>819530</v>
      </c>
      <c r="CO9" s="19">
        <v>12221829</v>
      </c>
      <c r="CP9" s="19"/>
      <c r="CQ9" s="19" t="s">
        <v>96</v>
      </c>
      <c r="CR9" s="19">
        <v>66310094</v>
      </c>
      <c r="CS9" s="19">
        <v>1183287</v>
      </c>
      <c r="CT9" s="19">
        <v>1625661</v>
      </c>
      <c r="CU9" s="19"/>
      <c r="CV9" s="19" t="s">
        <v>89</v>
      </c>
      <c r="CW9" s="19">
        <v>15724440</v>
      </c>
      <c r="CX9" s="19">
        <v>17357401</v>
      </c>
      <c r="CY9" s="19">
        <v>5553941</v>
      </c>
      <c r="CZ9" s="19">
        <v>119525</v>
      </c>
      <c r="DA9" s="19"/>
      <c r="DB9" s="19"/>
      <c r="DC9" s="19"/>
      <c r="DD9" s="19"/>
      <c r="DE9" s="19"/>
      <c r="DF9" s="19"/>
      <c r="DG9" s="19">
        <v>1905507</v>
      </c>
      <c r="DH9" s="19">
        <v>52800</v>
      </c>
      <c r="DI9" s="19"/>
      <c r="DJ9" s="19"/>
      <c r="DK9" s="19">
        <v>927258</v>
      </c>
      <c r="DL9" s="19">
        <v>47407</v>
      </c>
      <c r="DM9" s="19">
        <v>68725600</v>
      </c>
      <c r="DN9" s="19"/>
      <c r="DO9" s="19">
        <v>3085487</v>
      </c>
      <c r="DP9" s="19"/>
      <c r="DQ9" s="19"/>
      <c r="DR9" s="19">
        <v>1200000</v>
      </c>
      <c r="DS9" s="19">
        <v>532180</v>
      </c>
      <c r="DT9" s="19">
        <v>95763952</v>
      </c>
      <c r="DU9" s="19"/>
      <c r="DV9" s="19"/>
      <c r="DW9" s="19">
        <v>888314</v>
      </c>
      <c r="DX9" s="19">
        <v>19795442</v>
      </c>
      <c r="DY9" s="19">
        <v>337597</v>
      </c>
      <c r="DZ9" s="19">
        <v>29319615</v>
      </c>
      <c r="EA9" s="19">
        <v>939656</v>
      </c>
      <c r="EB9" s="19">
        <v>227589438</v>
      </c>
    </row>
    <row r="10" spans="1:132">
      <c r="A10" s="7" t="s">
        <v>98</v>
      </c>
      <c r="B10" s="13" t="s">
        <v>135</v>
      </c>
      <c r="C10" s="19">
        <v>8860</v>
      </c>
      <c r="D10" s="19">
        <v>4874064</v>
      </c>
      <c r="E10" s="19">
        <v>43913</v>
      </c>
      <c r="F10" s="19">
        <v>12185438</v>
      </c>
      <c r="G10" s="19">
        <v>1248733</v>
      </c>
      <c r="H10" s="19"/>
      <c r="I10" s="19"/>
      <c r="J10" s="19" t="s">
        <v>89</v>
      </c>
      <c r="K10" s="19">
        <v>1884630</v>
      </c>
      <c r="L10" s="19">
        <v>1078355</v>
      </c>
      <c r="M10" s="19">
        <v>54371979</v>
      </c>
      <c r="N10" s="19">
        <v>19742627</v>
      </c>
      <c r="O10" s="19">
        <v>15367571</v>
      </c>
      <c r="P10" s="19">
        <v>720393</v>
      </c>
      <c r="Q10" s="19">
        <v>16140</v>
      </c>
      <c r="R10" s="19">
        <v>1864327</v>
      </c>
      <c r="S10" s="19">
        <v>62673241</v>
      </c>
      <c r="T10" s="19"/>
      <c r="U10" s="19">
        <v>7752070</v>
      </c>
      <c r="V10" s="19">
        <v>55767373</v>
      </c>
      <c r="W10" s="19">
        <v>25278</v>
      </c>
      <c r="X10" s="19">
        <v>215873289</v>
      </c>
      <c r="Y10" s="19">
        <v>9934419</v>
      </c>
      <c r="Z10" s="19">
        <v>50164156</v>
      </c>
      <c r="AA10" s="19">
        <v>22543489</v>
      </c>
      <c r="AB10" s="19">
        <v>393680</v>
      </c>
      <c r="AC10" s="19">
        <v>14559338</v>
      </c>
      <c r="AD10" s="19">
        <v>5633389</v>
      </c>
      <c r="AE10" s="19">
        <v>4388032</v>
      </c>
      <c r="AF10" s="19"/>
      <c r="AG10" s="19">
        <v>54921979</v>
      </c>
      <c r="AH10" s="19">
        <v>1730012</v>
      </c>
      <c r="AI10" s="19">
        <v>43991767</v>
      </c>
      <c r="AJ10" s="19">
        <v>15911444</v>
      </c>
      <c r="AK10" s="19">
        <v>36538127</v>
      </c>
      <c r="AL10" s="19">
        <v>1549192</v>
      </c>
      <c r="AM10" s="19">
        <v>22712416</v>
      </c>
      <c r="AN10" s="19">
        <v>1185550</v>
      </c>
      <c r="AO10" s="19">
        <v>18750376</v>
      </c>
      <c r="AP10" s="19"/>
      <c r="AQ10" s="19"/>
      <c r="AR10" s="19">
        <v>331750</v>
      </c>
      <c r="AS10" s="19">
        <v>316806371</v>
      </c>
      <c r="AT10" s="19">
        <v>40198975</v>
      </c>
      <c r="AU10" s="19">
        <v>137234700</v>
      </c>
      <c r="AV10" s="19">
        <v>2350</v>
      </c>
      <c r="AW10" s="19">
        <v>525000</v>
      </c>
      <c r="AX10" s="19">
        <v>4173971</v>
      </c>
      <c r="AY10" s="19"/>
      <c r="AZ10" s="19">
        <v>28800997</v>
      </c>
      <c r="BA10" s="19">
        <v>2072519</v>
      </c>
      <c r="BB10" s="19">
        <v>1270</v>
      </c>
      <c r="BC10" s="19">
        <v>10196440</v>
      </c>
      <c r="BD10" s="19">
        <v>7747534</v>
      </c>
      <c r="BE10" s="19">
        <v>3155080</v>
      </c>
      <c r="BF10" s="19">
        <v>21048260</v>
      </c>
      <c r="BG10" s="19">
        <v>43608221</v>
      </c>
      <c r="BH10" s="19">
        <v>10305329</v>
      </c>
      <c r="BI10" s="19">
        <v>14180</v>
      </c>
      <c r="BJ10" s="19">
        <v>212676298</v>
      </c>
      <c r="BK10" s="19">
        <v>64297655</v>
      </c>
      <c r="BL10" s="19"/>
      <c r="BM10" s="19">
        <v>16925200</v>
      </c>
      <c r="BN10" s="19">
        <v>2317663</v>
      </c>
      <c r="BO10" s="19">
        <v>21443220</v>
      </c>
      <c r="BP10" s="19">
        <v>21810</v>
      </c>
      <c r="BQ10" s="19">
        <v>699613</v>
      </c>
      <c r="BR10" s="19">
        <v>608000</v>
      </c>
      <c r="BS10" s="19">
        <v>1710</v>
      </c>
      <c r="BT10" s="19">
        <v>2500400</v>
      </c>
      <c r="BU10" s="19"/>
      <c r="BV10" s="19">
        <v>199597481</v>
      </c>
      <c r="BW10" s="19">
        <v>551782</v>
      </c>
      <c r="BX10" s="19">
        <v>31481107</v>
      </c>
      <c r="BY10" s="19">
        <v>20335540</v>
      </c>
      <c r="BZ10" s="19"/>
      <c r="CA10" s="19">
        <v>10000000</v>
      </c>
      <c r="CB10" s="19">
        <v>5374050</v>
      </c>
      <c r="CC10" s="19">
        <v>1120</v>
      </c>
      <c r="CD10" s="19"/>
      <c r="CE10" s="19">
        <v>39745540</v>
      </c>
      <c r="CF10" s="19" t="s">
        <v>127</v>
      </c>
      <c r="CG10" s="19">
        <v>292560</v>
      </c>
      <c r="CH10" s="19"/>
      <c r="CI10" s="19">
        <v>18439742</v>
      </c>
      <c r="CJ10" s="19">
        <v>540657</v>
      </c>
      <c r="CK10" s="19">
        <v>16302585</v>
      </c>
      <c r="CL10" s="19">
        <v>75845659</v>
      </c>
      <c r="CM10" s="19">
        <v>7369253</v>
      </c>
      <c r="CN10" s="19">
        <v>28318391</v>
      </c>
      <c r="CO10" s="19"/>
      <c r="CP10" s="19"/>
      <c r="CQ10" s="19" t="s">
        <v>96</v>
      </c>
      <c r="CR10" s="19">
        <v>7791427</v>
      </c>
      <c r="CS10" s="19">
        <v>29260317</v>
      </c>
      <c r="CT10" s="19">
        <v>1149177</v>
      </c>
      <c r="CU10" s="19"/>
      <c r="CV10" s="19" t="s">
        <v>89</v>
      </c>
      <c r="CW10" s="19">
        <v>28625469</v>
      </c>
      <c r="CX10" s="19">
        <v>179729486</v>
      </c>
      <c r="CY10" s="19">
        <v>242730</v>
      </c>
      <c r="CZ10" s="19">
        <v>1903874</v>
      </c>
      <c r="DA10" s="19"/>
      <c r="DB10" s="19">
        <v>6750667</v>
      </c>
      <c r="DC10" s="19"/>
      <c r="DD10" s="19">
        <v>1100</v>
      </c>
      <c r="DE10" s="19"/>
      <c r="DF10" s="19"/>
      <c r="DG10" s="19">
        <v>110712887</v>
      </c>
      <c r="DH10" s="19"/>
      <c r="DI10" s="19">
        <v>14662166</v>
      </c>
      <c r="DJ10" s="19"/>
      <c r="DK10" s="19">
        <v>26497040</v>
      </c>
      <c r="DL10" s="19">
        <v>39615977</v>
      </c>
      <c r="DM10" s="19">
        <v>16859153</v>
      </c>
      <c r="DN10" s="19">
        <v>1864361</v>
      </c>
      <c r="DO10" s="19">
        <v>1052496</v>
      </c>
      <c r="DP10" s="19">
        <v>8534877</v>
      </c>
      <c r="DQ10" s="19">
        <v>77918250</v>
      </c>
      <c r="DR10" s="19">
        <v>473300</v>
      </c>
      <c r="DS10" s="19">
        <v>4696929</v>
      </c>
      <c r="DT10" s="19">
        <v>1183580</v>
      </c>
      <c r="DU10" s="19"/>
      <c r="DV10" s="19">
        <v>84130</v>
      </c>
      <c r="DW10" s="19">
        <v>8441000</v>
      </c>
      <c r="DX10" s="19"/>
      <c r="DY10" s="19">
        <v>7305045</v>
      </c>
      <c r="DZ10" s="19">
        <v>1834800</v>
      </c>
      <c r="EA10" s="19">
        <v>2235570</v>
      </c>
      <c r="EB10" s="19">
        <v>2336899</v>
      </c>
    </row>
    <row r="11" spans="1:132">
      <c r="A11" s="7" t="s">
        <v>98</v>
      </c>
      <c r="B11" s="13" t="s">
        <v>40</v>
      </c>
      <c r="C11" s="19">
        <v>71462559</v>
      </c>
      <c r="D11" s="19"/>
      <c r="E11" s="19">
        <v>12800000</v>
      </c>
      <c r="F11" s="19"/>
      <c r="G11" s="19"/>
      <c r="H11" s="19"/>
      <c r="I11" s="19"/>
      <c r="J11" s="19" t="s">
        <v>89</v>
      </c>
      <c r="K11" s="19"/>
      <c r="L11" s="19"/>
      <c r="M11" s="19">
        <v>-12459058</v>
      </c>
      <c r="N11" s="19"/>
      <c r="O11" s="19">
        <v>3257430</v>
      </c>
      <c r="P11" s="19">
        <v>15563157</v>
      </c>
      <c r="Q11" s="19"/>
      <c r="R11" s="19"/>
      <c r="S11" s="19"/>
      <c r="T11" s="19"/>
      <c r="U11" s="19"/>
      <c r="V11" s="19"/>
      <c r="W11" s="19"/>
      <c r="X11" s="19"/>
      <c r="Y11" s="19"/>
      <c r="Z11" s="19"/>
      <c r="AA11" s="19">
        <v>302575000</v>
      </c>
      <c r="AB11" s="19">
        <v>34263850</v>
      </c>
      <c r="AC11" s="19">
        <v>1638720</v>
      </c>
      <c r="AD11" s="19"/>
      <c r="AE11" s="19">
        <v>11682749</v>
      </c>
      <c r="AF11" s="19"/>
      <c r="AG11" s="19"/>
      <c r="AH11" s="19"/>
      <c r="AI11" s="19"/>
      <c r="AJ11" s="19">
        <v>1847959</v>
      </c>
      <c r="AK11" s="19">
        <v>840761339</v>
      </c>
      <c r="AL11" s="19"/>
      <c r="AM11" s="19">
        <v>237570</v>
      </c>
      <c r="AN11" s="19"/>
      <c r="AO11" s="19"/>
      <c r="AP11" s="19">
        <v>3151729</v>
      </c>
      <c r="AQ11" s="19">
        <v>1851311</v>
      </c>
      <c r="AR11" s="19">
        <v>18780524</v>
      </c>
      <c r="AS11" s="19"/>
      <c r="AT11" s="19">
        <v>1677558</v>
      </c>
      <c r="AU11" s="19">
        <v>1800000</v>
      </c>
      <c r="AV11" s="19"/>
      <c r="AW11" s="19"/>
      <c r="AX11" s="19">
        <v>552664538</v>
      </c>
      <c r="AY11" s="19"/>
      <c r="AZ11" s="19">
        <v>12214814</v>
      </c>
      <c r="BA11" s="19">
        <v>110545801</v>
      </c>
      <c r="BB11" s="19">
        <v>11973</v>
      </c>
      <c r="BC11" s="19"/>
      <c r="BD11" s="19"/>
      <c r="BE11" s="19"/>
      <c r="BF11" s="19"/>
      <c r="BG11" s="19"/>
      <c r="BH11" s="19"/>
      <c r="BI11" s="19"/>
      <c r="BJ11" s="19"/>
      <c r="BK11" s="19"/>
      <c r="BL11" s="19"/>
      <c r="BM11" s="19"/>
      <c r="BN11" s="19"/>
      <c r="BO11" s="19">
        <v>1707616</v>
      </c>
      <c r="BP11" s="19"/>
      <c r="BQ11" s="19"/>
      <c r="BR11" s="19"/>
      <c r="BS11" s="19"/>
      <c r="BT11" s="19"/>
      <c r="BU11" s="19"/>
      <c r="BV11" s="19"/>
      <c r="BW11" s="19"/>
      <c r="BX11" s="19"/>
      <c r="BY11" s="19"/>
      <c r="BZ11" s="19"/>
      <c r="CA11" s="19"/>
      <c r="CB11" s="19"/>
      <c r="CC11" s="19"/>
      <c r="CD11" s="19"/>
      <c r="CE11" s="19"/>
      <c r="CF11" s="19" t="s">
        <v>127</v>
      </c>
      <c r="CG11" s="19"/>
      <c r="CH11" s="19">
        <v>258515</v>
      </c>
      <c r="CI11" s="19">
        <v>100000</v>
      </c>
      <c r="CJ11" s="19"/>
      <c r="CK11" s="19"/>
      <c r="CL11" s="19"/>
      <c r="CM11" s="19"/>
      <c r="CN11" s="19"/>
      <c r="CO11" s="19"/>
      <c r="CP11" s="19"/>
      <c r="CQ11" s="19" t="s">
        <v>96</v>
      </c>
      <c r="CR11" s="19"/>
      <c r="CS11" s="19">
        <v>72460173</v>
      </c>
      <c r="CT11" s="19"/>
      <c r="CU11" s="19"/>
      <c r="CV11" s="19" t="s">
        <v>89</v>
      </c>
      <c r="CW11" s="19"/>
      <c r="CX11" s="19">
        <v>356408</v>
      </c>
      <c r="CY11" s="19">
        <v>564047320</v>
      </c>
      <c r="CZ11" s="19"/>
      <c r="DA11" s="19"/>
      <c r="DB11" s="19"/>
      <c r="DC11" s="19"/>
      <c r="DD11" s="19">
        <v>266006</v>
      </c>
      <c r="DE11" s="19"/>
      <c r="DF11" s="19">
        <v>312870</v>
      </c>
      <c r="DG11" s="19">
        <v>1720490</v>
      </c>
      <c r="DH11" s="19"/>
      <c r="DI11" s="19"/>
      <c r="DJ11" s="19"/>
      <c r="DK11" s="19"/>
      <c r="DL11" s="19"/>
      <c r="DM11" s="19"/>
      <c r="DN11" s="19"/>
      <c r="DO11" s="19">
        <v>87660</v>
      </c>
      <c r="DP11" s="19"/>
      <c r="DQ11" s="19"/>
      <c r="DR11" s="19"/>
      <c r="DS11" s="19"/>
      <c r="DT11" s="19"/>
      <c r="DU11" s="19"/>
      <c r="DV11" s="19">
        <v>22400</v>
      </c>
      <c r="DW11" s="19"/>
      <c r="DX11" s="19"/>
      <c r="DY11" s="19"/>
      <c r="DZ11" s="19"/>
      <c r="EA11" s="19">
        <v>3400000</v>
      </c>
      <c r="EB11" s="19"/>
    </row>
    <row r="12" spans="1:132">
      <c r="A12" s="7" t="s">
        <v>98</v>
      </c>
      <c r="B12" s="14" t="s">
        <v>30</v>
      </c>
      <c r="C12" s="19"/>
      <c r="D12" s="19">
        <v>83635180</v>
      </c>
      <c r="E12" s="19">
        <v>33793140</v>
      </c>
      <c r="F12" s="19"/>
      <c r="G12" s="19">
        <v>50350000</v>
      </c>
      <c r="H12" s="19"/>
      <c r="I12" s="19"/>
      <c r="J12" s="19" t="s">
        <v>89</v>
      </c>
      <c r="K12" s="19">
        <v>26186500</v>
      </c>
      <c r="L12" s="19">
        <v>524891410</v>
      </c>
      <c r="M12" s="19">
        <v>53829564</v>
      </c>
      <c r="N12" s="19"/>
      <c r="O12" s="19">
        <v>139398316</v>
      </c>
      <c r="P12" s="19">
        <v>84932199</v>
      </c>
      <c r="Q12" s="19">
        <v>74252946</v>
      </c>
      <c r="R12" s="19">
        <v>11310000</v>
      </c>
      <c r="S12" s="19">
        <v>25047527</v>
      </c>
      <c r="T12" s="19"/>
      <c r="U12" s="19">
        <v>40996727</v>
      </c>
      <c r="V12" s="19">
        <v>71064556</v>
      </c>
      <c r="W12" s="19">
        <v>32384060</v>
      </c>
      <c r="X12" s="19"/>
      <c r="Y12" s="19"/>
      <c r="Z12" s="19">
        <v>67260076</v>
      </c>
      <c r="AA12" s="19">
        <v>1040714352</v>
      </c>
      <c r="AB12" s="19"/>
      <c r="AC12" s="19">
        <v>7621500</v>
      </c>
      <c r="AD12" s="19">
        <v>42841000</v>
      </c>
      <c r="AE12" s="19">
        <v>30657310</v>
      </c>
      <c r="AF12" s="19"/>
      <c r="AG12" s="19">
        <v>53829564</v>
      </c>
      <c r="AH12" s="19"/>
      <c r="AI12" s="19">
        <v>24498132</v>
      </c>
      <c r="AJ12" s="19">
        <v>433195098</v>
      </c>
      <c r="AK12" s="19"/>
      <c r="AL12" s="19"/>
      <c r="AM12" s="19"/>
      <c r="AN12" s="19">
        <v>892350</v>
      </c>
      <c r="AO12" s="19"/>
      <c r="AP12" s="19">
        <v>31044088</v>
      </c>
      <c r="AQ12" s="19">
        <v>2300000</v>
      </c>
      <c r="AR12" s="19">
        <v>40792650</v>
      </c>
      <c r="AS12" s="19"/>
      <c r="AT12" s="19">
        <v>275255544</v>
      </c>
      <c r="AU12" s="19"/>
      <c r="AV12" s="19"/>
      <c r="AW12" s="19">
        <v>25109550</v>
      </c>
      <c r="AX12" s="19">
        <v>12726440</v>
      </c>
      <c r="AY12" s="19"/>
      <c r="AZ12" s="19">
        <v>65846100</v>
      </c>
      <c r="BA12" s="19">
        <v>241767044</v>
      </c>
      <c r="BB12" s="19"/>
      <c r="BC12" s="19">
        <v>242159520</v>
      </c>
      <c r="BD12" s="19"/>
      <c r="BE12" s="19">
        <v>281630000</v>
      </c>
      <c r="BF12" s="19">
        <v>554083520</v>
      </c>
      <c r="BG12" s="19">
        <v>675219745</v>
      </c>
      <c r="BH12" s="19">
        <v>64529850</v>
      </c>
      <c r="BI12" s="19">
        <v>131436074</v>
      </c>
      <c r="BJ12" s="19">
        <v>232103780</v>
      </c>
      <c r="BK12" s="19">
        <v>38097000</v>
      </c>
      <c r="BL12" s="19">
        <v>9682000</v>
      </c>
      <c r="BM12" s="19">
        <v>22200904</v>
      </c>
      <c r="BN12" s="19"/>
      <c r="BO12" s="19">
        <v>191186380</v>
      </c>
      <c r="BP12" s="19"/>
      <c r="BQ12" s="19">
        <v>167987887</v>
      </c>
      <c r="BR12" s="19"/>
      <c r="BS12" s="19">
        <v>16498400</v>
      </c>
      <c r="BT12" s="19"/>
      <c r="BU12" s="19">
        <v>176823162</v>
      </c>
      <c r="BV12" s="19"/>
      <c r="BW12" s="19"/>
      <c r="BX12" s="19"/>
      <c r="BY12" s="19">
        <v>14192550</v>
      </c>
      <c r="BZ12" s="19">
        <v>34630518</v>
      </c>
      <c r="CA12" s="19"/>
      <c r="CB12" s="19">
        <v>45893903</v>
      </c>
      <c r="CC12" s="19">
        <v>19639900</v>
      </c>
      <c r="CD12" s="19">
        <v>41751133</v>
      </c>
      <c r="CE12" s="19">
        <v>337150550</v>
      </c>
      <c r="CF12" s="19" t="s">
        <v>127</v>
      </c>
      <c r="CG12" s="19"/>
      <c r="CH12" s="19">
        <v>11864236</v>
      </c>
      <c r="CI12" s="19">
        <v>365238790</v>
      </c>
      <c r="CJ12" s="19">
        <v>382690000</v>
      </c>
      <c r="CK12" s="19">
        <v>20601382</v>
      </c>
      <c r="CL12" s="19">
        <v>59688441</v>
      </c>
      <c r="CM12" s="19"/>
      <c r="CN12" s="19"/>
      <c r="CO12" s="19"/>
      <c r="CP12" s="19">
        <v>260830400</v>
      </c>
      <c r="CQ12" s="19" t="s">
        <v>96</v>
      </c>
      <c r="CR12" s="19">
        <v>46565000</v>
      </c>
      <c r="CS12" s="19"/>
      <c r="CT12" s="19"/>
      <c r="CU12" s="19"/>
      <c r="CV12" s="19" t="s">
        <v>89</v>
      </c>
      <c r="CW12" s="19">
        <v>40224241</v>
      </c>
      <c r="CX12" s="19"/>
      <c r="CY12" s="19">
        <v>40977430</v>
      </c>
      <c r="CZ12" s="19"/>
      <c r="DA12" s="19"/>
      <c r="DB12" s="19"/>
      <c r="DC12" s="19"/>
      <c r="DD12" s="19">
        <v>852040</v>
      </c>
      <c r="DE12" s="19"/>
      <c r="DF12" s="19">
        <v>6974621</v>
      </c>
      <c r="DG12" s="19"/>
      <c r="DH12" s="19">
        <v>2208500</v>
      </c>
      <c r="DI12" s="19">
        <v>60693180</v>
      </c>
      <c r="DJ12" s="19"/>
      <c r="DK12" s="19">
        <v>312242906</v>
      </c>
      <c r="DL12" s="19"/>
      <c r="DM12" s="19">
        <v>536258690</v>
      </c>
      <c r="DN12" s="19">
        <v>14132475</v>
      </c>
      <c r="DO12" s="19"/>
      <c r="DP12" s="19">
        <v>22198750</v>
      </c>
      <c r="DQ12" s="19">
        <v>79139415</v>
      </c>
      <c r="DR12" s="19">
        <v>32307000</v>
      </c>
      <c r="DS12" s="19"/>
      <c r="DT12" s="19"/>
      <c r="DU12" s="19"/>
      <c r="DV12" s="19">
        <v>0</v>
      </c>
      <c r="DW12" s="19"/>
      <c r="DX12" s="19"/>
      <c r="DY12" s="19">
        <v>8287144</v>
      </c>
      <c r="DZ12" s="19">
        <v>181847700</v>
      </c>
      <c r="EA12" s="19"/>
      <c r="EB12" s="19"/>
    </row>
    <row r="13" spans="1:132">
      <c r="A13" s="7" t="s">
        <v>98</v>
      </c>
      <c r="B13" s="14" t="s">
        <v>66</v>
      </c>
      <c r="C13" s="19"/>
      <c r="D13" s="19"/>
      <c r="E13" s="19"/>
      <c r="F13" s="19"/>
      <c r="G13" s="19"/>
      <c r="H13" s="19"/>
      <c r="I13" s="19"/>
      <c r="J13" s="19" t="s">
        <v>89</v>
      </c>
      <c r="K13" s="19"/>
      <c r="L13" s="19"/>
      <c r="M13" s="19"/>
      <c r="N13" s="19"/>
      <c r="O13" s="19"/>
      <c r="P13" s="19"/>
      <c r="Q13" s="19"/>
      <c r="R13" s="19"/>
      <c r="S13" s="19"/>
      <c r="T13" s="19"/>
      <c r="U13" s="19"/>
      <c r="V13" s="19"/>
      <c r="W13" s="19"/>
      <c r="X13" s="19"/>
      <c r="Y13" s="19"/>
      <c r="Z13" s="19"/>
      <c r="AA13" s="19"/>
      <c r="AB13" s="19"/>
      <c r="AC13" s="19"/>
      <c r="AD13" s="19"/>
      <c r="AE13" s="19"/>
      <c r="AF13" s="19"/>
      <c r="AG13" s="19"/>
      <c r="AH13" s="19"/>
      <c r="AI13" s="19"/>
      <c r="AJ13" s="19"/>
      <c r="AK13" s="19"/>
      <c r="AL13" s="19"/>
      <c r="AM13" s="19"/>
      <c r="AN13" s="19"/>
      <c r="AO13" s="19"/>
      <c r="AP13" s="19"/>
      <c r="AQ13" s="19"/>
      <c r="AR13" s="19"/>
      <c r="AS13" s="19"/>
      <c r="AT13" s="19"/>
      <c r="AU13" s="19"/>
      <c r="AV13" s="19"/>
      <c r="AW13" s="19"/>
      <c r="AX13" s="19"/>
      <c r="AY13" s="19"/>
      <c r="AZ13" s="19"/>
      <c r="BA13" s="19"/>
      <c r="BB13" s="19"/>
      <c r="BC13" s="19"/>
      <c r="BD13" s="19"/>
      <c r="BE13" s="19"/>
      <c r="BF13" s="19"/>
      <c r="BG13" s="19"/>
      <c r="BH13" s="19">
        <v>442920</v>
      </c>
      <c r="BI13" s="19"/>
      <c r="BJ13" s="19"/>
      <c r="BK13" s="19"/>
      <c r="BL13" s="19"/>
      <c r="BM13" s="19"/>
      <c r="BN13" s="19"/>
      <c r="BO13" s="19"/>
      <c r="BP13" s="19"/>
      <c r="BQ13" s="19"/>
      <c r="BR13" s="19"/>
      <c r="BS13" s="19"/>
      <c r="BT13" s="19"/>
      <c r="BU13" s="19"/>
      <c r="BV13" s="19"/>
      <c r="BW13" s="19"/>
      <c r="BX13" s="19"/>
      <c r="BY13" s="19"/>
      <c r="BZ13" s="19"/>
      <c r="CA13" s="19">
        <v>21600000</v>
      </c>
      <c r="CB13" s="19"/>
      <c r="CC13" s="19"/>
      <c r="CD13" s="19"/>
      <c r="CE13" s="19"/>
      <c r="CF13" s="19" t="s">
        <v>127</v>
      </c>
      <c r="CG13" s="19"/>
      <c r="CH13" s="19"/>
      <c r="CI13" s="19"/>
      <c r="CJ13" s="19"/>
      <c r="CK13" s="19"/>
      <c r="CL13" s="19">
        <v>4621873</v>
      </c>
      <c r="CM13" s="19"/>
      <c r="CN13" s="19"/>
      <c r="CO13" s="19"/>
      <c r="CP13" s="19"/>
      <c r="CQ13" s="19" t="s">
        <v>96</v>
      </c>
      <c r="CR13" s="19"/>
      <c r="CS13" s="19"/>
      <c r="CT13" s="19"/>
      <c r="CU13" s="19"/>
      <c r="CV13" s="19" t="s">
        <v>89</v>
      </c>
      <c r="CW13" s="19"/>
      <c r="CX13" s="19"/>
      <c r="CY13" s="19"/>
      <c r="CZ13" s="19"/>
      <c r="DA13" s="19">
        <v>2000000</v>
      </c>
      <c r="DB13" s="19"/>
      <c r="DC13" s="19"/>
      <c r="DD13" s="19"/>
      <c r="DE13" s="19"/>
      <c r="DF13" s="19"/>
      <c r="DG13" s="19"/>
      <c r="DH13" s="19"/>
      <c r="DI13" s="19"/>
      <c r="DJ13" s="19"/>
      <c r="DK13" s="19"/>
      <c r="DL13" s="19"/>
      <c r="DM13" s="19"/>
      <c r="DN13" s="19"/>
      <c r="DO13" s="19"/>
      <c r="DP13" s="19"/>
      <c r="DQ13" s="19"/>
      <c r="DR13" s="19"/>
      <c r="DS13" s="19"/>
      <c r="DT13" s="19"/>
      <c r="DU13" s="19"/>
      <c r="DV13" s="19">
        <v>0</v>
      </c>
      <c r="DW13" s="19">
        <v>1192800</v>
      </c>
      <c r="DX13" s="19"/>
      <c r="DY13" s="19"/>
      <c r="DZ13" s="19"/>
      <c r="EA13" s="19"/>
      <c r="EB13" s="19"/>
    </row>
    <row r="14" spans="1:132">
      <c r="A14" s="7" t="s">
        <v>98</v>
      </c>
      <c r="B14" s="8" t="s">
        <v>19</v>
      </c>
      <c r="C14" s="19">
        <v>40367257</v>
      </c>
      <c r="D14" s="19">
        <v>474595666</v>
      </c>
      <c r="E14" s="19">
        <v>574812064</v>
      </c>
      <c r="F14" s="19">
        <v>162704981</v>
      </c>
      <c r="G14" s="19">
        <v>11487991</v>
      </c>
      <c r="H14" s="19">
        <v>151188122</v>
      </c>
      <c r="I14" s="19">
        <v>1344745187</v>
      </c>
      <c r="J14" s="19" t="s">
        <v>89</v>
      </c>
      <c r="K14" s="19">
        <v>295003792</v>
      </c>
      <c r="L14" s="19">
        <v>105689525</v>
      </c>
      <c r="M14" s="19">
        <v>1611207482</v>
      </c>
      <c r="N14" s="19">
        <v>230795510</v>
      </c>
      <c r="O14" s="19">
        <v>1872199784</v>
      </c>
      <c r="P14" s="19">
        <v>712642830</v>
      </c>
      <c r="Q14" s="19">
        <v>37595140</v>
      </c>
      <c r="R14" s="19">
        <v>207615016</v>
      </c>
      <c r="S14" s="19">
        <v>1493187001</v>
      </c>
      <c r="T14" s="19">
        <v>271437421</v>
      </c>
      <c r="U14" s="19">
        <v>438325067</v>
      </c>
      <c r="V14" s="19">
        <v>128231214</v>
      </c>
      <c r="W14" s="19">
        <v>495389278</v>
      </c>
      <c r="X14" s="19">
        <v>4973052166</v>
      </c>
      <c r="Y14" s="19">
        <v>251099307</v>
      </c>
      <c r="Z14" s="19">
        <v>330761179</v>
      </c>
      <c r="AA14" s="19">
        <v>1024712759</v>
      </c>
      <c r="AB14" s="19">
        <v>34189373</v>
      </c>
      <c r="AC14" s="19">
        <v>255225428</v>
      </c>
      <c r="AD14" s="19">
        <v>1016392697</v>
      </c>
      <c r="AE14" s="19">
        <v>375552489</v>
      </c>
      <c r="AF14" s="19">
        <v>170427149</v>
      </c>
      <c r="AG14" s="19">
        <v>1611207482</v>
      </c>
      <c r="AH14" s="19">
        <v>62288834</v>
      </c>
      <c r="AI14" s="19">
        <v>278657560</v>
      </c>
      <c r="AJ14" s="19">
        <v>238852422</v>
      </c>
      <c r="AK14" s="19">
        <v>288174371</v>
      </c>
      <c r="AL14" s="19">
        <v>43227135</v>
      </c>
      <c r="AM14" s="19">
        <v>2014070775</v>
      </c>
      <c r="AN14" s="19">
        <v>99536003</v>
      </c>
      <c r="AO14" s="19">
        <v>120073638</v>
      </c>
      <c r="AP14" s="19">
        <v>40726730</v>
      </c>
      <c r="AQ14" s="19">
        <v>39248844</v>
      </c>
      <c r="AR14" s="19">
        <v>53300518</v>
      </c>
      <c r="AS14" s="19">
        <v>143843287</v>
      </c>
      <c r="AT14" s="19">
        <v>1715063049</v>
      </c>
      <c r="AU14" s="19">
        <v>932376891</v>
      </c>
      <c r="AV14" s="19">
        <v>175292744</v>
      </c>
      <c r="AW14" s="19">
        <v>612963365</v>
      </c>
      <c r="AX14" s="19">
        <v>339892279</v>
      </c>
      <c r="AY14" s="19">
        <v>387779757</v>
      </c>
      <c r="AZ14" s="19">
        <v>189645950</v>
      </c>
      <c r="BA14" s="19">
        <v>1129471714</v>
      </c>
      <c r="BB14" s="19">
        <v>26787882</v>
      </c>
      <c r="BC14" s="19">
        <v>882126920</v>
      </c>
      <c r="BD14" s="19">
        <v>21632776</v>
      </c>
      <c r="BE14" s="19">
        <v>258300007</v>
      </c>
      <c r="BF14" s="19">
        <v>1348230232</v>
      </c>
      <c r="BG14" s="19">
        <v>486220010</v>
      </c>
      <c r="BH14" s="19">
        <v>177231153</v>
      </c>
      <c r="BI14" s="19">
        <v>56074688</v>
      </c>
      <c r="BJ14" s="19">
        <v>64642085</v>
      </c>
      <c r="BK14" s="19">
        <v>167100335</v>
      </c>
      <c r="BL14" s="19">
        <v>36621849</v>
      </c>
      <c r="BM14" s="19">
        <v>64020566</v>
      </c>
      <c r="BN14" s="19">
        <v>44185923</v>
      </c>
      <c r="BO14" s="19">
        <v>125332551</v>
      </c>
      <c r="BP14" s="19">
        <v>22627756</v>
      </c>
      <c r="BQ14" s="19">
        <v>259564834</v>
      </c>
      <c r="BR14" s="19">
        <v>1343582</v>
      </c>
      <c r="BS14" s="19">
        <v>55487660</v>
      </c>
      <c r="BT14" s="19">
        <v>29509718</v>
      </c>
      <c r="BU14" s="19">
        <v>60212160</v>
      </c>
      <c r="BV14" s="19">
        <v>15098809</v>
      </c>
      <c r="BW14" s="19">
        <v>17356619</v>
      </c>
      <c r="BX14" s="19">
        <v>25077124</v>
      </c>
      <c r="BY14" s="19">
        <v>382218116</v>
      </c>
      <c r="BZ14" s="19">
        <v>11054904</v>
      </c>
      <c r="CA14" s="19">
        <v>272905658</v>
      </c>
      <c r="CB14" s="19">
        <v>277099907</v>
      </c>
      <c r="CC14" s="19">
        <v>3050000</v>
      </c>
      <c r="CD14" s="19">
        <v>60805117</v>
      </c>
      <c r="CE14" s="19">
        <v>92846374</v>
      </c>
      <c r="CF14" s="19" t="s">
        <v>127</v>
      </c>
      <c r="CG14" s="19">
        <v>45428041</v>
      </c>
      <c r="CH14" s="19">
        <v>3464744</v>
      </c>
      <c r="CI14" s="19">
        <v>667417711</v>
      </c>
      <c r="CJ14" s="19">
        <v>57690567</v>
      </c>
      <c r="CK14" s="19">
        <v>2735024245</v>
      </c>
      <c r="CL14" s="19">
        <v>472119661</v>
      </c>
      <c r="CM14" s="19">
        <v>592825512</v>
      </c>
      <c r="CN14" s="19">
        <v>103085897</v>
      </c>
      <c r="CO14" s="19">
        <v>77940047</v>
      </c>
      <c r="CP14" s="19">
        <v>146105290</v>
      </c>
      <c r="CQ14" s="19" t="s">
        <v>96</v>
      </c>
      <c r="CR14" s="19">
        <v>129977031</v>
      </c>
      <c r="CS14" s="19">
        <v>369309006</v>
      </c>
      <c r="CT14" s="19">
        <v>32415778</v>
      </c>
      <c r="CU14" s="19">
        <v>68968551</v>
      </c>
      <c r="CV14" s="19" t="s">
        <v>89</v>
      </c>
      <c r="CW14" s="19">
        <v>753380619</v>
      </c>
      <c r="CX14" s="19">
        <v>150194506</v>
      </c>
      <c r="CY14" s="19">
        <v>373128914</v>
      </c>
      <c r="CZ14" s="19">
        <v>43487164</v>
      </c>
      <c r="DA14" s="19">
        <v>0</v>
      </c>
      <c r="DB14" s="19">
        <v>30789785</v>
      </c>
      <c r="DC14" s="19">
        <v>0</v>
      </c>
      <c r="DD14" s="19">
        <v>123210546</v>
      </c>
      <c r="DE14" s="19">
        <v>677851912</v>
      </c>
      <c r="DF14" s="19">
        <v>29294503</v>
      </c>
      <c r="DG14" s="19">
        <v>86039715</v>
      </c>
      <c r="DH14" s="19">
        <v>0</v>
      </c>
      <c r="DI14" s="19">
        <v>2159077986</v>
      </c>
      <c r="DJ14" s="19">
        <v>7613183</v>
      </c>
      <c r="DK14" s="19">
        <v>85907892</v>
      </c>
      <c r="DL14" s="19">
        <v>22340240</v>
      </c>
      <c r="DM14" s="19">
        <v>43265708</v>
      </c>
      <c r="DN14" s="19">
        <v>2456693</v>
      </c>
      <c r="DO14" s="19">
        <v>60177772</v>
      </c>
      <c r="DP14" s="19">
        <v>283751417</v>
      </c>
      <c r="DQ14" s="19">
        <v>84397986</v>
      </c>
      <c r="DR14" s="19">
        <v>5000000</v>
      </c>
      <c r="DS14" s="19">
        <v>68207810</v>
      </c>
      <c r="DT14" s="19">
        <v>63908728</v>
      </c>
      <c r="DU14" s="19">
        <v>27115938</v>
      </c>
      <c r="DV14" s="19">
        <v>1317000</v>
      </c>
      <c r="DW14" s="19">
        <v>26188228</v>
      </c>
      <c r="DX14" s="19">
        <v>22901956</v>
      </c>
      <c r="DY14" s="19">
        <v>151554867</v>
      </c>
      <c r="DZ14" s="19">
        <v>87333793</v>
      </c>
      <c r="EA14" s="19">
        <v>63571210</v>
      </c>
      <c r="EB14" s="19">
        <v>67883950</v>
      </c>
    </row>
    <row r="15" spans="1:132">
      <c r="A15" s="7" t="s">
        <v>98</v>
      </c>
      <c r="B15" s="11" t="s">
        <v>8</v>
      </c>
      <c r="C15" s="19"/>
      <c r="D15" s="19">
        <v>5000000</v>
      </c>
      <c r="E15" s="19">
        <v>81097800</v>
      </c>
      <c r="F15" s="19">
        <v>33000000</v>
      </c>
      <c r="G15" s="19"/>
      <c r="H15" s="19">
        <v>64860000</v>
      </c>
      <c r="I15" s="19"/>
      <c r="J15" s="19" t="s">
        <v>89</v>
      </c>
      <c r="K15" s="19"/>
      <c r="L15" s="19"/>
      <c r="M15" s="19">
        <v>8100000</v>
      </c>
      <c r="N15" s="19"/>
      <c r="O15" s="19">
        <v>121916101</v>
      </c>
      <c r="P15" s="19">
        <v>14760000</v>
      </c>
      <c r="Q15" s="19"/>
      <c r="R15" s="19">
        <v>6200000</v>
      </c>
      <c r="S15" s="19">
        <v>134274027</v>
      </c>
      <c r="T15" s="19">
        <v>1000000</v>
      </c>
      <c r="U15" s="19">
        <v>3000000</v>
      </c>
      <c r="V15" s="19"/>
      <c r="W15" s="19">
        <v>117613542</v>
      </c>
      <c r="X15" s="19">
        <v>114435943</v>
      </c>
      <c r="Y15" s="19">
        <v>76986940</v>
      </c>
      <c r="Z15" s="19">
        <v>8000000</v>
      </c>
      <c r="AA15" s="19">
        <v>204921832</v>
      </c>
      <c r="AB15" s="19"/>
      <c r="AC15" s="19">
        <v>15000000</v>
      </c>
      <c r="AD15" s="19">
        <v>56937145</v>
      </c>
      <c r="AE15" s="19">
        <v>0</v>
      </c>
      <c r="AF15" s="19"/>
      <c r="AG15" s="19">
        <v>8100000</v>
      </c>
      <c r="AH15" s="19">
        <v>5000000</v>
      </c>
      <c r="AI15" s="19"/>
      <c r="AJ15" s="19"/>
      <c r="AK15" s="19">
        <v>7227970</v>
      </c>
      <c r="AL15" s="19"/>
      <c r="AM15" s="19"/>
      <c r="AN15" s="19"/>
      <c r="AO15" s="19"/>
      <c r="AP15" s="19"/>
      <c r="AQ15" s="19"/>
      <c r="AR15" s="19"/>
      <c r="AS15" s="19"/>
      <c r="AT15" s="19"/>
      <c r="AU15" s="19">
        <v>30487000</v>
      </c>
      <c r="AV15" s="19"/>
      <c r="AW15" s="19"/>
      <c r="AX15" s="19"/>
      <c r="AY15" s="19">
        <v>216555522</v>
      </c>
      <c r="AZ15" s="19">
        <v>674403</v>
      </c>
      <c r="BA15" s="19">
        <v>6300000</v>
      </c>
      <c r="BB15" s="19"/>
      <c r="BC15" s="19"/>
      <c r="BD15" s="19"/>
      <c r="BE15" s="19"/>
      <c r="BF15" s="19">
        <v>3496115</v>
      </c>
      <c r="BG15" s="19"/>
      <c r="BH15" s="19">
        <v>3909300</v>
      </c>
      <c r="BI15" s="19"/>
      <c r="BJ15" s="19">
        <v>1100000</v>
      </c>
      <c r="BK15" s="19"/>
      <c r="BL15" s="19"/>
      <c r="BM15" s="19">
        <v>4684152</v>
      </c>
      <c r="BN15" s="19">
        <v>1072038</v>
      </c>
      <c r="BO15" s="19">
        <v>4631331</v>
      </c>
      <c r="BP15" s="19"/>
      <c r="BQ15" s="19"/>
      <c r="BR15" s="19"/>
      <c r="BS15" s="19"/>
      <c r="BT15" s="19"/>
      <c r="BU15" s="19"/>
      <c r="BV15" s="19"/>
      <c r="BW15" s="19"/>
      <c r="BX15" s="19"/>
      <c r="BY15" s="19">
        <v>58100000</v>
      </c>
      <c r="BZ15" s="19"/>
      <c r="CA15" s="19">
        <v>1200000</v>
      </c>
      <c r="CB15" s="19">
        <v>87000000</v>
      </c>
      <c r="CC15" s="19">
        <v>3050000</v>
      </c>
      <c r="CD15" s="19">
        <v>300000</v>
      </c>
      <c r="CE15" s="19"/>
      <c r="CF15" s="19" t="s">
        <v>127</v>
      </c>
      <c r="CG15" s="19">
        <v>30719202</v>
      </c>
      <c r="CH15" s="19"/>
      <c r="CI15" s="19">
        <v>4269055</v>
      </c>
      <c r="CJ15" s="19">
        <v>2069705</v>
      </c>
      <c r="CK15" s="19">
        <v>11300300</v>
      </c>
      <c r="CL15" s="19"/>
      <c r="CM15" s="19">
        <v>278570830</v>
      </c>
      <c r="CN15" s="19">
        <v>1803</v>
      </c>
      <c r="CO15" s="19"/>
      <c r="CP15" s="19">
        <v>1000000</v>
      </c>
      <c r="CQ15" s="19" t="s">
        <v>96</v>
      </c>
      <c r="CR15" s="19"/>
      <c r="CS15" s="19"/>
      <c r="CT15" s="19"/>
      <c r="CU15" s="19">
        <v>64055851</v>
      </c>
      <c r="CV15" s="19" t="s">
        <v>89</v>
      </c>
      <c r="CW15" s="19"/>
      <c r="CX15" s="19"/>
      <c r="CY15" s="19">
        <v>26787393</v>
      </c>
      <c r="CZ15" s="19"/>
      <c r="DA15" s="19"/>
      <c r="DB15" s="19"/>
      <c r="DC15" s="19"/>
      <c r="DD15" s="19"/>
      <c r="DE15" s="19"/>
      <c r="DF15" s="19"/>
      <c r="DG15" s="19"/>
      <c r="DH15" s="19"/>
      <c r="DI15" s="19">
        <v>3000000</v>
      </c>
      <c r="DJ15" s="19"/>
      <c r="DK15" s="19"/>
      <c r="DL15" s="19">
        <v>3000000</v>
      </c>
      <c r="DM15" s="19"/>
      <c r="DN15" s="19"/>
      <c r="DO15" s="19">
        <v>4200000</v>
      </c>
      <c r="DP15" s="19"/>
      <c r="DQ15" s="19"/>
      <c r="DR15" s="19"/>
      <c r="DS15" s="19"/>
      <c r="DT15" s="19"/>
      <c r="DU15" s="19"/>
      <c r="DV15" s="19">
        <v>0</v>
      </c>
      <c r="DW15" s="19">
        <v>3126546</v>
      </c>
      <c r="DX15" s="19"/>
      <c r="DY15" s="19"/>
      <c r="DZ15" s="19">
        <v>50592232</v>
      </c>
      <c r="EA15" s="19"/>
      <c r="EB15" s="19"/>
    </row>
    <row r="16" spans="1:132">
      <c r="A16" s="7" t="s">
        <v>98</v>
      </c>
      <c r="B16" s="11" t="s">
        <v>151</v>
      </c>
      <c r="C16" s="19">
        <v>5064257</v>
      </c>
      <c r="D16" s="19">
        <v>469595666</v>
      </c>
      <c r="E16" s="19">
        <v>493714264</v>
      </c>
      <c r="F16" s="19">
        <v>79856813</v>
      </c>
      <c r="G16" s="19">
        <v>4737991</v>
      </c>
      <c r="H16" s="19">
        <v>46328122</v>
      </c>
      <c r="I16" s="19">
        <v>1264745187</v>
      </c>
      <c r="J16" s="19" t="s">
        <v>89</v>
      </c>
      <c r="K16" s="19">
        <v>291196192</v>
      </c>
      <c r="L16" s="19">
        <v>69104525</v>
      </c>
      <c r="M16" s="19">
        <v>1361879263</v>
      </c>
      <c r="N16" s="19">
        <v>5092881</v>
      </c>
      <c r="O16" s="19">
        <v>1577305688</v>
      </c>
      <c r="P16" s="19">
        <v>298944086</v>
      </c>
      <c r="Q16" s="19">
        <v>17155652</v>
      </c>
      <c r="R16" s="19">
        <v>82064682</v>
      </c>
      <c r="S16" s="19">
        <v>1285045887</v>
      </c>
      <c r="T16" s="19">
        <v>222437421</v>
      </c>
      <c r="U16" s="19">
        <v>284807069</v>
      </c>
      <c r="V16" s="19">
        <v>17851214</v>
      </c>
      <c r="W16" s="19">
        <v>283078105</v>
      </c>
      <c r="X16" s="19">
        <v>4835332854</v>
      </c>
      <c r="Y16" s="19">
        <v>12689568</v>
      </c>
      <c r="Z16" s="19">
        <v>160990179</v>
      </c>
      <c r="AA16" s="19">
        <v>304790927</v>
      </c>
      <c r="AB16" s="19">
        <v>32343373</v>
      </c>
      <c r="AC16" s="19">
        <v>59695188</v>
      </c>
      <c r="AD16" s="19">
        <v>929455552</v>
      </c>
      <c r="AE16" s="19">
        <v>29189458</v>
      </c>
      <c r="AF16" s="19">
        <v>90567149</v>
      </c>
      <c r="AG16" s="19">
        <v>1361879263</v>
      </c>
      <c r="AH16" s="19">
        <v>33053323</v>
      </c>
      <c r="AI16" s="19">
        <v>238776330</v>
      </c>
      <c r="AJ16" s="19">
        <v>58848422</v>
      </c>
      <c r="AK16" s="19">
        <v>261916001</v>
      </c>
      <c r="AL16" s="19">
        <v>7041252</v>
      </c>
      <c r="AM16" s="19">
        <v>286414019</v>
      </c>
      <c r="AN16" s="19">
        <v>19614710</v>
      </c>
      <c r="AO16" s="19">
        <v>37529638</v>
      </c>
      <c r="AP16" s="19">
        <v>39126730</v>
      </c>
      <c r="AQ16" s="19">
        <v>39148844</v>
      </c>
      <c r="AR16" s="19">
        <v>18700518</v>
      </c>
      <c r="AS16" s="19">
        <v>98839287</v>
      </c>
      <c r="AT16" s="19">
        <v>1714763049</v>
      </c>
      <c r="AU16" s="19">
        <v>387819891</v>
      </c>
      <c r="AV16" s="19">
        <v>55292744</v>
      </c>
      <c r="AW16" s="19">
        <v>610963365</v>
      </c>
      <c r="AX16" s="19">
        <v>278621188</v>
      </c>
      <c r="AY16" s="19">
        <v>167384235</v>
      </c>
      <c r="AZ16" s="19">
        <v>133471546</v>
      </c>
      <c r="BA16" s="19">
        <v>700338839</v>
      </c>
      <c r="BB16" s="19"/>
      <c r="BC16" s="19">
        <v>881850020</v>
      </c>
      <c r="BD16" s="19"/>
      <c r="BE16" s="19">
        <v>30577234</v>
      </c>
      <c r="BF16" s="19">
        <v>558372401</v>
      </c>
      <c r="BG16" s="19">
        <v>93243822</v>
      </c>
      <c r="BH16" s="19">
        <v>118597296</v>
      </c>
      <c r="BI16" s="19">
        <v>2069487</v>
      </c>
      <c r="BJ16" s="19">
        <v>23867084</v>
      </c>
      <c r="BK16" s="19">
        <v>103825569</v>
      </c>
      <c r="BL16" s="19">
        <v>6621848</v>
      </c>
      <c r="BM16" s="19">
        <v>57070499</v>
      </c>
      <c r="BN16" s="19">
        <v>33247276</v>
      </c>
      <c r="BO16" s="19">
        <v>18486276</v>
      </c>
      <c r="BP16" s="19">
        <v>13971756</v>
      </c>
      <c r="BQ16" s="19">
        <v>43048167</v>
      </c>
      <c r="BR16" s="19">
        <v>1343582</v>
      </c>
      <c r="BS16" s="19">
        <v>25387660</v>
      </c>
      <c r="BT16" s="19">
        <v>29509718</v>
      </c>
      <c r="BU16" s="19">
        <v>32727044</v>
      </c>
      <c r="BV16" s="19">
        <v>15098809</v>
      </c>
      <c r="BW16" s="19">
        <v>17356619</v>
      </c>
      <c r="BX16" s="19">
        <v>9877124</v>
      </c>
      <c r="BY16" s="19">
        <v>144612753</v>
      </c>
      <c r="BZ16" s="19">
        <v>1054904</v>
      </c>
      <c r="CA16" s="19">
        <v>151405658</v>
      </c>
      <c r="CB16" s="19">
        <v>114111289</v>
      </c>
      <c r="CC16" s="19"/>
      <c r="CD16" s="19">
        <v>57505117</v>
      </c>
      <c r="CE16" s="19">
        <v>2117374</v>
      </c>
      <c r="CF16" s="19" t="s">
        <v>127</v>
      </c>
      <c r="CG16" s="19">
        <v>11708839</v>
      </c>
      <c r="CH16" s="19">
        <v>2600504</v>
      </c>
      <c r="CI16" s="19">
        <v>566852613</v>
      </c>
      <c r="CJ16" s="19">
        <v>7220062</v>
      </c>
      <c r="CK16" s="19">
        <v>2719708945</v>
      </c>
      <c r="CL16" s="19">
        <v>443290324</v>
      </c>
      <c r="CM16" s="19">
        <v>24254682</v>
      </c>
      <c r="CN16" s="19">
        <v>86431094</v>
      </c>
      <c r="CO16" s="19">
        <v>44985913</v>
      </c>
      <c r="CP16" s="19">
        <v>52641654</v>
      </c>
      <c r="CQ16" s="19" t="s">
        <v>96</v>
      </c>
      <c r="CR16" s="19">
        <v>50294821</v>
      </c>
      <c r="CS16" s="19">
        <v>42126206</v>
      </c>
      <c r="CT16" s="19">
        <v>17982278</v>
      </c>
      <c r="CU16" s="19">
        <v>4452700</v>
      </c>
      <c r="CV16" s="19" t="s">
        <v>89</v>
      </c>
      <c r="CW16" s="19">
        <v>364772619</v>
      </c>
      <c r="CX16" s="19">
        <v>50194506</v>
      </c>
      <c r="CY16" s="19">
        <v>263432353</v>
      </c>
      <c r="CZ16" s="19">
        <v>3557164</v>
      </c>
      <c r="DA16" s="19"/>
      <c r="DB16" s="19">
        <v>19859785</v>
      </c>
      <c r="DC16" s="19"/>
      <c r="DD16" s="19">
        <v>103210546</v>
      </c>
      <c r="DE16" s="19">
        <v>645971312</v>
      </c>
      <c r="DF16" s="19">
        <v>19294503</v>
      </c>
      <c r="DG16" s="19">
        <v>1806380</v>
      </c>
      <c r="DH16" s="19"/>
      <c r="DI16" s="19">
        <v>2124125746</v>
      </c>
      <c r="DJ16" s="19">
        <v>5249546</v>
      </c>
      <c r="DK16" s="19">
        <v>51407892</v>
      </c>
      <c r="DL16" s="19">
        <v>3500000</v>
      </c>
      <c r="DM16" s="19">
        <v>43265708</v>
      </c>
      <c r="DN16" s="19">
        <v>2456693</v>
      </c>
      <c r="DO16" s="19">
        <v>19993556</v>
      </c>
      <c r="DP16" s="19">
        <v>247881417</v>
      </c>
      <c r="DQ16" s="19">
        <v>25397986</v>
      </c>
      <c r="DR16" s="19"/>
      <c r="DS16" s="19">
        <v>68207810</v>
      </c>
      <c r="DT16" s="19">
        <v>7966518</v>
      </c>
      <c r="DU16" s="19">
        <v>4856241</v>
      </c>
      <c r="DV16" s="19">
        <v>1147000</v>
      </c>
      <c r="DW16" s="19">
        <v>23061682</v>
      </c>
      <c r="DX16" s="19">
        <v>1025456</v>
      </c>
      <c r="DY16" s="19">
        <v>29554867</v>
      </c>
      <c r="DZ16" s="19">
        <v>23541561</v>
      </c>
      <c r="EA16" s="19">
        <v>33571210</v>
      </c>
      <c r="EB16" s="19">
        <v>67883950</v>
      </c>
    </row>
    <row r="17" spans="1:132">
      <c r="A17" s="7" t="s">
        <v>98</v>
      </c>
      <c r="B17" s="11" t="s">
        <v>27</v>
      </c>
      <c r="C17" s="19">
        <v>3000</v>
      </c>
      <c r="D17" s="19">
        <v>0</v>
      </c>
      <c r="E17" s="19">
        <v>0</v>
      </c>
      <c r="F17" s="19">
        <v>16848168</v>
      </c>
      <c r="G17" s="19">
        <v>600000</v>
      </c>
      <c r="H17" s="19">
        <v>0</v>
      </c>
      <c r="I17" s="19">
        <v>0</v>
      </c>
      <c r="J17" s="19" t="s">
        <v>89</v>
      </c>
      <c r="K17" s="19">
        <v>747600</v>
      </c>
      <c r="L17" s="19">
        <v>0</v>
      </c>
      <c r="M17" s="19">
        <v>11148219</v>
      </c>
      <c r="N17" s="19">
        <v>145702629</v>
      </c>
      <c r="O17" s="19">
        <v>5805000</v>
      </c>
      <c r="P17" s="19">
        <v>30368814</v>
      </c>
      <c r="Q17" s="19">
        <v>4439488</v>
      </c>
      <c r="R17" s="19">
        <v>14083334</v>
      </c>
      <c r="S17" s="19">
        <v>23144087</v>
      </c>
      <c r="T17" s="19">
        <v>0</v>
      </c>
      <c r="U17" s="19">
        <v>0</v>
      </c>
      <c r="V17" s="19">
        <v>60300000</v>
      </c>
      <c r="W17" s="19">
        <v>94697631</v>
      </c>
      <c r="X17" s="19">
        <v>3283369</v>
      </c>
      <c r="Y17" s="19">
        <v>155482799</v>
      </c>
      <c r="Z17" s="19">
        <v>4750000</v>
      </c>
      <c r="AA17" s="19">
        <v>0</v>
      </c>
      <c r="AB17" s="19">
        <v>1846000</v>
      </c>
      <c r="AC17" s="19">
        <v>440240</v>
      </c>
      <c r="AD17" s="19">
        <v>0</v>
      </c>
      <c r="AE17" s="19">
        <v>1363031</v>
      </c>
      <c r="AF17" s="19">
        <v>0</v>
      </c>
      <c r="AG17" s="19">
        <v>11148219</v>
      </c>
      <c r="AH17" s="19">
        <v>9869511</v>
      </c>
      <c r="AI17" s="19">
        <v>3191560</v>
      </c>
      <c r="AJ17" s="19">
        <v>4000</v>
      </c>
      <c r="AK17" s="19">
        <v>0</v>
      </c>
      <c r="AL17" s="19">
        <v>0</v>
      </c>
      <c r="AM17" s="19">
        <v>954146756</v>
      </c>
      <c r="AN17" s="19">
        <v>38127293</v>
      </c>
      <c r="AO17" s="19">
        <v>2544000</v>
      </c>
      <c r="AP17" s="19">
        <v>1600000</v>
      </c>
      <c r="AQ17" s="19">
        <v>0</v>
      </c>
      <c r="AR17" s="19">
        <v>32500000</v>
      </c>
      <c r="AS17" s="19">
        <v>4000</v>
      </c>
      <c r="AT17" s="19">
        <v>0</v>
      </c>
      <c r="AU17" s="19">
        <v>514070000</v>
      </c>
      <c r="AV17" s="19">
        <v>0</v>
      </c>
      <c r="AW17" s="19">
        <v>0</v>
      </c>
      <c r="AX17" s="19">
        <v>4271091</v>
      </c>
      <c r="AY17" s="19">
        <v>3840000</v>
      </c>
      <c r="AZ17" s="19">
        <v>5500001</v>
      </c>
      <c r="BA17" s="19">
        <v>52832875</v>
      </c>
      <c r="BB17" s="19">
        <v>26787882</v>
      </c>
      <c r="BC17" s="19">
        <v>0</v>
      </c>
      <c r="BD17" s="19">
        <v>21632776</v>
      </c>
      <c r="BE17" s="19">
        <v>215999173</v>
      </c>
      <c r="BF17" s="19">
        <v>734277116</v>
      </c>
      <c r="BG17" s="19">
        <v>23976188</v>
      </c>
      <c r="BH17" s="19">
        <v>4724557</v>
      </c>
      <c r="BI17" s="19">
        <v>23910201</v>
      </c>
      <c r="BJ17" s="19">
        <v>11625001</v>
      </c>
      <c r="BK17" s="19">
        <v>51274766</v>
      </c>
      <c r="BL17" s="19">
        <v>1</v>
      </c>
      <c r="BM17" s="19">
        <v>2265915</v>
      </c>
      <c r="BN17" s="19">
        <v>9866609</v>
      </c>
      <c r="BO17" s="19">
        <v>101714944</v>
      </c>
      <c r="BP17" s="19">
        <v>7150000</v>
      </c>
      <c r="BQ17" s="19">
        <v>66516667</v>
      </c>
      <c r="BR17" s="19">
        <v>0</v>
      </c>
      <c r="BS17" s="19">
        <v>0</v>
      </c>
      <c r="BT17" s="19">
        <v>0</v>
      </c>
      <c r="BU17" s="19">
        <v>6200200</v>
      </c>
      <c r="BV17" s="19">
        <v>0</v>
      </c>
      <c r="BW17" s="19">
        <v>0</v>
      </c>
      <c r="BX17" s="19">
        <v>4000000</v>
      </c>
      <c r="BY17" s="19">
        <v>89505363</v>
      </c>
      <c r="BZ17" s="19">
        <v>0</v>
      </c>
      <c r="CA17" s="19">
        <v>0</v>
      </c>
      <c r="CB17" s="19">
        <v>10988618</v>
      </c>
      <c r="CC17" s="19">
        <v>0</v>
      </c>
      <c r="CD17" s="19">
        <v>0</v>
      </c>
      <c r="CE17" s="19">
        <v>30729000</v>
      </c>
      <c r="CF17" s="19" t="s">
        <v>127</v>
      </c>
      <c r="CG17" s="19">
        <v>0</v>
      </c>
      <c r="CH17" s="19">
        <v>864240</v>
      </c>
      <c r="CI17" s="19">
        <v>0</v>
      </c>
      <c r="CJ17" s="19">
        <v>38400800</v>
      </c>
      <c r="CK17" s="19">
        <v>0</v>
      </c>
      <c r="CL17" s="19">
        <v>28829337</v>
      </c>
      <c r="CM17" s="19">
        <v>0</v>
      </c>
      <c r="CN17" s="19">
        <v>4350000</v>
      </c>
      <c r="CO17" s="19">
        <v>2954134</v>
      </c>
      <c r="CP17" s="19">
        <v>33363636</v>
      </c>
      <c r="CQ17" s="19" t="s">
        <v>96</v>
      </c>
      <c r="CR17" s="19">
        <v>0</v>
      </c>
      <c r="CS17" s="19">
        <v>318392800</v>
      </c>
      <c r="CT17" s="19">
        <v>1433500</v>
      </c>
      <c r="CU17" s="19"/>
      <c r="CV17" s="19" t="s">
        <v>89</v>
      </c>
      <c r="CW17" s="19">
        <v>0</v>
      </c>
      <c r="CX17" s="19">
        <v>46800000</v>
      </c>
      <c r="CY17" s="19">
        <v>20593168</v>
      </c>
      <c r="CZ17" s="19">
        <v>0</v>
      </c>
      <c r="DA17" s="19">
        <v>0</v>
      </c>
      <c r="DB17" s="19">
        <v>0</v>
      </c>
      <c r="DC17" s="19">
        <v>0</v>
      </c>
      <c r="DD17" s="19">
        <v>0</v>
      </c>
      <c r="DE17" s="19">
        <v>0</v>
      </c>
      <c r="DF17" s="19">
        <v>0</v>
      </c>
      <c r="DG17" s="19">
        <v>84233335</v>
      </c>
      <c r="DH17" s="19">
        <v>0</v>
      </c>
      <c r="DI17" s="19">
        <v>1952240</v>
      </c>
      <c r="DJ17" s="19">
        <v>2363637</v>
      </c>
      <c r="DK17" s="19">
        <v>5500000</v>
      </c>
      <c r="DL17" s="19">
        <v>840240</v>
      </c>
      <c r="DM17" s="19">
        <v>0</v>
      </c>
      <c r="DN17" s="19">
        <v>0</v>
      </c>
      <c r="DO17" s="19">
        <v>312000</v>
      </c>
      <c r="DP17" s="19">
        <v>0</v>
      </c>
      <c r="DQ17" s="19">
        <v>0</v>
      </c>
      <c r="DR17" s="19">
        <v>0</v>
      </c>
      <c r="DS17" s="19">
        <v>0</v>
      </c>
      <c r="DT17" s="19">
        <v>20353335</v>
      </c>
      <c r="DU17" s="19">
        <v>22259697</v>
      </c>
      <c r="DV17" s="19">
        <v>0</v>
      </c>
      <c r="DW17" s="19">
        <v>0</v>
      </c>
      <c r="DX17" s="19">
        <v>0</v>
      </c>
      <c r="DY17" s="19">
        <v>0</v>
      </c>
      <c r="DZ17" s="19">
        <v>0</v>
      </c>
      <c r="EA17" s="19">
        <v>0</v>
      </c>
      <c r="EB17" s="19">
        <v>0</v>
      </c>
    </row>
    <row r="18" spans="1:132">
      <c r="A18" s="7" t="s">
        <v>98</v>
      </c>
      <c r="B18" s="12" t="s">
        <v>54</v>
      </c>
      <c r="C18" s="19">
        <v>3000</v>
      </c>
      <c r="D18" s="19"/>
      <c r="E18" s="19"/>
      <c r="F18" s="19"/>
      <c r="G18" s="19"/>
      <c r="H18" s="19"/>
      <c r="I18" s="19"/>
      <c r="J18" s="19" t="s">
        <v>89</v>
      </c>
      <c r="K18" s="19"/>
      <c r="L18" s="19"/>
      <c r="M18" s="19">
        <v>11148219</v>
      </c>
      <c r="N18" s="19">
        <v>145702629</v>
      </c>
      <c r="O18" s="19">
        <v>5805000</v>
      </c>
      <c r="P18" s="19">
        <v>14150473</v>
      </c>
      <c r="Q18" s="19">
        <v>3215606</v>
      </c>
      <c r="R18" s="19">
        <v>7333334</v>
      </c>
      <c r="S18" s="19">
        <v>21272727</v>
      </c>
      <c r="T18" s="19"/>
      <c r="U18" s="19"/>
      <c r="V18" s="19">
        <v>1800000</v>
      </c>
      <c r="W18" s="19">
        <v>14006771</v>
      </c>
      <c r="X18" s="19"/>
      <c r="Y18" s="19">
        <v>18785789</v>
      </c>
      <c r="Z18" s="19">
        <v>4750000</v>
      </c>
      <c r="AA18" s="19"/>
      <c r="AB18" s="19">
        <v>1846000</v>
      </c>
      <c r="AC18" s="19"/>
      <c r="AD18" s="19"/>
      <c r="AE18" s="19"/>
      <c r="AF18" s="19"/>
      <c r="AG18" s="19">
        <v>11148219</v>
      </c>
      <c r="AH18" s="19">
        <v>9237419</v>
      </c>
      <c r="AI18" s="19"/>
      <c r="AJ18" s="19"/>
      <c r="AK18" s="19"/>
      <c r="AL18" s="19"/>
      <c r="AM18" s="19">
        <v>52404025</v>
      </c>
      <c r="AN18" s="19">
        <v>38127293</v>
      </c>
      <c r="AO18" s="19"/>
      <c r="AP18" s="19">
        <v>1600000</v>
      </c>
      <c r="AQ18" s="19"/>
      <c r="AR18" s="19">
        <v>32500000</v>
      </c>
      <c r="AS18" s="19"/>
      <c r="AT18" s="19"/>
      <c r="AU18" s="19"/>
      <c r="AV18" s="19"/>
      <c r="AW18" s="19"/>
      <c r="AX18" s="19"/>
      <c r="AY18" s="19"/>
      <c r="AZ18" s="19"/>
      <c r="BA18" s="19">
        <v>48832875</v>
      </c>
      <c r="BB18" s="19"/>
      <c r="BC18" s="19"/>
      <c r="BD18" s="19"/>
      <c r="BE18" s="19"/>
      <c r="BF18" s="19"/>
      <c r="BG18" s="19">
        <v>10125336</v>
      </c>
      <c r="BH18" s="19">
        <v>2857890</v>
      </c>
      <c r="BI18" s="19">
        <v>4030200</v>
      </c>
      <c r="BJ18" s="19">
        <v>4916667</v>
      </c>
      <c r="BK18" s="19"/>
      <c r="BL18" s="19"/>
      <c r="BM18" s="19"/>
      <c r="BN18" s="19"/>
      <c r="BO18" s="19">
        <v>5645500</v>
      </c>
      <c r="BP18" s="19">
        <v>7150000</v>
      </c>
      <c r="BQ18" s="19">
        <v>66516667</v>
      </c>
      <c r="BR18" s="19"/>
      <c r="BS18" s="19"/>
      <c r="BT18" s="19"/>
      <c r="BU18" s="19"/>
      <c r="BV18" s="19"/>
      <c r="BW18" s="19"/>
      <c r="BX18" s="19">
        <v>4000000</v>
      </c>
      <c r="BY18" s="19">
        <v>88063669</v>
      </c>
      <c r="BZ18" s="19"/>
      <c r="CA18" s="19"/>
      <c r="CB18" s="19"/>
      <c r="CC18" s="19"/>
      <c r="CD18" s="19"/>
      <c r="CE18" s="19"/>
      <c r="CF18" s="19" t="s">
        <v>127</v>
      </c>
      <c r="CG18" s="19"/>
      <c r="CH18" s="19"/>
      <c r="CI18" s="19"/>
      <c r="CJ18" s="19"/>
      <c r="CK18" s="19"/>
      <c r="CL18" s="19"/>
      <c r="CM18" s="19"/>
      <c r="CN18" s="19"/>
      <c r="CO18" s="19">
        <v>2954134</v>
      </c>
      <c r="CP18" s="19">
        <v>33163636</v>
      </c>
      <c r="CQ18" s="19" t="s">
        <v>96</v>
      </c>
      <c r="CR18" s="19"/>
      <c r="CS18" s="19"/>
      <c r="CT18" s="19">
        <v>1433500</v>
      </c>
      <c r="CU18" s="19"/>
      <c r="CV18" s="19" t="s">
        <v>89</v>
      </c>
      <c r="CW18" s="19"/>
      <c r="CX18" s="19">
        <v>46800000</v>
      </c>
      <c r="CY18" s="19">
        <v>20593168</v>
      </c>
      <c r="CZ18" s="19"/>
      <c r="DA18" s="19"/>
      <c r="DB18" s="19"/>
      <c r="DC18" s="19"/>
      <c r="DD18" s="19"/>
      <c r="DE18" s="19"/>
      <c r="DF18" s="19"/>
      <c r="DG18" s="19">
        <v>24233335</v>
      </c>
      <c r="DH18" s="19"/>
      <c r="DI18" s="19"/>
      <c r="DJ18" s="19">
        <v>2363637</v>
      </c>
      <c r="DK18" s="19"/>
      <c r="DL18" s="19"/>
      <c r="DM18" s="19"/>
      <c r="DN18" s="19"/>
      <c r="DO18" s="19"/>
      <c r="DP18" s="19"/>
      <c r="DQ18" s="19"/>
      <c r="DR18" s="19"/>
      <c r="DS18" s="19"/>
      <c r="DT18" s="19"/>
      <c r="DU18" s="19">
        <v>22259697</v>
      </c>
      <c r="DV18" s="19"/>
      <c r="DW18" s="19"/>
      <c r="DX18" s="19"/>
      <c r="DY18" s="19"/>
      <c r="DZ18" s="19"/>
      <c r="EA18" s="19"/>
      <c r="EB18" s="19"/>
    </row>
    <row r="19" spans="1:132">
      <c r="A19" s="7" t="s">
        <v>98</v>
      </c>
      <c r="B19" s="12" t="s">
        <v>74</v>
      </c>
      <c r="C19" s="19"/>
      <c r="D19" s="19"/>
      <c r="E19" s="19"/>
      <c r="F19" s="19"/>
      <c r="G19" s="19"/>
      <c r="H19" s="19"/>
      <c r="I19" s="19"/>
      <c r="J19" s="19" t="s">
        <v>89</v>
      </c>
      <c r="K19" s="19">
        <v>747600</v>
      </c>
      <c r="L19" s="19"/>
      <c r="M19" s="19"/>
      <c r="N19" s="19"/>
      <c r="O19" s="19"/>
      <c r="P19" s="19"/>
      <c r="Q19" s="19"/>
      <c r="R19" s="19"/>
      <c r="S19" s="19"/>
      <c r="T19" s="19"/>
      <c r="U19" s="19"/>
      <c r="V19" s="19"/>
      <c r="W19" s="19"/>
      <c r="X19" s="19"/>
      <c r="Y19" s="19"/>
      <c r="Z19" s="19"/>
      <c r="AA19" s="19"/>
      <c r="AB19" s="19"/>
      <c r="AC19" s="19"/>
      <c r="AD19" s="19"/>
      <c r="AE19" s="19">
        <v>1363031</v>
      </c>
      <c r="AF19" s="19"/>
      <c r="AG19" s="19"/>
      <c r="AH19" s="19"/>
      <c r="AI19" s="19">
        <v>791560</v>
      </c>
      <c r="AJ19" s="19"/>
      <c r="AK19" s="19"/>
      <c r="AL19" s="19"/>
      <c r="AM19" s="19"/>
      <c r="AN19" s="19"/>
      <c r="AO19" s="19"/>
      <c r="AP19" s="19"/>
      <c r="AQ19" s="19"/>
      <c r="AR19" s="19"/>
      <c r="AS19" s="19"/>
      <c r="AT19" s="19"/>
      <c r="AU19" s="19">
        <v>1000000</v>
      </c>
      <c r="AV19" s="19"/>
      <c r="AW19" s="19"/>
      <c r="AX19" s="19">
        <v>262000</v>
      </c>
      <c r="AY19" s="19"/>
      <c r="AZ19" s="19"/>
      <c r="BA19" s="19"/>
      <c r="BB19" s="19"/>
      <c r="BC19" s="19"/>
      <c r="BD19" s="19"/>
      <c r="BE19" s="19"/>
      <c r="BF19" s="19"/>
      <c r="BG19" s="19"/>
      <c r="BH19" s="19"/>
      <c r="BI19" s="19"/>
      <c r="BJ19" s="19"/>
      <c r="BK19" s="19">
        <v>51274766</v>
      </c>
      <c r="BL19" s="19"/>
      <c r="BM19" s="19"/>
      <c r="BN19" s="19"/>
      <c r="BO19" s="19"/>
      <c r="BP19" s="19"/>
      <c r="BQ19" s="19"/>
      <c r="BR19" s="19"/>
      <c r="BS19" s="19"/>
      <c r="BT19" s="19"/>
      <c r="BU19" s="19">
        <v>6200200</v>
      </c>
      <c r="BV19" s="19"/>
      <c r="BW19" s="19"/>
      <c r="BX19" s="19"/>
      <c r="BY19" s="19"/>
      <c r="BZ19" s="19"/>
      <c r="CA19" s="19"/>
      <c r="CB19" s="19"/>
      <c r="CC19" s="19"/>
      <c r="CD19" s="19"/>
      <c r="CE19" s="19"/>
      <c r="CF19" s="19" t="s">
        <v>127</v>
      </c>
      <c r="CG19" s="19"/>
      <c r="CH19" s="19">
        <v>864240</v>
      </c>
      <c r="CI19" s="19"/>
      <c r="CJ19" s="19"/>
      <c r="CK19" s="19"/>
      <c r="CL19" s="19">
        <v>1565700</v>
      </c>
      <c r="CM19" s="19"/>
      <c r="CN19" s="19"/>
      <c r="CO19" s="19"/>
      <c r="CP19" s="19">
        <v>200000</v>
      </c>
      <c r="CQ19" s="19" t="s">
        <v>96</v>
      </c>
      <c r="CR19" s="19"/>
      <c r="CS19" s="19">
        <v>17162800</v>
      </c>
      <c r="CT19" s="19"/>
      <c r="CU19" s="19"/>
      <c r="CV19" s="19" t="s">
        <v>89</v>
      </c>
      <c r="CW19" s="19"/>
      <c r="CX19" s="19"/>
      <c r="CY19" s="19"/>
      <c r="CZ19" s="19"/>
      <c r="DA19" s="19"/>
      <c r="DB19" s="19"/>
      <c r="DC19" s="19"/>
      <c r="DD19" s="19"/>
      <c r="DE19" s="19"/>
      <c r="DF19" s="19"/>
      <c r="DG19" s="19"/>
      <c r="DH19" s="19"/>
      <c r="DI19" s="19">
        <v>1952240</v>
      </c>
      <c r="DJ19" s="19"/>
      <c r="DK19" s="19"/>
      <c r="DL19" s="19"/>
      <c r="DM19" s="19"/>
      <c r="DN19" s="19"/>
      <c r="DO19" s="19">
        <v>312000</v>
      </c>
      <c r="DP19" s="19"/>
      <c r="DQ19" s="19"/>
      <c r="DR19" s="19"/>
      <c r="DS19" s="19"/>
      <c r="DT19" s="19"/>
      <c r="DU19" s="19"/>
      <c r="DV19" s="19"/>
      <c r="DW19" s="19"/>
      <c r="DX19" s="19"/>
      <c r="DY19" s="19"/>
      <c r="DZ19" s="19"/>
      <c r="EA19" s="19"/>
      <c r="EB19" s="19"/>
    </row>
    <row r="20" spans="1:132">
      <c r="A20" s="7" t="s">
        <v>98</v>
      </c>
      <c r="B20" s="12" t="s">
        <v>137</v>
      </c>
      <c r="C20" s="19"/>
      <c r="D20" s="19"/>
      <c r="E20" s="19"/>
      <c r="F20" s="19">
        <v>16848168</v>
      </c>
      <c r="G20" s="19"/>
      <c r="H20" s="19"/>
      <c r="I20" s="19"/>
      <c r="J20" s="19" t="s">
        <v>89</v>
      </c>
      <c r="K20" s="19"/>
      <c r="L20" s="19"/>
      <c r="M20" s="19"/>
      <c r="N20" s="19"/>
      <c r="O20" s="19"/>
      <c r="P20" s="19"/>
      <c r="Q20" s="19"/>
      <c r="R20" s="19">
        <v>6750000</v>
      </c>
      <c r="S20" s="19"/>
      <c r="T20" s="19"/>
      <c r="U20" s="19"/>
      <c r="V20" s="19">
        <v>58500000</v>
      </c>
      <c r="W20" s="19">
        <v>77386803</v>
      </c>
      <c r="X20" s="19"/>
      <c r="Y20" s="19">
        <v>136697010</v>
      </c>
      <c r="Z20" s="19"/>
      <c r="AA20" s="19"/>
      <c r="AB20" s="19"/>
      <c r="AC20" s="19"/>
      <c r="AD20" s="19"/>
      <c r="AE20" s="19"/>
      <c r="AF20" s="19"/>
      <c r="AG20" s="19"/>
      <c r="AH20" s="19"/>
      <c r="AI20" s="19">
        <v>2400000</v>
      </c>
      <c r="AJ20" s="19">
        <v>4000</v>
      </c>
      <c r="AK20" s="19"/>
      <c r="AL20" s="19"/>
      <c r="AM20" s="19">
        <v>893934225</v>
      </c>
      <c r="AN20" s="19"/>
      <c r="AO20" s="19">
        <v>2544000</v>
      </c>
      <c r="AP20" s="19"/>
      <c r="AQ20" s="19"/>
      <c r="AR20" s="19"/>
      <c r="AS20" s="19"/>
      <c r="AT20" s="19"/>
      <c r="AU20" s="19"/>
      <c r="AV20" s="19"/>
      <c r="AW20" s="19"/>
      <c r="AX20" s="19">
        <v>4009091</v>
      </c>
      <c r="AY20" s="19"/>
      <c r="AZ20" s="19"/>
      <c r="BA20" s="19"/>
      <c r="BB20" s="19"/>
      <c r="BC20" s="19"/>
      <c r="BD20" s="19">
        <v>20771334</v>
      </c>
      <c r="BE20" s="19">
        <v>215999173</v>
      </c>
      <c r="BF20" s="19">
        <v>732495720</v>
      </c>
      <c r="BG20" s="19"/>
      <c r="BH20" s="19">
        <v>1866667</v>
      </c>
      <c r="BI20" s="19">
        <v>19880001</v>
      </c>
      <c r="BJ20" s="19">
        <v>6708334</v>
      </c>
      <c r="BK20" s="19"/>
      <c r="BL20" s="19">
        <v>1</v>
      </c>
      <c r="BM20" s="19"/>
      <c r="BN20" s="19">
        <v>7637501</v>
      </c>
      <c r="BO20" s="19">
        <v>95284276</v>
      </c>
      <c r="BP20" s="19"/>
      <c r="BQ20" s="19"/>
      <c r="BR20" s="19"/>
      <c r="BS20" s="19"/>
      <c r="BT20" s="19"/>
      <c r="BU20" s="19"/>
      <c r="BV20" s="19"/>
      <c r="BW20" s="19"/>
      <c r="BX20" s="19"/>
      <c r="BY20" s="19"/>
      <c r="BZ20" s="19"/>
      <c r="CA20" s="19"/>
      <c r="CB20" s="19">
        <v>9606284</v>
      </c>
      <c r="CC20" s="19"/>
      <c r="CD20" s="19"/>
      <c r="CE20" s="19">
        <v>30729000</v>
      </c>
      <c r="CF20" s="19" t="s">
        <v>127</v>
      </c>
      <c r="CG20" s="19"/>
      <c r="CH20" s="19"/>
      <c r="CI20" s="19"/>
      <c r="CJ20" s="19">
        <v>38400800</v>
      </c>
      <c r="CK20" s="19"/>
      <c r="CL20" s="19">
        <v>27263637</v>
      </c>
      <c r="CM20" s="19"/>
      <c r="CN20" s="19"/>
      <c r="CO20" s="19"/>
      <c r="CP20" s="19"/>
      <c r="CQ20" s="19" t="s">
        <v>96</v>
      </c>
      <c r="CR20" s="19"/>
      <c r="CS20" s="19">
        <v>301230000</v>
      </c>
      <c r="CT20" s="19"/>
      <c r="CU20" s="19"/>
      <c r="CV20" s="19" t="s">
        <v>89</v>
      </c>
      <c r="CW20" s="19"/>
      <c r="CX20" s="19"/>
      <c r="CY20" s="19"/>
      <c r="CZ20" s="19"/>
      <c r="DA20" s="19"/>
      <c r="DB20" s="19"/>
      <c r="DC20" s="19"/>
      <c r="DD20" s="19"/>
      <c r="DE20" s="19"/>
      <c r="DF20" s="19"/>
      <c r="DG20" s="19"/>
      <c r="DH20" s="19"/>
      <c r="DI20" s="19"/>
      <c r="DJ20" s="19"/>
      <c r="DK20" s="19">
        <v>5500000</v>
      </c>
      <c r="DL20" s="19"/>
      <c r="DM20" s="19"/>
      <c r="DN20" s="19"/>
      <c r="DO20" s="19"/>
      <c r="DP20" s="19"/>
      <c r="DQ20" s="19"/>
      <c r="DR20" s="19"/>
      <c r="DS20" s="19"/>
      <c r="DT20" s="19">
        <v>20353335</v>
      </c>
      <c r="DU20" s="19"/>
      <c r="DV20" s="19"/>
      <c r="DW20" s="19"/>
      <c r="DX20" s="19"/>
      <c r="DY20" s="19"/>
      <c r="DZ20" s="19"/>
      <c r="EA20" s="19"/>
      <c r="EB20" s="19"/>
    </row>
    <row r="21" spans="1:132">
      <c r="A21" s="7" t="s">
        <v>98</v>
      </c>
      <c r="B21" s="12" t="s">
        <v>39</v>
      </c>
      <c r="C21" s="19"/>
      <c r="D21" s="19"/>
      <c r="E21" s="19"/>
      <c r="F21" s="19"/>
      <c r="G21" s="19">
        <v>600000</v>
      </c>
      <c r="H21" s="19"/>
      <c r="I21" s="19"/>
      <c r="J21" s="19" t="s">
        <v>89</v>
      </c>
      <c r="K21" s="19"/>
      <c r="L21" s="19"/>
      <c r="M21" s="19"/>
      <c r="N21" s="19"/>
      <c r="O21" s="19"/>
      <c r="P21" s="19">
        <v>16218341</v>
      </c>
      <c r="Q21" s="19">
        <v>1223882</v>
      </c>
      <c r="R21" s="19"/>
      <c r="S21" s="19">
        <v>1871360</v>
      </c>
      <c r="T21" s="19"/>
      <c r="U21" s="19"/>
      <c r="V21" s="19"/>
      <c r="W21" s="19">
        <v>3304057</v>
      </c>
      <c r="X21" s="19">
        <v>3283369</v>
      </c>
      <c r="Y21" s="19"/>
      <c r="Z21" s="19"/>
      <c r="AA21" s="19"/>
      <c r="AB21" s="19"/>
      <c r="AC21" s="19">
        <v>440240</v>
      </c>
      <c r="AD21" s="19"/>
      <c r="AE21" s="19"/>
      <c r="AF21" s="19"/>
      <c r="AG21" s="19"/>
      <c r="AH21" s="19">
        <v>632092</v>
      </c>
      <c r="AI21" s="19"/>
      <c r="AJ21" s="19"/>
      <c r="AK21" s="19"/>
      <c r="AL21" s="19"/>
      <c r="AM21" s="19">
        <v>7808506</v>
      </c>
      <c r="AN21" s="19"/>
      <c r="AO21" s="19"/>
      <c r="AP21" s="19"/>
      <c r="AQ21" s="19"/>
      <c r="AR21" s="19"/>
      <c r="AS21" s="19">
        <v>4000</v>
      </c>
      <c r="AT21" s="19"/>
      <c r="AU21" s="19">
        <v>513070000</v>
      </c>
      <c r="AV21" s="19"/>
      <c r="AW21" s="19"/>
      <c r="AX21" s="19"/>
      <c r="AY21" s="19">
        <v>3840000</v>
      </c>
      <c r="AZ21" s="19">
        <v>5500001</v>
      </c>
      <c r="BA21" s="19">
        <v>4000000</v>
      </c>
      <c r="BB21" s="19">
        <v>26787882</v>
      </c>
      <c r="BC21" s="19"/>
      <c r="BD21" s="19">
        <v>861442</v>
      </c>
      <c r="BE21" s="19"/>
      <c r="BF21" s="19">
        <v>1781396</v>
      </c>
      <c r="BG21" s="19">
        <v>13850852</v>
      </c>
      <c r="BH21" s="19"/>
      <c r="BI21" s="19"/>
      <c r="BJ21" s="19"/>
      <c r="BK21" s="19"/>
      <c r="BL21" s="19"/>
      <c r="BM21" s="19">
        <v>2265915</v>
      </c>
      <c r="BN21" s="19">
        <v>2229108</v>
      </c>
      <c r="BO21" s="19">
        <v>785168</v>
      </c>
      <c r="BP21" s="19"/>
      <c r="BQ21" s="19"/>
      <c r="BR21" s="19"/>
      <c r="BS21" s="19"/>
      <c r="BT21" s="19"/>
      <c r="BU21" s="19"/>
      <c r="BV21" s="19"/>
      <c r="BW21" s="19"/>
      <c r="BX21" s="19"/>
      <c r="BY21" s="19">
        <v>1441694</v>
      </c>
      <c r="BZ21" s="19"/>
      <c r="CA21" s="19"/>
      <c r="CB21" s="19">
        <v>1382334</v>
      </c>
      <c r="CC21" s="19"/>
      <c r="CD21" s="19"/>
      <c r="CE21" s="19"/>
      <c r="CF21" s="19" t="s">
        <v>127</v>
      </c>
      <c r="CG21" s="19"/>
      <c r="CH21" s="19"/>
      <c r="CI21" s="19"/>
      <c r="CJ21" s="19"/>
      <c r="CK21" s="19"/>
      <c r="CL21" s="19"/>
      <c r="CM21" s="19"/>
      <c r="CN21" s="19">
        <v>4350000</v>
      </c>
      <c r="CO21" s="19"/>
      <c r="CP21" s="19"/>
      <c r="CQ21" s="19" t="s">
        <v>96</v>
      </c>
      <c r="CR21" s="19"/>
      <c r="CS21" s="19"/>
      <c r="CT21" s="19"/>
      <c r="CU21" s="19"/>
      <c r="CV21" s="19" t="s">
        <v>89</v>
      </c>
      <c r="CW21" s="19"/>
      <c r="CX21" s="19"/>
      <c r="CY21" s="19"/>
      <c r="CZ21" s="19"/>
      <c r="DA21" s="19"/>
      <c r="DB21" s="19"/>
      <c r="DC21" s="19"/>
      <c r="DD21" s="19"/>
      <c r="DE21" s="19"/>
      <c r="DF21" s="19"/>
      <c r="DG21" s="19">
        <v>60000000</v>
      </c>
      <c r="DH21" s="19"/>
      <c r="DI21" s="19"/>
      <c r="DJ21" s="19"/>
      <c r="DK21" s="19"/>
      <c r="DL21" s="19">
        <v>840240</v>
      </c>
      <c r="DM21" s="19"/>
      <c r="DN21" s="19"/>
      <c r="DO21" s="19"/>
      <c r="DP21" s="19"/>
      <c r="DQ21" s="19"/>
      <c r="DR21" s="19"/>
      <c r="DS21" s="19"/>
      <c r="DT21" s="19"/>
      <c r="DU21" s="19"/>
      <c r="DV21" s="19"/>
      <c r="DW21" s="19"/>
      <c r="DX21" s="19"/>
      <c r="DY21" s="19"/>
      <c r="DZ21" s="19"/>
      <c r="EA21" s="19"/>
      <c r="EB21" s="19"/>
    </row>
    <row r="22" spans="1:132">
      <c r="A22" s="7" t="s">
        <v>98</v>
      </c>
      <c r="B22" s="11" t="s">
        <v>68</v>
      </c>
      <c r="C22" s="19">
        <v>35300000</v>
      </c>
      <c r="D22" s="19"/>
      <c r="E22" s="19"/>
      <c r="F22" s="19">
        <v>33000000</v>
      </c>
      <c r="G22" s="19">
        <v>6150000</v>
      </c>
      <c r="H22" s="19">
        <v>40000000</v>
      </c>
      <c r="I22" s="19">
        <v>80000000</v>
      </c>
      <c r="J22" s="19" t="s">
        <v>89</v>
      </c>
      <c r="K22" s="19">
        <v>3060000</v>
      </c>
      <c r="L22" s="19">
        <v>36585000</v>
      </c>
      <c r="M22" s="19">
        <v>230080000</v>
      </c>
      <c r="N22" s="19">
        <v>80000000</v>
      </c>
      <c r="O22" s="19">
        <v>167172995</v>
      </c>
      <c r="P22" s="19">
        <v>368569930</v>
      </c>
      <c r="Q22" s="19">
        <v>16000000</v>
      </c>
      <c r="R22" s="19">
        <v>105267000</v>
      </c>
      <c r="S22" s="19">
        <v>50723000</v>
      </c>
      <c r="T22" s="19">
        <v>48000000</v>
      </c>
      <c r="U22" s="19">
        <v>150517998</v>
      </c>
      <c r="V22" s="19">
        <v>50080000</v>
      </c>
      <c r="W22" s="19"/>
      <c r="X22" s="19">
        <v>20000000</v>
      </c>
      <c r="Y22" s="19">
        <v>5940000</v>
      </c>
      <c r="Z22" s="19">
        <v>157021000</v>
      </c>
      <c r="AA22" s="19">
        <v>515000000</v>
      </c>
      <c r="AB22" s="19"/>
      <c r="AC22" s="19">
        <v>180090000</v>
      </c>
      <c r="AD22" s="19">
        <v>30000000</v>
      </c>
      <c r="AE22" s="19">
        <v>345000000</v>
      </c>
      <c r="AF22" s="19">
        <v>79860000</v>
      </c>
      <c r="AG22" s="19">
        <v>230080000</v>
      </c>
      <c r="AH22" s="19">
        <v>14366000</v>
      </c>
      <c r="AI22" s="19">
        <v>36689670</v>
      </c>
      <c r="AJ22" s="19">
        <v>180000000</v>
      </c>
      <c r="AK22" s="19">
        <v>19030400</v>
      </c>
      <c r="AL22" s="19">
        <v>36185883</v>
      </c>
      <c r="AM22" s="19">
        <v>773510000</v>
      </c>
      <c r="AN22" s="19">
        <v>41794000</v>
      </c>
      <c r="AO22" s="19">
        <v>80000000</v>
      </c>
      <c r="AP22" s="19"/>
      <c r="AQ22" s="19">
        <v>100000</v>
      </c>
      <c r="AR22" s="19">
        <v>2100000</v>
      </c>
      <c r="AS22" s="19">
        <v>45000000</v>
      </c>
      <c r="AT22" s="19">
        <v>300000</v>
      </c>
      <c r="AU22" s="19"/>
      <c r="AV22" s="19">
        <v>120000000</v>
      </c>
      <c r="AW22" s="19">
        <v>2000000</v>
      </c>
      <c r="AX22" s="19">
        <v>57000000</v>
      </c>
      <c r="AY22" s="19"/>
      <c r="AZ22" s="19">
        <v>50000000</v>
      </c>
      <c r="BA22" s="19">
        <v>370000000</v>
      </c>
      <c r="BB22" s="19"/>
      <c r="BC22" s="19">
        <v>276900</v>
      </c>
      <c r="BD22" s="19"/>
      <c r="BE22" s="19">
        <v>11723600</v>
      </c>
      <c r="BF22" s="19">
        <v>52084600</v>
      </c>
      <c r="BG22" s="19">
        <v>369000000</v>
      </c>
      <c r="BH22" s="19">
        <v>50000000</v>
      </c>
      <c r="BI22" s="19">
        <v>30095000</v>
      </c>
      <c r="BJ22" s="19">
        <v>28050000</v>
      </c>
      <c r="BK22" s="19">
        <v>12000000</v>
      </c>
      <c r="BL22" s="19">
        <v>30000000</v>
      </c>
      <c r="BM22" s="19"/>
      <c r="BN22" s="19"/>
      <c r="BO22" s="19">
        <v>500000</v>
      </c>
      <c r="BP22" s="19">
        <v>1506000</v>
      </c>
      <c r="BQ22" s="19">
        <v>150000000</v>
      </c>
      <c r="BR22" s="19"/>
      <c r="BS22" s="19">
        <v>30100000</v>
      </c>
      <c r="BT22" s="19"/>
      <c r="BU22" s="19">
        <v>21284916</v>
      </c>
      <c r="BV22" s="19"/>
      <c r="BW22" s="19"/>
      <c r="BX22" s="19">
        <v>11200000</v>
      </c>
      <c r="BY22" s="19">
        <v>90000000</v>
      </c>
      <c r="BZ22" s="19">
        <v>10000000</v>
      </c>
      <c r="CA22" s="19">
        <v>120300000</v>
      </c>
      <c r="CB22" s="19">
        <v>65000000</v>
      </c>
      <c r="CC22" s="19"/>
      <c r="CD22" s="19">
        <v>3000000</v>
      </c>
      <c r="CE22" s="19">
        <v>60000000</v>
      </c>
      <c r="CF22" s="19" t="s">
        <v>127</v>
      </c>
      <c r="CG22" s="19">
        <v>3000000</v>
      </c>
      <c r="CH22" s="19"/>
      <c r="CI22" s="19">
        <v>96296043</v>
      </c>
      <c r="CJ22" s="19">
        <v>10000000</v>
      </c>
      <c r="CK22" s="19">
        <v>4015000</v>
      </c>
      <c r="CL22" s="19"/>
      <c r="CM22" s="19">
        <v>290000000</v>
      </c>
      <c r="CN22" s="19">
        <v>12303000</v>
      </c>
      <c r="CO22" s="19">
        <v>30000000</v>
      </c>
      <c r="CP22" s="19">
        <v>59100000</v>
      </c>
      <c r="CQ22" s="19" t="s">
        <v>96</v>
      </c>
      <c r="CR22" s="19">
        <v>79682210</v>
      </c>
      <c r="CS22" s="19"/>
      <c r="CT22" s="19">
        <v>13000000</v>
      </c>
      <c r="CU22" s="19">
        <v>460000</v>
      </c>
      <c r="CV22" s="19" t="s">
        <v>89</v>
      </c>
      <c r="CW22" s="19">
        <v>388608000</v>
      </c>
      <c r="CX22" s="19">
        <v>100000000</v>
      </c>
      <c r="CY22" s="19">
        <v>62316000</v>
      </c>
      <c r="CZ22" s="19">
        <v>39930000</v>
      </c>
      <c r="DA22" s="19"/>
      <c r="DB22" s="19">
        <v>10930000</v>
      </c>
      <c r="DC22" s="19"/>
      <c r="DD22" s="19">
        <v>20000000</v>
      </c>
      <c r="DE22" s="19">
        <v>31880600</v>
      </c>
      <c r="DF22" s="19">
        <v>10000000</v>
      </c>
      <c r="DG22" s="19"/>
      <c r="DH22" s="19"/>
      <c r="DI22" s="19">
        <v>30000000</v>
      </c>
      <c r="DJ22" s="19"/>
      <c r="DK22" s="19">
        <v>29000000</v>
      </c>
      <c r="DL22" s="19">
        <v>15000000</v>
      </c>
      <c r="DM22" s="19"/>
      <c r="DN22" s="19"/>
      <c r="DO22" s="19">
        <v>35672216</v>
      </c>
      <c r="DP22" s="19">
        <v>35870000</v>
      </c>
      <c r="DQ22" s="19">
        <v>59000000</v>
      </c>
      <c r="DR22" s="19">
        <v>5000000</v>
      </c>
      <c r="DS22" s="19"/>
      <c r="DT22" s="19">
        <v>35588875</v>
      </c>
      <c r="DU22" s="19"/>
      <c r="DV22" s="19">
        <v>170000</v>
      </c>
      <c r="DW22" s="19"/>
      <c r="DX22" s="19">
        <v>21876500</v>
      </c>
      <c r="DY22" s="19">
        <v>122000000</v>
      </c>
      <c r="DZ22" s="19">
        <v>13200000</v>
      </c>
      <c r="EA22" s="19">
        <v>30000000</v>
      </c>
      <c r="EB22" s="19"/>
    </row>
    <row r="23" spans="1:132">
      <c r="A23" s="7" t="s">
        <v>98</v>
      </c>
      <c r="B23" s="8" t="s">
        <v>109</v>
      </c>
      <c r="C23" s="19">
        <v>86391612</v>
      </c>
      <c r="D23" s="19">
        <v>333521362</v>
      </c>
      <c r="E23" s="19">
        <v>428683053</v>
      </c>
      <c r="F23" s="19">
        <v>79810081</v>
      </c>
      <c r="G23" s="19">
        <v>113702139</v>
      </c>
      <c r="H23" s="19">
        <v>131599597</v>
      </c>
      <c r="I23" s="19">
        <v>1238000000</v>
      </c>
      <c r="J23" s="19" t="s">
        <v>89</v>
      </c>
      <c r="K23" s="19">
        <v>446921784</v>
      </c>
      <c r="L23" s="19">
        <v>620331749</v>
      </c>
      <c r="M23" s="19">
        <v>1752432700</v>
      </c>
      <c r="N23" s="19">
        <v>280716619</v>
      </c>
      <c r="O23" s="19">
        <v>1655482992</v>
      </c>
      <c r="P23" s="19">
        <v>925885051</v>
      </c>
      <c r="Q23" s="19">
        <v>175364390</v>
      </c>
      <c r="R23" s="19">
        <v>313228134</v>
      </c>
      <c r="S23" s="19">
        <v>1525997517</v>
      </c>
      <c r="T23" s="19">
        <v>338108839</v>
      </c>
      <c r="U23" s="19">
        <v>448998211</v>
      </c>
      <c r="V23" s="19">
        <v>450561774</v>
      </c>
      <c r="W23" s="19">
        <v>891220435</v>
      </c>
      <c r="X23" s="19">
        <v>3960776550</v>
      </c>
      <c r="Y23" s="19">
        <v>112135753</v>
      </c>
      <c r="Z23" s="19">
        <v>431337124</v>
      </c>
      <c r="AA23" s="19">
        <v>2408352460</v>
      </c>
      <c r="AB23" s="19">
        <v>28336440</v>
      </c>
      <c r="AC23" s="19">
        <v>113659334</v>
      </c>
      <c r="AD23" s="19">
        <v>1060672449</v>
      </c>
      <c r="AE23" s="19">
        <v>202678919</v>
      </c>
      <c r="AF23" s="19">
        <v>172583085</v>
      </c>
      <c r="AG23" s="19">
        <v>1752128236</v>
      </c>
      <c r="AH23" s="19">
        <v>135479922</v>
      </c>
      <c r="AI23" s="19">
        <v>350680995</v>
      </c>
      <c r="AJ23" s="19">
        <v>292616329</v>
      </c>
      <c r="AK23" s="19">
        <v>1176212829</v>
      </c>
      <c r="AL23" s="19">
        <v>202158162</v>
      </c>
      <c r="AM23" s="19">
        <v>4334182362</v>
      </c>
      <c r="AN23" s="19">
        <v>60647902</v>
      </c>
      <c r="AO23" s="19">
        <v>161315364</v>
      </c>
      <c r="AP23" s="19">
        <v>110896991</v>
      </c>
      <c r="AQ23" s="19">
        <v>153153302</v>
      </c>
      <c r="AR23" s="19">
        <v>144962183</v>
      </c>
      <c r="AS23" s="19">
        <v>738820220</v>
      </c>
      <c r="AT23" s="19">
        <v>1726595219</v>
      </c>
      <c r="AU23" s="19">
        <v>1610959630</v>
      </c>
      <c r="AV23" s="19">
        <v>290826419</v>
      </c>
      <c r="AW23" s="19">
        <v>664584233</v>
      </c>
      <c r="AX23" s="19">
        <v>418619202</v>
      </c>
      <c r="AY23" s="19">
        <v>224151540</v>
      </c>
      <c r="AZ23" s="19">
        <v>126042168</v>
      </c>
      <c r="BA23" s="19">
        <v>1973997770</v>
      </c>
      <c r="BB23" s="19">
        <v>12487530</v>
      </c>
      <c r="BC23" s="19">
        <v>1319063457</v>
      </c>
      <c r="BD23" s="19">
        <v>102434575</v>
      </c>
      <c r="BE23" s="19">
        <v>567639707</v>
      </c>
      <c r="BF23" s="19">
        <v>1511022971</v>
      </c>
      <c r="BG23" s="19">
        <v>756740590</v>
      </c>
      <c r="BH23" s="19">
        <v>115704974</v>
      </c>
      <c r="BI23" s="19">
        <v>84540785</v>
      </c>
      <c r="BJ23" s="19">
        <v>610564893</v>
      </c>
      <c r="BK23" s="19">
        <v>372685060</v>
      </c>
      <c r="BL23" s="19">
        <v>36489880</v>
      </c>
      <c r="BM23" s="19">
        <v>99831981</v>
      </c>
      <c r="BN23" s="19">
        <v>77412330</v>
      </c>
      <c r="BO23" s="19">
        <v>262715144</v>
      </c>
      <c r="BP23" s="19">
        <v>55796535</v>
      </c>
      <c r="BQ23" s="19">
        <v>280301012</v>
      </c>
      <c r="BR23" s="19">
        <v>10717729</v>
      </c>
      <c r="BS23" s="19">
        <v>65653111</v>
      </c>
      <c r="BT23" s="19">
        <v>42680879</v>
      </c>
      <c r="BU23" s="19">
        <v>329775868</v>
      </c>
      <c r="BV23" s="19">
        <v>230445319</v>
      </c>
      <c r="BW23" s="19">
        <v>27729775</v>
      </c>
      <c r="BX23" s="19">
        <v>161546922</v>
      </c>
      <c r="BY23" s="19">
        <v>1288386912</v>
      </c>
      <c r="BZ23" s="19">
        <v>125765635</v>
      </c>
      <c r="CA23" s="19">
        <v>314515580</v>
      </c>
      <c r="CB23" s="19">
        <v>304049733</v>
      </c>
      <c r="CC23" s="19">
        <v>99515867</v>
      </c>
      <c r="CD23" s="19">
        <v>243783586</v>
      </c>
      <c r="CE23" s="19">
        <v>174776181</v>
      </c>
      <c r="CF23" s="19" t="s">
        <v>127</v>
      </c>
      <c r="CG23" s="19">
        <v>49666769</v>
      </c>
      <c r="CH23" s="19">
        <v>14434695</v>
      </c>
      <c r="CI23" s="19">
        <v>1378322382</v>
      </c>
      <c r="CJ23" s="19">
        <v>527318310</v>
      </c>
      <c r="CK23" s="19">
        <v>2220645562</v>
      </c>
      <c r="CL23" s="19">
        <v>469237698</v>
      </c>
      <c r="CM23" s="19">
        <v>369358500</v>
      </c>
      <c r="CN23" s="19">
        <v>145273693</v>
      </c>
      <c r="CO23" s="19">
        <v>32315781</v>
      </c>
      <c r="CP23" s="19">
        <v>505675280</v>
      </c>
      <c r="CQ23" s="19" t="s">
        <v>96</v>
      </c>
      <c r="CR23" s="19">
        <v>81462395</v>
      </c>
      <c r="CS23" s="19">
        <v>470844016</v>
      </c>
      <c r="CT23" s="19">
        <v>339698785</v>
      </c>
      <c r="CU23" s="19">
        <v>33030646</v>
      </c>
      <c r="CV23" s="19" t="s">
        <v>89</v>
      </c>
      <c r="CW23" s="19">
        <v>65198057</v>
      </c>
      <c r="CX23" s="19">
        <v>1057242374</v>
      </c>
      <c r="CY23" s="19">
        <v>1209810711</v>
      </c>
      <c r="CZ23" s="19">
        <v>89213832</v>
      </c>
      <c r="DA23" s="19">
        <v>17716951</v>
      </c>
      <c r="DB23" s="19">
        <v>240578224</v>
      </c>
      <c r="DC23" s="19">
        <v>2664709</v>
      </c>
      <c r="DD23" s="19">
        <v>109017838</v>
      </c>
      <c r="DE23" s="19">
        <v>579671383</v>
      </c>
      <c r="DF23" s="19">
        <v>26703353</v>
      </c>
      <c r="DG23" s="19">
        <v>59139990</v>
      </c>
      <c r="DH23" s="19">
        <v>187255664</v>
      </c>
      <c r="DI23" s="19">
        <v>2130200186</v>
      </c>
      <c r="DJ23" s="19">
        <v>25362984</v>
      </c>
      <c r="DK23" s="19">
        <v>611562657</v>
      </c>
      <c r="DL23" s="19">
        <v>88095186</v>
      </c>
      <c r="DM23" s="19">
        <v>489948548</v>
      </c>
      <c r="DN23" s="19">
        <v>39433552</v>
      </c>
      <c r="DO23" s="19">
        <v>64217552</v>
      </c>
      <c r="DP23" s="19">
        <v>727154582</v>
      </c>
      <c r="DQ23" s="19">
        <v>406327178</v>
      </c>
      <c r="DR23" s="19">
        <v>22794612</v>
      </c>
      <c r="DS23" s="19">
        <v>229871095</v>
      </c>
      <c r="DT23" s="19">
        <v>169865396</v>
      </c>
      <c r="DU23" s="19">
        <v>36998613</v>
      </c>
      <c r="DV23" s="19">
        <v>3172240</v>
      </c>
      <c r="DW23" s="19">
        <v>62744063</v>
      </c>
      <c r="DX23" s="19">
        <v>35185816</v>
      </c>
      <c r="DY23" s="19">
        <v>139913148</v>
      </c>
      <c r="DZ23" s="19">
        <v>123676266</v>
      </c>
      <c r="EA23" s="19">
        <v>62378729</v>
      </c>
      <c r="EB23" s="19">
        <v>237039509</v>
      </c>
    </row>
    <row r="24" spans="1:132">
      <c r="A24" s="7" t="s">
        <v>98</v>
      </c>
      <c r="B24" s="8" t="s">
        <v>99</v>
      </c>
      <c r="C24" s="19">
        <v>86391612</v>
      </c>
      <c r="D24" s="19">
        <v>332916792</v>
      </c>
      <c r="E24" s="19">
        <v>74183053</v>
      </c>
      <c r="F24" s="19">
        <v>61121646</v>
      </c>
      <c r="G24" s="19">
        <v>11702139</v>
      </c>
      <c r="H24" s="19">
        <v>131599597</v>
      </c>
      <c r="I24" s="19">
        <v>215000000</v>
      </c>
      <c r="J24" s="19" t="s">
        <v>89</v>
      </c>
      <c r="K24" s="19">
        <v>214651985</v>
      </c>
      <c r="L24" s="19">
        <v>405820467</v>
      </c>
      <c r="M24" s="19">
        <v>1687432700</v>
      </c>
      <c r="N24" s="19">
        <v>280716619</v>
      </c>
      <c r="O24" s="19">
        <v>388122958</v>
      </c>
      <c r="P24" s="19">
        <v>318945066</v>
      </c>
      <c r="Q24" s="19">
        <v>47864390</v>
      </c>
      <c r="R24" s="19">
        <v>43228134</v>
      </c>
      <c r="S24" s="19">
        <v>1018860480</v>
      </c>
      <c r="T24" s="19">
        <v>338108839</v>
      </c>
      <c r="U24" s="19">
        <v>116719215</v>
      </c>
      <c r="V24" s="19">
        <v>29728443</v>
      </c>
      <c r="W24" s="19">
        <v>403925965</v>
      </c>
      <c r="X24" s="19">
        <v>180776550</v>
      </c>
      <c r="Y24" s="19">
        <v>26260753</v>
      </c>
      <c r="Z24" s="19">
        <v>428005836</v>
      </c>
      <c r="AA24" s="19">
        <v>1737792460</v>
      </c>
      <c r="AB24" s="19">
        <v>28336440</v>
      </c>
      <c r="AC24" s="19">
        <v>113659334</v>
      </c>
      <c r="AD24" s="19">
        <v>182358596</v>
      </c>
      <c r="AE24" s="19">
        <v>24553919</v>
      </c>
      <c r="AF24" s="19">
        <v>62583085</v>
      </c>
      <c r="AG24" s="19">
        <v>1687128236</v>
      </c>
      <c r="AH24" s="19">
        <v>93743639</v>
      </c>
      <c r="AI24" s="19">
        <v>150680995</v>
      </c>
      <c r="AJ24" s="19">
        <v>95296982</v>
      </c>
      <c r="AK24" s="19">
        <v>1176212829</v>
      </c>
      <c r="AL24" s="19">
        <v>128824818</v>
      </c>
      <c r="AM24" s="19">
        <v>3761004118</v>
      </c>
      <c r="AN24" s="19">
        <v>60647902</v>
      </c>
      <c r="AO24" s="19">
        <v>161315364</v>
      </c>
      <c r="AP24" s="19">
        <v>73933102</v>
      </c>
      <c r="AQ24" s="19">
        <v>105190030</v>
      </c>
      <c r="AR24" s="19">
        <v>144962183</v>
      </c>
      <c r="AS24" s="19">
        <v>738820220</v>
      </c>
      <c r="AT24" s="19">
        <v>116042132</v>
      </c>
      <c r="AU24" s="19">
        <v>204455087</v>
      </c>
      <c r="AV24" s="19">
        <v>187480032</v>
      </c>
      <c r="AW24" s="19">
        <v>324584233</v>
      </c>
      <c r="AX24" s="19">
        <v>225669202</v>
      </c>
      <c r="AY24" s="19">
        <v>1171540</v>
      </c>
      <c r="AZ24" s="19">
        <v>126042168</v>
      </c>
      <c r="BA24" s="19">
        <v>1413997770</v>
      </c>
      <c r="BB24" s="19">
        <v>12487530</v>
      </c>
      <c r="BC24" s="19">
        <v>231125608</v>
      </c>
      <c r="BD24" s="19">
        <v>74434575</v>
      </c>
      <c r="BE24" s="19">
        <v>408634492</v>
      </c>
      <c r="BF24" s="19">
        <v>1175022971</v>
      </c>
      <c r="BG24" s="19">
        <v>499398911</v>
      </c>
      <c r="BH24" s="19">
        <v>115704974</v>
      </c>
      <c r="BI24" s="19">
        <v>84540785</v>
      </c>
      <c r="BJ24" s="19">
        <v>276906393</v>
      </c>
      <c r="BK24" s="19">
        <v>126475060</v>
      </c>
      <c r="BL24" s="19">
        <v>29348846</v>
      </c>
      <c r="BM24" s="19">
        <v>99831981</v>
      </c>
      <c r="BN24" s="19">
        <v>77412330</v>
      </c>
      <c r="BO24" s="19">
        <v>178409739</v>
      </c>
      <c r="BP24" s="19">
        <v>55796535</v>
      </c>
      <c r="BQ24" s="19">
        <v>211846804</v>
      </c>
      <c r="BR24" s="19">
        <v>10717729</v>
      </c>
      <c r="BS24" s="19">
        <v>65653111</v>
      </c>
      <c r="BT24" s="19">
        <v>42680879</v>
      </c>
      <c r="BU24" s="19">
        <v>329775868</v>
      </c>
      <c r="BV24" s="19">
        <v>230445319</v>
      </c>
      <c r="BW24" s="19">
        <v>27729775</v>
      </c>
      <c r="BX24" s="19">
        <v>161546922</v>
      </c>
      <c r="BY24" s="19">
        <v>698393565</v>
      </c>
      <c r="BZ24" s="19">
        <v>125765635</v>
      </c>
      <c r="CA24" s="19">
        <v>111990581</v>
      </c>
      <c r="CB24" s="19">
        <v>115716363</v>
      </c>
      <c r="CC24" s="19">
        <v>76886974</v>
      </c>
      <c r="CD24" s="19">
        <v>147608960</v>
      </c>
      <c r="CE24" s="19">
        <v>74776181</v>
      </c>
      <c r="CF24" s="19" t="s">
        <v>127</v>
      </c>
      <c r="CG24" s="19">
        <v>45190554</v>
      </c>
      <c r="CH24" s="19">
        <v>14434695</v>
      </c>
      <c r="CI24" s="19">
        <v>177212423</v>
      </c>
      <c r="CJ24" s="19">
        <v>417318310</v>
      </c>
      <c r="CK24" s="19">
        <v>413364956</v>
      </c>
      <c r="CL24" s="19">
        <v>119237698</v>
      </c>
      <c r="CM24" s="19">
        <v>369358500</v>
      </c>
      <c r="CN24" s="19">
        <v>64062603</v>
      </c>
      <c r="CO24" s="19">
        <v>15105847</v>
      </c>
      <c r="CP24" s="19">
        <v>113036260</v>
      </c>
      <c r="CQ24" s="19" t="s">
        <v>96</v>
      </c>
      <c r="CR24" s="19">
        <v>81462395</v>
      </c>
      <c r="CS24" s="19">
        <v>94884016</v>
      </c>
      <c r="CT24" s="19">
        <v>239698785</v>
      </c>
      <c r="CU24" s="19">
        <v>778290</v>
      </c>
      <c r="CV24" s="19" t="s">
        <v>89</v>
      </c>
      <c r="CW24" s="19">
        <v>65198057</v>
      </c>
      <c r="CX24" s="19">
        <v>999104073</v>
      </c>
      <c r="CY24" s="19">
        <v>778788528</v>
      </c>
      <c r="CZ24" s="19">
        <v>43391937</v>
      </c>
      <c r="DA24" s="19">
        <v>17716951</v>
      </c>
      <c r="DB24" s="19">
        <v>27399840</v>
      </c>
      <c r="DC24" s="19">
        <v>2664709</v>
      </c>
      <c r="DD24" s="19">
        <v>79017838</v>
      </c>
      <c r="DE24" s="19">
        <v>484264333</v>
      </c>
      <c r="DF24" s="19">
        <v>1703353</v>
      </c>
      <c r="DG24" s="19">
        <v>29139990</v>
      </c>
      <c r="DH24" s="19">
        <v>39605953</v>
      </c>
      <c r="DI24" s="19">
        <v>287475186</v>
      </c>
      <c r="DJ24" s="19">
        <v>25362984</v>
      </c>
      <c r="DK24" s="19">
        <v>611562657</v>
      </c>
      <c r="DL24" s="19">
        <v>83930068</v>
      </c>
      <c r="DM24" s="19">
        <v>489948548</v>
      </c>
      <c r="DN24" s="19">
        <v>39433552</v>
      </c>
      <c r="DO24" s="19">
        <v>64217552</v>
      </c>
      <c r="DP24" s="19">
        <v>727154582</v>
      </c>
      <c r="DQ24" s="19">
        <v>186327178</v>
      </c>
      <c r="DR24" s="19">
        <v>22794612</v>
      </c>
      <c r="DS24" s="19">
        <v>190871095</v>
      </c>
      <c r="DT24" s="19">
        <v>169865396</v>
      </c>
      <c r="DU24" s="19">
        <v>36998613</v>
      </c>
      <c r="DV24" s="19">
        <v>3172240</v>
      </c>
      <c r="DW24" s="19">
        <v>62744063</v>
      </c>
      <c r="DX24" s="19">
        <v>35185816</v>
      </c>
      <c r="DY24" s="19">
        <v>60111617</v>
      </c>
      <c r="DZ24" s="19">
        <v>85938751</v>
      </c>
      <c r="EA24" s="19">
        <v>12378729</v>
      </c>
      <c r="EB24" s="19">
        <v>187039509</v>
      </c>
    </row>
    <row r="25" spans="1:132">
      <c r="A25" s="7" t="s">
        <v>98</v>
      </c>
      <c r="B25" s="11" t="s">
        <v>21</v>
      </c>
      <c r="C25" s="19"/>
      <c r="D25" s="19">
        <v>296799124</v>
      </c>
      <c r="E25" s="19">
        <v>29564788</v>
      </c>
      <c r="F25" s="19"/>
      <c r="G25" s="19"/>
      <c r="H25" s="19"/>
      <c r="I25" s="19"/>
      <c r="J25" s="19" t="s">
        <v>89</v>
      </c>
      <c r="K25" s="19">
        <v>169641162</v>
      </c>
      <c r="L25" s="19">
        <v>97328497</v>
      </c>
      <c r="M25" s="19">
        <v>26482454</v>
      </c>
      <c r="N25" s="19"/>
      <c r="O25" s="19">
        <v>36725165</v>
      </c>
      <c r="P25" s="19">
        <v>98038496</v>
      </c>
      <c r="Q25" s="19">
        <v>266200</v>
      </c>
      <c r="R25" s="19">
        <v>1276476</v>
      </c>
      <c r="S25" s="19">
        <v>56864460</v>
      </c>
      <c r="T25" s="19"/>
      <c r="U25" s="19"/>
      <c r="V25" s="19">
        <v>10793841</v>
      </c>
      <c r="W25" s="19">
        <v>167337941</v>
      </c>
      <c r="X25" s="19"/>
      <c r="Y25" s="19"/>
      <c r="Z25" s="19">
        <v>3262155</v>
      </c>
      <c r="AA25" s="19">
        <v>151278224</v>
      </c>
      <c r="AB25" s="19"/>
      <c r="AC25" s="19">
        <v>113300</v>
      </c>
      <c r="AD25" s="19">
        <v>13356785</v>
      </c>
      <c r="AE25" s="19">
        <v>18699271</v>
      </c>
      <c r="AF25" s="19"/>
      <c r="AG25" s="19">
        <v>26190454</v>
      </c>
      <c r="AH25" s="19"/>
      <c r="AI25" s="19">
        <v>9655200</v>
      </c>
      <c r="AJ25" s="19">
        <v>20132135</v>
      </c>
      <c r="AK25" s="19">
        <v>315630910</v>
      </c>
      <c r="AL25" s="19">
        <v>1375000</v>
      </c>
      <c r="AM25" s="19">
        <v>7610409</v>
      </c>
      <c r="AN25" s="19"/>
      <c r="AO25" s="19">
        <v>9523434</v>
      </c>
      <c r="AP25" s="19">
        <v>10000000</v>
      </c>
      <c r="AQ25" s="19"/>
      <c r="AR25" s="19">
        <v>657499</v>
      </c>
      <c r="AS25" s="19"/>
      <c r="AT25" s="19"/>
      <c r="AU25" s="19">
        <v>31182710</v>
      </c>
      <c r="AV25" s="19"/>
      <c r="AW25" s="19">
        <v>1109900</v>
      </c>
      <c r="AX25" s="19">
        <v>28069479</v>
      </c>
      <c r="AY25" s="19"/>
      <c r="AZ25" s="19">
        <v>8688533</v>
      </c>
      <c r="BA25" s="19">
        <v>453159640</v>
      </c>
      <c r="BB25" s="19"/>
      <c r="BC25" s="19">
        <v>71576106</v>
      </c>
      <c r="BD25" s="19"/>
      <c r="BE25" s="19">
        <v>31229000</v>
      </c>
      <c r="BF25" s="19">
        <v>56770615</v>
      </c>
      <c r="BG25" s="19">
        <v>106880971</v>
      </c>
      <c r="BH25" s="19">
        <v>1260000</v>
      </c>
      <c r="BI25" s="19">
        <v>26793102</v>
      </c>
      <c r="BJ25" s="19">
        <v>75156518</v>
      </c>
      <c r="BK25" s="19">
        <v>8252695</v>
      </c>
      <c r="BL25" s="19">
        <v>3131085</v>
      </c>
      <c r="BM25" s="19">
        <v>20000000</v>
      </c>
      <c r="BN25" s="19">
        <v>31646120</v>
      </c>
      <c r="BO25" s="19">
        <v>44393090</v>
      </c>
      <c r="BP25" s="19">
        <v>126868</v>
      </c>
      <c r="BQ25" s="19">
        <v>78329930</v>
      </c>
      <c r="BR25" s="19"/>
      <c r="BS25" s="19">
        <v>177400</v>
      </c>
      <c r="BT25" s="19">
        <v>433891</v>
      </c>
      <c r="BU25" s="19"/>
      <c r="BV25" s="19"/>
      <c r="BW25" s="19">
        <v>165000</v>
      </c>
      <c r="BX25" s="19"/>
      <c r="BY25" s="19">
        <v>495225283</v>
      </c>
      <c r="BZ25" s="19">
        <v>93891955</v>
      </c>
      <c r="CA25" s="19"/>
      <c r="CB25" s="19"/>
      <c r="CC25" s="19"/>
      <c r="CD25" s="19"/>
      <c r="CE25" s="19">
        <v>21347011</v>
      </c>
      <c r="CF25" s="19" t="s">
        <v>127</v>
      </c>
      <c r="CG25" s="19"/>
      <c r="CH25" s="19"/>
      <c r="CI25" s="19">
        <v>75225033</v>
      </c>
      <c r="CJ25" s="19">
        <v>50732500</v>
      </c>
      <c r="CK25" s="19">
        <v>72567004</v>
      </c>
      <c r="CL25" s="19">
        <v>24559029</v>
      </c>
      <c r="CM25" s="19">
        <v>1214300</v>
      </c>
      <c r="CN25" s="19"/>
      <c r="CO25" s="19">
        <v>10919297</v>
      </c>
      <c r="CP25" s="19">
        <v>4311000</v>
      </c>
      <c r="CQ25" s="19" t="s">
        <v>96</v>
      </c>
      <c r="CR25" s="19">
        <v>6042468</v>
      </c>
      <c r="CS25" s="19">
        <v>47029438</v>
      </c>
      <c r="CT25" s="19"/>
      <c r="CU25" s="19"/>
      <c r="CV25" s="19" t="s">
        <v>89</v>
      </c>
      <c r="CW25" s="19"/>
      <c r="CX25" s="19"/>
      <c r="CY25" s="19">
        <v>383176266</v>
      </c>
      <c r="CZ25" s="19">
        <v>8694400</v>
      </c>
      <c r="DA25" s="19">
        <v>110000</v>
      </c>
      <c r="DB25" s="19">
        <v>1560800</v>
      </c>
      <c r="DC25" s="19">
        <v>579774</v>
      </c>
      <c r="DD25" s="19">
        <v>68000000</v>
      </c>
      <c r="DE25" s="19"/>
      <c r="DF25" s="19"/>
      <c r="DG25" s="19"/>
      <c r="DH25" s="19"/>
      <c r="DI25" s="19">
        <v>192823306</v>
      </c>
      <c r="DJ25" s="19">
        <v>6000000</v>
      </c>
      <c r="DK25" s="19">
        <v>252343936</v>
      </c>
      <c r="DL25" s="19"/>
      <c r="DM25" s="19">
        <v>209370400</v>
      </c>
      <c r="DN25" s="19">
        <v>4372200</v>
      </c>
      <c r="DO25" s="19"/>
      <c r="DP25" s="19">
        <v>29548303</v>
      </c>
      <c r="DQ25" s="19">
        <v>56997327</v>
      </c>
      <c r="DR25" s="19"/>
      <c r="DS25" s="19">
        <v>27314073</v>
      </c>
      <c r="DT25" s="19">
        <v>2245734</v>
      </c>
      <c r="DU25" s="19"/>
      <c r="DV25" s="19"/>
      <c r="DW25" s="19">
        <v>12885906</v>
      </c>
      <c r="DX25" s="19"/>
      <c r="DY25" s="19">
        <v>9758472</v>
      </c>
      <c r="DZ25" s="19">
        <v>13489868</v>
      </c>
      <c r="EA25" s="19"/>
      <c r="EB25" s="19">
        <v>1098678</v>
      </c>
    </row>
    <row r="26" spans="1:132">
      <c r="A26" s="7" t="s">
        <v>98</v>
      </c>
      <c r="B26" s="11" t="s">
        <v>6</v>
      </c>
      <c r="C26" s="19"/>
      <c r="D26" s="19"/>
      <c r="E26" s="19">
        <v>15000000</v>
      </c>
      <c r="F26" s="19"/>
      <c r="G26" s="19"/>
      <c r="H26" s="19"/>
      <c r="I26" s="19">
        <v>215000000</v>
      </c>
      <c r="J26" s="19" t="s">
        <v>89</v>
      </c>
      <c r="K26" s="19"/>
      <c r="L26" s="19">
        <v>271120321</v>
      </c>
      <c r="M26" s="19">
        <v>1319521009</v>
      </c>
      <c r="N26" s="19"/>
      <c r="O26" s="19"/>
      <c r="P26" s="19"/>
      <c r="Q26" s="19">
        <v>17650000</v>
      </c>
      <c r="R26" s="19">
        <v>730320</v>
      </c>
      <c r="S26" s="19">
        <v>721340000</v>
      </c>
      <c r="T26" s="19">
        <v>287132312</v>
      </c>
      <c r="U26" s="19"/>
      <c r="V26" s="19"/>
      <c r="W26" s="19"/>
      <c r="X26" s="19"/>
      <c r="Y26" s="19">
        <v>3808515</v>
      </c>
      <c r="Z26" s="19">
        <v>305980574</v>
      </c>
      <c r="AA26" s="19">
        <v>1420000000</v>
      </c>
      <c r="AB26" s="19"/>
      <c r="AC26" s="19"/>
      <c r="AD26" s="19">
        <v>60000000</v>
      </c>
      <c r="AE26" s="19"/>
      <c r="AF26" s="19"/>
      <c r="AG26" s="19">
        <v>1319521009</v>
      </c>
      <c r="AH26" s="19"/>
      <c r="AI26" s="19">
        <v>132700000</v>
      </c>
      <c r="AJ26" s="19">
        <v>16300000</v>
      </c>
      <c r="AK26" s="19">
        <v>646500000</v>
      </c>
      <c r="AL26" s="19"/>
      <c r="AM26" s="19">
        <v>1411958786</v>
      </c>
      <c r="AN26" s="19"/>
      <c r="AO26" s="19">
        <v>110000000</v>
      </c>
      <c r="AP26" s="19"/>
      <c r="AQ26" s="19"/>
      <c r="AR26" s="19">
        <v>111200000</v>
      </c>
      <c r="AS26" s="19">
        <v>547357780</v>
      </c>
      <c r="AT26" s="19">
        <v>49500000</v>
      </c>
      <c r="AU26" s="19">
        <v>26774456</v>
      </c>
      <c r="AV26" s="19">
        <v>128381880</v>
      </c>
      <c r="AW26" s="19">
        <v>63758477</v>
      </c>
      <c r="AX26" s="19">
        <v>126000000</v>
      </c>
      <c r="AY26" s="19"/>
      <c r="AZ26" s="19">
        <v>47944000</v>
      </c>
      <c r="BA26" s="19">
        <v>737504157</v>
      </c>
      <c r="BB26" s="19"/>
      <c r="BC26" s="19"/>
      <c r="BD26" s="19"/>
      <c r="BE26" s="19">
        <v>345813000</v>
      </c>
      <c r="BF26" s="19">
        <v>1043000000</v>
      </c>
      <c r="BG26" s="19">
        <v>100000000</v>
      </c>
      <c r="BH26" s="19">
        <v>100000000</v>
      </c>
      <c r="BI26" s="19"/>
      <c r="BJ26" s="19">
        <v>93290989</v>
      </c>
      <c r="BK26" s="19">
        <v>100000000</v>
      </c>
      <c r="BL26" s="19"/>
      <c r="BM26" s="19"/>
      <c r="BN26" s="19"/>
      <c r="BO26" s="19">
        <v>112000000</v>
      </c>
      <c r="BP26" s="19">
        <v>50000000</v>
      </c>
      <c r="BQ26" s="19"/>
      <c r="BR26" s="19"/>
      <c r="BS26" s="19">
        <v>22500000</v>
      </c>
      <c r="BT26" s="19"/>
      <c r="BU26" s="19">
        <v>257599941</v>
      </c>
      <c r="BV26" s="19">
        <v>146584329</v>
      </c>
      <c r="BW26" s="19"/>
      <c r="BX26" s="19">
        <v>45511085</v>
      </c>
      <c r="BY26" s="19">
        <v>10000000</v>
      </c>
      <c r="BZ26" s="19">
        <v>15220000</v>
      </c>
      <c r="CA26" s="19">
        <v>88600000</v>
      </c>
      <c r="CB26" s="19"/>
      <c r="CC26" s="19"/>
      <c r="CD26" s="19"/>
      <c r="CE26" s="19">
        <v>39375007</v>
      </c>
      <c r="CF26" s="19" t="s">
        <v>127</v>
      </c>
      <c r="CG26" s="19"/>
      <c r="CH26" s="19"/>
      <c r="CI26" s="19">
        <v>1771000</v>
      </c>
      <c r="CJ26" s="19">
        <v>207272334</v>
      </c>
      <c r="CK26" s="19">
        <v>191907563</v>
      </c>
      <c r="CL26" s="19">
        <v>60000000</v>
      </c>
      <c r="CM26" s="19"/>
      <c r="CN26" s="19"/>
      <c r="CO26" s="19"/>
      <c r="CP26" s="19"/>
      <c r="CQ26" s="19" t="s">
        <v>96</v>
      </c>
      <c r="CR26" s="19">
        <v>11786100</v>
      </c>
      <c r="CS26" s="19"/>
      <c r="CT26" s="19">
        <v>44972603</v>
      </c>
      <c r="CU26" s="19"/>
      <c r="CV26" s="19" t="s">
        <v>89</v>
      </c>
      <c r="CW26" s="19"/>
      <c r="CX26" s="19"/>
      <c r="CY26" s="19"/>
      <c r="CZ26" s="19">
        <v>760000</v>
      </c>
      <c r="DA26" s="19"/>
      <c r="DB26" s="19"/>
      <c r="DC26" s="19"/>
      <c r="DD26" s="19"/>
      <c r="DE26" s="19">
        <v>329345377</v>
      </c>
      <c r="DF26" s="19"/>
      <c r="DG26" s="19"/>
      <c r="DH26" s="19"/>
      <c r="DI26" s="19">
        <v>12551317</v>
      </c>
      <c r="DJ26" s="19">
        <v>13803094</v>
      </c>
      <c r="DK26" s="19">
        <v>312000000</v>
      </c>
      <c r="DL26" s="19">
        <v>70624997</v>
      </c>
      <c r="DM26" s="19">
        <v>235880000</v>
      </c>
      <c r="DN26" s="19"/>
      <c r="DO26" s="19">
        <v>8851316</v>
      </c>
      <c r="DP26" s="19">
        <v>113750000</v>
      </c>
      <c r="DQ26" s="19">
        <v>50000000</v>
      </c>
      <c r="DR26" s="19">
        <v>20000000</v>
      </c>
      <c r="DS26" s="19">
        <v>16850000</v>
      </c>
      <c r="DT26" s="19">
        <v>100000000</v>
      </c>
      <c r="DU26" s="19"/>
      <c r="DV26" s="19"/>
      <c r="DW26" s="19"/>
      <c r="DX26" s="19"/>
      <c r="DY26" s="19"/>
      <c r="DZ26" s="19"/>
      <c r="EA26" s="19"/>
      <c r="EB26" s="19"/>
    </row>
    <row r="27" spans="1:132">
      <c r="A27" s="7" t="s">
        <v>98</v>
      </c>
      <c r="B27" s="11" t="s">
        <v>147</v>
      </c>
      <c r="C27" s="19">
        <v>78293286</v>
      </c>
      <c r="D27" s="19">
        <v>26008288</v>
      </c>
      <c r="E27" s="19">
        <v>20592035</v>
      </c>
      <c r="F27" s="19"/>
      <c r="G27" s="19">
        <v>11055959</v>
      </c>
      <c r="H27" s="19"/>
      <c r="I27" s="19"/>
      <c r="J27" s="19" t="s">
        <v>89</v>
      </c>
      <c r="K27" s="19">
        <v>8060701</v>
      </c>
      <c r="L27" s="19">
        <v>30723549</v>
      </c>
      <c r="M27" s="19">
        <v>238146070</v>
      </c>
      <c r="N27" s="19">
        <v>21473563</v>
      </c>
      <c r="O27" s="19">
        <v>147208274</v>
      </c>
      <c r="P27" s="19">
        <v>185232225</v>
      </c>
      <c r="Q27" s="19">
        <v>8629311</v>
      </c>
      <c r="R27" s="19">
        <v>11365958</v>
      </c>
      <c r="S27" s="19">
        <v>179481577</v>
      </c>
      <c r="T27" s="19">
        <v>13194820</v>
      </c>
      <c r="U27" s="19">
        <v>76168298</v>
      </c>
      <c r="V27" s="19">
        <v>12857736</v>
      </c>
      <c r="W27" s="19">
        <v>215251753</v>
      </c>
      <c r="X27" s="19">
        <v>115253450</v>
      </c>
      <c r="Y27" s="19">
        <v>17832188</v>
      </c>
      <c r="Z27" s="19">
        <v>105541037</v>
      </c>
      <c r="AA27" s="19">
        <v>122151281</v>
      </c>
      <c r="AB27" s="19">
        <v>26149820</v>
      </c>
      <c r="AC27" s="19">
        <v>10792093</v>
      </c>
      <c r="AD27" s="19">
        <v>104854124</v>
      </c>
      <c r="AE27" s="19">
        <v>4545090</v>
      </c>
      <c r="AF27" s="19">
        <v>842380</v>
      </c>
      <c r="AG27" s="19">
        <v>238133606</v>
      </c>
      <c r="AH27" s="19">
        <v>91986809</v>
      </c>
      <c r="AI27" s="19">
        <v>6756335</v>
      </c>
      <c r="AJ27" s="19">
        <v>25052818</v>
      </c>
      <c r="AK27" s="19">
        <v>144562634</v>
      </c>
      <c r="AL27" s="19">
        <v>13923168</v>
      </c>
      <c r="AM27" s="19">
        <v>1153752909</v>
      </c>
      <c r="AN27" s="19">
        <v>36375360</v>
      </c>
      <c r="AO27" s="19">
        <v>20163382</v>
      </c>
      <c r="AP27" s="19">
        <v>32470497</v>
      </c>
      <c r="AQ27" s="19">
        <v>101030647</v>
      </c>
      <c r="AR27" s="19">
        <v>24545157</v>
      </c>
      <c r="AS27" s="19">
        <v>60334372</v>
      </c>
      <c r="AT27" s="19">
        <v>6082312</v>
      </c>
      <c r="AU27" s="19">
        <v>108583474</v>
      </c>
      <c r="AV27" s="19">
        <v>56903822</v>
      </c>
      <c r="AW27" s="19">
        <v>33923504</v>
      </c>
      <c r="AX27" s="19">
        <v>46940709</v>
      </c>
      <c r="AY27" s="19">
        <v>1171540</v>
      </c>
      <c r="AZ27" s="19">
        <v>24902894</v>
      </c>
      <c r="BA27" s="19">
        <v>132409011</v>
      </c>
      <c r="BB27" s="19">
        <v>715249</v>
      </c>
      <c r="BC27" s="19">
        <v>130540390</v>
      </c>
      <c r="BD27" s="19">
        <v>4188692</v>
      </c>
      <c r="BE27" s="19">
        <v>25173012</v>
      </c>
      <c r="BF27" s="19">
        <v>41618725</v>
      </c>
      <c r="BG27" s="19">
        <v>190249453</v>
      </c>
      <c r="BH27" s="19">
        <v>9026725</v>
      </c>
      <c r="BI27" s="19">
        <v>19011597</v>
      </c>
      <c r="BJ27" s="19">
        <v>59839851</v>
      </c>
      <c r="BK27" s="19">
        <v>3153200</v>
      </c>
      <c r="BL27" s="19">
        <v>22239751</v>
      </c>
      <c r="BM27" s="19">
        <v>64763018</v>
      </c>
      <c r="BN27" s="19">
        <v>19859550</v>
      </c>
      <c r="BO27" s="19">
        <v>17822257</v>
      </c>
      <c r="BP27" s="19"/>
      <c r="BQ27" s="19">
        <v>91605274</v>
      </c>
      <c r="BR27" s="19">
        <v>3178398</v>
      </c>
      <c r="BS27" s="19">
        <v>13292342</v>
      </c>
      <c r="BT27" s="19">
        <v>4641210</v>
      </c>
      <c r="BU27" s="19">
        <v>53622024</v>
      </c>
      <c r="BV27" s="19">
        <v>31501050</v>
      </c>
      <c r="BW27" s="19">
        <v>25012945</v>
      </c>
      <c r="BX27" s="19">
        <v>107537007</v>
      </c>
      <c r="BY27" s="19">
        <v>115988844</v>
      </c>
      <c r="BZ27" s="19">
        <v>11312800</v>
      </c>
      <c r="CA27" s="19">
        <v>13864741</v>
      </c>
      <c r="CB27" s="19">
        <v>50365863</v>
      </c>
      <c r="CC27" s="19">
        <v>14896154</v>
      </c>
      <c r="CD27" s="19">
        <v>95807000</v>
      </c>
      <c r="CE27" s="19">
        <v>3619984</v>
      </c>
      <c r="CF27" s="19" t="s">
        <v>127</v>
      </c>
      <c r="CG27" s="19">
        <v>34112205</v>
      </c>
      <c r="CH27" s="19">
        <v>111000</v>
      </c>
      <c r="CI27" s="19">
        <v>14715161</v>
      </c>
      <c r="CJ27" s="19">
        <v>134625570</v>
      </c>
      <c r="CK27" s="19">
        <v>111384411</v>
      </c>
      <c r="CL27" s="19">
        <v>26312157</v>
      </c>
      <c r="CM27" s="19">
        <v>312364381</v>
      </c>
      <c r="CN27" s="19">
        <v>62700003</v>
      </c>
      <c r="CO27" s="19">
        <v>2819200</v>
      </c>
      <c r="CP27" s="19">
        <v>95493050</v>
      </c>
      <c r="CQ27" s="19" t="s">
        <v>96</v>
      </c>
      <c r="CR27" s="19">
        <v>51629564</v>
      </c>
      <c r="CS27" s="19">
        <v>20187509</v>
      </c>
      <c r="CT27" s="19">
        <v>38911832</v>
      </c>
      <c r="CU27" s="19"/>
      <c r="CV27" s="19" t="s">
        <v>89</v>
      </c>
      <c r="CW27" s="19">
        <v>46167557</v>
      </c>
      <c r="CX27" s="19">
        <v>72881035</v>
      </c>
      <c r="CY27" s="19">
        <v>344159858</v>
      </c>
      <c r="CZ27" s="19">
        <v>27190383</v>
      </c>
      <c r="DA27" s="19">
        <v>17301539</v>
      </c>
      <c r="DB27" s="19">
        <v>13130505</v>
      </c>
      <c r="DC27" s="19">
        <v>2084935</v>
      </c>
      <c r="DD27" s="19">
        <v>10244448</v>
      </c>
      <c r="DE27" s="19">
        <v>150647405</v>
      </c>
      <c r="DF27" s="19">
        <v>1703353</v>
      </c>
      <c r="DG27" s="19">
        <v>28330440</v>
      </c>
      <c r="DH27" s="19">
        <v>17517089</v>
      </c>
      <c r="DI27" s="19">
        <v>40530488</v>
      </c>
      <c r="DJ27" s="19">
        <v>5099790</v>
      </c>
      <c r="DK27" s="19">
        <v>39012752</v>
      </c>
      <c r="DL27" s="19">
        <v>4782280</v>
      </c>
      <c r="DM27" s="19">
        <v>41850438</v>
      </c>
      <c r="DN27" s="19">
        <v>25492710</v>
      </c>
      <c r="DO27" s="19">
        <v>54366236</v>
      </c>
      <c r="DP27" s="19">
        <v>362715257</v>
      </c>
      <c r="DQ27" s="19">
        <v>69284037</v>
      </c>
      <c r="DR27" s="19">
        <v>2512937</v>
      </c>
      <c r="DS27" s="19">
        <v>69606640</v>
      </c>
      <c r="DT27" s="19">
        <v>2263510</v>
      </c>
      <c r="DU27" s="19">
        <v>19900</v>
      </c>
      <c r="DV27" s="19">
        <v>797980</v>
      </c>
      <c r="DW27" s="19">
        <v>16667112</v>
      </c>
      <c r="DX27" s="19">
        <v>15038043</v>
      </c>
      <c r="DY27" s="19">
        <v>33188069</v>
      </c>
      <c r="DZ27" s="19">
        <v>68955573</v>
      </c>
      <c r="EA27" s="19">
        <v>8458890</v>
      </c>
      <c r="EB27" s="19">
        <v>173476121</v>
      </c>
    </row>
    <row r="28" spans="1:132">
      <c r="A28" s="7" t="s">
        <v>98</v>
      </c>
      <c r="B28" s="11" t="s">
        <v>150</v>
      </c>
      <c r="C28" s="19">
        <v>6046306</v>
      </c>
      <c r="D28" s="19">
        <v>10109380</v>
      </c>
      <c r="E28" s="19">
        <v>8876230</v>
      </c>
      <c r="F28" s="19">
        <v>61121646</v>
      </c>
      <c r="G28" s="19">
        <v>646180</v>
      </c>
      <c r="H28" s="19"/>
      <c r="I28" s="19"/>
      <c r="J28" s="19" t="s">
        <v>89</v>
      </c>
      <c r="K28" s="19">
        <v>36950122</v>
      </c>
      <c r="L28" s="19">
        <v>6035730</v>
      </c>
      <c r="M28" s="19">
        <v>73283167</v>
      </c>
      <c r="N28" s="19">
        <v>207558924</v>
      </c>
      <c r="O28" s="19">
        <v>23455660</v>
      </c>
      <c r="P28" s="19">
        <v>35296205</v>
      </c>
      <c r="Q28" s="19">
        <v>1102070</v>
      </c>
      <c r="R28" s="19">
        <v>2961419</v>
      </c>
      <c r="S28" s="19">
        <v>3137220</v>
      </c>
      <c r="T28" s="19">
        <v>37781707</v>
      </c>
      <c r="U28" s="19">
        <v>31460008</v>
      </c>
      <c r="V28" s="19">
        <v>1154800</v>
      </c>
      <c r="W28" s="19">
        <v>20330440</v>
      </c>
      <c r="X28" s="19">
        <v>65523100</v>
      </c>
      <c r="Y28" s="19">
        <v>4620050</v>
      </c>
      <c r="Z28" s="19">
        <v>3102070</v>
      </c>
      <c r="AA28" s="19">
        <v>44362955</v>
      </c>
      <c r="AB28" s="19">
        <v>2186620</v>
      </c>
      <c r="AC28" s="19">
        <v>44866371</v>
      </c>
      <c r="AD28" s="19">
        <v>4147687</v>
      </c>
      <c r="AE28" s="19">
        <v>725335</v>
      </c>
      <c r="AF28" s="19">
        <v>1740705</v>
      </c>
      <c r="AG28" s="19">
        <v>73283167</v>
      </c>
      <c r="AH28" s="19">
        <v>1696830</v>
      </c>
      <c r="AI28" s="19">
        <v>1569460</v>
      </c>
      <c r="AJ28" s="19">
        <v>5812200</v>
      </c>
      <c r="AK28" s="19">
        <v>18754105</v>
      </c>
      <c r="AL28" s="19">
        <v>113526650</v>
      </c>
      <c r="AM28" s="19">
        <v>145050655</v>
      </c>
      <c r="AN28" s="19">
        <v>2555012</v>
      </c>
      <c r="AO28" s="19">
        <v>20371541</v>
      </c>
      <c r="AP28" s="19">
        <v>17642271</v>
      </c>
      <c r="AQ28" s="19">
        <v>5609383</v>
      </c>
      <c r="AR28" s="19">
        <v>8559527</v>
      </c>
      <c r="AS28" s="19">
        <v>112584447</v>
      </c>
      <c r="AT28" s="19">
        <v>59059820</v>
      </c>
      <c r="AU28" s="19">
        <v>20006870</v>
      </c>
      <c r="AV28" s="19">
        <v>194330</v>
      </c>
      <c r="AW28" s="19">
        <v>4742852</v>
      </c>
      <c r="AX28" s="19">
        <v>24659014</v>
      </c>
      <c r="AY28" s="19"/>
      <c r="AZ28" s="19">
        <v>42986425</v>
      </c>
      <c r="BA28" s="19">
        <v>90630612</v>
      </c>
      <c r="BB28" s="19">
        <v>5822281</v>
      </c>
      <c r="BC28" s="19">
        <v>7239112</v>
      </c>
      <c r="BD28" s="19">
        <v>69831883</v>
      </c>
      <c r="BE28" s="19">
        <v>3882440</v>
      </c>
      <c r="BF28" s="19">
        <v>23399631</v>
      </c>
      <c r="BG28" s="19">
        <v>40814580</v>
      </c>
      <c r="BH28" s="19">
        <v>2946749</v>
      </c>
      <c r="BI28" s="19">
        <v>10209940</v>
      </c>
      <c r="BJ28" s="19">
        <v>19619035</v>
      </c>
      <c r="BK28" s="19">
        <v>15069165</v>
      </c>
      <c r="BL28" s="19">
        <v>3978010</v>
      </c>
      <c r="BM28" s="19">
        <v>1053963</v>
      </c>
      <c r="BN28" s="19">
        <v>15982660</v>
      </c>
      <c r="BO28" s="19">
        <v>494392</v>
      </c>
      <c r="BP28" s="19">
        <v>5669667</v>
      </c>
      <c r="BQ28" s="19">
        <v>911600</v>
      </c>
      <c r="BR28" s="19">
        <v>3672331</v>
      </c>
      <c r="BS28" s="19">
        <v>1483369</v>
      </c>
      <c r="BT28" s="19">
        <v>1384880</v>
      </c>
      <c r="BU28" s="19">
        <v>1162434</v>
      </c>
      <c r="BV28" s="19">
        <v>694660</v>
      </c>
      <c r="BW28" s="19">
        <v>2551830</v>
      </c>
      <c r="BX28" s="19">
        <v>6198830</v>
      </c>
      <c r="BY28" s="19">
        <v>14024948</v>
      </c>
      <c r="BZ28" s="19">
        <v>5340880</v>
      </c>
      <c r="CA28" s="19">
        <v>9525840</v>
      </c>
      <c r="CB28" s="19">
        <v>3530030</v>
      </c>
      <c r="CC28" s="19">
        <v>772820</v>
      </c>
      <c r="CD28" s="19">
        <v>51801960</v>
      </c>
      <c r="CE28" s="19">
        <v>1920179</v>
      </c>
      <c r="CF28" s="19" t="s">
        <v>127</v>
      </c>
      <c r="CG28" s="19">
        <v>11078349</v>
      </c>
      <c r="CH28" s="19">
        <v>496110</v>
      </c>
      <c r="CI28" s="19">
        <v>12904729</v>
      </c>
      <c r="CJ28" s="19">
        <v>7717314</v>
      </c>
      <c r="CK28" s="19">
        <v>34108558</v>
      </c>
      <c r="CL28" s="19">
        <v>8366512</v>
      </c>
      <c r="CM28" s="19">
        <v>25779819</v>
      </c>
      <c r="CN28" s="19">
        <v>1362600</v>
      </c>
      <c r="CO28" s="19">
        <v>1367350</v>
      </c>
      <c r="CP28" s="19">
        <v>13232210</v>
      </c>
      <c r="CQ28" s="19" t="s">
        <v>96</v>
      </c>
      <c r="CR28" s="19">
        <v>6429320</v>
      </c>
      <c r="CS28" s="19">
        <v>13812600</v>
      </c>
      <c r="CT28" s="19">
        <v>4759470</v>
      </c>
      <c r="CU28" s="19">
        <v>778290</v>
      </c>
      <c r="CV28" s="19" t="s">
        <v>89</v>
      </c>
      <c r="CW28" s="19">
        <v>6290500</v>
      </c>
      <c r="CX28" s="19">
        <v>824374839</v>
      </c>
      <c r="CY28" s="19">
        <v>46794340</v>
      </c>
      <c r="CZ28" s="19">
        <v>6167154</v>
      </c>
      <c r="DA28" s="19">
        <v>305412</v>
      </c>
      <c r="DB28" s="19">
        <v>5093535</v>
      </c>
      <c r="DC28" s="19"/>
      <c r="DD28" s="19">
        <v>773390</v>
      </c>
      <c r="DE28" s="19">
        <v>4271551</v>
      </c>
      <c r="DF28" s="19"/>
      <c r="DG28" s="19">
        <v>594950</v>
      </c>
      <c r="DH28" s="19">
        <v>22088864</v>
      </c>
      <c r="DI28" s="19">
        <v>40290075</v>
      </c>
      <c r="DJ28" s="19">
        <v>460100</v>
      </c>
      <c r="DK28" s="19">
        <v>5765763</v>
      </c>
      <c r="DL28" s="19">
        <v>8522791</v>
      </c>
      <c r="DM28" s="19">
        <v>2847710</v>
      </c>
      <c r="DN28" s="19">
        <v>9568642</v>
      </c>
      <c r="DO28" s="19"/>
      <c r="DP28" s="19">
        <v>39460422</v>
      </c>
      <c r="DQ28" s="19">
        <v>10045814</v>
      </c>
      <c r="DR28" s="19">
        <v>281675</v>
      </c>
      <c r="DS28" s="19">
        <v>4681259</v>
      </c>
      <c r="DT28" s="19">
        <v>25246058</v>
      </c>
      <c r="DU28" s="19">
        <v>11378713</v>
      </c>
      <c r="DV28" s="19">
        <v>2374260</v>
      </c>
      <c r="DW28" s="19">
        <v>4617045</v>
      </c>
      <c r="DX28" s="19">
        <v>3005020</v>
      </c>
      <c r="DY28" s="19">
        <v>1951970</v>
      </c>
      <c r="DZ28" s="19">
        <v>3493310</v>
      </c>
      <c r="EA28" s="19">
        <v>3919839</v>
      </c>
      <c r="EB28" s="19">
        <v>12464710</v>
      </c>
    </row>
    <row r="29" spans="1:132">
      <c r="A29" s="7" t="s">
        <v>98</v>
      </c>
      <c r="B29" s="11" t="s">
        <v>13</v>
      </c>
      <c r="C29" s="19">
        <v>2052020</v>
      </c>
      <c r="D29" s="19"/>
      <c r="E29" s="19"/>
      <c r="F29" s="19"/>
      <c r="G29" s="19"/>
      <c r="H29" s="19"/>
      <c r="I29" s="19"/>
      <c r="J29" s="19" t="s">
        <v>89</v>
      </c>
      <c r="K29" s="19"/>
      <c r="L29" s="19"/>
      <c r="M29" s="19"/>
      <c r="N29" s="19"/>
      <c r="O29" s="19">
        <v>931300</v>
      </c>
      <c r="P29" s="19"/>
      <c r="Q29" s="19"/>
      <c r="R29" s="19"/>
      <c r="S29" s="19"/>
      <c r="T29" s="19"/>
      <c r="U29" s="19"/>
      <c r="V29" s="19"/>
      <c r="W29" s="19">
        <v>813831</v>
      </c>
      <c r="X29" s="19"/>
      <c r="Y29" s="19"/>
      <c r="Z29" s="19"/>
      <c r="AA29" s="19"/>
      <c r="AB29" s="19"/>
      <c r="AC29" s="19">
        <v>23909570</v>
      </c>
      <c r="AD29" s="19"/>
      <c r="AE29" s="19">
        <v>584223</v>
      </c>
      <c r="AF29" s="19"/>
      <c r="AG29" s="19"/>
      <c r="AH29" s="19"/>
      <c r="AI29" s="19"/>
      <c r="AJ29" s="19">
        <v>27315481</v>
      </c>
      <c r="AK29" s="19"/>
      <c r="AL29" s="19"/>
      <c r="AM29" s="19"/>
      <c r="AN29" s="19">
        <v>21717530</v>
      </c>
      <c r="AO29" s="19"/>
      <c r="AP29" s="19"/>
      <c r="AQ29" s="19"/>
      <c r="AR29" s="19"/>
      <c r="AS29" s="19">
        <v>18543621</v>
      </c>
      <c r="AT29" s="19"/>
      <c r="AU29" s="19"/>
      <c r="AV29" s="19"/>
      <c r="AW29" s="19">
        <v>221049500</v>
      </c>
      <c r="AX29" s="19"/>
      <c r="AY29" s="19"/>
      <c r="AZ29" s="19">
        <v>1520316</v>
      </c>
      <c r="BA29" s="19"/>
      <c r="BB29" s="19">
        <v>5950000</v>
      </c>
      <c r="BC29" s="19"/>
      <c r="BD29" s="19"/>
      <c r="BE29" s="19"/>
      <c r="BF29" s="19"/>
      <c r="BG29" s="19"/>
      <c r="BH29" s="19"/>
      <c r="BI29" s="19"/>
      <c r="BJ29" s="19">
        <v>29000000</v>
      </c>
      <c r="BK29" s="19"/>
      <c r="BL29" s="19"/>
      <c r="BM29" s="19">
        <v>13950000</v>
      </c>
      <c r="BN29" s="19"/>
      <c r="BO29" s="19"/>
      <c r="BP29" s="19"/>
      <c r="BQ29" s="19">
        <v>41000000</v>
      </c>
      <c r="BR29" s="19"/>
      <c r="BS29" s="19">
        <v>28200000</v>
      </c>
      <c r="BT29" s="19">
        <v>36220898</v>
      </c>
      <c r="BU29" s="19"/>
      <c r="BV29" s="19">
        <v>35075280</v>
      </c>
      <c r="BW29" s="19"/>
      <c r="BX29" s="19">
        <v>2300000</v>
      </c>
      <c r="BY29" s="19"/>
      <c r="BZ29" s="19"/>
      <c r="CA29" s="19"/>
      <c r="CB29" s="19">
        <v>59320470</v>
      </c>
      <c r="CC29" s="19">
        <v>250000</v>
      </c>
      <c r="CD29" s="19"/>
      <c r="CE29" s="19"/>
      <c r="CF29" s="19" t="s">
        <v>127</v>
      </c>
      <c r="CG29" s="19"/>
      <c r="CH29" s="19">
        <v>13827585</v>
      </c>
      <c r="CI29" s="19"/>
      <c r="CJ29" s="19"/>
      <c r="CK29" s="19"/>
      <c r="CL29" s="19"/>
      <c r="CM29" s="19"/>
      <c r="CN29" s="19"/>
      <c r="CO29" s="19"/>
      <c r="CP29" s="19"/>
      <c r="CQ29" s="19" t="s">
        <v>96</v>
      </c>
      <c r="CR29" s="19">
        <v>2374943</v>
      </c>
      <c r="CS29" s="19">
        <v>2934880</v>
      </c>
      <c r="CT29" s="19">
        <v>151054880</v>
      </c>
      <c r="CU29" s="19"/>
      <c r="CV29" s="19" t="s">
        <v>89</v>
      </c>
      <c r="CW29" s="19"/>
      <c r="CX29" s="19"/>
      <c r="CY29" s="19"/>
      <c r="CZ29" s="19"/>
      <c r="DA29" s="19"/>
      <c r="DB29" s="19"/>
      <c r="DC29" s="19"/>
      <c r="DD29" s="19"/>
      <c r="DE29" s="19"/>
      <c r="DF29" s="19"/>
      <c r="DG29" s="19"/>
      <c r="DH29" s="19"/>
      <c r="DI29" s="19"/>
      <c r="DJ29" s="19"/>
      <c r="DK29" s="19"/>
      <c r="DL29" s="19"/>
      <c r="DM29" s="19"/>
      <c r="DN29" s="19"/>
      <c r="DO29" s="19"/>
      <c r="DP29" s="19">
        <v>83400600</v>
      </c>
      <c r="DQ29" s="19"/>
      <c r="DR29" s="19"/>
      <c r="DS29" s="19">
        <v>69537302</v>
      </c>
      <c r="DT29" s="19">
        <v>40110094</v>
      </c>
      <c r="DU29" s="19">
        <v>25600000</v>
      </c>
      <c r="DV29" s="19"/>
      <c r="DW29" s="19">
        <v>28574000</v>
      </c>
      <c r="DX29" s="19">
        <v>17112753</v>
      </c>
      <c r="DY29" s="19">
        <v>10833106</v>
      </c>
      <c r="DZ29" s="19"/>
      <c r="EA29" s="19"/>
      <c r="EB29" s="19"/>
    </row>
    <row r="30" spans="1:132">
      <c r="A30" s="7" t="s">
        <v>98</v>
      </c>
      <c r="B30" s="11" t="s">
        <v>59</v>
      </c>
      <c r="C30" s="19"/>
      <c r="D30" s="19"/>
      <c r="E30" s="19">
        <v>150000</v>
      </c>
      <c r="F30" s="19"/>
      <c r="G30" s="19"/>
      <c r="H30" s="19"/>
      <c r="I30" s="19"/>
      <c r="J30" s="19" t="s">
        <v>89</v>
      </c>
      <c r="K30" s="19"/>
      <c r="L30" s="19">
        <v>612370</v>
      </c>
      <c r="M30" s="19">
        <v>30000000</v>
      </c>
      <c r="N30" s="19">
        <v>51684132</v>
      </c>
      <c r="O30" s="19">
        <v>179802559</v>
      </c>
      <c r="P30" s="19">
        <v>378140</v>
      </c>
      <c r="Q30" s="19">
        <v>20216809</v>
      </c>
      <c r="R30" s="19">
        <v>26893961</v>
      </c>
      <c r="S30" s="19">
        <v>58037223</v>
      </c>
      <c r="T30" s="19"/>
      <c r="U30" s="19">
        <v>9090909</v>
      </c>
      <c r="V30" s="19">
        <v>4922066</v>
      </c>
      <c r="W30" s="19">
        <v>192000</v>
      </c>
      <c r="X30" s="19"/>
      <c r="Y30" s="19"/>
      <c r="Z30" s="19">
        <v>10120000</v>
      </c>
      <c r="AA30" s="19"/>
      <c r="AB30" s="19"/>
      <c r="AC30" s="19">
        <v>33978000</v>
      </c>
      <c r="AD30" s="19"/>
      <c r="AE30" s="19"/>
      <c r="AF30" s="19">
        <v>60000000</v>
      </c>
      <c r="AG30" s="19">
        <v>30000000</v>
      </c>
      <c r="AH30" s="19">
        <v>60000</v>
      </c>
      <c r="AI30" s="19"/>
      <c r="AJ30" s="19">
        <v>684348</v>
      </c>
      <c r="AK30" s="19">
        <v>50765180</v>
      </c>
      <c r="AL30" s="19"/>
      <c r="AM30" s="19">
        <v>1042631359</v>
      </c>
      <c r="AN30" s="19"/>
      <c r="AO30" s="19">
        <v>1257007</v>
      </c>
      <c r="AP30" s="19">
        <v>13820334</v>
      </c>
      <c r="AQ30" s="19">
        <v>-1450000</v>
      </c>
      <c r="AR30" s="19"/>
      <c r="AS30" s="19"/>
      <c r="AT30" s="19">
        <v>1400000</v>
      </c>
      <c r="AU30" s="19">
        <v>17907577</v>
      </c>
      <c r="AV30" s="19">
        <v>2000000</v>
      </c>
      <c r="AW30" s="19"/>
      <c r="AX30" s="19"/>
      <c r="AY30" s="19"/>
      <c r="AZ30" s="19"/>
      <c r="BA30" s="19">
        <v>294350</v>
      </c>
      <c r="BB30" s="19"/>
      <c r="BC30" s="19">
        <v>21770000</v>
      </c>
      <c r="BD30" s="19">
        <v>414000</v>
      </c>
      <c r="BE30" s="19">
        <v>2537040</v>
      </c>
      <c r="BF30" s="19">
        <v>10234000</v>
      </c>
      <c r="BG30" s="19">
        <v>61453907</v>
      </c>
      <c r="BH30" s="19">
        <v>2471500</v>
      </c>
      <c r="BI30" s="19">
        <v>28526146</v>
      </c>
      <c r="BJ30" s="19"/>
      <c r="BK30" s="19"/>
      <c r="BL30" s="19"/>
      <c r="BM30" s="19">
        <v>65000</v>
      </c>
      <c r="BN30" s="19">
        <v>9924000</v>
      </c>
      <c r="BO30" s="19">
        <v>3700000</v>
      </c>
      <c r="BP30" s="19"/>
      <c r="BQ30" s="19"/>
      <c r="BR30" s="19">
        <v>3867000</v>
      </c>
      <c r="BS30" s="19"/>
      <c r="BT30" s="19"/>
      <c r="BU30" s="19">
        <v>17391469</v>
      </c>
      <c r="BV30" s="19">
        <v>16590000</v>
      </c>
      <c r="BW30" s="19"/>
      <c r="BX30" s="19"/>
      <c r="BY30" s="19">
        <v>63154490</v>
      </c>
      <c r="BZ30" s="19"/>
      <c r="CA30" s="19"/>
      <c r="CB30" s="19">
        <v>2500000</v>
      </c>
      <c r="CC30" s="19">
        <v>60968000</v>
      </c>
      <c r="CD30" s="19"/>
      <c r="CE30" s="19">
        <v>8514000</v>
      </c>
      <c r="CF30" s="19" t="s">
        <v>127</v>
      </c>
      <c r="CG30" s="19"/>
      <c r="CH30" s="19"/>
      <c r="CI30" s="19">
        <v>72596500</v>
      </c>
      <c r="CJ30" s="19">
        <v>16970592</v>
      </c>
      <c r="CK30" s="19">
        <v>3397420</v>
      </c>
      <c r="CL30" s="19"/>
      <c r="CM30" s="19">
        <v>30000000</v>
      </c>
      <c r="CN30" s="19"/>
      <c r="CO30" s="19"/>
      <c r="CP30" s="19"/>
      <c r="CQ30" s="19" t="s">
        <v>96</v>
      </c>
      <c r="CR30" s="19">
        <v>3200000</v>
      </c>
      <c r="CS30" s="19">
        <v>10919589</v>
      </c>
      <c r="CT30" s="19"/>
      <c r="CU30" s="19"/>
      <c r="CV30" s="19" t="s">
        <v>89</v>
      </c>
      <c r="CW30" s="19">
        <v>12740000</v>
      </c>
      <c r="CX30" s="19">
        <v>101848199</v>
      </c>
      <c r="CY30" s="19">
        <v>4658064</v>
      </c>
      <c r="CZ30" s="19">
        <v>580000</v>
      </c>
      <c r="DA30" s="19"/>
      <c r="DB30" s="19">
        <v>7615000</v>
      </c>
      <c r="DC30" s="19"/>
      <c r="DD30" s="19"/>
      <c r="DE30" s="19"/>
      <c r="DF30" s="19"/>
      <c r="DG30" s="19">
        <v>214600</v>
      </c>
      <c r="DH30" s="19"/>
      <c r="DI30" s="19">
        <v>1280000</v>
      </c>
      <c r="DJ30" s="19"/>
      <c r="DK30" s="19">
        <v>2440206</v>
      </c>
      <c r="DL30" s="19"/>
      <c r="DM30" s="19"/>
      <c r="DN30" s="19"/>
      <c r="DO30" s="19">
        <v>1000000</v>
      </c>
      <c r="DP30" s="19">
        <v>98280000</v>
      </c>
      <c r="DQ30" s="19"/>
      <c r="DR30" s="19"/>
      <c r="DS30" s="19">
        <v>2881821</v>
      </c>
      <c r="DT30" s="19"/>
      <c r="DU30" s="19"/>
      <c r="DV30" s="19"/>
      <c r="DW30" s="19"/>
      <c r="DX30" s="19">
        <v>30000</v>
      </c>
      <c r="DY30" s="19">
        <v>4380000</v>
      </c>
      <c r="DZ30" s="19"/>
      <c r="EA30" s="19"/>
      <c r="EB30" s="19"/>
    </row>
    <row r="31" spans="1:132">
      <c r="A31" s="7" t="s">
        <v>98</v>
      </c>
      <c r="B31" s="8" t="s">
        <v>18</v>
      </c>
      <c r="C31" s="19">
        <v>0</v>
      </c>
      <c r="D31" s="19">
        <v>604570</v>
      </c>
      <c r="E31" s="19">
        <v>354500000</v>
      </c>
      <c r="F31" s="19">
        <v>18688435</v>
      </c>
      <c r="G31" s="19">
        <v>102000000</v>
      </c>
      <c r="H31" s="19">
        <v>0</v>
      </c>
      <c r="I31" s="19">
        <v>1023000000</v>
      </c>
      <c r="J31" s="19" t="s">
        <v>89</v>
      </c>
      <c r="K31" s="19">
        <v>232269799</v>
      </c>
      <c r="L31" s="19">
        <v>214511282</v>
      </c>
      <c r="M31" s="19">
        <v>65000000</v>
      </c>
      <c r="N31" s="19">
        <v>0</v>
      </c>
      <c r="O31" s="19">
        <v>1267360034</v>
      </c>
      <c r="P31" s="19">
        <v>606939985</v>
      </c>
      <c r="Q31" s="19">
        <v>127500000</v>
      </c>
      <c r="R31" s="19">
        <v>270000000</v>
      </c>
      <c r="S31" s="19">
        <v>507137037</v>
      </c>
      <c r="T31" s="19">
        <v>0</v>
      </c>
      <c r="U31" s="19">
        <v>332278996</v>
      </c>
      <c r="V31" s="19">
        <v>420833331</v>
      </c>
      <c r="W31" s="19">
        <v>487294470</v>
      </c>
      <c r="X31" s="19">
        <v>3780000000</v>
      </c>
      <c r="Y31" s="19">
        <v>85875000</v>
      </c>
      <c r="Z31" s="19">
        <v>3331288</v>
      </c>
      <c r="AA31" s="19">
        <v>670560000</v>
      </c>
      <c r="AB31" s="19">
        <v>0</v>
      </c>
      <c r="AC31" s="19">
        <v>0</v>
      </c>
      <c r="AD31" s="19">
        <v>878313853</v>
      </c>
      <c r="AE31" s="19">
        <v>178125000</v>
      </c>
      <c r="AF31" s="19">
        <v>110000000</v>
      </c>
      <c r="AG31" s="19">
        <v>65000000</v>
      </c>
      <c r="AH31" s="19">
        <v>41736283</v>
      </c>
      <c r="AI31" s="19">
        <v>200000000</v>
      </c>
      <c r="AJ31" s="19">
        <v>197319347</v>
      </c>
      <c r="AK31" s="19">
        <v>0</v>
      </c>
      <c r="AL31" s="19">
        <v>73333344</v>
      </c>
      <c r="AM31" s="19">
        <v>573178244</v>
      </c>
      <c r="AN31" s="19">
        <v>0</v>
      </c>
      <c r="AO31" s="19">
        <v>0</v>
      </c>
      <c r="AP31" s="19">
        <v>36963889</v>
      </c>
      <c r="AQ31" s="19">
        <v>47963272</v>
      </c>
      <c r="AR31" s="19">
        <v>0</v>
      </c>
      <c r="AS31" s="19">
        <v>0</v>
      </c>
      <c r="AT31" s="19">
        <v>1610553087</v>
      </c>
      <c r="AU31" s="19">
        <v>1406504543</v>
      </c>
      <c r="AV31" s="19">
        <v>103346387</v>
      </c>
      <c r="AW31" s="19">
        <v>340000000</v>
      </c>
      <c r="AX31" s="19">
        <v>192950000</v>
      </c>
      <c r="AY31" s="19">
        <v>222980000</v>
      </c>
      <c r="AZ31" s="19">
        <v>0</v>
      </c>
      <c r="BA31" s="19">
        <v>560000000</v>
      </c>
      <c r="BB31" s="19">
        <v>0</v>
      </c>
      <c r="BC31" s="19">
        <v>1087937849</v>
      </c>
      <c r="BD31" s="19">
        <v>28000000</v>
      </c>
      <c r="BE31" s="19">
        <v>159005215</v>
      </c>
      <c r="BF31" s="19">
        <v>336000000</v>
      </c>
      <c r="BG31" s="19">
        <v>257341679</v>
      </c>
      <c r="BH31" s="19">
        <v>0</v>
      </c>
      <c r="BI31" s="19">
        <v>0</v>
      </c>
      <c r="BJ31" s="19">
        <v>333658500</v>
      </c>
      <c r="BK31" s="19">
        <v>246210000</v>
      </c>
      <c r="BL31" s="19">
        <v>7141034</v>
      </c>
      <c r="BM31" s="19">
        <v>0</v>
      </c>
      <c r="BN31" s="19">
        <v>0</v>
      </c>
      <c r="BO31" s="19">
        <v>84305405</v>
      </c>
      <c r="BP31" s="19">
        <v>0</v>
      </c>
      <c r="BQ31" s="19">
        <v>68454208</v>
      </c>
      <c r="BR31" s="19">
        <v>0</v>
      </c>
      <c r="BS31" s="19">
        <v>0</v>
      </c>
      <c r="BT31" s="19">
        <v>0</v>
      </c>
      <c r="BU31" s="19">
        <v>0</v>
      </c>
      <c r="BV31" s="19">
        <v>0</v>
      </c>
      <c r="BW31" s="19">
        <v>0</v>
      </c>
      <c r="BX31" s="19">
        <v>0</v>
      </c>
      <c r="BY31" s="19">
        <v>589993347</v>
      </c>
      <c r="BZ31" s="19">
        <v>0</v>
      </c>
      <c r="CA31" s="19">
        <v>202524999</v>
      </c>
      <c r="CB31" s="19">
        <v>188333370</v>
      </c>
      <c r="CC31" s="19">
        <v>22628893</v>
      </c>
      <c r="CD31" s="19">
        <v>96174626</v>
      </c>
      <c r="CE31" s="19">
        <v>100000000</v>
      </c>
      <c r="CF31" s="19" t="s">
        <v>127</v>
      </c>
      <c r="CG31" s="19">
        <v>4476215</v>
      </c>
      <c r="CH31" s="19">
        <v>0</v>
      </c>
      <c r="CI31" s="19">
        <v>1201109959</v>
      </c>
      <c r="CJ31" s="19">
        <v>110000000</v>
      </c>
      <c r="CK31" s="19">
        <v>1807280606</v>
      </c>
      <c r="CL31" s="19">
        <v>350000000</v>
      </c>
      <c r="CM31" s="19">
        <v>0</v>
      </c>
      <c r="CN31" s="19">
        <v>81211090</v>
      </c>
      <c r="CO31" s="19">
        <v>17209934</v>
      </c>
      <c r="CP31" s="19">
        <v>392639020</v>
      </c>
      <c r="CQ31" s="19" t="s">
        <v>96</v>
      </c>
      <c r="CR31" s="19">
        <v>0</v>
      </c>
      <c r="CS31" s="19">
        <v>375960000</v>
      </c>
      <c r="CT31" s="19">
        <v>100000000</v>
      </c>
      <c r="CU31" s="19">
        <v>32252356</v>
      </c>
      <c r="CV31" s="19" t="s">
        <v>89</v>
      </c>
      <c r="CW31" s="19">
        <v>0</v>
      </c>
      <c r="CX31" s="19">
        <v>58138301</v>
      </c>
      <c r="CY31" s="19">
        <v>431022183</v>
      </c>
      <c r="CZ31" s="19">
        <v>45821895</v>
      </c>
      <c r="DA31" s="19">
        <v>0</v>
      </c>
      <c r="DB31" s="19">
        <v>213178384</v>
      </c>
      <c r="DC31" s="19">
        <v>0</v>
      </c>
      <c r="DD31" s="19">
        <v>30000000</v>
      </c>
      <c r="DE31" s="19">
        <v>95407050</v>
      </c>
      <c r="DF31" s="19">
        <v>25000000</v>
      </c>
      <c r="DG31" s="19">
        <v>30000000</v>
      </c>
      <c r="DH31" s="19">
        <v>147649711</v>
      </c>
      <c r="DI31" s="19">
        <v>1842725000</v>
      </c>
      <c r="DJ31" s="19">
        <v>0</v>
      </c>
      <c r="DK31" s="19">
        <v>0</v>
      </c>
      <c r="DL31" s="19">
        <v>4165118</v>
      </c>
      <c r="DM31" s="19">
        <v>0</v>
      </c>
      <c r="DN31" s="19">
        <v>0</v>
      </c>
      <c r="DO31" s="19">
        <v>0</v>
      </c>
      <c r="DP31" s="19">
        <v>0</v>
      </c>
      <c r="DQ31" s="19">
        <v>220000000</v>
      </c>
      <c r="DR31" s="19">
        <v>0</v>
      </c>
      <c r="DS31" s="19">
        <v>39000000</v>
      </c>
      <c r="DT31" s="19">
        <v>0</v>
      </c>
      <c r="DU31" s="19">
        <v>0</v>
      </c>
      <c r="DV31" s="19">
        <v>0</v>
      </c>
      <c r="DW31" s="19">
        <v>0</v>
      </c>
      <c r="DX31" s="19">
        <v>0</v>
      </c>
      <c r="DY31" s="19">
        <v>79801531</v>
      </c>
      <c r="DZ31" s="19">
        <v>37737515</v>
      </c>
      <c r="EA31" s="19">
        <v>50000000</v>
      </c>
      <c r="EB31" s="19">
        <v>50000000</v>
      </c>
    </row>
    <row r="32" spans="1:132">
      <c r="A32" s="7" t="s">
        <v>98</v>
      </c>
      <c r="B32" s="11" t="s">
        <v>15</v>
      </c>
      <c r="C32" s="19"/>
      <c r="D32" s="19"/>
      <c r="E32" s="19">
        <v>329500000</v>
      </c>
      <c r="F32" s="19">
        <v>18688435</v>
      </c>
      <c r="G32" s="19">
        <v>100000000</v>
      </c>
      <c r="H32" s="19"/>
      <c r="I32" s="19">
        <v>523000000</v>
      </c>
      <c r="J32" s="19" t="s">
        <v>89</v>
      </c>
      <c r="K32" s="19"/>
      <c r="L32" s="19">
        <v>214511282</v>
      </c>
      <c r="M32" s="19">
        <v>65000000</v>
      </c>
      <c r="N32" s="19"/>
      <c r="O32" s="19">
        <v>1065006485</v>
      </c>
      <c r="P32" s="19"/>
      <c r="Q32" s="19">
        <v>127500000</v>
      </c>
      <c r="R32" s="19">
        <v>170000000</v>
      </c>
      <c r="S32" s="19"/>
      <c r="T32" s="19"/>
      <c r="U32" s="19"/>
      <c r="V32" s="19">
        <v>170833331</v>
      </c>
      <c r="W32" s="19">
        <v>439294950</v>
      </c>
      <c r="X32" s="19">
        <v>3500000000</v>
      </c>
      <c r="Y32" s="19"/>
      <c r="Z32" s="19">
        <v>3331288</v>
      </c>
      <c r="AA32" s="19">
        <v>670560000</v>
      </c>
      <c r="AB32" s="19"/>
      <c r="AC32" s="19"/>
      <c r="AD32" s="19">
        <v>864382332</v>
      </c>
      <c r="AE32" s="19"/>
      <c r="AF32" s="19">
        <v>110000000</v>
      </c>
      <c r="AG32" s="19">
        <v>65000000</v>
      </c>
      <c r="AH32" s="19"/>
      <c r="AI32" s="19">
        <v>100000000</v>
      </c>
      <c r="AJ32" s="19">
        <v>179319347</v>
      </c>
      <c r="AK32" s="19"/>
      <c r="AL32" s="19">
        <v>73333344</v>
      </c>
      <c r="AM32" s="19">
        <v>99999920</v>
      </c>
      <c r="AN32" s="19"/>
      <c r="AO32" s="19"/>
      <c r="AP32" s="19"/>
      <c r="AQ32" s="19">
        <v>47963272</v>
      </c>
      <c r="AR32" s="19"/>
      <c r="AS32" s="19"/>
      <c r="AT32" s="19">
        <v>1610553087</v>
      </c>
      <c r="AU32" s="19">
        <v>1334604543</v>
      </c>
      <c r="AV32" s="19">
        <v>103346387</v>
      </c>
      <c r="AW32" s="19">
        <v>300000000</v>
      </c>
      <c r="AX32" s="19">
        <v>192950000</v>
      </c>
      <c r="AY32" s="19">
        <v>222980000</v>
      </c>
      <c r="AZ32" s="19"/>
      <c r="BA32" s="19">
        <v>550000000</v>
      </c>
      <c r="BB32" s="19"/>
      <c r="BC32" s="19">
        <v>1077937849</v>
      </c>
      <c r="BD32" s="19">
        <v>28000000</v>
      </c>
      <c r="BE32" s="19"/>
      <c r="BF32" s="19">
        <v>336000000</v>
      </c>
      <c r="BG32" s="19">
        <v>141666662</v>
      </c>
      <c r="BH32" s="19"/>
      <c r="BI32" s="19"/>
      <c r="BJ32" s="19">
        <v>12937616</v>
      </c>
      <c r="BK32" s="19">
        <v>246210000</v>
      </c>
      <c r="BL32" s="19"/>
      <c r="BM32" s="19"/>
      <c r="BN32" s="19"/>
      <c r="BO32" s="19">
        <v>84305405</v>
      </c>
      <c r="BP32" s="19"/>
      <c r="BQ32" s="19">
        <v>68454208</v>
      </c>
      <c r="BR32" s="19"/>
      <c r="BS32" s="19"/>
      <c r="BT32" s="19"/>
      <c r="BU32" s="19"/>
      <c r="BV32" s="19"/>
      <c r="BW32" s="19"/>
      <c r="BX32" s="19"/>
      <c r="BY32" s="19">
        <v>301333341</v>
      </c>
      <c r="BZ32" s="19"/>
      <c r="CA32" s="19">
        <v>202524999</v>
      </c>
      <c r="CB32" s="19">
        <v>188333370</v>
      </c>
      <c r="CC32" s="19"/>
      <c r="CD32" s="19"/>
      <c r="CE32" s="19">
        <v>100000000</v>
      </c>
      <c r="CF32" s="19" t="s">
        <v>127</v>
      </c>
      <c r="CG32" s="19"/>
      <c r="CH32" s="19"/>
      <c r="CI32" s="19">
        <v>1201109959</v>
      </c>
      <c r="CJ32" s="19">
        <v>110000000</v>
      </c>
      <c r="CK32" s="19">
        <v>1167550000</v>
      </c>
      <c r="CL32" s="19">
        <v>350000000</v>
      </c>
      <c r="CM32" s="19"/>
      <c r="CN32" s="19">
        <v>81211090</v>
      </c>
      <c r="CO32" s="19"/>
      <c r="CP32" s="19">
        <v>388600000</v>
      </c>
      <c r="CQ32" s="19" t="s">
        <v>96</v>
      </c>
      <c r="CR32" s="19"/>
      <c r="CS32" s="19">
        <v>375960000</v>
      </c>
      <c r="CT32" s="19">
        <v>100000000</v>
      </c>
      <c r="CU32" s="19"/>
      <c r="CV32" s="19" t="s">
        <v>89</v>
      </c>
      <c r="CW32" s="19"/>
      <c r="CX32" s="19"/>
      <c r="CY32" s="19">
        <v>431022183</v>
      </c>
      <c r="CZ32" s="19">
        <v>45821895</v>
      </c>
      <c r="DA32" s="19"/>
      <c r="DB32" s="19">
        <v>213178384</v>
      </c>
      <c r="DC32" s="19"/>
      <c r="DD32" s="19">
        <v>30000000</v>
      </c>
      <c r="DE32" s="19">
        <v>95407050</v>
      </c>
      <c r="DF32" s="19">
        <v>25000000</v>
      </c>
      <c r="DG32" s="19">
        <v>30000000</v>
      </c>
      <c r="DH32" s="19">
        <v>117044940</v>
      </c>
      <c r="DI32" s="19">
        <v>1724725000</v>
      </c>
      <c r="DJ32" s="19"/>
      <c r="DK32" s="19"/>
      <c r="DL32" s="19"/>
      <c r="DM32" s="19"/>
      <c r="DN32" s="19"/>
      <c r="DO32" s="19"/>
      <c r="DP32" s="19"/>
      <c r="DQ32" s="19">
        <v>220000000</v>
      </c>
      <c r="DR32" s="19"/>
      <c r="DS32" s="19">
        <v>39000000</v>
      </c>
      <c r="DT32" s="19"/>
      <c r="DU32" s="19"/>
      <c r="DV32" s="19"/>
      <c r="DW32" s="19"/>
      <c r="DX32" s="19"/>
      <c r="DY32" s="19">
        <v>79801531</v>
      </c>
      <c r="DZ32" s="19">
        <v>37737515</v>
      </c>
      <c r="EA32" s="19">
        <v>50000000</v>
      </c>
      <c r="EB32" s="19">
        <v>50000000</v>
      </c>
    </row>
    <row r="33" spans="1:132">
      <c r="A33" s="7" t="s">
        <v>98</v>
      </c>
      <c r="B33" s="11" t="s">
        <v>45</v>
      </c>
      <c r="C33" s="19"/>
      <c r="D33" s="19">
        <v>604570</v>
      </c>
      <c r="E33" s="19">
        <v>25000000</v>
      </c>
      <c r="F33" s="19"/>
      <c r="G33" s="19">
        <v>2000000</v>
      </c>
      <c r="H33" s="19"/>
      <c r="I33" s="19">
        <v>500000000</v>
      </c>
      <c r="J33" s="19" t="s">
        <v>89</v>
      </c>
      <c r="K33" s="19">
        <v>232269799</v>
      </c>
      <c r="L33" s="19"/>
      <c r="M33" s="19"/>
      <c r="N33" s="19"/>
      <c r="O33" s="19">
        <v>202353549</v>
      </c>
      <c r="P33" s="19">
        <v>606939985</v>
      </c>
      <c r="Q33" s="19"/>
      <c r="R33" s="19">
        <v>100000000</v>
      </c>
      <c r="S33" s="19">
        <v>507137037</v>
      </c>
      <c r="T33" s="19"/>
      <c r="U33" s="19">
        <v>332278996</v>
      </c>
      <c r="V33" s="19">
        <v>250000000</v>
      </c>
      <c r="W33" s="19">
        <v>47999520</v>
      </c>
      <c r="X33" s="19">
        <v>280000000</v>
      </c>
      <c r="Y33" s="19">
        <v>85875000</v>
      </c>
      <c r="Z33" s="19"/>
      <c r="AA33" s="19"/>
      <c r="AB33" s="19"/>
      <c r="AC33" s="19"/>
      <c r="AD33" s="19">
        <v>13931521</v>
      </c>
      <c r="AE33" s="19"/>
      <c r="AF33" s="19"/>
      <c r="AG33" s="19"/>
      <c r="AH33" s="19">
        <v>41736283</v>
      </c>
      <c r="AI33" s="19">
        <v>100000000</v>
      </c>
      <c r="AJ33" s="19">
        <v>18000000</v>
      </c>
      <c r="AK33" s="19"/>
      <c r="AL33" s="19"/>
      <c r="AM33" s="19">
        <v>473178324</v>
      </c>
      <c r="AN33" s="19"/>
      <c r="AO33" s="19"/>
      <c r="AP33" s="19">
        <v>36963889</v>
      </c>
      <c r="AQ33" s="19"/>
      <c r="AR33" s="19"/>
      <c r="AS33" s="19"/>
      <c r="AT33" s="19"/>
      <c r="AU33" s="19">
        <v>71900000</v>
      </c>
      <c r="AV33" s="19"/>
      <c r="AW33" s="19">
        <v>40000000</v>
      </c>
      <c r="AX33" s="19"/>
      <c r="AY33" s="19"/>
      <c r="AZ33" s="19"/>
      <c r="BA33" s="19">
        <v>10000000</v>
      </c>
      <c r="BB33" s="19"/>
      <c r="BC33" s="19">
        <v>10000000</v>
      </c>
      <c r="BD33" s="19"/>
      <c r="BE33" s="19">
        <v>159005215</v>
      </c>
      <c r="BF33" s="19"/>
      <c r="BG33" s="19">
        <v>115675017</v>
      </c>
      <c r="BH33" s="19"/>
      <c r="BI33" s="19"/>
      <c r="BJ33" s="19">
        <v>320720884</v>
      </c>
      <c r="BK33" s="19"/>
      <c r="BL33" s="19">
        <v>7141034</v>
      </c>
      <c r="BM33" s="19"/>
      <c r="BN33" s="19"/>
      <c r="BO33" s="19"/>
      <c r="BP33" s="19"/>
      <c r="BQ33" s="19"/>
      <c r="BR33" s="19"/>
      <c r="BS33" s="19"/>
      <c r="BT33" s="19"/>
      <c r="BU33" s="19"/>
      <c r="BV33" s="19"/>
      <c r="BW33" s="19"/>
      <c r="BX33" s="19"/>
      <c r="BY33" s="19">
        <v>288660006</v>
      </c>
      <c r="BZ33" s="19"/>
      <c r="CA33" s="19"/>
      <c r="CB33" s="19"/>
      <c r="CC33" s="19">
        <v>22628893</v>
      </c>
      <c r="CD33" s="19">
        <v>96174626</v>
      </c>
      <c r="CE33" s="19"/>
      <c r="CF33" s="19" t="s">
        <v>127</v>
      </c>
      <c r="CG33" s="19">
        <v>4476215</v>
      </c>
      <c r="CH33" s="19"/>
      <c r="CI33" s="19"/>
      <c r="CJ33" s="19"/>
      <c r="CK33" s="19">
        <v>639730606</v>
      </c>
      <c r="CL33" s="19"/>
      <c r="CM33" s="19"/>
      <c r="CN33" s="19"/>
      <c r="CO33" s="19">
        <v>17209934</v>
      </c>
      <c r="CP33" s="19">
        <v>4039020</v>
      </c>
      <c r="CQ33" s="19" t="s">
        <v>96</v>
      </c>
      <c r="CR33" s="19"/>
      <c r="CS33" s="19"/>
      <c r="CT33" s="19"/>
      <c r="CU33" s="19"/>
      <c r="CV33" s="19" t="s">
        <v>89</v>
      </c>
      <c r="CW33" s="19"/>
      <c r="CX33" s="19"/>
      <c r="CY33" s="19"/>
      <c r="CZ33" s="19"/>
      <c r="DA33" s="19"/>
      <c r="DB33" s="19"/>
      <c r="DC33" s="19"/>
      <c r="DD33" s="19"/>
      <c r="DE33" s="19"/>
      <c r="DF33" s="19"/>
      <c r="DG33" s="19"/>
      <c r="DH33" s="19">
        <v>30604771</v>
      </c>
      <c r="DI33" s="19">
        <v>118000000</v>
      </c>
      <c r="DJ33" s="19"/>
      <c r="DK33" s="19"/>
      <c r="DL33" s="19">
        <v>4165118</v>
      </c>
      <c r="DM33" s="19"/>
      <c r="DN33" s="19"/>
      <c r="DO33" s="19"/>
      <c r="DP33" s="19"/>
      <c r="DQ33" s="19"/>
      <c r="DR33" s="19"/>
      <c r="DS33" s="19"/>
      <c r="DT33" s="19"/>
      <c r="DU33" s="19"/>
      <c r="DV33" s="19"/>
      <c r="DW33" s="19"/>
      <c r="DX33" s="19"/>
      <c r="DY33" s="19"/>
      <c r="DZ33" s="19"/>
      <c r="EA33" s="19"/>
      <c r="EB33" s="19"/>
    </row>
    <row r="34" spans="1:132">
      <c r="A34" s="7" t="s">
        <v>98</v>
      </c>
      <c r="B34" s="8" t="s">
        <v>110</v>
      </c>
      <c r="C34" s="19">
        <v>186938582</v>
      </c>
      <c r="D34" s="19">
        <v>1270095858</v>
      </c>
      <c r="E34" s="19">
        <v>304245671</v>
      </c>
      <c r="F34" s="19">
        <v>720816089</v>
      </c>
      <c r="G34" s="19">
        <v>27939639</v>
      </c>
      <c r="H34" s="19">
        <v>130629057</v>
      </c>
      <c r="I34" s="19">
        <v>577796839</v>
      </c>
      <c r="J34" s="19" t="s">
        <v>89</v>
      </c>
      <c r="K34" s="19">
        <v>384059739</v>
      </c>
      <c r="L34" s="19">
        <v>140306167</v>
      </c>
      <c r="M34" s="19">
        <v>428132614</v>
      </c>
      <c r="N34" s="19">
        <v>280160612</v>
      </c>
      <c r="O34" s="19">
        <v>1194958185</v>
      </c>
      <c r="P34" s="19">
        <v>1286854461</v>
      </c>
      <c r="Q34" s="19">
        <v>72644423</v>
      </c>
      <c r="R34" s="19">
        <v>1989251</v>
      </c>
      <c r="S34" s="19">
        <v>1140777835</v>
      </c>
      <c r="T34" s="19">
        <v>-60712128</v>
      </c>
      <c r="U34" s="19">
        <v>1985553357</v>
      </c>
      <c r="V34" s="19">
        <v>-161528777</v>
      </c>
      <c r="W34" s="19">
        <v>154221328</v>
      </c>
      <c r="X34" s="19">
        <v>1968241020</v>
      </c>
      <c r="Y34" s="19">
        <v>424203471</v>
      </c>
      <c r="Z34" s="19">
        <v>178067622</v>
      </c>
      <c r="AA34" s="19">
        <v>1140408376</v>
      </c>
      <c r="AB34" s="19">
        <v>179134346</v>
      </c>
      <c r="AC34" s="19">
        <v>432204477</v>
      </c>
      <c r="AD34" s="19">
        <v>646645640</v>
      </c>
      <c r="AE34" s="19">
        <v>448576805</v>
      </c>
      <c r="AF34" s="19">
        <v>91736526</v>
      </c>
      <c r="AG34" s="19">
        <v>429041578</v>
      </c>
      <c r="AH34" s="19">
        <v>945744015</v>
      </c>
      <c r="AI34" s="19">
        <v>3350877</v>
      </c>
      <c r="AJ34" s="19">
        <v>532052015</v>
      </c>
      <c r="AK34" s="19">
        <v>725538348</v>
      </c>
      <c r="AL34" s="19">
        <v>-14641191</v>
      </c>
      <c r="AM34" s="19">
        <v>-760840053</v>
      </c>
      <c r="AN34" s="19">
        <v>80823875</v>
      </c>
      <c r="AO34" s="19">
        <v>305446916</v>
      </c>
      <c r="AP34" s="19">
        <v>601801784</v>
      </c>
      <c r="AQ34" s="19">
        <v>-63064668</v>
      </c>
      <c r="AR34" s="19">
        <v>73074735</v>
      </c>
      <c r="AS34" s="19">
        <v>124609982</v>
      </c>
      <c r="AT34" s="19">
        <v>363718152</v>
      </c>
      <c r="AU34" s="19">
        <v>-243454423</v>
      </c>
      <c r="AV34" s="19">
        <v>48553867</v>
      </c>
      <c r="AW34" s="19">
        <v>13909305</v>
      </c>
      <c r="AX34" s="19">
        <v>651210927</v>
      </c>
      <c r="AY34" s="19">
        <v>280916974</v>
      </c>
      <c r="AZ34" s="19">
        <v>279523675</v>
      </c>
      <c r="BA34" s="19">
        <v>-24069855</v>
      </c>
      <c r="BB34" s="19">
        <v>64253515</v>
      </c>
      <c r="BC34" s="19">
        <v>566976310</v>
      </c>
      <c r="BD34" s="19">
        <v>39233341</v>
      </c>
      <c r="BE34" s="19">
        <v>229892789</v>
      </c>
      <c r="BF34" s="19">
        <v>897661880</v>
      </c>
      <c r="BG34" s="19">
        <v>844033360</v>
      </c>
      <c r="BH34" s="19">
        <v>196112986</v>
      </c>
      <c r="BI34" s="19">
        <v>418479355</v>
      </c>
      <c r="BJ34" s="19">
        <v>129794044</v>
      </c>
      <c r="BK34" s="19">
        <v>95442323</v>
      </c>
      <c r="BL34" s="19">
        <v>117633278</v>
      </c>
      <c r="BM34" s="19">
        <v>74438926</v>
      </c>
      <c r="BN34" s="19">
        <v>101182075</v>
      </c>
      <c r="BO34" s="19">
        <v>156256915</v>
      </c>
      <c r="BP34" s="19">
        <v>22142631</v>
      </c>
      <c r="BQ34" s="19">
        <v>223654649</v>
      </c>
      <c r="BR34" s="19">
        <v>87178613</v>
      </c>
      <c r="BS34" s="19">
        <v>11454288</v>
      </c>
      <c r="BT34" s="19">
        <v>29231934</v>
      </c>
      <c r="BU34" s="19">
        <v>-60891534</v>
      </c>
      <c r="BV34" s="19">
        <v>238274857</v>
      </c>
      <c r="BW34" s="19">
        <v>18990597</v>
      </c>
      <c r="BX34" s="19">
        <v>114165300</v>
      </c>
      <c r="BY34" s="19">
        <v>-416808325</v>
      </c>
      <c r="BZ34" s="19">
        <v>113079984</v>
      </c>
      <c r="CA34" s="19">
        <v>75571535</v>
      </c>
      <c r="CB34" s="19">
        <v>100555081</v>
      </c>
      <c r="CC34" s="19">
        <v>-46567790</v>
      </c>
      <c r="CD34" s="19">
        <v>148634518</v>
      </c>
      <c r="CE34" s="19">
        <v>392669365</v>
      </c>
      <c r="CF34" s="19" t="s">
        <v>127</v>
      </c>
      <c r="CG34" s="19">
        <v>204336321</v>
      </c>
      <c r="CH34" s="19">
        <v>16564639</v>
      </c>
      <c r="CI34" s="19">
        <v>361452486</v>
      </c>
      <c r="CJ34" s="19">
        <v>64415574</v>
      </c>
      <c r="CK34" s="19">
        <v>789112305</v>
      </c>
      <c r="CL34" s="19">
        <v>228746362</v>
      </c>
      <c r="CM34" s="19">
        <v>865764208</v>
      </c>
      <c r="CN34" s="19">
        <v>26575227</v>
      </c>
      <c r="CO34" s="19">
        <v>283452803</v>
      </c>
      <c r="CP34" s="19">
        <v>195551422</v>
      </c>
      <c r="CQ34" s="19" t="s">
        <v>96</v>
      </c>
      <c r="CR34" s="19">
        <v>476897158</v>
      </c>
      <c r="CS34" s="19">
        <v>337105057</v>
      </c>
      <c r="CT34" s="19">
        <v>-295877667</v>
      </c>
      <c r="CU34" s="19">
        <v>425436960</v>
      </c>
      <c r="CV34" s="19" t="s">
        <v>89</v>
      </c>
      <c r="CW34" s="19">
        <v>1146913438</v>
      </c>
      <c r="CX34" s="19">
        <v>559978626</v>
      </c>
      <c r="CY34" s="19">
        <v>696194730</v>
      </c>
      <c r="CZ34" s="19">
        <v>79541450</v>
      </c>
      <c r="DA34" s="19">
        <v>30063036</v>
      </c>
      <c r="DB34" s="19">
        <v>225528777</v>
      </c>
      <c r="DC34" s="19">
        <v>2650771</v>
      </c>
      <c r="DD34" s="19">
        <v>30533919</v>
      </c>
      <c r="DE34" s="19">
        <v>132742314</v>
      </c>
      <c r="DF34" s="19">
        <v>22590172</v>
      </c>
      <c r="DG34" s="19">
        <v>220153948</v>
      </c>
      <c r="DH34" s="19">
        <v>-73284146</v>
      </c>
      <c r="DI34" s="19">
        <v>549896688</v>
      </c>
      <c r="DJ34" s="19">
        <v>5961433</v>
      </c>
      <c r="DK34" s="19">
        <v>212064137</v>
      </c>
      <c r="DL34" s="19">
        <v>26127562</v>
      </c>
      <c r="DM34" s="19">
        <v>373452996</v>
      </c>
      <c r="DN34" s="19">
        <v>11119846</v>
      </c>
      <c r="DO34" s="19">
        <v>76569513</v>
      </c>
      <c r="DP34" s="19">
        <v>157517713</v>
      </c>
      <c r="DQ34" s="19">
        <v>97302983</v>
      </c>
      <c r="DR34" s="19">
        <v>20868426</v>
      </c>
      <c r="DS34" s="19">
        <v>-119425172</v>
      </c>
      <c r="DT34" s="19">
        <v>174450082</v>
      </c>
      <c r="DU34" s="19">
        <v>104926360</v>
      </c>
      <c r="DV34" s="19">
        <v>302441333</v>
      </c>
      <c r="DW34" s="19">
        <v>48768895</v>
      </c>
      <c r="DX34" s="19">
        <v>72168497</v>
      </c>
      <c r="DY34" s="19">
        <v>75227224</v>
      </c>
      <c r="DZ34" s="19">
        <v>465200067</v>
      </c>
      <c r="EA34" s="19">
        <v>10447835</v>
      </c>
      <c r="EB34" s="19">
        <v>134251742</v>
      </c>
    </row>
    <row r="35" spans="1:132">
      <c r="A35" s="7" t="s">
        <v>98</v>
      </c>
      <c r="B35" s="8" t="s">
        <v>81</v>
      </c>
      <c r="C35" s="19">
        <v>150000000</v>
      </c>
      <c r="D35" s="19">
        <v>688602600</v>
      </c>
      <c r="E35" s="19">
        <v>117000000</v>
      </c>
      <c r="F35" s="19">
        <v>200000000</v>
      </c>
      <c r="G35" s="19">
        <v>30000000</v>
      </c>
      <c r="H35" s="19">
        <v>60279996</v>
      </c>
      <c r="I35" s="19">
        <v>439970000</v>
      </c>
      <c r="J35" s="19" t="s">
        <v>89</v>
      </c>
      <c r="K35" s="19">
        <v>1344144013</v>
      </c>
      <c r="L35" s="19">
        <v>90000000</v>
      </c>
      <c r="M35" s="19">
        <v>1372895591</v>
      </c>
      <c r="N35" s="19">
        <v>50000000</v>
      </c>
      <c r="O35" s="19">
        <v>1059782822</v>
      </c>
      <c r="P35" s="19">
        <v>1000658583</v>
      </c>
      <c r="Q35" s="19">
        <v>10000000</v>
      </c>
      <c r="R35" s="19">
        <v>60000000</v>
      </c>
      <c r="S35" s="19">
        <v>538889000</v>
      </c>
      <c r="T35" s="19">
        <v>90000000</v>
      </c>
      <c r="U35" s="19">
        <v>370000000</v>
      </c>
      <c r="V35" s="19">
        <v>110000000</v>
      </c>
      <c r="W35" s="19">
        <v>216190000</v>
      </c>
      <c r="X35" s="19">
        <v>100000000</v>
      </c>
      <c r="Y35" s="19">
        <v>110975000</v>
      </c>
      <c r="Z35" s="19">
        <v>200000000</v>
      </c>
      <c r="AA35" s="19">
        <v>250000000</v>
      </c>
      <c r="AB35" s="19">
        <v>89000000</v>
      </c>
      <c r="AC35" s="19">
        <v>30000000</v>
      </c>
      <c r="AD35" s="19">
        <v>170000000</v>
      </c>
      <c r="AE35" s="19">
        <v>20000000</v>
      </c>
      <c r="AF35" s="19">
        <v>10000000</v>
      </c>
      <c r="AG35" s="19">
        <v>1372895591</v>
      </c>
      <c r="AH35" s="19">
        <v>55320000</v>
      </c>
      <c r="AI35" s="19">
        <v>9100000</v>
      </c>
      <c r="AJ35" s="19">
        <v>328820000</v>
      </c>
      <c r="AK35" s="19">
        <v>60000000</v>
      </c>
      <c r="AL35" s="19">
        <v>90000000</v>
      </c>
      <c r="AM35" s="19">
        <v>1018970000</v>
      </c>
      <c r="AN35" s="19">
        <v>50000000</v>
      </c>
      <c r="AO35" s="19">
        <v>257280000</v>
      </c>
      <c r="AP35" s="19">
        <v>830000000</v>
      </c>
      <c r="AQ35" s="19">
        <v>62000000</v>
      </c>
      <c r="AR35" s="19">
        <v>50000000</v>
      </c>
      <c r="AS35" s="19">
        <v>50000000</v>
      </c>
      <c r="AT35" s="19">
        <v>200000000</v>
      </c>
      <c r="AU35" s="19">
        <v>250000000</v>
      </c>
      <c r="AV35" s="19">
        <v>143000000</v>
      </c>
      <c r="AW35" s="19">
        <v>5000000</v>
      </c>
      <c r="AX35" s="19">
        <v>700000000</v>
      </c>
      <c r="AY35" s="19">
        <v>208316555</v>
      </c>
      <c r="AZ35" s="19">
        <v>231950000</v>
      </c>
      <c r="BA35" s="19">
        <v>136000000</v>
      </c>
      <c r="BB35" s="19">
        <v>100000000</v>
      </c>
      <c r="BC35" s="19">
        <v>200000000</v>
      </c>
      <c r="BD35" s="19">
        <v>14290000</v>
      </c>
      <c r="BE35" s="19">
        <v>101000000</v>
      </c>
      <c r="BF35" s="19">
        <v>200000000</v>
      </c>
      <c r="BG35" s="19">
        <v>2200000000</v>
      </c>
      <c r="BH35" s="19">
        <v>147600000</v>
      </c>
      <c r="BI35" s="19">
        <v>25000000</v>
      </c>
      <c r="BJ35" s="19">
        <v>5000000</v>
      </c>
      <c r="BK35" s="19">
        <v>100000000</v>
      </c>
      <c r="BL35" s="19">
        <v>20000000</v>
      </c>
      <c r="BM35" s="19">
        <v>2450000</v>
      </c>
      <c r="BN35" s="19">
        <v>11250000</v>
      </c>
      <c r="BO35" s="19">
        <v>100000000</v>
      </c>
      <c r="BP35" s="19">
        <v>5000000</v>
      </c>
      <c r="BQ35" s="19">
        <v>5000000</v>
      </c>
      <c r="BR35" s="19">
        <v>1188000</v>
      </c>
      <c r="BS35" s="19">
        <v>41240000</v>
      </c>
      <c r="BT35" s="19">
        <v>27204662</v>
      </c>
      <c r="BU35" s="19">
        <v>25000000</v>
      </c>
      <c r="BV35" s="19">
        <v>50000000</v>
      </c>
      <c r="BW35" s="19">
        <v>270000</v>
      </c>
      <c r="BX35" s="19">
        <v>10000000</v>
      </c>
      <c r="BY35" s="19">
        <v>70000000</v>
      </c>
      <c r="BZ35" s="19">
        <v>10000000</v>
      </c>
      <c r="CA35" s="19">
        <v>80000000</v>
      </c>
      <c r="CB35" s="19">
        <v>10000000</v>
      </c>
      <c r="CC35" s="19">
        <v>9650000</v>
      </c>
      <c r="CD35" s="19">
        <v>105215000</v>
      </c>
      <c r="CE35" s="19">
        <v>50000000</v>
      </c>
      <c r="CF35" s="19" t="s">
        <v>127</v>
      </c>
      <c r="CG35" s="19">
        <v>89779170</v>
      </c>
      <c r="CH35" s="19">
        <v>5000000</v>
      </c>
      <c r="CI35" s="19">
        <v>186000000</v>
      </c>
      <c r="CJ35" s="19">
        <v>30000000</v>
      </c>
      <c r="CK35" s="19">
        <v>400000000</v>
      </c>
      <c r="CL35" s="19">
        <v>164000000</v>
      </c>
      <c r="CM35" s="19">
        <v>150000000</v>
      </c>
      <c r="CN35" s="19">
        <v>2000000</v>
      </c>
      <c r="CO35" s="19">
        <v>201460000</v>
      </c>
      <c r="CP35" s="19">
        <v>300000000</v>
      </c>
      <c r="CQ35" s="19" t="s">
        <v>96</v>
      </c>
      <c r="CR35" s="19">
        <v>210000000</v>
      </c>
      <c r="CS35" s="19">
        <v>108490000</v>
      </c>
      <c r="CT35" s="19">
        <v>238872000</v>
      </c>
      <c r="CU35" s="19">
        <v>34116217</v>
      </c>
      <c r="CV35" s="19" t="s">
        <v>89</v>
      </c>
      <c r="CW35" s="19">
        <v>1040050000</v>
      </c>
      <c r="CX35" s="19"/>
      <c r="CY35" s="19">
        <v>260000000</v>
      </c>
      <c r="CZ35" s="19">
        <v>50000000</v>
      </c>
      <c r="DA35" s="19">
        <v>10000000</v>
      </c>
      <c r="DB35" s="19">
        <v>50000000</v>
      </c>
      <c r="DC35" s="19">
        <v>5000000</v>
      </c>
      <c r="DD35" s="19">
        <v>50000000</v>
      </c>
      <c r="DE35" s="19">
        <v>10000000</v>
      </c>
      <c r="DF35" s="19">
        <v>40000000</v>
      </c>
      <c r="DG35" s="19">
        <v>150000000</v>
      </c>
      <c r="DH35" s="19">
        <v>272000000</v>
      </c>
      <c r="DI35" s="19">
        <v>500000000</v>
      </c>
      <c r="DJ35" s="19">
        <v>1000000</v>
      </c>
      <c r="DK35" s="19">
        <v>150500000</v>
      </c>
      <c r="DL35" s="19">
        <v>11050000</v>
      </c>
      <c r="DM35" s="19">
        <v>300000000</v>
      </c>
      <c r="DN35" s="19">
        <v>31350000</v>
      </c>
      <c r="DO35" s="19">
        <v>10000000</v>
      </c>
      <c r="DP35" s="19">
        <v>50000000</v>
      </c>
      <c r="DQ35" s="19">
        <v>50000000</v>
      </c>
      <c r="DR35" s="19">
        <v>20000000</v>
      </c>
      <c r="DS35" s="19">
        <v>3000000</v>
      </c>
      <c r="DT35" s="19">
        <v>50000000</v>
      </c>
      <c r="DU35" s="19">
        <v>13850000</v>
      </c>
      <c r="DV35" s="19">
        <v>0</v>
      </c>
      <c r="DW35" s="19">
        <v>32000000</v>
      </c>
      <c r="DX35" s="19">
        <v>50000000</v>
      </c>
      <c r="DY35" s="19">
        <v>60000000</v>
      </c>
      <c r="DZ35" s="19">
        <v>200000000</v>
      </c>
      <c r="EA35" s="19">
        <v>5000000</v>
      </c>
      <c r="EB35" s="19">
        <v>55000000</v>
      </c>
    </row>
    <row r="36" spans="1:132">
      <c r="A36" s="7" t="s">
        <v>98</v>
      </c>
      <c r="B36" s="8" t="s">
        <v>11</v>
      </c>
      <c r="C36" s="19">
        <v>0</v>
      </c>
      <c r="D36" s="19">
        <v>0</v>
      </c>
      <c r="E36" s="19">
        <v>0</v>
      </c>
      <c r="F36" s="19"/>
      <c r="G36" s="19">
        <v>0</v>
      </c>
      <c r="H36" s="19">
        <v>0</v>
      </c>
      <c r="I36" s="19">
        <v>0</v>
      </c>
      <c r="J36" s="19" t="s">
        <v>89</v>
      </c>
      <c r="K36" s="19">
        <v>0</v>
      </c>
      <c r="L36" s="19">
        <v>64083618</v>
      </c>
      <c r="M36" s="19">
        <v>0</v>
      </c>
      <c r="N36" s="19">
        <v>0</v>
      </c>
      <c r="O36" s="19">
        <v>0</v>
      </c>
      <c r="P36" s="19">
        <v>0</v>
      </c>
      <c r="Q36" s="19">
        <v>0</v>
      </c>
      <c r="R36" s="19">
        <v>0</v>
      </c>
      <c r="S36" s="19">
        <v>466862574</v>
      </c>
      <c r="T36" s="19">
        <v>0</v>
      </c>
      <c r="U36" s="19">
        <v>1530000000</v>
      </c>
      <c r="V36" s="19">
        <v>190000000</v>
      </c>
      <c r="W36" s="19">
        <v>354830100</v>
      </c>
      <c r="X36" s="19">
        <v>0</v>
      </c>
      <c r="Y36" s="19">
        <v>153650000</v>
      </c>
      <c r="Z36" s="19">
        <v>0</v>
      </c>
      <c r="AA36" s="19">
        <v>0</v>
      </c>
      <c r="AB36" s="19">
        <v>0</v>
      </c>
      <c r="AC36" s="19">
        <v>0</v>
      </c>
      <c r="AD36" s="19">
        <v>99580870</v>
      </c>
      <c r="AE36" s="19">
        <v>0</v>
      </c>
      <c r="AF36" s="19">
        <v>0</v>
      </c>
      <c r="AG36" s="19"/>
      <c r="AH36" s="19">
        <v>790076520</v>
      </c>
      <c r="AI36" s="19">
        <v>158400000</v>
      </c>
      <c r="AJ36" s="19">
        <v>0</v>
      </c>
      <c r="AK36" s="19"/>
      <c r="AL36" s="19">
        <v>0</v>
      </c>
      <c r="AM36" s="19">
        <v>1841412692</v>
      </c>
      <c r="AN36" s="19">
        <v>0</v>
      </c>
      <c r="AO36" s="19">
        <v>1088778740</v>
      </c>
      <c r="AP36" s="19">
        <v>0</v>
      </c>
      <c r="AQ36" s="19">
        <v>0</v>
      </c>
      <c r="AR36" s="19">
        <v>0</v>
      </c>
      <c r="AS36" s="19">
        <v>0</v>
      </c>
      <c r="AT36" s="19"/>
      <c r="AU36" s="19">
        <v>0</v>
      </c>
      <c r="AV36" s="19">
        <v>0</v>
      </c>
      <c r="AW36" s="19">
        <v>0</v>
      </c>
      <c r="AX36" s="19"/>
      <c r="AY36" s="19">
        <v>0</v>
      </c>
      <c r="AZ36" s="19">
        <v>23050000</v>
      </c>
      <c r="BA36" s="19">
        <v>0</v>
      </c>
      <c r="BB36" s="19">
        <v>0</v>
      </c>
      <c r="BC36" s="19"/>
      <c r="BD36" s="19">
        <v>45709950</v>
      </c>
      <c r="BE36" s="19">
        <v>69116628</v>
      </c>
      <c r="BF36" s="19">
        <v>0</v>
      </c>
      <c r="BG36" s="19"/>
      <c r="BH36" s="19"/>
      <c r="BI36" s="19">
        <v>0</v>
      </c>
      <c r="BJ36" s="19">
        <v>0</v>
      </c>
      <c r="BK36" s="19"/>
      <c r="BL36" s="19"/>
      <c r="BM36" s="19"/>
      <c r="BN36" s="19">
        <v>0</v>
      </c>
      <c r="BO36" s="19">
        <v>0</v>
      </c>
      <c r="BP36" s="19"/>
      <c r="BQ36" s="19">
        <v>0</v>
      </c>
      <c r="BR36" s="19">
        <v>39981396</v>
      </c>
      <c r="BS36" s="19">
        <v>0</v>
      </c>
      <c r="BT36" s="19"/>
      <c r="BU36" s="19">
        <v>0</v>
      </c>
      <c r="BV36" s="19">
        <v>0</v>
      </c>
      <c r="BW36" s="19">
        <v>0</v>
      </c>
      <c r="BX36" s="19">
        <v>0</v>
      </c>
      <c r="BY36" s="19">
        <v>57898253</v>
      </c>
      <c r="BZ36" s="19"/>
      <c r="CA36" s="19"/>
      <c r="CB36" s="19">
        <v>0</v>
      </c>
      <c r="CC36" s="19"/>
      <c r="CD36" s="19">
        <v>84647444</v>
      </c>
      <c r="CE36" s="19">
        <v>0</v>
      </c>
      <c r="CF36" s="19" t="s">
        <v>127</v>
      </c>
      <c r="CG36" s="19">
        <v>0</v>
      </c>
      <c r="CH36" s="19">
        <v>0</v>
      </c>
      <c r="CI36" s="19"/>
      <c r="CJ36" s="19"/>
      <c r="CK36" s="19">
        <v>0</v>
      </c>
      <c r="CL36" s="19">
        <v>0</v>
      </c>
      <c r="CM36" s="19"/>
      <c r="CN36" s="19"/>
      <c r="CO36" s="19">
        <v>0</v>
      </c>
      <c r="CP36" s="19"/>
      <c r="CQ36" s="19" t="s">
        <v>96</v>
      </c>
      <c r="CR36" s="19">
        <v>0</v>
      </c>
      <c r="CS36" s="19">
        <v>76410000</v>
      </c>
      <c r="CT36" s="19">
        <v>1111810728</v>
      </c>
      <c r="CU36" s="19"/>
      <c r="CV36" s="19" t="s">
        <v>89</v>
      </c>
      <c r="CW36" s="19"/>
      <c r="CX36" s="19"/>
      <c r="CY36" s="19">
        <v>0</v>
      </c>
      <c r="CZ36" s="19"/>
      <c r="DA36" s="19"/>
      <c r="DB36" s="19"/>
      <c r="DC36" s="19"/>
      <c r="DD36" s="19"/>
      <c r="DE36" s="19"/>
      <c r="DF36" s="19"/>
      <c r="DG36" s="19"/>
      <c r="DH36" s="19"/>
      <c r="DI36" s="19"/>
      <c r="DJ36" s="19">
        <v>0</v>
      </c>
      <c r="DK36" s="19"/>
      <c r="DL36" s="19">
        <v>70083000</v>
      </c>
      <c r="DM36" s="19"/>
      <c r="DN36" s="19"/>
      <c r="DO36" s="19"/>
      <c r="DP36" s="19"/>
      <c r="DQ36" s="19"/>
      <c r="DR36" s="19"/>
      <c r="DS36" s="19"/>
      <c r="DT36" s="19"/>
      <c r="DU36" s="19"/>
      <c r="DV36" s="19">
        <v>0</v>
      </c>
      <c r="DW36" s="19"/>
      <c r="DX36" s="19"/>
      <c r="DY36" s="19"/>
      <c r="DZ36" s="19"/>
      <c r="EA36" s="19"/>
      <c r="EB36" s="19"/>
    </row>
    <row r="37" spans="1:132">
      <c r="A37" s="7" t="s">
        <v>98</v>
      </c>
      <c r="B37" s="8" t="s">
        <v>31</v>
      </c>
      <c r="C37" s="19">
        <v>0</v>
      </c>
      <c r="D37" s="19">
        <v>0</v>
      </c>
      <c r="E37" s="19">
        <v>0</v>
      </c>
      <c r="F37" s="19"/>
      <c r="G37" s="19">
        <v>0</v>
      </c>
      <c r="H37" s="19">
        <v>0</v>
      </c>
      <c r="I37" s="19">
        <v>0</v>
      </c>
      <c r="J37" s="19" t="s">
        <v>89</v>
      </c>
      <c r="K37" s="19">
        <v>0</v>
      </c>
      <c r="L37" s="19">
        <v>-630240</v>
      </c>
      <c r="M37" s="19">
        <v>0</v>
      </c>
      <c r="N37" s="19">
        <v>0</v>
      </c>
      <c r="O37" s="19">
        <v>0</v>
      </c>
      <c r="P37" s="19">
        <v>0</v>
      </c>
      <c r="Q37" s="19">
        <v>0</v>
      </c>
      <c r="R37" s="19">
        <v>0</v>
      </c>
      <c r="S37" s="19">
        <v>0</v>
      </c>
      <c r="T37" s="19">
        <v>0</v>
      </c>
      <c r="U37" s="19">
        <v>0</v>
      </c>
      <c r="V37" s="19">
        <v>0</v>
      </c>
      <c r="W37" s="19">
        <v>0</v>
      </c>
      <c r="X37" s="19">
        <v>0</v>
      </c>
      <c r="Y37" s="19">
        <v>0</v>
      </c>
      <c r="Z37" s="19">
        <v>0</v>
      </c>
      <c r="AA37" s="19">
        <v>0</v>
      </c>
      <c r="AB37" s="19">
        <v>0</v>
      </c>
      <c r="AC37" s="19">
        <v>0</v>
      </c>
      <c r="AD37" s="19">
        <v>-372500</v>
      </c>
      <c r="AE37" s="19">
        <v>0</v>
      </c>
      <c r="AF37" s="19">
        <v>0</v>
      </c>
      <c r="AG37" s="19"/>
      <c r="AH37" s="19">
        <v>0</v>
      </c>
      <c r="AI37" s="19">
        <v>0</v>
      </c>
      <c r="AJ37" s="19">
        <v>0</v>
      </c>
      <c r="AK37" s="19"/>
      <c r="AL37" s="19">
        <v>0</v>
      </c>
      <c r="AM37" s="19">
        <v>0</v>
      </c>
      <c r="AN37" s="19">
        <v>0</v>
      </c>
      <c r="AO37" s="19"/>
      <c r="AP37" s="19">
        <v>0</v>
      </c>
      <c r="AQ37" s="19">
        <v>0</v>
      </c>
      <c r="AR37" s="19">
        <v>0</v>
      </c>
      <c r="AS37" s="19">
        <v>0</v>
      </c>
      <c r="AT37" s="19"/>
      <c r="AU37" s="19">
        <v>-3680980</v>
      </c>
      <c r="AV37" s="19">
        <v>0</v>
      </c>
      <c r="AW37" s="19">
        <v>0</v>
      </c>
      <c r="AX37" s="19"/>
      <c r="AY37" s="19">
        <v>0</v>
      </c>
      <c r="AZ37" s="19"/>
      <c r="BA37" s="19">
        <v>0</v>
      </c>
      <c r="BB37" s="19">
        <v>0</v>
      </c>
      <c r="BC37" s="19"/>
      <c r="BD37" s="19">
        <v>0</v>
      </c>
      <c r="BE37" s="19">
        <v>0</v>
      </c>
      <c r="BF37" s="19">
        <v>0</v>
      </c>
      <c r="BG37" s="19"/>
      <c r="BH37" s="19"/>
      <c r="BI37" s="19">
        <v>0</v>
      </c>
      <c r="BJ37" s="19">
        <v>0</v>
      </c>
      <c r="BK37" s="19">
        <v>-529000</v>
      </c>
      <c r="BL37" s="19"/>
      <c r="BM37" s="19"/>
      <c r="BN37" s="19">
        <v>0</v>
      </c>
      <c r="BO37" s="19">
        <v>0</v>
      </c>
      <c r="BP37" s="19"/>
      <c r="BQ37" s="19">
        <v>0</v>
      </c>
      <c r="BR37" s="19">
        <v>0</v>
      </c>
      <c r="BS37" s="19">
        <v>0</v>
      </c>
      <c r="BT37" s="19"/>
      <c r="BU37" s="19">
        <v>0</v>
      </c>
      <c r="BV37" s="19">
        <v>0</v>
      </c>
      <c r="BW37" s="19">
        <v>0</v>
      </c>
      <c r="BX37" s="19">
        <v>0</v>
      </c>
      <c r="BY37" s="19">
        <v>0</v>
      </c>
      <c r="BZ37" s="19"/>
      <c r="CA37" s="19"/>
      <c r="CB37" s="19">
        <v>0</v>
      </c>
      <c r="CC37" s="19"/>
      <c r="CD37" s="19">
        <v>0</v>
      </c>
      <c r="CE37" s="19">
        <v>0</v>
      </c>
      <c r="CF37" s="19" t="s">
        <v>127</v>
      </c>
      <c r="CG37" s="19">
        <v>0</v>
      </c>
      <c r="CH37" s="19">
        <v>0</v>
      </c>
      <c r="CI37" s="19"/>
      <c r="CJ37" s="19"/>
      <c r="CK37" s="19">
        <v>0</v>
      </c>
      <c r="CL37" s="19">
        <v>0</v>
      </c>
      <c r="CM37" s="19"/>
      <c r="CN37" s="19"/>
      <c r="CO37" s="19">
        <v>0</v>
      </c>
      <c r="CP37" s="19">
        <v>-1756240</v>
      </c>
      <c r="CQ37" s="19" t="s">
        <v>96</v>
      </c>
      <c r="CR37" s="19">
        <v>0</v>
      </c>
      <c r="CS37" s="19"/>
      <c r="CT37" s="19">
        <v>-2658720</v>
      </c>
      <c r="CU37" s="19"/>
      <c r="CV37" s="19" t="s">
        <v>89</v>
      </c>
      <c r="CW37" s="19"/>
      <c r="CX37" s="19"/>
      <c r="CY37" s="19">
        <v>0</v>
      </c>
      <c r="CZ37" s="19"/>
      <c r="DA37" s="19"/>
      <c r="DB37" s="19"/>
      <c r="DC37" s="19"/>
      <c r="DD37" s="19"/>
      <c r="DE37" s="19"/>
      <c r="DF37" s="19"/>
      <c r="DG37" s="19"/>
      <c r="DH37" s="19"/>
      <c r="DI37" s="19"/>
      <c r="DJ37" s="19">
        <v>0</v>
      </c>
      <c r="DK37" s="19"/>
      <c r="DL37" s="19"/>
      <c r="DM37" s="19"/>
      <c r="DN37" s="19"/>
      <c r="DO37" s="19"/>
      <c r="DP37" s="19"/>
      <c r="DQ37" s="19"/>
      <c r="DR37" s="19"/>
      <c r="DS37" s="19"/>
      <c r="DT37" s="19"/>
      <c r="DU37" s="19"/>
      <c r="DV37" s="19">
        <v>0</v>
      </c>
      <c r="DW37" s="19">
        <v>-353000</v>
      </c>
      <c r="DX37" s="19"/>
      <c r="DY37" s="19"/>
      <c r="DZ37" s="19"/>
      <c r="EA37" s="19"/>
      <c r="EB37" s="19"/>
    </row>
    <row r="38" spans="1:132">
      <c r="A38" s="7" t="s">
        <v>98</v>
      </c>
      <c r="B38" s="8" t="s">
        <v>56</v>
      </c>
      <c r="C38" s="19">
        <v>0</v>
      </c>
      <c r="D38" s="19">
        <v>0</v>
      </c>
      <c r="E38" s="19">
        <v>0</v>
      </c>
      <c r="F38" s="19"/>
      <c r="G38" s="19">
        <v>0</v>
      </c>
      <c r="H38" s="19">
        <v>0</v>
      </c>
      <c r="I38" s="19">
        <v>0</v>
      </c>
      <c r="J38" s="19" t="s">
        <v>89</v>
      </c>
      <c r="K38" s="19">
        <v>0</v>
      </c>
      <c r="L38" s="19">
        <v>0</v>
      </c>
      <c r="M38" s="19">
        <v>0</v>
      </c>
      <c r="N38" s="19">
        <v>0</v>
      </c>
      <c r="O38" s="19">
        <v>0</v>
      </c>
      <c r="P38" s="19">
        <v>0</v>
      </c>
      <c r="Q38" s="19">
        <v>0</v>
      </c>
      <c r="R38" s="19">
        <v>0</v>
      </c>
      <c r="S38" s="19">
        <v>0</v>
      </c>
      <c r="T38" s="19">
        <v>0</v>
      </c>
      <c r="U38" s="19">
        <v>0</v>
      </c>
      <c r="V38" s="19">
        <v>0</v>
      </c>
      <c r="W38" s="19">
        <v>0</v>
      </c>
      <c r="X38" s="19">
        <v>0</v>
      </c>
      <c r="Y38" s="19">
        <v>0</v>
      </c>
      <c r="Z38" s="19">
        <v>0</v>
      </c>
      <c r="AA38" s="19">
        <v>0</v>
      </c>
      <c r="AB38" s="19">
        <v>0</v>
      </c>
      <c r="AC38" s="19">
        <v>0</v>
      </c>
      <c r="AD38" s="19"/>
      <c r="AE38" s="19">
        <v>0</v>
      </c>
      <c r="AF38" s="19">
        <v>0</v>
      </c>
      <c r="AG38" s="19"/>
      <c r="AH38" s="19">
        <v>0</v>
      </c>
      <c r="AI38" s="19">
        <v>0</v>
      </c>
      <c r="AJ38" s="19">
        <v>0</v>
      </c>
      <c r="AK38" s="19"/>
      <c r="AL38" s="19">
        <v>0</v>
      </c>
      <c r="AM38" s="19">
        <v>0</v>
      </c>
      <c r="AN38" s="19">
        <v>0</v>
      </c>
      <c r="AO38" s="19"/>
      <c r="AP38" s="19">
        <v>0</v>
      </c>
      <c r="AQ38" s="19">
        <v>0</v>
      </c>
      <c r="AR38" s="19">
        <v>0</v>
      </c>
      <c r="AS38" s="19">
        <v>0</v>
      </c>
      <c r="AT38" s="19"/>
      <c r="AU38" s="19">
        <v>0</v>
      </c>
      <c r="AV38" s="19">
        <v>0</v>
      </c>
      <c r="AW38" s="19">
        <v>0</v>
      </c>
      <c r="AX38" s="19"/>
      <c r="AY38" s="19">
        <v>0</v>
      </c>
      <c r="AZ38" s="19"/>
      <c r="BA38" s="19">
        <v>0</v>
      </c>
      <c r="BB38" s="19">
        <v>0</v>
      </c>
      <c r="BC38" s="19"/>
      <c r="BD38" s="19">
        <v>0</v>
      </c>
      <c r="BE38" s="19">
        <v>0</v>
      </c>
      <c r="BF38" s="19">
        <v>0</v>
      </c>
      <c r="BG38" s="19"/>
      <c r="BH38" s="19"/>
      <c r="BI38" s="19">
        <v>0</v>
      </c>
      <c r="BJ38" s="19">
        <v>0</v>
      </c>
      <c r="BK38" s="19">
        <v>0</v>
      </c>
      <c r="BL38" s="19"/>
      <c r="BM38" s="19"/>
      <c r="BN38" s="19">
        <v>0</v>
      </c>
      <c r="BO38" s="19">
        <v>0</v>
      </c>
      <c r="BP38" s="19"/>
      <c r="BQ38" s="19">
        <v>0</v>
      </c>
      <c r="BR38" s="19">
        <v>0</v>
      </c>
      <c r="BS38" s="19">
        <v>0</v>
      </c>
      <c r="BT38" s="19"/>
      <c r="BU38" s="19">
        <v>0</v>
      </c>
      <c r="BV38" s="19">
        <v>0</v>
      </c>
      <c r="BW38" s="19">
        <v>0</v>
      </c>
      <c r="BX38" s="19"/>
      <c r="BY38" s="19">
        <v>0</v>
      </c>
      <c r="BZ38" s="19"/>
      <c r="CA38" s="19"/>
      <c r="CB38" s="19">
        <v>0</v>
      </c>
      <c r="CC38" s="19"/>
      <c r="CD38" s="19">
        <v>0</v>
      </c>
      <c r="CE38" s="19">
        <v>0</v>
      </c>
      <c r="CF38" s="19" t="s">
        <v>127</v>
      </c>
      <c r="CG38" s="19">
        <v>0</v>
      </c>
      <c r="CH38" s="19">
        <v>0</v>
      </c>
      <c r="CI38" s="19"/>
      <c r="CJ38" s="19"/>
      <c r="CK38" s="19">
        <v>371966060</v>
      </c>
      <c r="CL38" s="19">
        <v>0</v>
      </c>
      <c r="CM38" s="19"/>
      <c r="CN38" s="19"/>
      <c r="CO38" s="19">
        <v>0</v>
      </c>
      <c r="CP38" s="19">
        <v>0</v>
      </c>
      <c r="CQ38" s="19" t="s">
        <v>96</v>
      </c>
      <c r="CR38" s="19">
        <v>0</v>
      </c>
      <c r="CS38" s="19"/>
      <c r="CT38" s="19"/>
      <c r="CU38" s="19">
        <v>975257</v>
      </c>
      <c r="CV38" s="19" t="s">
        <v>89</v>
      </c>
      <c r="CW38" s="19"/>
      <c r="CX38" s="19"/>
      <c r="CY38" s="19">
        <v>0</v>
      </c>
      <c r="CZ38" s="19"/>
      <c r="DA38" s="19"/>
      <c r="DB38" s="19"/>
      <c r="DC38" s="19"/>
      <c r="DD38" s="19"/>
      <c r="DE38" s="19"/>
      <c r="DF38" s="19"/>
      <c r="DG38" s="19"/>
      <c r="DH38" s="19"/>
      <c r="DI38" s="19"/>
      <c r="DJ38" s="19">
        <v>0</v>
      </c>
      <c r="DK38" s="19"/>
      <c r="DL38" s="19"/>
      <c r="DM38" s="19"/>
      <c r="DN38" s="19"/>
      <c r="DO38" s="19"/>
      <c r="DP38" s="19"/>
      <c r="DQ38" s="19"/>
      <c r="DR38" s="19"/>
      <c r="DS38" s="19"/>
      <c r="DT38" s="19"/>
      <c r="DU38" s="19"/>
      <c r="DV38" s="19">
        <v>0</v>
      </c>
      <c r="DW38" s="19"/>
      <c r="DX38" s="19"/>
      <c r="DY38" s="19"/>
      <c r="DZ38" s="19"/>
      <c r="EA38" s="19"/>
      <c r="EB38" s="19"/>
    </row>
    <row r="39" spans="1:132">
      <c r="A39" s="7" t="s">
        <v>98</v>
      </c>
      <c r="B39" s="8" t="s">
        <v>82</v>
      </c>
      <c r="C39" s="19">
        <v>36938582</v>
      </c>
      <c r="D39" s="19">
        <v>581493258</v>
      </c>
      <c r="E39" s="19">
        <v>187245671</v>
      </c>
      <c r="F39" s="19">
        <v>520816089</v>
      </c>
      <c r="G39" s="19">
        <v>-2060361</v>
      </c>
      <c r="H39" s="19">
        <v>70349061</v>
      </c>
      <c r="I39" s="19">
        <v>137826839</v>
      </c>
      <c r="J39" s="19" t="s">
        <v>89</v>
      </c>
      <c r="K39" s="19">
        <v>-960084274</v>
      </c>
      <c r="L39" s="19">
        <v>-13147211</v>
      </c>
      <c r="M39" s="19">
        <v>-944762977</v>
      </c>
      <c r="N39" s="19">
        <v>230160612</v>
      </c>
      <c r="O39" s="19">
        <v>135175363</v>
      </c>
      <c r="P39" s="19">
        <v>286195878</v>
      </c>
      <c r="Q39" s="19">
        <v>62644423</v>
      </c>
      <c r="R39" s="19">
        <v>-58010749</v>
      </c>
      <c r="S39" s="19">
        <v>135026261</v>
      </c>
      <c r="T39" s="19">
        <v>-150712128</v>
      </c>
      <c r="U39" s="19">
        <v>85553357</v>
      </c>
      <c r="V39" s="19">
        <v>-461528777</v>
      </c>
      <c r="W39" s="19">
        <v>-416798772</v>
      </c>
      <c r="X39" s="19">
        <v>1868241020</v>
      </c>
      <c r="Y39" s="19">
        <v>159578471</v>
      </c>
      <c r="Z39" s="19">
        <v>-21932378</v>
      </c>
      <c r="AA39" s="19">
        <v>890408376</v>
      </c>
      <c r="AB39" s="19">
        <v>90134346</v>
      </c>
      <c r="AC39" s="19">
        <v>402204477</v>
      </c>
      <c r="AD39" s="19">
        <v>377437270</v>
      </c>
      <c r="AE39" s="19">
        <v>428576805</v>
      </c>
      <c r="AF39" s="19">
        <v>81736526</v>
      </c>
      <c r="AG39" s="19">
        <v>-943854013</v>
      </c>
      <c r="AH39" s="19">
        <v>100347495</v>
      </c>
      <c r="AI39" s="19">
        <v>-164149123</v>
      </c>
      <c r="AJ39" s="19">
        <v>203232015</v>
      </c>
      <c r="AK39" s="19">
        <v>665538348</v>
      </c>
      <c r="AL39" s="19">
        <v>-104641191</v>
      </c>
      <c r="AM39" s="19">
        <v>-3621222745</v>
      </c>
      <c r="AN39" s="19">
        <v>30823875</v>
      </c>
      <c r="AO39" s="19">
        <v>-1040611824</v>
      </c>
      <c r="AP39" s="19">
        <v>-228198216</v>
      </c>
      <c r="AQ39" s="19">
        <v>-125064668</v>
      </c>
      <c r="AR39" s="19">
        <v>23074735</v>
      </c>
      <c r="AS39" s="19">
        <v>74609982</v>
      </c>
      <c r="AT39" s="19">
        <v>163718152</v>
      </c>
      <c r="AU39" s="19">
        <v>-489773443</v>
      </c>
      <c r="AV39" s="19">
        <v>-94446133</v>
      </c>
      <c r="AW39" s="19">
        <v>8909305</v>
      </c>
      <c r="AX39" s="19">
        <v>-48789073</v>
      </c>
      <c r="AY39" s="19">
        <v>72600419</v>
      </c>
      <c r="AZ39" s="19">
        <v>24523675</v>
      </c>
      <c r="BA39" s="19">
        <v>-160069855</v>
      </c>
      <c r="BB39" s="19">
        <v>-35746485</v>
      </c>
      <c r="BC39" s="19">
        <v>366976310</v>
      </c>
      <c r="BD39" s="19">
        <v>-20766609</v>
      </c>
      <c r="BE39" s="19">
        <v>59776161</v>
      </c>
      <c r="BF39" s="19">
        <v>697661880</v>
      </c>
      <c r="BG39" s="19">
        <v>-1355966640</v>
      </c>
      <c r="BH39" s="19">
        <v>48512986</v>
      </c>
      <c r="BI39" s="19">
        <v>393479355</v>
      </c>
      <c r="BJ39" s="19">
        <v>124794044</v>
      </c>
      <c r="BK39" s="19">
        <v>-4028677</v>
      </c>
      <c r="BL39" s="19">
        <v>97633278</v>
      </c>
      <c r="BM39" s="19">
        <v>71988926</v>
      </c>
      <c r="BN39" s="19">
        <v>89932075</v>
      </c>
      <c r="BO39" s="19">
        <v>56256915</v>
      </c>
      <c r="BP39" s="19">
        <v>17142631</v>
      </c>
      <c r="BQ39" s="19">
        <v>218654649</v>
      </c>
      <c r="BR39" s="19">
        <v>46009217</v>
      </c>
      <c r="BS39" s="19">
        <v>-29785712</v>
      </c>
      <c r="BT39" s="19">
        <v>2027272</v>
      </c>
      <c r="BU39" s="19">
        <v>-85891534</v>
      </c>
      <c r="BV39" s="19">
        <v>188274857</v>
      </c>
      <c r="BW39" s="19">
        <v>18720597</v>
      </c>
      <c r="BX39" s="19">
        <v>104165300</v>
      </c>
      <c r="BY39" s="19">
        <v>-544706578</v>
      </c>
      <c r="BZ39" s="19">
        <v>103079984</v>
      </c>
      <c r="CA39" s="19">
        <v>-4428465</v>
      </c>
      <c r="CB39" s="19">
        <v>90555081</v>
      </c>
      <c r="CC39" s="19">
        <v>-56217790</v>
      </c>
      <c r="CD39" s="19">
        <v>-41227926</v>
      </c>
      <c r="CE39" s="19">
        <v>342669365</v>
      </c>
      <c r="CF39" s="19" t="s">
        <v>127</v>
      </c>
      <c r="CG39" s="19">
        <v>114557151</v>
      </c>
      <c r="CH39" s="19">
        <v>11564639</v>
      </c>
      <c r="CI39" s="19">
        <v>175452486</v>
      </c>
      <c r="CJ39" s="19">
        <v>34415574</v>
      </c>
      <c r="CK39" s="19">
        <v>17146245</v>
      </c>
      <c r="CL39" s="19">
        <v>64746362</v>
      </c>
      <c r="CM39" s="19">
        <v>715764208</v>
      </c>
      <c r="CN39" s="19">
        <v>24575227</v>
      </c>
      <c r="CO39" s="19">
        <v>81992803</v>
      </c>
      <c r="CP39" s="19">
        <v>-102692338</v>
      </c>
      <c r="CQ39" s="19" t="s">
        <v>96</v>
      </c>
      <c r="CR39" s="19">
        <v>266897158</v>
      </c>
      <c r="CS39" s="19">
        <v>152250507</v>
      </c>
      <c r="CT39" s="19">
        <v>-1643901675</v>
      </c>
      <c r="CU39" s="19">
        <v>390345486</v>
      </c>
      <c r="CV39" s="19" t="s">
        <v>89</v>
      </c>
      <c r="CW39" s="19">
        <v>106863438</v>
      </c>
      <c r="CX39" s="19"/>
      <c r="CY39" s="19">
        <v>436194730</v>
      </c>
      <c r="CZ39" s="19">
        <v>29541450</v>
      </c>
      <c r="DA39" s="19">
        <v>20063036</v>
      </c>
      <c r="DB39" s="19">
        <v>175528777</v>
      </c>
      <c r="DC39" s="19">
        <v>-2349229</v>
      </c>
      <c r="DD39" s="19">
        <v>-19466081</v>
      </c>
      <c r="DE39" s="19">
        <v>122742314</v>
      </c>
      <c r="DF39" s="19">
        <v>-17409828</v>
      </c>
      <c r="DG39" s="19">
        <v>70153948</v>
      </c>
      <c r="DH39" s="19">
        <v>-345284146</v>
      </c>
      <c r="DI39" s="19">
        <v>49896688</v>
      </c>
      <c r="DJ39" s="19">
        <v>4961433</v>
      </c>
      <c r="DK39" s="19">
        <v>61564137</v>
      </c>
      <c r="DL39" s="19">
        <v>-55005438</v>
      </c>
      <c r="DM39" s="19">
        <v>73452996</v>
      </c>
      <c r="DN39" s="19">
        <v>-20230154</v>
      </c>
      <c r="DO39" s="19">
        <v>66569513</v>
      </c>
      <c r="DP39" s="19">
        <v>107517713</v>
      </c>
      <c r="DQ39" s="19">
        <v>47302983</v>
      </c>
      <c r="DR39" s="19">
        <v>868426</v>
      </c>
      <c r="DS39" s="19">
        <v>-122425172</v>
      </c>
      <c r="DT39" s="19">
        <v>124450082</v>
      </c>
      <c r="DU39" s="19">
        <v>91076360</v>
      </c>
      <c r="DV39" s="19">
        <v>302441333</v>
      </c>
      <c r="DW39" s="19">
        <v>17121895</v>
      </c>
      <c r="DX39" s="19">
        <v>22168497</v>
      </c>
      <c r="DY39" s="19">
        <v>15227224</v>
      </c>
      <c r="DZ39" s="19">
        <v>265200067</v>
      </c>
      <c r="EA39" s="19">
        <v>5447835</v>
      </c>
      <c r="EB39" s="19">
        <v>79251742</v>
      </c>
    </row>
    <row r="40" spans="1:132">
      <c r="A40" s="9" t="s">
        <v>86</v>
      </c>
      <c r="B40" s="10" t="s">
        <v>85</v>
      </c>
      <c r="C40" s="19">
        <v>1011136285</v>
      </c>
      <c r="D40" s="19">
        <v>2880294568</v>
      </c>
      <c r="E40" s="19">
        <v>1149101298</v>
      </c>
      <c r="F40" s="19">
        <v>1971665649</v>
      </c>
      <c r="G40" s="19">
        <v>278662341</v>
      </c>
      <c r="H40" s="19">
        <v>2419170875</v>
      </c>
      <c r="I40" s="19">
        <v>4066455365</v>
      </c>
      <c r="J40" s="19" t="s">
        <v>89</v>
      </c>
      <c r="K40" s="19">
        <v>2861506246</v>
      </c>
      <c r="L40" s="19">
        <v>998507736</v>
      </c>
      <c r="M40" s="19">
        <v>2694877552</v>
      </c>
      <c r="N40" s="19">
        <v>863263336</v>
      </c>
      <c r="O40" s="19">
        <v>4111636000</v>
      </c>
      <c r="P40" s="19">
        <v>5511359214</v>
      </c>
      <c r="Q40" s="19">
        <v>616000709</v>
      </c>
      <c r="R40" s="19">
        <v>659843448</v>
      </c>
      <c r="S40" s="19">
        <v>1358018909</v>
      </c>
      <c r="T40" s="19">
        <v>162006109</v>
      </c>
      <c r="U40" s="19">
        <v>1504116148</v>
      </c>
      <c r="V40" s="19">
        <v>404639656</v>
      </c>
      <c r="W40" s="19">
        <v>3070342540</v>
      </c>
      <c r="X40" s="19">
        <v>2033735414</v>
      </c>
      <c r="Y40" s="19">
        <v>822236989</v>
      </c>
      <c r="Z40" s="19">
        <v>899902150</v>
      </c>
      <c r="AA40" s="19">
        <v>6114092893</v>
      </c>
      <c r="AB40" s="19">
        <v>1107977193</v>
      </c>
      <c r="AC40" s="19">
        <v>1529070788</v>
      </c>
      <c r="AD40" s="19">
        <v>1545363758</v>
      </c>
      <c r="AE40" s="19">
        <v>699117788</v>
      </c>
      <c r="AF40" s="19">
        <v>300917755</v>
      </c>
      <c r="AG40" s="19">
        <v>2694877552</v>
      </c>
      <c r="AH40" s="19">
        <v>685593156</v>
      </c>
      <c r="AI40" s="19">
        <v>450799584</v>
      </c>
      <c r="AJ40" s="19">
        <v>1193325160</v>
      </c>
      <c r="AK40" s="19">
        <v>3661196612</v>
      </c>
      <c r="AL40" s="19">
        <v>424074767</v>
      </c>
      <c r="AM40" s="19">
        <v>7434442081</v>
      </c>
      <c r="AN40" s="19">
        <v>238032908</v>
      </c>
      <c r="AO40" s="19">
        <v>0</v>
      </c>
      <c r="AP40" s="19">
        <v>635118282</v>
      </c>
      <c r="AQ40" s="19">
        <v>143345360</v>
      </c>
      <c r="AR40" s="19">
        <v>215275124</v>
      </c>
      <c r="AS40" s="19">
        <v>0</v>
      </c>
      <c r="AT40" s="19">
        <v>2901265859</v>
      </c>
      <c r="AU40" s="19">
        <v>595804107</v>
      </c>
      <c r="AV40" s="19">
        <v>124877485</v>
      </c>
      <c r="AW40" s="19">
        <v>275092011</v>
      </c>
      <c r="AX40" s="19">
        <v>523012184</v>
      </c>
      <c r="AY40" s="19">
        <v>881897751</v>
      </c>
      <c r="AZ40" s="19">
        <v>669271555</v>
      </c>
      <c r="BA40" s="19">
        <v>5400822489</v>
      </c>
      <c r="BB40" s="19">
        <v>108972472</v>
      </c>
      <c r="BC40" s="19">
        <v>3660933970</v>
      </c>
      <c r="BD40" s="19">
        <v>115560734</v>
      </c>
      <c r="BE40" s="19">
        <v>575338591</v>
      </c>
      <c r="BF40" s="19">
        <v>2379793548</v>
      </c>
      <c r="BG40" s="19">
        <v>2811660837</v>
      </c>
      <c r="BH40" s="19">
        <v>527006505</v>
      </c>
      <c r="BI40" s="19">
        <v>664820064</v>
      </c>
      <c r="BJ40" s="19">
        <v>820789944</v>
      </c>
      <c r="BK40" s="19">
        <v>734183988</v>
      </c>
      <c r="BL40" s="19">
        <v>435316418</v>
      </c>
      <c r="BM40" s="19">
        <v>373006864</v>
      </c>
      <c r="BN40" s="19">
        <v>527929278</v>
      </c>
      <c r="BO40" s="19">
        <v>1482748433</v>
      </c>
      <c r="BP40" s="19">
        <v>175652693</v>
      </c>
      <c r="BQ40" s="19">
        <v>345096664</v>
      </c>
      <c r="BR40" s="19">
        <v>163290847</v>
      </c>
      <c r="BS40" s="19">
        <v>114627287</v>
      </c>
      <c r="BT40" s="19">
        <v>152220673</v>
      </c>
      <c r="BU40" s="19">
        <v>142845171</v>
      </c>
      <c r="BV40" s="19">
        <v>290355469</v>
      </c>
      <c r="BW40" s="19">
        <v>528761860</v>
      </c>
      <c r="BX40" s="19">
        <v>755658788</v>
      </c>
      <c r="BY40" s="19">
        <v>4074785876</v>
      </c>
      <c r="BZ40" s="19">
        <v>811810714</v>
      </c>
      <c r="CA40" s="19">
        <v>490303809</v>
      </c>
      <c r="CB40" s="19">
        <v>743682654</v>
      </c>
      <c r="CC40" s="19">
        <v>1421323160</v>
      </c>
      <c r="CD40" s="19">
        <v>1285889539</v>
      </c>
      <c r="CE40" s="19">
        <v>510205276</v>
      </c>
      <c r="CF40" s="19" t="s">
        <v>127</v>
      </c>
      <c r="CG40" s="19">
        <v>1111304908</v>
      </c>
      <c r="CH40" s="19">
        <v>46918234</v>
      </c>
      <c r="CI40" s="19">
        <v>1403121481</v>
      </c>
      <c r="CJ40" s="19">
        <v>281626753</v>
      </c>
      <c r="CK40" s="19">
        <v>1747681559</v>
      </c>
      <c r="CL40" s="19">
        <v>397034469</v>
      </c>
      <c r="CM40" s="19">
        <v>4738934344</v>
      </c>
      <c r="CN40" s="19">
        <v>192210277</v>
      </c>
      <c r="CO40" s="19">
        <v>468783278</v>
      </c>
      <c r="CP40" s="19">
        <v>2113887238</v>
      </c>
      <c r="CQ40" s="19" t="s">
        <v>96</v>
      </c>
      <c r="CR40" s="19">
        <v>2396819305</v>
      </c>
      <c r="CS40" s="19">
        <v>321045454</v>
      </c>
      <c r="CT40" s="19">
        <v>76439636</v>
      </c>
      <c r="CU40" s="19">
        <v>1189554588</v>
      </c>
      <c r="CV40" s="19" t="s">
        <v>89</v>
      </c>
      <c r="CW40" s="19">
        <v>965018299</v>
      </c>
      <c r="CX40" s="19">
        <v>524008412</v>
      </c>
      <c r="CY40" s="19">
        <v>7570539223</v>
      </c>
      <c r="CZ40" s="19">
        <v>650120983</v>
      </c>
      <c r="DA40" s="19">
        <v>147279277</v>
      </c>
      <c r="DB40" s="19">
        <v>885727137</v>
      </c>
      <c r="DC40" s="19">
        <v>102230747</v>
      </c>
      <c r="DD40" s="19">
        <v>198897218</v>
      </c>
      <c r="DE40" s="19">
        <v>1205099467</v>
      </c>
      <c r="DF40" s="19">
        <v>52791557</v>
      </c>
      <c r="DG40" s="19">
        <v>416457264</v>
      </c>
      <c r="DH40" s="19">
        <v>343678575</v>
      </c>
      <c r="DI40" s="19">
        <v>2207647582</v>
      </c>
      <c r="DJ40" s="19">
        <v>203204898</v>
      </c>
      <c r="DK40" s="19">
        <v>1202910799</v>
      </c>
      <c r="DL40" s="19">
        <v>140528066</v>
      </c>
      <c r="DM40" s="19">
        <v>2614462036</v>
      </c>
      <c r="DN40" s="19">
        <v>384200535</v>
      </c>
      <c r="DO40" s="19">
        <v>515501438</v>
      </c>
      <c r="DP40" s="19">
        <v>1510656506</v>
      </c>
      <c r="DQ40" s="19">
        <v>502971849</v>
      </c>
      <c r="DR40" s="19">
        <v>25224688</v>
      </c>
      <c r="DS40" s="19">
        <v>435908226</v>
      </c>
      <c r="DT40" s="19">
        <v>727403335</v>
      </c>
      <c r="DU40" s="19">
        <v>283783238</v>
      </c>
      <c r="DV40" s="19" t="s">
        <v>89</v>
      </c>
      <c r="DW40" s="19">
        <v>316094031</v>
      </c>
      <c r="DX40" s="19">
        <v>251592553</v>
      </c>
      <c r="DY40" s="19">
        <v>389477698</v>
      </c>
      <c r="DZ40" s="19">
        <v>1710772380</v>
      </c>
      <c r="EA40" s="19">
        <v>218624462</v>
      </c>
      <c r="EB40" s="19">
        <v>2374887914</v>
      </c>
    </row>
    <row r="41" spans="1:132">
      <c r="A41" s="9" t="s">
        <v>86</v>
      </c>
      <c r="B41" s="15" t="s">
        <v>12</v>
      </c>
      <c r="C41" s="19"/>
      <c r="D41" s="19"/>
      <c r="E41" s="19"/>
      <c r="F41" s="19">
        <v>40627301</v>
      </c>
      <c r="G41" s="19"/>
      <c r="H41" s="19"/>
      <c r="I41" s="19"/>
      <c r="J41" s="19" t="s">
        <v>89</v>
      </c>
      <c r="K41" s="19"/>
      <c r="L41" s="19"/>
      <c r="M41" s="19"/>
      <c r="N41" s="19"/>
      <c r="O41" s="19"/>
      <c r="P41" s="19"/>
      <c r="Q41" s="19"/>
      <c r="R41" s="19">
        <v>112838532</v>
      </c>
      <c r="S41" s="19">
        <v>35366984</v>
      </c>
      <c r="T41" s="19"/>
      <c r="U41" s="19">
        <v>9025699</v>
      </c>
      <c r="V41" s="19"/>
      <c r="W41" s="19"/>
      <c r="X41" s="19"/>
      <c r="Y41" s="19"/>
      <c r="Z41" s="19"/>
      <c r="AA41" s="19"/>
      <c r="AB41" s="19"/>
      <c r="AC41" s="19">
        <v>119388413</v>
      </c>
      <c r="AD41" s="19"/>
      <c r="AE41" s="19"/>
      <c r="AF41" s="19"/>
      <c r="AG41" s="19"/>
      <c r="AH41" s="19"/>
      <c r="AI41" s="19">
        <v>348274039</v>
      </c>
      <c r="AJ41" s="19">
        <v>1193325160</v>
      </c>
      <c r="AK41" s="19">
        <v>2576338779</v>
      </c>
      <c r="AL41" s="19">
        <v>139921449</v>
      </c>
      <c r="AM41" s="19">
        <v>413977267</v>
      </c>
      <c r="AN41" s="19"/>
      <c r="AO41" s="19" t="s">
        <v>107</v>
      </c>
      <c r="AP41" s="19">
        <v>218402238</v>
      </c>
      <c r="AQ41" s="19"/>
      <c r="AR41" s="19">
        <v>215275124</v>
      </c>
      <c r="AS41" s="19" t="s">
        <v>107</v>
      </c>
      <c r="AT41" s="19"/>
      <c r="AU41" s="19"/>
      <c r="AV41" s="19"/>
      <c r="AW41" s="19"/>
      <c r="AX41" s="19"/>
      <c r="AY41" s="19"/>
      <c r="AZ41" s="19"/>
      <c r="BA41" s="19"/>
      <c r="BB41" s="19"/>
      <c r="BC41" s="19">
        <v>441572276</v>
      </c>
      <c r="BD41" s="19">
        <v>32595237</v>
      </c>
      <c r="BE41" s="19"/>
      <c r="BF41" s="19">
        <v>803454542</v>
      </c>
      <c r="BG41" s="19">
        <v>260041764</v>
      </c>
      <c r="BH41" s="19">
        <v>50548464</v>
      </c>
      <c r="BI41" s="19">
        <v>664820064</v>
      </c>
      <c r="BJ41" s="19">
        <v>212075863</v>
      </c>
      <c r="BK41" s="19"/>
      <c r="BL41" s="19"/>
      <c r="BM41" s="19"/>
      <c r="BN41" s="19"/>
      <c r="BO41" s="19">
        <v>1324820145</v>
      </c>
      <c r="BP41" s="19"/>
      <c r="BQ41" s="19"/>
      <c r="BR41" s="19">
        <v>101126030</v>
      </c>
      <c r="BS41" s="19">
        <v>85634147</v>
      </c>
      <c r="BT41" s="19">
        <v>54526212</v>
      </c>
      <c r="BU41" s="19"/>
      <c r="BV41" s="19"/>
      <c r="BW41" s="19"/>
      <c r="BX41" s="19"/>
      <c r="BY41" s="19">
        <v>3794777249</v>
      </c>
      <c r="BZ41" s="19">
        <v>811810714</v>
      </c>
      <c r="CA41" s="19"/>
      <c r="CB41" s="19">
        <v>215789226</v>
      </c>
      <c r="CC41" s="19">
        <v>5700000</v>
      </c>
      <c r="CD41" s="19"/>
      <c r="CE41" s="19"/>
      <c r="CF41" s="19" t="s">
        <v>127</v>
      </c>
      <c r="CG41" s="19"/>
      <c r="CH41" s="19">
        <v>46918234</v>
      </c>
      <c r="CI41" s="19"/>
      <c r="CJ41" s="19">
        <v>4529044</v>
      </c>
      <c r="CK41" s="19"/>
      <c r="CL41" s="19"/>
      <c r="CM41" s="19"/>
      <c r="CN41" s="19"/>
      <c r="CO41" s="19"/>
      <c r="CP41" s="19"/>
      <c r="CQ41" s="19" t="s">
        <v>96</v>
      </c>
      <c r="CR41" s="19"/>
      <c r="CS41" s="19">
        <v>321045454</v>
      </c>
      <c r="CT41" s="19"/>
      <c r="CU41" s="19"/>
      <c r="CV41" s="19" t="s">
        <v>89</v>
      </c>
      <c r="CW41" s="19"/>
      <c r="CX41" s="19"/>
      <c r="CY41" s="19"/>
      <c r="CZ41" s="19"/>
      <c r="DA41" s="19"/>
      <c r="DB41" s="19"/>
      <c r="DC41" s="19"/>
      <c r="DD41" s="19">
        <v>22051379</v>
      </c>
      <c r="DE41" s="19"/>
      <c r="DF41" s="19"/>
      <c r="DG41" s="19"/>
      <c r="DH41" s="19">
        <v>7625457</v>
      </c>
      <c r="DI41" s="19">
        <v>53574047</v>
      </c>
      <c r="DJ41" s="19"/>
      <c r="DK41" s="19">
        <v>677841454</v>
      </c>
      <c r="DL41" s="19"/>
      <c r="DM41" s="19">
        <v>2592934763</v>
      </c>
      <c r="DN41" s="19"/>
      <c r="DO41" s="19"/>
      <c r="DP41" s="19"/>
      <c r="DQ41" s="19"/>
      <c r="DR41" s="19"/>
      <c r="DS41" s="19"/>
      <c r="DT41" s="19">
        <v>97598813</v>
      </c>
      <c r="DU41" s="19"/>
      <c r="DV41" s="19" t="s">
        <v>89</v>
      </c>
      <c r="DW41" s="19">
        <v>67469799</v>
      </c>
      <c r="DX41" s="19"/>
      <c r="DY41" s="19"/>
      <c r="DZ41" s="19"/>
      <c r="EA41" s="19"/>
      <c r="EB41" s="19"/>
    </row>
    <row r="42" spans="1:132">
      <c r="A42" s="9" t="s">
        <v>86</v>
      </c>
      <c r="B42" s="15" t="s">
        <v>22</v>
      </c>
      <c r="C42" s="19"/>
      <c r="D42" s="19"/>
      <c r="E42" s="19">
        <v>99494521</v>
      </c>
      <c r="F42" s="19"/>
      <c r="G42" s="19"/>
      <c r="H42" s="19"/>
      <c r="I42" s="19"/>
      <c r="J42" s="19" t="s">
        <v>89</v>
      </c>
      <c r="K42" s="19">
        <v>2861506246</v>
      </c>
      <c r="L42" s="19">
        <v>998507736</v>
      </c>
      <c r="M42" s="19"/>
      <c r="N42" s="19">
        <v>697412427</v>
      </c>
      <c r="O42" s="19"/>
      <c r="P42" s="19"/>
      <c r="Q42" s="19">
        <v>373650718</v>
      </c>
      <c r="R42" s="19">
        <v>547004916</v>
      </c>
      <c r="S42" s="19">
        <v>1322651925</v>
      </c>
      <c r="T42" s="19"/>
      <c r="U42" s="19"/>
      <c r="V42" s="19">
        <v>399046202</v>
      </c>
      <c r="W42" s="19"/>
      <c r="X42" s="19"/>
      <c r="Y42" s="19"/>
      <c r="Z42" s="19"/>
      <c r="AA42" s="19">
        <v>6114092893</v>
      </c>
      <c r="AB42" s="19"/>
      <c r="AC42" s="19">
        <v>1388561195</v>
      </c>
      <c r="AD42" s="19">
        <v>1545363758</v>
      </c>
      <c r="AE42" s="19">
        <v>186154553</v>
      </c>
      <c r="AF42" s="19"/>
      <c r="AG42" s="19"/>
      <c r="AH42" s="19"/>
      <c r="AI42" s="19"/>
      <c r="AJ42" s="19"/>
      <c r="AK42" s="19">
        <v>854777708</v>
      </c>
      <c r="AL42" s="19"/>
      <c r="AM42" s="19"/>
      <c r="AN42" s="19">
        <v>2540908</v>
      </c>
      <c r="AO42" s="19"/>
      <c r="AP42" s="19"/>
      <c r="AQ42" s="19"/>
      <c r="AR42" s="19"/>
      <c r="AS42" s="19"/>
      <c r="AT42" s="19"/>
      <c r="AU42" s="19"/>
      <c r="AV42" s="19"/>
      <c r="AW42" s="19">
        <v>271342011</v>
      </c>
      <c r="AX42" s="19"/>
      <c r="AY42" s="19">
        <v>433724897</v>
      </c>
      <c r="AZ42" s="19">
        <v>669271555</v>
      </c>
      <c r="BA42" s="19"/>
      <c r="BB42" s="19"/>
      <c r="BC42" s="19">
        <v>396064364</v>
      </c>
      <c r="BD42" s="19"/>
      <c r="BE42" s="19">
        <v>575338591</v>
      </c>
      <c r="BF42" s="19">
        <v>1576339006</v>
      </c>
      <c r="BG42" s="19">
        <v>2032131103</v>
      </c>
      <c r="BH42" s="19">
        <v>476458041</v>
      </c>
      <c r="BI42" s="19"/>
      <c r="BJ42" s="19">
        <v>492189458</v>
      </c>
      <c r="BK42" s="19">
        <v>387529445</v>
      </c>
      <c r="BL42" s="19"/>
      <c r="BM42" s="19">
        <v>373006864</v>
      </c>
      <c r="BN42" s="19"/>
      <c r="BO42" s="19">
        <v>157928288</v>
      </c>
      <c r="BP42" s="19"/>
      <c r="BQ42" s="19">
        <v>345096664</v>
      </c>
      <c r="BR42" s="19"/>
      <c r="BS42" s="19"/>
      <c r="BT42" s="19"/>
      <c r="BU42" s="19">
        <v>142845171</v>
      </c>
      <c r="BV42" s="19"/>
      <c r="BW42" s="19"/>
      <c r="BX42" s="19"/>
      <c r="BY42" s="19">
        <v>176182502</v>
      </c>
      <c r="BZ42" s="19"/>
      <c r="CA42" s="19"/>
      <c r="CB42" s="19"/>
      <c r="CC42" s="19"/>
      <c r="CD42" s="19">
        <v>1285889539</v>
      </c>
      <c r="CE42" s="19">
        <v>510205276</v>
      </c>
      <c r="CF42" s="19" t="s">
        <v>127</v>
      </c>
      <c r="CG42" s="19"/>
      <c r="CH42" s="19"/>
      <c r="CI42" s="19">
        <v>1403121481</v>
      </c>
      <c r="CJ42" s="19">
        <v>277097709</v>
      </c>
      <c r="CK42" s="19">
        <v>1747681559</v>
      </c>
      <c r="CL42" s="19">
        <v>397034469</v>
      </c>
      <c r="CM42" s="19"/>
      <c r="CN42" s="19"/>
      <c r="CO42" s="19"/>
      <c r="CP42" s="19"/>
      <c r="CQ42" s="19" t="s">
        <v>96</v>
      </c>
      <c r="CR42" s="19"/>
      <c r="CS42" s="19"/>
      <c r="CT42" s="19"/>
      <c r="CU42" s="19"/>
      <c r="CV42" s="19" t="s">
        <v>89</v>
      </c>
      <c r="CW42" s="19"/>
      <c r="CX42" s="19"/>
      <c r="CY42" s="19"/>
      <c r="CZ42" s="19"/>
      <c r="DA42" s="19"/>
      <c r="DB42" s="19">
        <v>774959030</v>
      </c>
      <c r="DC42" s="19"/>
      <c r="DD42" s="19"/>
      <c r="DE42" s="19"/>
      <c r="DF42" s="19"/>
      <c r="DG42" s="19"/>
      <c r="DH42" s="19">
        <v>2560500</v>
      </c>
      <c r="DI42" s="19">
        <v>2129473535</v>
      </c>
      <c r="DJ42" s="19"/>
      <c r="DK42" s="19">
        <v>309859331</v>
      </c>
      <c r="DL42" s="19"/>
      <c r="DM42" s="19"/>
      <c r="DN42" s="19">
        <v>330700535</v>
      </c>
      <c r="DO42" s="19"/>
      <c r="DP42" s="19">
        <v>1510656506</v>
      </c>
      <c r="DQ42" s="19">
        <v>502971849</v>
      </c>
      <c r="DR42" s="19">
        <v>25224688</v>
      </c>
      <c r="DS42" s="19"/>
      <c r="DT42" s="19"/>
      <c r="DU42" s="19"/>
      <c r="DV42" s="19" t="s">
        <v>89</v>
      </c>
      <c r="DW42" s="19">
        <v>248624232</v>
      </c>
      <c r="DX42" s="19"/>
      <c r="DY42" s="19"/>
      <c r="DZ42" s="19"/>
      <c r="EA42" s="19"/>
      <c r="EB42" s="19"/>
    </row>
    <row r="43" spans="1:132">
      <c r="A43" s="9" t="s">
        <v>86</v>
      </c>
      <c r="B43" s="15" t="s">
        <v>28</v>
      </c>
      <c r="C43" s="19">
        <v>1011136285</v>
      </c>
      <c r="D43" s="19"/>
      <c r="E43" s="19"/>
      <c r="F43" s="19">
        <v>1931038348</v>
      </c>
      <c r="G43" s="19"/>
      <c r="H43" s="19"/>
      <c r="I43" s="19">
        <v>4066455365</v>
      </c>
      <c r="J43" s="19" t="s">
        <v>89</v>
      </c>
      <c r="K43" s="19"/>
      <c r="L43" s="19"/>
      <c r="M43" s="19"/>
      <c r="N43" s="19"/>
      <c r="O43" s="19"/>
      <c r="P43" s="19"/>
      <c r="Q43" s="19">
        <v>242349991</v>
      </c>
      <c r="R43" s="19"/>
      <c r="S43" s="19"/>
      <c r="T43" s="19"/>
      <c r="U43" s="19">
        <v>180542408</v>
      </c>
      <c r="V43" s="19">
        <v>5593454</v>
      </c>
      <c r="W43" s="19">
        <v>184975003</v>
      </c>
      <c r="X43" s="19"/>
      <c r="Y43" s="19">
        <v>125776328</v>
      </c>
      <c r="Z43" s="19">
        <v>899902150</v>
      </c>
      <c r="AA43" s="19"/>
      <c r="AB43" s="19">
        <v>1107977193</v>
      </c>
      <c r="AC43" s="19">
        <v>21121180</v>
      </c>
      <c r="AD43" s="19"/>
      <c r="AE43" s="19">
        <v>220869628</v>
      </c>
      <c r="AF43" s="19">
        <v>240571199</v>
      </c>
      <c r="AG43" s="19"/>
      <c r="AH43" s="19">
        <v>683633156</v>
      </c>
      <c r="AI43" s="19"/>
      <c r="AJ43" s="19"/>
      <c r="AK43" s="19"/>
      <c r="AL43" s="19">
        <v>282323265</v>
      </c>
      <c r="AM43" s="19">
        <v>7020464814</v>
      </c>
      <c r="AN43" s="19">
        <v>235492000</v>
      </c>
      <c r="AO43" s="19"/>
      <c r="AP43" s="19">
        <v>373213484</v>
      </c>
      <c r="AQ43" s="19"/>
      <c r="AR43" s="19"/>
      <c r="AS43" s="19"/>
      <c r="AT43" s="19">
        <v>2883331636</v>
      </c>
      <c r="AU43" s="19"/>
      <c r="AV43" s="19"/>
      <c r="AW43" s="19"/>
      <c r="AX43" s="19"/>
      <c r="AY43" s="19"/>
      <c r="AZ43" s="19"/>
      <c r="BA43" s="19">
        <v>38705001</v>
      </c>
      <c r="BB43" s="19">
        <v>108972472</v>
      </c>
      <c r="BC43" s="19"/>
      <c r="BD43" s="19"/>
      <c r="BE43" s="19"/>
      <c r="BF43" s="19"/>
      <c r="BG43" s="19"/>
      <c r="BH43" s="19"/>
      <c r="BI43" s="19"/>
      <c r="BJ43" s="19">
        <v>56334623</v>
      </c>
      <c r="BK43" s="19"/>
      <c r="BL43" s="19"/>
      <c r="BM43" s="19"/>
      <c r="BN43" s="19"/>
      <c r="BO43" s="19"/>
      <c r="BP43" s="19">
        <v>175652693</v>
      </c>
      <c r="BQ43" s="19"/>
      <c r="BR43" s="19">
        <v>62164817</v>
      </c>
      <c r="BS43" s="19"/>
      <c r="BT43" s="19">
        <v>40410544</v>
      </c>
      <c r="BU43" s="19"/>
      <c r="BV43" s="19"/>
      <c r="BW43" s="19">
        <v>528761860</v>
      </c>
      <c r="BX43" s="19">
        <v>273636363</v>
      </c>
      <c r="BY43" s="19"/>
      <c r="BZ43" s="19"/>
      <c r="CA43" s="19">
        <v>436150774</v>
      </c>
      <c r="CB43" s="19">
        <v>527893428</v>
      </c>
      <c r="CC43" s="19"/>
      <c r="CD43" s="19"/>
      <c r="CE43" s="19"/>
      <c r="CF43" s="19" t="s">
        <v>127</v>
      </c>
      <c r="CG43" s="19">
        <v>1091624788</v>
      </c>
      <c r="CH43" s="19"/>
      <c r="CI43" s="19"/>
      <c r="CJ43" s="19"/>
      <c r="CK43" s="19"/>
      <c r="CL43" s="19"/>
      <c r="CM43" s="19">
        <v>14955000</v>
      </c>
      <c r="CN43" s="19"/>
      <c r="CO43" s="19">
        <v>13394000</v>
      </c>
      <c r="CP43" s="19">
        <v>2113887238</v>
      </c>
      <c r="CQ43" s="19" t="s">
        <v>96</v>
      </c>
      <c r="CR43" s="19"/>
      <c r="CS43" s="19"/>
      <c r="CT43" s="19">
        <v>76439636</v>
      </c>
      <c r="CU43" s="19">
        <v>1189554588</v>
      </c>
      <c r="CV43" s="19" t="s">
        <v>89</v>
      </c>
      <c r="CW43" s="19"/>
      <c r="CX43" s="19"/>
      <c r="CY43" s="19"/>
      <c r="CZ43" s="19"/>
      <c r="DA43" s="19">
        <v>147279277</v>
      </c>
      <c r="DB43" s="19"/>
      <c r="DC43" s="19">
        <v>102230747</v>
      </c>
      <c r="DD43" s="19"/>
      <c r="DE43" s="19"/>
      <c r="DF43" s="19"/>
      <c r="DG43" s="19"/>
      <c r="DH43" s="19">
        <v>333492618</v>
      </c>
      <c r="DI43" s="19"/>
      <c r="DJ43" s="19">
        <v>82398198</v>
      </c>
      <c r="DK43" s="19">
        <v>32387277</v>
      </c>
      <c r="DL43" s="19">
        <v>140528066</v>
      </c>
      <c r="DM43" s="19">
        <v>21527273</v>
      </c>
      <c r="DN43" s="19"/>
      <c r="DO43" s="19">
        <v>515501438</v>
      </c>
      <c r="DP43" s="19"/>
      <c r="DQ43" s="19"/>
      <c r="DR43" s="19"/>
      <c r="DS43" s="19"/>
      <c r="DT43" s="19">
        <v>629804522</v>
      </c>
      <c r="DU43" s="19"/>
      <c r="DV43" s="19" t="s">
        <v>89</v>
      </c>
      <c r="DW43" s="19"/>
      <c r="DX43" s="19">
        <v>251592553</v>
      </c>
      <c r="DY43" s="19"/>
      <c r="DZ43" s="19"/>
      <c r="EA43" s="19"/>
      <c r="EB43" s="19"/>
    </row>
    <row r="44" spans="1:132">
      <c r="A44" s="9" t="s">
        <v>86</v>
      </c>
      <c r="B44" s="15" t="s">
        <v>24</v>
      </c>
      <c r="C44" s="19"/>
      <c r="D44" s="19">
        <v>2880294568</v>
      </c>
      <c r="E44" s="19">
        <v>1049606777</v>
      </c>
      <c r="F44" s="19"/>
      <c r="G44" s="19">
        <v>278662341</v>
      </c>
      <c r="H44" s="19"/>
      <c r="I44" s="19"/>
      <c r="J44" s="19" t="s">
        <v>89</v>
      </c>
      <c r="K44" s="19"/>
      <c r="L44" s="19"/>
      <c r="M44" s="19">
        <v>2694877552</v>
      </c>
      <c r="N44" s="19">
        <v>165850909</v>
      </c>
      <c r="O44" s="19">
        <v>4111636000</v>
      </c>
      <c r="P44" s="19">
        <v>5511359214</v>
      </c>
      <c r="Q44" s="19"/>
      <c r="R44" s="19"/>
      <c r="S44" s="19"/>
      <c r="T44" s="19">
        <v>162006109</v>
      </c>
      <c r="U44" s="19">
        <v>1314548041</v>
      </c>
      <c r="V44" s="19"/>
      <c r="W44" s="19">
        <v>2885367537</v>
      </c>
      <c r="X44" s="19">
        <v>2033735414</v>
      </c>
      <c r="Y44" s="19">
        <v>696460661</v>
      </c>
      <c r="Z44" s="19"/>
      <c r="AA44" s="19"/>
      <c r="AB44" s="19"/>
      <c r="AC44" s="19"/>
      <c r="AD44" s="19"/>
      <c r="AE44" s="19">
        <v>292093607</v>
      </c>
      <c r="AF44" s="19">
        <v>60346556</v>
      </c>
      <c r="AG44" s="19">
        <v>2694877552</v>
      </c>
      <c r="AH44" s="19">
        <v>1960000</v>
      </c>
      <c r="AI44" s="19">
        <v>102525545</v>
      </c>
      <c r="AJ44" s="19"/>
      <c r="AK44" s="19">
        <v>230080125</v>
      </c>
      <c r="AL44" s="19">
        <v>1830053</v>
      </c>
      <c r="AM44" s="19"/>
      <c r="AN44" s="19"/>
      <c r="AO44" s="19"/>
      <c r="AP44" s="19">
        <v>43502560</v>
      </c>
      <c r="AQ44" s="19">
        <v>143345360</v>
      </c>
      <c r="AR44" s="19"/>
      <c r="AS44" s="19"/>
      <c r="AT44" s="19">
        <v>17934223</v>
      </c>
      <c r="AU44" s="19">
        <v>595804107</v>
      </c>
      <c r="AV44" s="19">
        <v>124877485</v>
      </c>
      <c r="AW44" s="19">
        <v>3750000</v>
      </c>
      <c r="AX44" s="19">
        <v>523012184</v>
      </c>
      <c r="AY44" s="19">
        <v>448172854</v>
      </c>
      <c r="AZ44" s="19"/>
      <c r="BA44" s="19">
        <v>5362117488</v>
      </c>
      <c r="BB44" s="19"/>
      <c r="BC44" s="19">
        <v>2823297330</v>
      </c>
      <c r="BD44" s="19">
        <v>82965497</v>
      </c>
      <c r="BE44" s="19"/>
      <c r="BF44" s="19"/>
      <c r="BG44" s="19">
        <v>519487970</v>
      </c>
      <c r="BH44" s="19"/>
      <c r="BI44" s="19"/>
      <c r="BJ44" s="19">
        <v>60190000</v>
      </c>
      <c r="BK44" s="19">
        <v>346654543</v>
      </c>
      <c r="BL44" s="19">
        <v>435316418</v>
      </c>
      <c r="BM44" s="19"/>
      <c r="BN44" s="19">
        <v>527929278</v>
      </c>
      <c r="BO44" s="19"/>
      <c r="BP44" s="19"/>
      <c r="BQ44" s="19"/>
      <c r="BR44" s="19"/>
      <c r="BS44" s="19">
        <v>28993140</v>
      </c>
      <c r="BT44" s="19">
        <v>57283917</v>
      </c>
      <c r="BU44" s="19"/>
      <c r="BV44" s="19">
        <v>290355469</v>
      </c>
      <c r="BW44" s="19"/>
      <c r="BX44" s="19">
        <v>482022425</v>
      </c>
      <c r="BY44" s="19">
        <v>103826125</v>
      </c>
      <c r="BZ44" s="19"/>
      <c r="CA44" s="19">
        <v>54153035</v>
      </c>
      <c r="CB44" s="19"/>
      <c r="CC44" s="19">
        <v>1415623160</v>
      </c>
      <c r="CD44" s="19"/>
      <c r="CE44" s="19"/>
      <c r="CF44" s="19" t="s">
        <v>127</v>
      </c>
      <c r="CG44" s="19">
        <v>19680120</v>
      </c>
      <c r="CH44" s="19"/>
      <c r="CI44" s="19"/>
      <c r="CJ44" s="19"/>
      <c r="CK44" s="19"/>
      <c r="CL44" s="19"/>
      <c r="CM44" s="19">
        <v>4723979344</v>
      </c>
      <c r="CN44" s="19">
        <v>192210277</v>
      </c>
      <c r="CO44" s="19">
        <v>455389278</v>
      </c>
      <c r="CP44" s="19"/>
      <c r="CQ44" s="19" t="s">
        <v>96</v>
      </c>
      <c r="CR44" s="19">
        <v>2396819305</v>
      </c>
      <c r="CS44" s="19"/>
      <c r="CT44" s="19"/>
      <c r="CU44" s="19"/>
      <c r="CV44" s="19" t="s">
        <v>89</v>
      </c>
      <c r="CW44" s="19">
        <v>965018299</v>
      </c>
      <c r="CX44" s="19"/>
      <c r="CY44" s="19"/>
      <c r="CZ44" s="19">
        <v>650120983</v>
      </c>
      <c r="DA44" s="19"/>
      <c r="DB44" s="19">
        <v>110768107</v>
      </c>
      <c r="DC44" s="19"/>
      <c r="DD44" s="19">
        <v>176845839</v>
      </c>
      <c r="DE44" s="19">
        <v>1205099467</v>
      </c>
      <c r="DF44" s="19">
        <v>52791557</v>
      </c>
      <c r="DG44" s="19">
        <v>416457264</v>
      </c>
      <c r="DH44" s="19"/>
      <c r="DI44" s="19">
        <v>24600000</v>
      </c>
      <c r="DJ44" s="19">
        <v>120806700</v>
      </c>
      <c r="DK44" s="19">
        <v>182822737</v>
      </c>
      <c r="DL44" s="19"/>
      <c r="DM44" s="19"/>
      <c r="DN44" s="19">
        <v>53500000</v>
      </c>
      <c r="DO44" s="19"/>
      <c r="DP44" s="19"/>
      <c r="DQ44" s="19"/>
      <c r="DR44" s="19"/>
      <c r="DS44" s="19">
        <v>435908226</v>
      </c>
      <c r="DT44" s="19"/>
      <c r="DU44" s="19">
        <v>283783238</v>
      </c>
      <c r="DV44" s="19" t="s">
        <v>89</v>
      </c>
      <c r="DW44" s="19"/>
      <c r="DX44" s="19"/>
      <c r="DY44" s="19">
        <v>389477698</v>
      </c>
      <c r="DZ44" s="19">
        <v>1710772380</v>
      </c>
      <c r="EA44" s="19">
        <v>218624462</v>
      </c>
      <c r="EB44" s="19">
        <v>2374887914</v>
      </c>
    </row>
    <row r="45" spans="1:132">
      <c r="A45" s="9" t="s">
        <v>86</v>
      </c>
      <c r="B45" s="10" t="s">
        <v>144</v>
      </c>
      <c r="C45" s="19">
        <v>0</v>
      </c>
      <c r="D45" s="19">
        <v>2983108962</v>
      </c>
      <c r="E45" s="19">
        <v>838173980</v>
      </c>
      <c r="F45" s="19">
        <v>36663744</v>
      </c>
      <c r="G45" s="19">
        <v>120614709</v>
      </c>
      <c r="H45" s="19">
        <v>0</v>
      </c>
      <c r="I45" s="19">
        <v>0</v>
      </c>
      <c r="J45" s="19" t="s">
        <v>89</v>
      </c>
      <c r="K45" s="19">
        <v>2831171737</v>
      </c>
      <c r="L45" s="19">
        <v>1015317942</v>
      </c>
      <c r="M45" s="19">
        <v>358521794</v>
      </c>
      <c r="N45" s="19">
        <v>646785075</v>
      </c>
      <c r="O45" s="19">
        <v>359618964</v>
      </c>
      <c r="P45" s="19">
        <v>632367671</v>
      </c>
      <c r="Q45" s="19">
        <v>423452970</v>
      </c>
      <c r="R45" s="19">
        <v>27357062</v>
      </c>
      <c r="S45" s="19">
        <v>843838604</v>
      </c>
      <c r="T45" s="19">
        <v>0</v>
      </c>
      <c r="U45" s="19">
        <v>5864138</v>
      </c>
      <c r="V45" s="19">
        <v>278160422</v>
      </c>
      <c r="W45" s="19">
        <v>1091927405</v>
      </c>
      <c r="X45" s="19">
        <v>824189877</v>
      </c>
      <c r="Y45" s="19">
        <v>0</v>
      </c>
      <c r="Z45" s="19">
        <v>234243177</v>
      </c>
      <c r="AA45" s="19">
        <v>5705053049</v>
      </c>
      <c r="AB45" s="19">
        <v>0</v>
      </c>
      <c r="AC45" s="19">
        <v>1272154835</v>
      </c>
      <c r="AD45" s="19">
        <v>1248102011</v>
      </c>
      <c r="AE45" s="19">
        <v>342642824</v>
      </c>
      <c r="AF45" s="19">
        <v>0</v>
      </c>
      <c r="AG45" s="19">
        <v>358229794</v>
      </c>
      <c r="AH45" s="19">
        <v>0</v>
      </c>
      <c r="AI45" s="19">
        <v>282703438</v>
      </c>
      <c r="AJ45" s="19">
        <v>429692879</v>
      </c>
      <c r="AK45" s="19">
        <v>3918861825</v>
      </c>
      <c r="AL45" s="19">
        <v>0</v>
      </c>
      <c r="AM45" s="19">
        <v>7423881346</v>
      </c>
      <c r="AN45" s="19">
        <v>1611410</v>
      </c>
      <c r="AO45" s="19">
        <v>0</v>
      </c>
      <c r="AP45" s="19">
        <v>114863635</v>
      </c>
      <c r="AQ45" s="19">
        <v>4910800</v>
      </c>
      <c r="AR45" s="19">
        <v>84685501</v>
      </c>
      <c r="AS45" s="19">
        <v>0</v>
      </c>
      <c r="AT45" s="19">
        <v>2318959678</v>
      </c>
      <c r="AU45" s="19">
        <v>341085774</v>
      </c>
      <c r="AV45" s="19">
        <v>0</v>
      </c>
      <c r="AW45" s="19">
        <v>177872030</v>
      </c>
      <c r="AX45" s="19">
        <v>591634542</v>
      </c>
      <c r="AY45" s="19">
        <v>340587400</v>
      </c>
      <c r="AZ45" s="19">
        <v>416033836</v>
      </c>
      <c r="BA45" s="19">
        <v>4191581234</v>
      </c>
      <c r="BB45" s="19">
        <v>0</v>
      </c>
      <c r="BC45" s="19">
        <v>2736279933</v>
      </c>
      <c r="BD45" s="19">
        <v>36572519</v>
      </c>
      <c r="BE45" s="19">
        <v>344872954</v>
      </c>
      <c r="BF45" s="19">
        <v>1887395794</v>
      </c>
      <c r="BG45" s="19">
        <v>1479327573</v>
      </c>
      <c r="BH45" s="19">
        <v>391423631</v>
      </c>
      <c r="BI45" s="19">
        <v>270574218</v>
      </c>
      <c r="BJ45" s="19">
        <v>508618364</v>
      </c>
      <c r="BK45" s="19">
        <v>462909386</v>
      </c>
      <c r="BL45" s="19">
        <v>84751600</v>
      </c>
      <c r="BM45" s="19">
        <v>220583368</v>
      </c>
      <c r="BN45" s="19">
        <v>404479176</v>
      </c>
      <c r="BO45" s="19">
        <v>1204984776</v>
      </c>
      <c r="BP45" s="19">
        <v>0</v>
      </c>
      <c r="BQ45" s="19">
        <v>210457102</v>
      </c>
      <c r="BR45" s="19">
        <v>46381520</v>
      </c>
      <c r="BS45" s="19">
        <v>20321174</v>
      </c>
      <c r="BT45" s="19">
        <v>15727240</v>
      </c>
      <c r="BU45" s="19">
        <v>132968665</v>
      </c>
      <c r="BV45" s="19">
        <v>0</v>
      </c>
      <c r="BW45" s="19">
        <v>0</v>
      </c>
      <c r="BX45" s="19">
        <v>0</v>
      </c>
      <c r="BY45" s="19">
        <v>3251950274</v>
      </c>
      <c r="BZ45" s="19">
        <v>454035553</v>
      </c>
      <c r="CA45" s="19">
        <v>0</v>
      </c>
      <c r="CB45" s="19">
        <v>37477115</v>
      </c>
      <c r="CC45" s="19">
        <v>1256835119</v>
      </c>
      <c r="CD45" s="19">
        <v>861558528</v>
      </c>
      <c r="CE45" s="19">
        <v>396050960</v>
      </c>
      <c r="CF45" s="19" t="s">
        <v>127</v>
      </c>
      <c r="CG45" s="19">
        <v>0</v>
      </c>
      <c r="CH45" s="19">
        <v>31158438</v>
      </c>
      <c r="CI45" s="19">
        <v>1157299382</v>
      </c>
      <c r="CJ45" s="19">
        <v>111237229</v>
      </c>
      <c r="CK45" s="19">
        <v>1226071751</v>
      </c>
      <c r="CL45" s="19">
        <v>361032901</v>
      </c>
      <c r="CM45" s="19">
        <v>0</v>
      </c>
      <c r="CN45" s="19">
        <v>0</v>
      </c>
      <c r="CO45" s="19">
        <v>0</v>
      </c>
      <c r="CP45" s="19">
        <v>355523109</v>
      </c>
      <c r="CQ45" s="19" t="s">
        <v>96</v>
      </c>
      <c r="CR45" s="19">
        <v>1822954948</v>
      </c>
      <c r="CS45" s="19">
        <v>208570000</v>
      </c>
      <c r="CT45" s="19">
        <v>0</v>
      </c>
      <c r="CU45" s="19"/>
      <c r="CV45" s="19" t="s">
        <v>89</v>
      </c>
      <c r="CW45" s="19">
        <v>157891542</v>
      </c>
      <c r="CX45" s="19"/>
      <c r="CY45" s="19">
        <v>3374457313</v>
      </c>
      <c r="CZ45" s="19">
        <v>0</v>
      </c>
      <c r="DA45" s="19">
        <v>0</v>
      </c>
      <c r="DB45" s="19">
        <v>449457929</v>
      </c>
      <c r="DC45" s="19">
        <v>0</v>
      </c>
      <c r="DD45" s="19">
        <v>10830075</v>
      </c>
      <c r="DE45" s="19">
        <v>0</v>
      </c>
      <c r="DF45" s="19">
        <v>10914277</v>
      </c>
      <c r="DG45" s="19">
        <v>0</v>
      </c>
      <c r="DH45" s="19">
        <v>143036862</v>
      </c>
      <c r="DI45" s="19">
        <v>1679217651</v>
      </c>
      <c r="DJ45" s="19">
        <v>0</v>
      </c>
      <c r="DK45" s="19">
        <v>994935168</v>
      </c>
      <c r="DL45" s="19">
        <v>0</v>
      </c>
      <c r="DM45" s="19">
        <v>1929030366</v>
      </c>
      <c r="DN45" s="19">
        <v>268632794</v>
      </c>
      <c r="DO45" s="19">
        <v>0</v>
      </c>
      <c r="DP45" s="19">
        <v>1215228395</v>
      </c>
      <c r="DQ45" s="19">
        <v>462383796</v>
      </c>
      <c r="DR45" s="19">
        <v>11595440</v>
      </c>
      <c r="DS45" s="19">
        <v>0</v>
      </c>
      <c r="DT45" s="19">
        <v>3623343</v>
      </c>
      <c r="DU45" s="19">
        <v>0</v>
      </c>
      <c r="DV45" s="19" t="s">
        <v>89</v>
      </c>
      <c r="DW45" s="19">
        <v>200404818</v>
      </c>
      <c r="DX45" s="19">
        <v>0</v>
      </c>
      <c r="DY45" s="19">
        <v>31614001</v>
      </c>
      <c r="DZ45" s="19">
        <v>1306518258</v>
      </c>
      <c r="EA45" s="19">
        <v>0</v>
      </c>
      <c r="EB45" s="19">
        <v>0</v>
      </c>
    </row>
    <row r="46" spans="1:132">
      <c r="A46" s="9" t="s">
        <v>86</v>
      </c>
      <c r="B46" s="15" t="s">
        <v>67</v>
      </c>
      <c r="C46" s="19"/>
      <c r="D46" s="19"/>
      <c r="E46" s="19"/>
      <c r="F46" s="19">
        <v>36663744</v>
      </c>
      <c r="G46" s="19"/>
      <c r="H46" s="19"/>
      <c r="I46" s="19"/>
      <c r="J46" s="19" t="s">
        <v>89</v>
      </c>
      <c r="K46" s="19"/>
      <c r="L46" s="19"/>
      <c r="M46" s="19"/>
      <c r="N46" s="19"/>
      <c r="O46" s="19"/>
      <c r="P46" s="19"/>
      <c r="Q46" s="19"/>
      <c r="R46" s="19">
        <v>27357062</v>
      </c>
      <c r="S46" s="19">
        <v>26735903</v>
      </c>
      <c r="T46" s="19"/>
      <c r="U46" s="19">
        <v>5864138</v>
      </c>
      <c r="V46" s="19"/>
      <c r="W46" s="19"/>
      <c r="X46" s="19"/>
      <c r="Y46" s="19"/>
      <c r="Z46" s="19">
        <v>234243177</v>
      </c>
      <c r="AA46" s="19"/>
      <c r="AB46" s="19"/>
      <c r="AC46" s="19">
        <v>68949846</v>
      </c>
      <c r="AD46" s="19"/>
      <c r="AE46" s="19">
        <v>342642824</v>
      </c>
      <c r="AF46" s="19"/>
      <c r="AG46" s="19"/>
      <c r="AH46" s="19"/>
      <c r="AI46" s="19">
        <v>224211284</v>
      </c>
      <c r="AJ46" s="19">
        <v>429692879</v>
      </c>
      <c r="AK46" s="19">
        <v>2179682235</v>
      </c>
      <c r="AL46" s="19"/>
      <c r="AM46" s="19">
        <v>176035841</v>
      </c>
      <c r="AN46" s="19"/>
      <c r="AO46" s="19"/>
      <c r="AP46" s="19">
        <v>114863635</v>
      </c>
      <c r="AQ46" s="19"/>
      <c r="AR46" s="19">
        <v>84685501</v>
      </c>
      <c r="AS46" s="19"/>
      <c r="AT46" s="19"/>
      <c r="AU46" s="19"/>
      <c r="AV46" s="19"/>
      <c r="AW46" s="19"/>
      <c r="AX46" s="19"/>
      <c r="AY46" s="19"/>
      <c r="AZ46" s="19"/>
      <c r="BA46" s="19">
        <v>4191581234</v>
      </c>
      <c r="BB46" s="19"/>
      <c r="BC46" s="19">
        <v>2376062436</v>
      </c>
      <c r="BD46" s="19">
        <v>36572519</v>
      </c>
      <c r="BE46" s="19"/>
      <c r="BF46" s="19">
        <v>631985928</v>
      </c>
      <c r="BG46" s="19">
        <v>254833134</v>
      </c>
      <c r="BH46" s="19">
        <v>31405578</v>
      </c>
      <c r="BI46" s="19">
        <v>270574218</v>
      </c>
      <c r="BJ46" s="19">
        <v>46772981</v>
      </c>
      <c r="BK46" s="19"/>
      <c r="BL46" s="19">
        <v>84751600</v>
      </c>
      <c r="BM46" s="19"/>
      <c r="BN46" s="19"/>
      <c r="BO46" s="19">
        <v>1102806608</v>
      </c>
      <c r="BP46" s="19"/>
      <c r="BQ46" s="19"/>
      <c r="BR46" s="19">
        <v>46381520</v>
      </c>
      <c r="BS46" s="19">
        <v>20321174</v>
      </c>
      <c r="BT46" s="19">
        <v>15727240</v>
      </c>
      <c r="BU46" s="19"/>
      <c r="BV46" s="19"/>
      <c r="BW46" s="19"/>
      <c r="BX46" s="19"/>
      <c r="BY46" s="19">
        <v>3072633985</v>
      </c>
      <c r="BZ46" s="19">
        <v>454035553</v>
      </c>
      <c r="CA46" s="19"/>
      <c r="CB46" s="19">
        <v>37477115</v>
      </c>
      <c r="CC46" s="19">
        <v>1256835119</v>
      </c>
      <c r="CD46" s="19"/>
      <c r="CE46" s="19"/>
      <c r="CF46" s="19" t="s">
        <v>127</v>
      </c>
      <c r="CG46" s="19"/>
      <c r="CH46" s="19">
        <v>31158438</v>
      </c>
      <c r="CI46" s="19"/>
      <c r="CJ46" s="19"/>
      <c r="CK46" s="19"/>
      <c r="CL46" s="19"/>
      <c r="CM46" s="19"/>
      <c r="CN46" s="19"/>
      <c r="CO46" s="19"/>
      <c r="CP46" s="19">
        <v>355523109</v>
      </c>
      <c r="CQ46" s="19" t="s">
        <v>96</v>
      </c>
      <c r="CR46" s="19"/>
      <c r="CS46" s="19">
        <v>208570000</v>
      </c>
      <c r="CT46" s="19"/>
      <c r="CU46" s="19"/>
      <c r="CV46" s="19" t="s">
        <v>89</v>
      </c>
      <c r="CW46" s="19">
        <v>157891542</v>
      </c>
      <c r="CX46" s="19"/>
      <c r="CY46" s="19"/>
      <c r="CZ46" s="19"/>
      <c r="DA46" s="19"/>
      <c r="DB46" s="19">
        <v>98969021</v>
      </c>
      <c r="DC46" s="19"/>
      <c r="DD46" s="19">
        <v>10830075</v>
      </c>
      <c r="DE46" s="19"/>
      <c r="DF46" s="19">
        <v>10914277</v>
      </c>
      <c r="DG46" s="19"/>
      <c r="DH46" s="19">
        <v>6795239</v>
      </c>
      <c r="DI46" s="19">
        <v>48413739</v>
      </c>
      <c r="DJ46" s="19"/>
      <c r="DK46" s="19">
        <v>648020554</v>
      </c>
      <c r="DL46" s="19"/>
      <c r="DM46" s="19">
        <v>1929030366</v>
      </c>
      <c r="DN46" s="19"/>
      <c r="DO46" s="19"/>
      <c r="DP46" s="19"/>
      <c r="DQ46" s="19"/>
      <c r="DR46" s="19"/>
      <c r="DS46" s="19"/>
      <c r="DT46" s="19">
        <v>3623343</v>
      </c>
      <c r="DU46" s="19"/>
      <c r="DV46" s="19" t="s">
        <v>89</v>
      </c>
      <c r="DW46" s="19">
        <v>23667044</v>
      </c>
      <c r="DX46" s="19"/>
      <c r="DY46" s="19"/>
      <c r="DZ46" s="19"/>
      <c r="EA46" s="19"/>
      <c r="EB46" s="19"/>
    </row>
    <row r="47" spans="1:132">
      <c r="A47" s="9" t="s">
        <v>86</v>
      </c>
      <c r="B47" s="15" t="s">
        <v>72</v>
      </c>
      <c r="C47" s="19"/>
      <c r="D47" s="19">
        <v>2983108962</v>
      </c>
      <c r="E47" s="19">
        <v>838173980</v>
      </c>
      <c r="F47" s="19"/>
      <c r="G47" s="19">
        <v>120614709</v>
      </c>
      <c r="H47" s="19"/>
      <c r="I47" s="19"/>
      <c r="J47" s="19" t="s">
        <v>89</v>
      </c>
      <c r="K47" s="19">
        <v>2831171737</v>
      </c>
      <c r="L47" s="19">
        <v>1015317942</v>
      </c>
      <c r="M47" s="19"/>
      <c r="N47" s="19">
        <v>646785075</v>
      </c>
      <c r="O47" s="19"/>
      <c r="P47" s="19"/>
      <c r="Q47" s="19">
        <v>423452970</v>
      </c>
      <c r="R47" s="19"/>
      <c r="S47" s="19">
        <v>817102701</v>
      </c>
      <c r="T47" s="19"/>
      <c r="U47" s="19"/>
      <c r="V47" s="19">
        <v>278160422</v>
      </c>
      <c r="W47" s="19"/>
      <c r="X47" s="19"/>
      <c r="Y47" s="19"/>
      <c r="Z47" s="19"/>
      <c r="AA47" s="19">
        <v>5705053049</v>
      </c>
      <c r="AB47" s="19"/>
      <c r="AC47" s="19">
        <v>1203204989</v>
      </c>
      <c r="AD47" s="19">
        <v>1248102011</v>
      </c>
      <c r="AE47" s="19"/>
      <c r="AF47" s="19"/>
      <c r="AG47" s="19"/>
      <c r="AH47" s="19"/>
      <c r="AI47" s="19"/>
      <c r="AJ47" s="19"/>
      <c r="AK47" s="19">
        <v>1222219684</v>
      </c>
      <c r="AL47" s="19"/>
      <c r="AM47" s="19"/>
      <c r="AN47" s="19">
        <v>1611410</v>
      </c>
      <c r="AO47" s="19"/>
      <c r="AP47" s="19"/>
      <c r="AQ47" s="19"/>
      <c r="AR47" s="19"/>
      <c r="AS47" s="19"/>
      <c r="AT47" s="19">
        <v>2318959678</v>
      </c>
      <c r="AU47" s="19"/>
      <c r="AV47" s="19"/>
      <c r="AW47" s="19">
        <v>177872030</v>
      </c>
      <c r="AX47" s="19"/>
      <c r="AY47" s="19">
        <v>340587400</v>
      </c>
      <c r="AZ47" s="19">
        <v>416033836</v>
      </c>
      <c r="BA47" s="19"/>
      <c r="BB47" s="19"/>
      <c r="BC47" s="19">
        <v>360217497</v>
      </c>
      <c r="BD47" s="19"/>
      <c r="BE47" s="19">
        <v>344872954</v>
      </c>
      <c r="BF47" s="19">
        <v>1255409866</v>
      </c>
      <c r="BG47" s="19">
        <v>1224494439</v>
      </c>
      <c r="BH47" s="19">
        <v>360018053</v>
      </c>
      <c r="BI47" s="19"/>
      <c r="BJ47" s="19">
        <v>461845383</v>
      </c>
      <c r="BK47" s="19">
        <v>462909386</v>
      </c>
      <c r="BL47" s="19"/>
      <c r="BM47" s="19">
        <v>220583368</v>
      </c>
      <c r="BN47" s="19"/>
      <c r="BO47" s="19">
        <v>102178168</v>
      </c>
      <c r="BP47" s="19"/>
      <c r="BQ47" s="19">
        <v>210457102</v>
      </c>
      <c r="BR47" s="19"/>
      <c r="BS47" s="19"/>
      <c r="BT47" s="19"/>
      <c r="BU47" s="19">
        <v>132968665</v>
      </c>
      <c r="BV47" s="19"/>
      <c r="BW47" s="19"/>
      <c r="BX47" s="19"/>
      <c r="BY47" s="19">
        <v>179316289</v>
      </c>
      <c r="BZ47" s="19"/>
      <c r="CA47" s="19"/>
      <c r="CB47" s="19"/>
      <c r="CC47" s="19"/>
      <c r="CD47" s="19">
        <v>861558528</v>
      </c>
      <c r="CE47" s="19">
        <v>396050960</v>
      </c>
      <c r="CF47" s="19" t="s">
        <v>127</v>
      </c>
      <c r="CG47" s="19"/>
      <c r="CH47" s="19"/>
      <c r="CI47" s="19">
        <v>1157299382</v>
      </c>
      <c r="CJ47" s="19">
        <v>111237229</v>
      </c>
      <c r="CK47" s="19">
        <v>1226071751</v>
      </c>
      <c r="CL47" s="19">
        <v>361032901</v>
      </c>
      <c r="CM47" s="19"/>
      <c r="CN47" s="19"/>
      <c r="CO47" s="19"/>
      <c r="CP47" s="19"/>
      <c r="CQ47" s="19" t="s">
        <v>96</v>
      </c>
      <c r="CR47" s="19"/>
      <c r="CS47" s="19"/>
      <c r="CT47" s="19"/>
      <c r="CU47" s="19"/>
      <c r="CV47" s="19" t="s">
        <v>89</v>
      </c>
      <c r="CW47" s="19"/>
      <c r="CX47" s="19"/>
      <c r="CY47" s="19"/>
      <c r="CZ47" s="19"/>
      <c r="DA47" s="19"/>
      <c r="DB47" s="19">
        <v>350488908</v>
      </c>
      <c r="DC47" s="19"/>
      <c r="DD47" s="19"/>
      <c r="DE47" s="19"/>
      <c r="DF47" s="19"/>
      <c r="DG47" s="19"/>
      <c r="DH47" s="19">
        <v>1261120</v>
      </c>
      <c r="DI47" s="19">
        <v>1630803912</v>
      </c>
      <c r="DJ47" s="19"/>
      <c r="DK47" s="19">
        <v>257105995</v>
      </c>
      <c r="DL47" s="19"/>
      <c r="DM47" s="19"/>
      <c r="DN47" s="19">
        <v>268632794</v>
      </c>
      <c r="DO47" s="19"/>
      <c r="DP47" s="19">
        <v>1215228395</v>
      </c>
      <c r="DQ47" s="19">
        <v>462383796</v>
      </c>
      <c r="DR47" s="19">
        <v>11595440</v>
      </c>
      <c r="DS47" s="19"/>
      <c r="DT47" s="19"/>
      <c r="DU47" s="19"/>
      <c r="DV47" s="19" t="s">
        <v>89</v>
      </c>
      <c r="DW47" s="19">
        <v>176737774</v>
      </c>
      <c r="DX47" s="19"/>
      <c r="DY47" s="19">
        <v>31614001</v>
      </c>
      <c r="DZ47" s="19"/>
      <c r="EA47" s="19"/>
      <c r="EB47" s="19"/>
    </row>
    <row r="48" spans="1:132">
      <c r="A48" s="9" t="s">
        <v>86</v>
      </c>
      <c r="B48" s="15" t="s">
        <v>63</v>
      </c>
      <c r="C48" s="19"/>
      <c r="D48" s="19"/>
      <c r="E48" s="19"/>
      <c r="F48" s="19"/>
      <c r="G48" s="19"/>
      <c r="H48" s="19"/>
      <c r="I48" s="19"/>
      <c r="J48" s="19" t="s">
        <v>89</v>
      </c>
      <c r="K48" s="19"/>
      <c r="L48" s="19"/>
      <c r="M48" s="19"/>
      <c r="N48" s="19"/>
      <c r="O48" s="19"/>
      <c r="P48" s="19"/>
      <c r="Q48" s="19"/>
      <c r="R48" s="19"/>
      <c r="S48" s="19"/>
      <c r="T48" s="19"/>
      <c r="U48" s="19"/>
      <c r="V48" s="19"/>
      <c r="W48" s="19"/>
      <c r="X48" s="19"/>
      <c r="Y48" s="19"/>
      <c r="Z48" s="19"/>
      <c r="AA48" s="19"/>
      <c r="AB48" s="19"/>
      <c r="AC48" s="19"/>
      <c r="AD48" s="19"/>
      <c r="AE48" s="19"/>
      <c r="AF48" s="19"/>
      <c r="AG48" s="19"/>
      <c r="AH48" s="19"/>
      <c r="AI48" s="19"/>
      <c r="AJ48" s="19"/>
      <c r="AK48" s="19"/>
      <c r="AL48" s="19"/>
      <c r="AM48" s="19">
        <v>7247845505</v>
      </c>
      <c r="AN48" s="19"/>
      <c r="AO48" s="19"/>
      <c r="AP48" s="19"/>
      <c r="AQ48" s="19"/>
      <c r="AR48" s="19"/>
      <c r="AS48" s="19"/>
      <c r="AT48" s="19"/>
      <c r="AU48" s="19"/>
      <c r="AV48" s="19"/>
      <c r="AW48" s="19"/>
      <c r="AX48" s="19"/>
      <c r="AY48" s="19"/>
      <c r="AZ48" s="19"/>
      <c r="BA48" s="19"/>
      <c r="BB48" s="19"/>
      <c r="BC48" s="19"/>
      <c r="BD48" s="19"/>
      <c r="BE48" s="19"/>
      <c r="BF48" s="19"/>
      <c r="BG48" s="19"/>
      <c r="BH48" s="19"/>
      <c r="BI48" s="19"/>
      <c r="BJ48" s="19"/>
      <c r="BK48" s="19"/>
      <c r="BL48" s="19"/>
      <c r="BM48" s="19"/>
      <c r="BN48" s="19"/>
      <c r="BO48" s="19"/>
      <c r="BP48" s="19"/>
      <c r="BQ48" s="19"/>
      <c r="BR48" s="19"/>
      <c r="BS48" s="19"/>
      <c r="BT48" s="19"/>
      <c r="BU48" s="19"/>
      <c r="BV48" s="19"/>
      <c r="BW48" s="19"/>
      <c r="BX48" s="19"/>
      <c r="BY48" s="19"/>
      <c r="BZ48" s="19"/>
      <c r="CA48" s="19"/>
      <c r="CB48" s="19"/>
      <c r="CC48" s="19"/>
      <c r="CD48" s="19"/>
      <c r="CE48" s="19"/>
      <c r="CF48" s="19" t="s">
        <v>127</v>
      </c>
      <c r="CG48" s="19"/>
      <c r="CH48" s="19"/>
      <c r="CI48" s="19"/>
      <c r="CJ48" s="19"/>
      <c r="CK48" s="19"/>
      <c r="CL48" s="19"/>
      <c r="CM48" s="19"/>
      <c r="CN48" s="19"/>
      <c r="CO48" s="19"/>
      <c r="CP48" s="19"/>
      <c r="CQ48" s="19" t="s">
        <v>96</v>
      </c>
      <c r="CR48" s="19"/>
      <c r="CS48" s="19"/>
      <c r="CT48" s="19"/>
      <c r="CU48" s="19"/>
      <c r="CV48" s="19" t="s">
        <v>89</v>
      </c>
      <c r="CW48" s="19"/>
      <c r="CX48" s="19"/>
      <c r="CY48" s="19"/>
      <c r="CZ48" s="19"/>
      <c r="DA48" s="19"/>
      <c r="DB48" s="19"/>
      <c r="DC48" s="19"/>
      <c r="DD48" s="19"/>
      <c r="DE48" s="19"/>
      <c r="DF48" s="19"/>
      <c r="DG48" s="19"/>
      <c r="DH48" s="19">
        <v>134980503</v>
      </c>
      <c r="DI48" s="19"/>
      <c r="DJ48" s="19"/>
      <c r="DK48" s="19"/>
      <c r="DL48" s="19"/>
      <c r="DM48" s="19"/>
      <c r="DN48" s="19"/>
      <c r="DO48" s="19"/>
      <c r="DP48" s="19"/>
      <c r="DQ48" s="19"/>
      <c r="DR48" s="19"/>
      <c r="DS48" s="19"/>
      <c r="DT48" s="19"/>
      <c r="DU48" s="19"/>
      <c r="DV48" s="19" t="s">
        <v>89</v>
      </c>
      <c r="DW48" s="19"/>
      <c r="DX48" s="19"/>
      <c r="DY48" s="19"/>
      <c r="DZ48" s="19"/>
      <c r="EA48" s="19"/>
      <c r="EB48" s="19"/>
    </row>
    <row r="49" spans="1:132">
      <c r="A49" s="9" t="s">
        <v>86</v>
      </c>
      <c r="B49" s="15" t="s">
        <v>64</v>
      </c>
      <c r="C49" s="19"/>
      <c r="D49" s="19"/>
      <c r="E49" s="19"/>
      <c r="F49" s="19"/>
      <c r="G49" s="19"/>
      <c r="H49" s="19"/>
      <c r="I49" s="19"/>
      <c r="J49" s="19" t="s">
        <v>89</v>
      </c>
      <c r="K49" s="19"/>
      <c r="L49" s="19"/>
      <c r="M49" s="19">
        <v>358521794</v>
      </c>
      <c r="N49" s="19"/>
      <c r="O49" s="19">
        <v>359618964</v>
      </c>
      <c r="P49" s="19">
        <v>632367671</v>
      </c>
      <c r="Q49" s="19"/>
      <c r="R49" s="19"/>
      <c r="S49" s="19"/>
      <c r="T49" s="19"/>
      <c r="U49" s="19"/>
      <c r="V49" s="19"/>
      <c r="W49" s="19">
        <v>1091927405</v>
      </c>
      <c r="X49" s="19">
        <v>824189877</v>
      </c>
      <c r="Y49" s="19"/>
      <c r="Z49" s="19"/>
      <c r="AA49" s="19"/>
      <c r="AB49" s="19"/>
      <c r="AC49" s="19"/>
      <c r="AD49" s="19"/>
      <c r="AE49" s="19"/>
      <c r="AF49" s="19"/>
      <c r="AG49" s="19">
        <v>358229794</v>
      </c>
      <c r="AH49" s="19"/>
      <c r="AI49" s="19">
        <v>58492154</v>
      </c>
      <c r="AJ49" s="19"/>
      <c r="AK49" s="19">
        <v>516959906</v>
      </c>
      <c r="AL49" s="19"/>
      <c r="AM49" s="19"/>
      <c r="AN49" s="19"/>
      <c r="AO49" s="19"/>
      <c r="AP49" s="19"/>
      <c r="AQ49" s="19">
        <v>4910800</v>
      </c>
      <c r="AR49" s="19"/>
      <c r="AS49" s="19"/>
      <c r="AT49" s="19"/>
      <c r="AU49" s="19">
        <v>341085774</v>
      </c>
      <c r="AV49" s="19"/>
      <c r="AW49" s="19"/>
      <c r="AX49" s="19">
        <v>591634542</v>
      </c>
      <c r="AY49" s="19"/>
      <c r="AZ49" s="19"/>
      <c r="BA49" s="19"/>
      <c r="BB49" s="19"/>
      <c r="BC49" s="19"/>
      <c r="BD49" s="19"/>
      <c r="BE49" s="19"/>
      <c r="BF49" s="19"/>
      <c r="BG49" s="19"/>
      <c r="BH49" s="19"/>
      <c r="BI49" s="19"/>
      <c r="BJ49" s="19"/>
      <c r="BK49" s="19"/>
      <c r="BL49" s="19"/>
      <c r="BM49" s="19"/>
      <c r="BN49" s="19">
        <v>404479176</v>
      </c>
      <c r="BO49" s="19"/>
      <c r="BP49" s="19"/>
      <c r="BQ49" s="19"/>
      <c r="BR49" s="19"/>
      <c r="BS49" s="19"/>
      <c r="BT49" s="19"/>
      <c r="BU49" s="19"/>
      <c r="BV49" s="19"/>
      <c r="BW49" s="19"/>
      <c r="BX49" s="19"/>
      <c r="BY49" s="19"/>
      <c r="BZ49" s="19"/>
      <c r="CA49" s="19"/>
      <c r="CB49" s="19"/>
      <c r="CC49" s="19"/>
      <c r="CD49" s="19"/>
      <c r="CE49" s="19"/>
      <c r="CF49" s="19" t="s">
        <v>127</v>
      </c>
      <c r="CG49" s="19"/>
      <c r="CH49" s="19"/>
      <c r="CI49" s="19"/>
      <c r="CJ49" s="19"/>
      <c r="CK49" s="19"/>
      <c r="CL49" s="19"/>
      <c r="CM49" s="19"/>
      <c r="CN49" s="19"/>
      <c r="CO49" s="19"/>
      <c r="CP49" s="19"/>
      <c r="CQ49" s="19" t="s">
        <v>96</v>
      </c>
      <c r="CR49" s="19">
        <v>1822954948</v>
      </c>
      <c r="CS49" s="19"/>
      <c r="CT49" s="19"/>
      <c r="CU49" s="19"/>
      <c r="CV49" s="19" t="s">
        <v>89</v>
      </c>
      <c r="CW49" s="19"/>
      <c r="CX49" s="19"/>
      <c r="CY49" s="19"/>
      <c r="CZ49" s="19"/>
      <c r="DA49" s="19"/>
      <c r="DB49" s="19"/>
      <c r="DC49" s="19"/>
      <c r="DD49" s="19"/>
      <c r="DE49" s="19"/>
      <c r="DF49" s="19"/>
      <c r="DG49" s="19"/>
      <c r="DH49" s="19"/>
      <c r="DI49" s="19"/>
      <c r="DJ49" s="19"/>
      <c r="DK49" s="19">
        <v>89808619</v>
      </c>
      <c r="DL49" s="19"/>
      <c r="DM49" s="19"/>
      <c r="DN49" s="19"/>
      <c r="DO49" s="19"/>
      <c r="DP49" s="19"/>
      <c r="DQ49" s="19"/>
      <c r="DR49" s="19"/>
      <c r="DS49" s="19"/>
      <c r="DT49" s="19"/>
      <c r="DU49" s="19"/>
      <c r="DV49" s="19" t="s">
        <v>89</v>
      </c>
      <c r="DW49" s="19"/>
      <c r="DX49" s="19"/>
      <c r="DY49" s="19"/>
      <c r="DZ49" s="19">
        <v>1306518258</v>
      </c>
      <c r="EA49" s="19"/>
      <c r="EB49" s="19"/>
    </row>
    <row r="50" spans="1:132">
      <c r="A50" s="9" t="s">
        <v>86</v>
      </c>
      <c r="B50" s="10" t="s">
        <v>14</v>
      </c>
      <c r="C50" s="19">
        <v>1011136285</v>
      </c>
      <c r="D50" s="19">
        <v>-102814394</v>
      </c>
      <c r="E50" s="19">
        <v>310927318</v>
      </c>
      <c r="F50" s="19">
        <v>1935001905</v>
      </c>
      <c r="G50" s="19">
        <v>158047632</v>
      </c>
      <c r="H50" s="19">
        <v>2419170875</v>
      </c>
      <c r="I50" s="19">
        <v>4066455365</v>
      </c>
      <c r="J50" s="19" t="s">
        <v>89</v>
      </c>
      <c r="K50" s="19">
        <v>30334509</v>
      </c>
      <c r="L50" s="19">
        <v>-16810206</v>
      </c>
      <c r="M50" s="19">
        <v>2336355758</v>
      </c>
      <c r="N50" s="19">
        <v>216478261</v>
      </c>
      <c r="O50" s="19">
        <v>3752017036</v>
      </c>
      <c r="P50" s="19">
        <v>4878991543</v>
      </c>
      <c r="Q50" s="19">
        <v>192547739</v>
      </c>
      <c r="R50" s="19">
        <v>632486386</v>
      </c>
      <c r="S50" s="19">
        <v>514180305</v>
      </c>
      <c r="T50" s="19">
        <v>162006109</v>
      </c>
      <c r="U50" s="19">
        <v>1498252010</v>
      </c>
      <c r="V50" s="19">
        <v>126479234</v>
      </c>
      <c r="W50" s="19">
        <v>1978415135</v>
      </c>
      <c r="X50" s="19">
        <v>1209545537</v>
      </c>
      <c r="Y50" s="19">
        <v>822236989</v>
      </c>
      <c r="Z50" s="19">
        <v>665658973</v>
      </c>
      <c r="AA50" s="19">
        <v>409039844</v>
      </c>
      <c r="AB50" s="19">
        <v>1107977193</v>
      </c>
      <c r="AC50" s="19">
        <v>256915953</v>
      </c>
      <c r="AD50" s="19">
        <v>297261747</v>
      </c>
      <c r="AE50" s="19">
        <v>356474964</v>
      </c>
      <c r="AF50" s="19">
        <v>300917755</v>
      </c>
      <c r="AG50" s="19">
        <v>2336647758</v>
      </c>
      <c r="AH50" s="19">
        <v>685593156</v>
      </c>
      <c r="AI50" s="19">
        <v>168096146</v>
      </c>
      <c r="AJ50" s="19">
        <v>763632281</v>
      </c>
      <c r="AK50" s="19">
        <v>-257665213</v>
      </c>
      <c r="AL50" s="19">
        <v>424074767</v>
      </c>
      <c r="AM50" s="19">
        <v>10560735</v>
      </c>
      <c r="AN50" s="19">
        <v>236421498</v>
      </c>
      <c r="AO50" s="19">
        <v>0</v>
      </c>
      <c r="AP50" s="19">
        <v>520254647</v>
      </c>
      <c r="AQ50" s="19">
        <v>138434560</v>
      </c>
      <c r="AR50" s="19">
        <v>130589623</v>
      </c>
      <c r="AS50" s="19">
        <v>0</v>
      </c>
      <c r="AT50" s="19">
        <v>582306181</v>
      </c>
      <c r="AU50" s="19">
        <v>254718333</v>
      </c>
      <c r="AV50" s="19">
        <v>124877485</v>
      </c>
      <c r="AW50" s="19">
        <v>97219981</v>
      </c>
      <c r="AX50" s="19">
        <v>-68622358</v>
      </c>
      <c r="AY50" s="19">
        <v>541310351</v>
      </c>
      <c r="AZ50" s="19">
        <v>253237719</v>
      </c>
      <c r="BA50" s="19">
        <v>1209241255</v>
      </c>
      <c r="BB50" s="19">
        <v>108972472</v>
      </c>
      <c r="BC50" s="19">
        <v>924654037</v>
      </c>
      <c r="BD50" s="19">
        <v>78988215</v>
      </c>
      <c r="BE50" s="19">
        <v>230465637</v>
      </c>
      <c r="BF50" s="19">
        <v>492397754</v>
      </c>
      <c r="BG50" s="19">
        <v>1332333264</v>
      </c>
      <c r="BH50" s="19">
        <v>135582874</v>
      </c>
      <c r="BI50" s="19">
        <v>394245846</v>
      </c>
      <c r="BJ50" s="19">
        <v>312171580</v>
      </c>
      <c r="BK50" s="19">
        <v>271274602</v>
      </c>
      <c r="BL50" s="19">
        <v>350564818</v>
      </c>
      <c r="BM50" s="19">
        <v>152423496</v>
      </c>
      <c r="BN50" s="19">
        <v>123450102</v>
      </c>
      <c r="BO50" s="19">
        <v>277763657</v>
      </c>
      <c r="BP50" s="19">
        <v>175652693</v>
      </c>
      <c r="BQ50" s="19">
        <v>134639562</v>
      </c>
      <c r="BR50" s="19">
        <v>116909327</v>
      </c>
      <c r="BS50" s="19">
        <v>94306113</v>
      </c>
      <c r="BT50" s="19">
        <v>136493433</v>
      </c>
      <c r="BU50" s="19">
        <v>9876506</v>
      </c>
      <c r="BV50" s="19">
        <v>290355469</v>
      </c>
      <c r="BW50" s="19">
        <v>528761860</v>
      </c>
      <c r="BX50" s="19">
        <v>755658788</v>
      </c>
      <c r="BY50" s="19">
        <v>822835602</v>
      </c>
      <c r="BZ50" s="19">
        <v>357775161</v>
      </c>
      <c r="CA50" s="19">
        <v>490303809</v>
      </c>
      <c r="CB50" s="19">
        <v>706205539</v>
      </c>
      <c r="CC50" s="19">
        <v>164488041</v>
      </c>
      <c r="CD50" s="19">
        <v>424331011</v>
      </c>
      <c r="CE50" s="19">
        <v>114154316</v>
      </c>
      <c r="CF50" s="19" t="s">
        <v>127</v>
      </c>
      <c r="CG50" s="19">
        <v>1111304908</v>
      </c>
      <c r="CH50" s="19">
        <v>15759796</v>
      </c>
      <c r="CI50" s="19">
        <v>245822099</v>
      </c>
      <c r="CJ50" s="19">
        <v>170389524</v>
      </c>
      <c r="CK50" s="19">
        <v>521609808</v>
      </c>
      <c r="CL50" s="19">
        <v>36001568</v>
      </c>
      <c r="CM50" s="19">
        <v>4738934344</v>
      </c>
      <c r="CN50" s="19">
        <v>192210277</v>
      </c>
      <c r="CO50" s="19">
        <v>468783278</v>
      </c>
      <c r="CP50" s="19">
        <v>1758364129</v>
      </c>
      <c r="CQ50" s="19" t="s">
        <v>96</v>
      </c>
      <c r="CR50" s="19">
        <v>573864357</v>
      </c>
      <c r="CS50" s="19">
        <v>112475454</v>
      </c>
      <c r="CT50" s="19">
        <v>76439636</v>
      </c>
      <c r="CU50" s="19">
        <v>1189554588</v>
      </c>
      <c r="CV50" s="19" t="s">
        <v>89</v>
      </c>
      <c r="CW50" s="19">
        <v>807126757</v>
      </c>
      <c r="CX50" s="19">
        <v>524008412</v>
      </c>
      <c r="CY50" s="19">
        <v>4196081910</v>
      </c>
      <c r="CZ50" s="19">
        <v>650120983</v>
      </c>
      <c r="DA50" s="19">
        <v>147279277</v>
      </c>
      <c r="DB50" s="19">
        <v>436269208</v>
      </c>
      <c r="DC50" s="19">
        <v>102230747</v>
      </c>
      <c r="DD50" s="19">
        <v>188067143</v>
      </c>
      <c r="DE50" s="19">
        <v>1205099467</v>
      </c>
      <c r="DF50" s="19">
        <v>41877280</v>
      </c>
      <c r="DG50" s="19">
        <v>416457264</v>
      </c>
      <c r="DH50" s="19">
        <v>200641713</v>
      </c>
      <c r="DI50" s="19">
        <v>528429931</v>
      </c>
      <c r="DJ50" s="19">
        <v>203204898</v>
      </c>
      <c r="DK50" s="19">
        <v>207975631</v>
      </c>
      <c r="DL50" s="19">
        <v>140528066</v>
      </c>
      <c r="DM50" s="19">
        <v>685431670</v>
      </c>
      <c r="DN50" s="19">
        <v>115567741</v>
      </c>
      <c r="DO50" s="19">
        <v>515501438</v>
      </c>
      <c r="DP50" s="19">
        <v>295428111</v>
      </c>
      <c r="DQ50" s="19">
        <v>40588053</v>
      </c>
      <c r="DR50" s="19">
        <v>13629248</v>
      </c>
      <c r="DS50" s="19">
        <v>435908226</v>
      </c>
      <c r="DT50" s="19">
        <v>723779992</v>
      </c>
      <c r="DU50" s="19">
        <v>283783238</v>
      </c>
      <c r="DV50" s="19" t="s">
        <v>89</v>
      </c>
      <c r="DW50" s="19">
        <v>115689213</v>
      </c>
      <c r="DX50" s="19">
        <v>251592553</v>
      </c>
      <c r="DY50" s="19">
        <v>357863697</v>
      </c>
      <c r="DZ50" s="19">
        <v>404254122</v>
      </c>
      <c r="EA50" s="19">
        <v>218624462</v>
      </c>
      <c r="EB50" s="19">
        <v>2374887914</v>
      </c>
    </row>
    <row r="51" spans="1:132">
      <c r="A51" s="9" t="s">
        <v>86</v>
      </c>
      <c r="B51" s="10" t="s">
        <v>102</v>
      </c>
      <c r="C51" s="19">
        <v>1080034877</v>
      </c>
      <c r="D51" s="19">
        <v>873058460</v>
      </c>
      <c r="E51" s="19">
        <v>329364952</v>
      </c>
      <c r="F51" s="19">
        <v>1863246051</v>
      </c>
      <c r="G51" s="19">
        <v>136952863</v>
      </c>
      <c r="H51" s="19">
        <v>2630916860</v>
      </c>
      <c r="I51" s="19">
        <v>3955690069</v>
      </c>
      <c r="J51" s="19" t="s">
        <v>89</v>
      </c>
      <c r="K51" s="19">
        <v>1045618164</v>
      </c>
      <c r="L51" s="19">
        <v>125511598</v>
      </c>
      <c r="M51" s="19">
        <v>2703270342</v>
      </c>
      <c r="N51" s="19">
        <v>837908428</v>
      </c>
      <c r="O51" s="19">
        <v>3732845187</v>
      </c>
      <c r="P51" s="19">
        <v>4766812874</v>
      </c>
      <c r="Q51" s="19">
        <v>212595674</v>
      </c>
      <c r="R51" s="19">
        <v>682796358</v>
      </c>
      <c r="S51" s="19">
        <v>488927084</v>
      </c>
      <c r="T51" s="19">
        <v>222166698</v>
      </c>
      <c r="U51" s="19">
        <v>1386860899</v>
      </c>
      <c r="V51" s="19">
        <v>400061741</v>
      </c>
      <c r="W51" s="19">
        <v>2050311302</v>
      </c>
      <c r="X51" s="19">
        <v>947762865</v>
      </c>
      <c r="Y51" s="19">
        <v>820000108</v>
      </c>
      <c r="Z51" s="19">
        <v>665830820</v>
      </c>
      <c r="AA51" s="19">
        <v>184516931</v>
      </c>
      <c r="AB51" s="19">
        <v>1089970792</v>
      </c>
      <c r="AC51" s="19">
        <v>275515715</v>
      </c>
      <c r="AD51" s="19">
        <v>271181629</v>
      </c>
      <c r="AE51" s="19">
        <v>332231160</v>
      </c>
      <c r="AF51" s="19">
        <v>282703386</v>
      </c>
      <c r="AG51" s="19">
        <v>2702653378</v>
      </c>
      <c r="AH51" s="19">
        <v>1017180718</v>
      </c>
      <c r="AI51" s="19">
        <v>269436248</v>
      </c>
      <c r="AJ51" s="19">
        <v>747563972</v>
      </c>
      <c r="AK51" s="19">
        <v>540993565</v>
      </c>
      <c r="AL51" s="19">
        <v>566186575</v>
      </c>
      <c r="AM51" s="19">
        <v>1256792836</v>
      </c>
      <c r="AN51" s="19">
        <v>241160240</v>
      </c>
      <c r="AO51" s="19">
        <v>1408122073</v>
      </c>
      <c r="AP51" s="19">
        <v>681285072</v>
      </c>
      <c r="AQ51" s="19">
        <v>145579089</v>
      </c>
      <c r="AR51" s="19">
        <v>119510092</v>
      </c>
      <c r="AS51" s="19">
        <v>1825969145</v>
      </c>
      <c r="AT51" s="19">
        <v>546383608</v>
      </c>
      <c r="AU51" s="19">
        <v>546361510</v>
      </c>
      <c r="AV51" s="19">
        <v>143477841</v>
      </c>
      <c r="AW51" s="19">
        <v>136714489</v>
      </c>
      <c r="AX51" s="19">
        <v>315125321</v>
      </c>
      <c r="AY51" s="19">
        <v>447072780</v>
      </c>
      <c r="AZ51" s="19">
        <v>221258944</v>
      </c>
      <c r="BA51" s="19">
        <v>1558716653</v>
      </c>
      <c r="BB51" s="19">
        <v>144287535</v>
      </c>
      <c r="BC51" s="19">
        <v>775450027</v>
      </c>
      <c r="BD51" s="19">
        <v>152084152</v>
      </c>
      <c r="BE51" s="19">
        <v>176114063</v>
      </c>
      <c r="BF51" s="19">
        <v>456722559</v>
      </c>
      <c r="BG51" s="19">
        <v>1775316453</v>
      </c>
      <c r="BH51" s="19">
        <v>109064748</v>
      </c>
      <c r="BI51" s="19">
        <v>260473906</v>
      </c>
      <c r="BJ51" s="19">
        <v>322990047</v>
      </c>
      <c r="BK51" s="19">
        <v>239061613</v>
      </c>
      <c r="BL51" s="19">
        <v>326623523</v>
      </c>
      <c r="BM51" s="19">
        <v>123714911</v>
      </c>
      <c r="BN51" s="19">
        <v>113508841</v>
      </c>
      <c r="BO51" s="19">
        <v>295672727</v>
      </c>
      <c r="BP51" s="19">
        <v>225914958</v>
      </c>
      <c r="BQ51" s="19">
        <v>102951423</v>
      </c>
      <c r="BR51" s="19">
        <v>110138294</v>
      </c>
      <c r="BS51" s="19">
        <v>119038310</v>
      </c>
      <c r="BT51" s="19">
        <v>290272931</v>
      </c>
      <c r="BU51" s="19">
        <v>224851811</v>
      </c>
      <c r="BV51" s="19">
        <v>208499394</v>
      </c>
      <c r="BW51" s="19">
        <v>590738395</v>
      </c>
      <c r="BX51" s="19">
        <v>754283290</v>
      </c>
      <c r="BY51" s="19">
        <v>1295526869</v>
      </c>
      <c r="BZ51" s="19">
        <v>253237661</v>
      </c>
      <c r="CA51" s="19">
        <v>483301420</v>
      </c>
      <c r="CB51" s="19">
        <v>684913335</v>
      </c>
      <c r="CC51" s="19">
        <v>204379448</v>
      </c>
      <c r="CD51" s="19">
        <v>397276553</v>
      </c>
      <c r="CE51" s="19">
        <v>148296003</v>
      </c>
      <c r="CF51" s="19" t="s">
        <v>127</v>
      </c>
      <c r="CG51" s="19">
        <v>1110121867</v>
      </c>
      <c r="CH51" s="19">
        <v>74133573</v>
      </c>
      <c r="CI51" s="19">
        <v>255645262</v>
      </c>
      <c r="CJ51" s="19">
        <v>174821197</v>
      </c>
      <c r="CK51" s="19">
        <v>516054819</v>
      </c>
      <c r="CL51" s="19">
        <v>26537074</v>
      </c>
      <c r="CM51" s="19">
        <v>4773133817</v>
      </c>
      <c r="CN51" s="19">
        <v>397052747</v>
      </c>
      <c r="CO51" s="19">
        <v>434806332</v>
      </c>
      <c r="CP51" s="19">
        <v>1685964389</v>
      </c>
      <c r="CQ51" s="19" t="s">
        <v>96</v>
      </c>
      <c r="CR51" s="19">
        <v>443906673</v>
      </c>
      <c r="CS51" s="19">
        <v>188022493</v>
      </c>
      <c r="CT51" s="19">
        <v>684237422</v>
      </c>
      <c r="CU51" s="19">
        <v>1263303353</v>
      </c>
      <c r="CV51" s="19" t="s">
        <v>89</v>
      </c>
      <c r="CW51" s="19">
        <v>768548635</v>
      </c>
      <c r="CX51" s="19">
        <v>1026559065</v>
      </c>
      <c r="CY51" s="19">
        <v>4080047797</v>
      </c>
      <c r="CZ51" s="19">
        <v>628570232</v>
      </c>
      <c r="DA51" s="19">
        <v>127577314</v>
      </c>
      <c r="DB51" s="19">
        <v>290855481</v>
      </c>
      <c r="DC51" s="19">
        <v>104598544</v>
      </c>
      <c r="DD51" s="19">
        <v>186341750</v>
      </c>
      <c r="DE51" s="19">
        <v>1120073502</v>
      </c>
      <c r="DF51" s="19">
        <v>59126127</v>
      </c>
      <c r="DG51" s="19">
        <v>413920012</v>
      </c>
      <c r="DH51" s="19">
        <v>207865145</v>
      </c>
      <c r="DI51" s="19">
        <v>436859298</v>
      </c>
      <c r="DJ51" s="19">
        <v>196621272</v>
      </c>
      <c r="DK51" s="19">
        <v>180439515</v>
      </c>
      <c r="DL51" s="19">
        <v>273855373</v>
      </c>
      <c r="DM51" s="19">
        <v>667903857</v>
      </c>
      <c r="DN51" s="19">
        <v>114886696</v>
      </c>
      <c r="DO51" s="19">
        <v>536625290</v>
      </c>
      <c r="DP51" s="19">
        <v>211292827</v>
      </c>
      <c r="DQ51" s="19">
        <v>82124711</v>
      </c>
      <c r="DR51" s="19">
        <v>18837986</v>
      </c>
      <c r="DS51" s="19">
        <v>483844638</v>
      </c>
      <c r="DT51" s="19">
        <v>661641071</v>
      </c>
      <c r="DU51" s="19">
        <v>167036807</v>
      </c>
      <c r="DV51" s="19" t="s">
        <v>89</v>
      </c>
      <c r="DW51" s="19">
        <v>90577263</v>
      </c>
      <c r="DX51" s="19">
        <v>301199693</v>
      </c>
      <c r="DY51" s="19">
        <v>347145528</v>
      </c>
      <c r="DZ51" s="19">
        <v>292749979</v>
      </c>
      <c r="EA51" s="19">
        <v>239851895</v>
      </c>
      <c r="EB51" s="19">
        <v>2318474030</v>
      </c>
    </row>
    <row r="52" spans="1:132">
      <c r="A52" s="9" t="s">
        <v>86</v>
      </c>
      <c r="B52" s="15" t="s">
        <v>26</v>
      </c>
      <c r="C52" s="19">
        <v>906722926</v>
      </c>
      <c r="D52" s="19">
        <v>568523070</v>
      </c>
      <c r="E52" s="19">
        <v>172570250</v>
      </c>
      <c r="F52" s="19">
        <v>1475830482</v>
      </c>
      <c r="G52" s="19">
        <v>81720000</v>
      </c>
      <c r="H52" s="19"/>
      <c r="I52" s="19">
        <v>3479123762</v>
      </c>
      <c r="J52" s="19" t="s">
        <v>89</v>
      </c>
      <c r="K52" s="19">
        <v>779621741</v>
      </c>
      <c r="L52" s="19">
        <v>72000000</v>
      </c>
      <c r="M52" s="19">
        <v>1720236683</v>
      </c>
      <c r="N52" s="19">
        <v>447811168</v>
      </c>
      <c r="O52" s="19">
        <v>2625997821</v>
      </c>
      <c r="P52" s="19">
        <v>3362177026</v>
      </c>
      <c r="Q52" s="19">
        <v>110447294</v>
      </c>
      <c r="R52" s="19">
        <v>334248211</v>
      </c>
      <c r="S52" s="19">
        <v>100254999</v>
      </c>
      <c r="T52" s="19">
        <v>81998880</v>
      </c>
      <c r="U52" s="19">
        <v>748762813</v>
      </c>
      <c r="V52" s="19">
        <v>236333015</v>
      </c>
      <c r="W52" s="19">
        <v>1260324810</v>
      </c>
      <c r="X52" s="19">
        <v>385625257</v>
      </c>
      <c r="Y52" s="19">
        <v>261758807</v>
      </c>
      <c r="Z52" s="19">
        <v>220588796</v>
      </c>
      <c r="AA52" s="19">
        <v>68800000</v>
      </c>
      <c r="AB52" s="19">
        <v>110790283</v>
      </c>
      <c r="AC52" s="19">
        <v>130911791</v>
      </c>
      <c r="AD52" s="19">
        <v>111775328</v>
      </c>
      <c r="AE52" s="19">
        <v>141614570</v>
      </c>
      <c r="AF52" s="19">
        <v>254367208</v>
      </c>
      <c r="AG52" s="19">
        <v>1737823523</v>
      </c>
      <c r="AH52" s="19">
        <v>276199647</v>
      </c>
      <c r="AI52" s="19">
        <v>194148418</v>
      </c>
      <c r="AJ52" s="19">
        <v>405441713</v>
      </c>
      <c r="AK52" s="19">
        <v>310177572</v>
      </c>
      <c r="AL52" s="19">
        <v>237754433</v>
      </c>
      <c r="AM52" s="19">
        <v>614257955</v>
      </c>
      <c r="AN52" s="19">
        <v>125934362</v>
      </c>
      <c r="AO52" s="19"/>
      <c r="AP52" s="19">
        <v>400771126</v>
      </c>
      <c r="AQ52" s="19">
        <v>119056872</v>
      </c>
      <c r="AR52" s="19">
        <v>134461797</v>
      </c>
      <c r="AS52" s="19"/>
      <c r="AT52" s="19">
        <v>348359624</v>
      </c>
      <c r="AU52" s="19">
        <v>274042188</v>
      </c>
      <c r="AV52" s="19">
        <v>40818989</v>
      </c>
      <c r="AW52" s="19">
        <v>60727920</v>
      </c>
      <c r="AX52" s="19">
        <v>217007363</v>
      </c>
      <c r="AY52" s="19">
        <v>212907110</v>
      </c>
      <c r="AZ52" s="19">
        <v>98685560</v>
      </c>
      <c r="BA52" s="19">
        <v>895020910</v>
      </c>
      <c r="BB52" s="19">
        <v>99213973</v>
      </c>
      <c r="BC52" s="19">
        <v>470428830</v>
      </c>
      <c r="BD52" s="19">
        <v>68352000</v>
      </c>
      <c r="BE52" s="19">
        <v>68665000</v>
      </c>
      <c r="BF52" s="19">
        <v>112978942</v>
      </c>
      <c r="BG52" s="19">
        <v>700247453</v>
      </c>
      <c r="BH52" s="19">
        <v>50401800</v>
      </c>
      <c r="BI52" s="19">
        <v>153142364</v>
      </c>
      <c r="BJ52" s="19">
        <v>129346324</v>
      </c>
      <c r="BK52" s="19">
        <v>72858064</v>
      </c>
      <c r="BL52" s="19">
        <v>196252605</v>
      </c>
      <c r="BM52" s="19">
        <v>34443330</v>
      </c>
      <c r="BN52" s="19">
        <v>77629240</v>
      </c>
      <c r="BO52" s="19">
        <v>90722619</v>
      </c>
      <c r="BP52" s="19">
        <v>147843657</v>
      </c>
      <c r="BQ52" s="19">
        <v>42600000</v>
      </c>
      <c r="BR52" s="19">
        <v>38979990</v>
      </c>
      <c r="BS52" s="19">
        <v>45554000</v>
      </c>
      <c r="BT52" s="19">
        <v>214920253</v>
      </c>
      <c r="BU52" s="19">
        <v>118004854</v>
      </c>
      <c r="BV52" s="19">
        <v>132119720</v>
      </c>
      <c r="BW52" s="19">
        <v>275724640</v>
      </c>
      <c r="BX52" s="19">
        <v>141855666</v>
      </c>
      <c r="BY52" s="19">
        <v>680142324</v>
      </c>
      <c r="BZ52" s="19">
        <v>120191760</v>
      </c>
      <c r="CA52" s="19">
        <v>199922933</v>
      </c>
      <c r="CB52" s="19">
        <v>323196462</v>
      </c>
      <c r="CC52" s="19">
        <v>113200453</v>
      </c>
      <c r="CD52" s="19">
        <v>183932256</v>
      </c>
      <c r="CE52" s="19">
        <v>50600000</v>
      </c>
      <c r="CF52" s="19" t="s">
        <v>127</v>
      </c>
      <c r="CG52" s="19">
        <v>1003296490</v>
      </c>
      <c r="CH52" s="19">
        <v>39710000</v>
      </c>
      <c r="CI52" s="19">
        <v>101968221</v>
      </c>
      <c r="CJ52" s="19">
        <v>192557176</v>
      </c>
      <c r="CK52" s="19">
        <v>280088017</v>
      </c>
      <c r="CL52" s="19"/>
      <c r="CM52" s="19">
        <v>4234219323</v>
      </c>
      <c r="CN52" s="19">
        <v>130908879</v>
      </c>
      <c r="CO52" s="19">
        <v>196077664</v>
      </c>
      <c r="CP52" s="19">
        <v>553349616</v>
      </c>
      <c r="CQ52" s="19" t="s">
        <v>96</v>
      </c>
      <c r="CR52" s="19">
        <v>320341627</v>
      </c>
      <c r="CS52" s="19">
        <v>73235430</v>
      </c>
      <c r="CT52" s="19">
        <v>382401565</v>
      </c>
      <c r="CU52" s="19">
        <v>362689125</v>
      </c>
      <c r="CV52" s="19" t="s">
        <v>89</v>
      </c>
      <c r="CW52" s="19">
        <v>415678982</v>
      </c>
      <c r="CX52" s="19">
        <v>469199964</v>
      </c>
      <c r="CY52" s="19">
        <v>2259764782</v>
      </c>
      <c r="CZ52" s="19">
        <v>350309560</v>
      </c>
      <c r="DA52" s="19">
        <v>78987378</v>
      </c>
      <c r="DB52" s="19">
        <v>119286937</v>
      </c>
      <c r="DC52" s="19"/>
      <c r="DD52" s="19">
        <v>139274493</v>
      </c>
      <c r="DE52" s="19">
        <v>865102640</v>
      </c>
      <c r="DF52" s="19">
        <v>22300000</v>
      </c>
      <c r="DG52" s="19">
        <v>57962760</v>
      </c>
      <c r="DH52" s="19">
        <v>171197199</v>
      </c>
      <c r="DI52" s="19">
        <v>171490098</v>
      </c>
      <c r="DJ52" s="19">
        <v>48394755</v>
      </c>
      <c r="DK52" s="19">
        <v>88611238</v>
      </c>
      <c r="DL52" s="19">
        <v>107316843</v>
      </c>
      <c r="DM52" s="19">
        <v>186030731</v>
      </c>
      <c r="DN52" s="19">
        <v>67798490</v>
      </c>
      <c r="DO52" s="19">
        <v>437905699</v>
      </c>
      <c r="DP52" s="19">
        <v>76380369</v>
      </c>
      <c r="DQ52" s="19">
        <v>62583240</v>
      </c>
      <c r="DR52" s="19">
        <v>3320000</v>
      </c>
      <c r="DS52" s="19">
        <v>368464796</v>
      </c>
      <c r="DT52" s="19">
        <v>132425493</v>
      </c>
      <c r="DU52" s="19">
        <v>122673658</v>
      </c>
      <c r="DV52" s="19" t="s">
        <v>89</v>
      </c>
      <c r="DW52" s="19">
        <v>60286590</v>
      </c>
      <c r="DX52" s="19">
        <v>184879167</v>
      </c>
      <c r="DY52" s="19">
        <v>157416438</v>
      </c>
      <c r="DZ52" s="19">
        <v>161135300</v>
      </c>
      <c r="EA52" s="19">
        <v>138840000</v>
      </c>
      <c r="EB52" s="19">
        <v>2040366440</v>
      </c>
    </row>
    <row r="53" spans="1:132">
      <c r="A53" s="9" t="s">
        <v>86</v>
      </c>
      <c r="B53" s="15" t="s">
        <v>35</v>
      </c>
      <c r="C53" s="19"/>
      <c r="D53" s="19"/>
      <c r="E53" s="19"/>
      <c r="F53" s="19">
        <v>-10374000</v>
      </c>
      <c r="G53" s="19"/>
      <c r="H53" s="19"/>
      <c r="I53" s="19">
        <v>-219159570</v>
      </c>
      <c r="J53" s="19" t="s">
        <v>89</v>
      </c>
      <c r="K53" s="19"/>
      <c r="L53" s="19"/>
      <c r="M53" s="19"/>
      <c r="N53" s="19">
        <v>-99083820</v>
      </c>
      <c r="O53" s="19"/>
      <c r="P53" s="19"/>
      <c r="Q53" s="19">
        <v>-31716000</v>
      </c>
      <c r="R53" s="19">
        <v>-31479710</v>
      </c>
      <c r="S53" s="19"/>
      <c r="T53" s="19">
        <v>-42594000</v>
      </c>
      <c r="U53" s="19"/>
      <c r="V53" s="19"/>
      <c r="W53" s="19">
        <v>-69100000</v>
      </c>
      <c r="X53" s="19"/>
      <c r="Y53" s="19">
        <v>-28443700</v>
      </c>
      <c r="Z53" s="19"/>
      <c r="AA53" s="19"/>
      <c r="AB53" s="19"/>
      <c r="AC53" s="19"/>
      <c r="AD53" s="19"/>
      <c r="AE53" s="19">
        <v>-23572980</v>
      </c>
      <c r="AF53" s="19">
        <v>-39516130</v>
      </c>
      <c r="AG53" s="19">
        <v>-17586840</v>
      </c>
      <c r="AH53" s="19"/>
      <c r="AI53" s="19">
        <v>-91434510</v>
      </c>
      <c r="AJ53" s="19">
        <v>-17334930</v>
      </c>
      <c r="AK53" s="19"/>
      <c r="AL53" s="19">
        <v>-10645390</v>
      </c>
      <c r="AM53" s="19"/>
      <c r="AN53" s="19"/>
      <c r="AO53" s="19"/>
      <c r="AP53" s="19"/>
      <c r="AQ53" s="19">
        <v>-19154000</v>
      </c>
      <c r="AR53" s="19">
        <v>-79283000</v>
      </c>
      <c r="AS53" s="19"/>
      <c r="AT53" s="19"/>
      <c r="AU53" s="19"/>
      <c r="AV53" s="19"/>
      <c r="AW53" s="19"/>
      <c r="AX53" s="19"/>
      <c r="AY53" s="19"/>
      <c r="AZ53" s="19">
        <v>8000000</v>
      </c>
      <c r="BA53" s="19"/>
      <c r="BB53" s="19"/>
      <c r="BC53" s="19">
        <v>-140021140</v>
      </c>
      <c r="BD53" s="19"/>
      <c r="BE53" s="19">
        <v>-5480000</v>
      </c>
      <c r="BF53" s="19"/>
      <c r="BG53" s="19"/>
      <c r="BH53" s="19"/>
      <c r="BI53" s="19"/>
      <c r="BJ53" s="19"/>
      <c r="BK53" s="19"/>
      <c r="BL53" s="19"/>
      <c r="BM53" s="19"/>
      <c r="BN53" s="19"/>
      <c r="BO53" s="19"/>
      <c r="BP53" s="19"/>
      <c r="BQ53" s="19"/>
      <c r="BR53" s="19">
        <v>-3600000</v>
      </c>
      <c r="BS53" s="19"/>
      <c r="BT53" s="19"/>
      <c r="BU53" s="19"/>
      <c r="BV53" s="19">
        <v>-56001950</v>
      </c>
      <c r="BW53" s="19">
        <v>-136180330</v>
      </c>
      <c r="BX53" s="19">
        <v>-53225840</v>
      </c>
      <c r="BY53" s="19">
        <v>-170502040</v>
      </c>
      <c r="BZ53" s="19"/>
      <c r="CA53" s="19">
        <v>-5372820</v>
      </c>
      <c r="CB53" s="19"/>
      <c r="CC53" s="19">
        <v>-14675000</v>
      </c>
      <c r="CD53" s="19"/>
      <c r="CE53" s="19"/>
      <c r="CF53" s="19" t="s">
        <v>127</v>
      </c>
      <c r="CG53" s="19"/>
      <c r="CH53" s="19"/>
      <c r="CI53" s="19"/>
      <c r="CJ53" s="19">
        <v>-49368400</v>
      </c>
      <c r="CK53" s="19">
        <v>-26614400</v>
      </c>
      <c r="CL53" s="19"/>
      <c r="CM53" s="19"/>
      <c r="CN53" s="19">
        <v>-87720210</v>
      </c>
      <c r="CO53" s="19"/>
      <c r="CP53" s="19">
        <v>-40604200</v>
      </c>
      <c r="CQ53" s="19" t="s">
        <v>96</v>
      </c>
      <c r="CR53" s="19">
        <v>-15164410</v>
      </c>
      <c r="CS53" s="19"/>
      <c r="CT53" s="19"/>
      <c r="CU53" s="19">
        <v>-119887000</v>
      </c>
      <c r="CV53" s="19" t="s">
        <v>89</v>
      </c>
      <c r="CW53" s="19"/>
      <c r="CX53" s="19"/>
      <c r="CY53" s="19">
        <v>-60000000</v>
      </c>
      <c r="CZ53" s="19">
        <v>-54373010</v>
      </c>
      <c r="DA53" s="19"/>
      <c r="DB53" s="19">
        <v>-78544120</v>
      </c>
      <c r="DC53" s="19"/>
      <c r="DD53" s="19">
        <v>-50483150</v>
      </c>
      <c r="DE53" s="19"/>
      <c r="DF53" s="19"/>
      <c r="DG53" s="19"/>
      <c r="DH53" s="19"/>
      <c r="DI53" s="19"/>
      <c r="DJ53" s="19"/>
      <c r="DK53" s="19"/>
      <c r="DL53" s="19"/>
      <c r="DM53" s="19"/>
      <c r="DN53" s="19">
        <v>-30007330</v>
      </c>
      <c r="DO53" s="19"/>
      <c r="DP53" s="19"/>
      <c r="DQ53" s="19"/>
      <c r="DR53" s="19"/>
      <c r="DS53" s="19">
        <v>-17592480</v>
      </c>
      <c r="DT53" s="19"/>
      <c r="DU53" s="19">
        <v>-33398810</v>
      </c>
      <c r="DV53" s="19" t="s">
        <v>89</v>
      </c>
      <c r="DW53" s="19">
        <v>-10929130</v>
      </c>
      <c r="DX53" s="19">
        <v>-17521570</v>
      </c>
      <c r="DY53" s="19"/>
      <c r="DZ53" s="19"/>
      <c r="EA53" s="19"/>
      <c r="EB53" s="19">
        <v>-51101950</v>
      </c>
    </row>
    <row r="54" spans="1:132">
      <c r="A54" s="9" t="s">
        <v>86</v>
      </c>
      <c r="B54" s="15" t="s">
        <v>73</v>
      </c>
      <c r="C54" s="19">
        <v>4147090</v>
      </c>
      <c r="D54" s="19">
        <v>3825047</v>
      </c>
      <c r="E54" s="19">
        <v>24058954</v>
      </c>
      <c r="F54" s="19">
        <v>8195824</v>
      </c>
      <c r="G54" s="19">
        <v>2137162</v>
      </c>
      <c r="H54" s="19"/>
      <c r="I54" s="19"/>
      <c r="J54" s="19" t="s">
        <v>89</v>
      </c>
      <c r="K54" s="19">
        <v>23731197</v>
      </c>
      <c r="L54" s="19">
        <v>2306317</v>
      </c>
      <c r="M54" s="19">
        <v>116952556</v>
      </c>
      <c r="N54" s="19">
        <v>4182947</v>
      </c>
      <c r="O54" s="19">
        <v>205623655</v>
      </c>
      <c r="P54" s="19"/>
      <c r="Q54" s="19">
        <v>2289523</v>
      </c>
      <c r="R54" s="19">
        <v>12635413</v>
      </c>
      <c r="S54" s="19">
        <v>23679254</v>
      </c>
      <c r="T54" s="19"/>
      <c r="U54" s="19">
        <v>104428529</v>
      </c>
      <c r="V54" s="19">
        <v>13843154</v>
      </c>
      <c r="W54" s="19"/>
      <c r="X54" s="19">
        <v>87882937</v>
      </c>
      <c r="Y54" s="19"/>
      <c r="Z54" s="19">
        <v>70462392</v>
      </c>
      <c r="AA54" s="19">
        <v>20567745</v>
      </c>
      <c r="AB54" s="19">
        <v>28271406</v>
      </c>
      <c r="AC54" s="19">
        <v>4195596</v>
      </c>
      <c r="AD54" s="19">
        <v>809116</v>
      </c>
      <c r="AE54" s="19">
        <v>899955</v>
      </c>
      <c r="AF54" s="19">
        <v>24602376</v>
      </c>
      <c r="AG54" s="19">
        <v>121741255</v>
      </c>
      <c r="AH54" s="19">
        <v>27048835</v>
      </c>
      <c r="AI54" s="19"/>
      <c r="AJ54" s="19">
        <v>47550701</v>
      </c>
      <c r="AK54" s="19">
        <v>17626184</v>
      </c>
      <c r="AL54" s="19">
        <v>6996117</v>
      </c>
      <c r="AM54" s="19">
        <v>74825431</v>
      </c>
      <c r="AN54" s="19">
        <v>26574581</v>
      </c>
      <c r="AO54" s="19"/>
      <c r="AP54" s="19">
        <v>29078725</v>
      </c>
      <c r="AQ54" s="19"/>
      <c r="AR54" s="19">
        <v>8204784</v>
      </c>
      <c r="AS54" s="19"/>
      <c r="AT54" s="19"/>
      <c r="AU54" s="19">
        <v>99494446</v>
      </c>
      <c r="AV54" s="19">
        <v>44759958</v>
      </c>
      <c r="AW54" s="19"/>
      <c r="AX54" s="19"/>
      <c r="AY54" s="19">
        <v>79455900</v>
      </c>
      <c r="AZ54" s="19">
        <v>10668196</v>
      </c>
      <c r="BA54" s="19"/>
      <c r="BB54" s="19">
        <v>8036363</v>
      </c>
      <c r="BC54" s="19">
        <v>60047526</v>
      </c>
      <c r="BD54" s="19">
        <v>5666724</v>
      </c>
      <c r="BE54" s="19">
        <v>6862541</v>
      </c>
      <c r="BF54" s="19">
        <v>202543499</v>
      </c>
      <c r="BG54" s="19">
        <v>34363575</v>
      </c>
      <c r="BH54" s="19">
        <v>2521402</v>
      </c>
      <c r="BI54" s="19">
        <v>9714786</v>
      </c>
      <c r="BJ54" s="19">
        <v>40001468</v>
      </c>
      <c r="BK54" s="19">
        <v>10190908</v>
      </c>
      <c r="BL54" s="19">
        <v>6620890</v>
      </c>
      <c r="BM54" s="19">
        <v>8171676</v>
      </c>
      <c r="BN54" s="19">
        <v>9161278</v>
      </c>
      <c r="BO54" s="19">
        <v>7595211</v>
      </c>
      <c r="BP54" s="19"/>
      <c r="BQ54" s="19"/>
      <c r="BR54" s="19">
        <v>1103743</v>
      </c>
      <c r="BS54" s="19"/>
      <c r="BT54" s="19">
        <v>16708484</v>
      </c>
      <c r="BU54" s="19">
        <v>38084</v>
      </c>
      <c r="BV54" s="19">
        <v>18739852</v>
      </c>
      <c r="BW54" s="19"/>
      <c r="BX54" s="19"/>
      <c r="BY54" s="19">
        <v>64602669</v>
      </c>
      <c r="BZ54" s="19">
        <v>866596</v>
      </c>
      <c r="CA54" s="19"/>
      <c r="CB54" s="19">
        <v>63233297</v>
      </c>
      <c r="CC54" s="19"/>
      <c r="CD54" s="19">
        <v>20378232</v>
      </c>
      <c r="CE54" s="19">
        <v>1451718</v>
      </c>
      <c r="CF54" s="19" t="s">
        <v>127</v>
      </c>
      <c r="CG54" s="19">
        <v>4896446</v>
      </c>
      <c r="CH54" s="19">
        <v>804920</v>
      </c>
      <c r="CI54" s="19"/>
      <c r="CJ54" s="19">
        <v>3296404</v>
      </c>
      <c r="CK54" s="19">
        <v>32933126</v>
      </c>
      <c r="CL54" s="19"/>
      <c r="CM54" s="19">
        <v>20408712</v>
      </c>
      <c r="CN54" s="19">
        <v>14325047</v>
      </c>
      <c r="CO54" s="19">
        <v>22981385</v>
      </c>
      <c r="CP54" s="19"/>
      <c r="CQ54" s="19" t="s">
        <v>96</v>
      </c>
      <c r="CR54" s="19">
        <v>15160076</v>
      </c>
      <c r="CS54" s="19">
        <v>12715794</v>
      </c>
      <c r="CT54" s="19">
        <v>15138303</v>
      </c>
      <c r="CU54" s="19">
        <v>9497000</v>
      </c>
      <c r="CV54" s="19" t="s">
        <v>89</v>
      </c>
      <c r="CW54" s="19">
        <v>77848638</v>
      </c>
      <c r="CX54" s="19">
        <v>15893613</v>
      </c>
      <c r="CY54" s="19">
        <v>59474370</v>
      </c>
      <c r="CZ54" s="19">
        <v>2922181</v>
      </c>
      <c r="DA54" s="19"/>
      <c r="DB54" s="19">
        <v>16314683</v>
      </c>
      <c r="DC54" s="19"/>
      <c r="DD54" s="19">
        <v>2111032</v>
      </c>
      <c r="DE54" s="19">
        <v>1370113</v>
      </c>
      <c r="DF54" s="19">
        <v>5868225</v>
      </c>
      <c r="DG54" s="19">
        <v>8883924</v>
      </c>
      <c r="DH54" s="19"/>
      <c r="DI54" s="19">
        <v>45408525</v>
      </c>
      <c r="DJ54" s="19">
        <v>568635</v>
      </c>
      <c r="DK54" s="19">
        <v>25438380</v>
      </c>
      <c r="DL54" s="19"/>
      <c r="DM54" s="19">
        <v>24933492</v>
      </c>
      <c r="DN54" s="19">
        <v>918905</v>
      </c>
      <c r="DO54" s="19">
        <v>13002385</v>
      </c>
      <c r="DP54" s="19">
        <v>19437167</v>
      </c>
      <c r="DQ54" s="19"/>
      <c r="DR54" s="19"/>
      <c r="DS54" s="19"/>
      <c r="DT54" s="19">
        <v>5875519</v>
      </c>
      <c r="DU54" s="19">
        <v>5301981</v>
      </c>
      <c r="DV54" s="19" t="s">
        <v>89</v>
      </c>
      <c r="DW54" s="19">
        <v>7316517</v>
      </c>
      <c r="DX54" s="19">
        <v>722727</v>
      </c>
      <c r="DY54" s="19"/>
      <c r="DZ54" s="19">
        <v>14363849</v>
      </c>
      <c r="EA54" s="19">
        <v>390490</v>
      </c>
      <c r="EB54" s="19">
        <v>40520500</v>
      </c>
    </row>
    <row r="55" spans="1:132">
      <c r="A55" s="9" t="s">
        <v>86</v>
      </c>
      <c r="B55" s="15" t="s">
        <v>58</v>
      </c>
      <c r="C55" s="19"/>
      <c r="D55" s="19"/>
      <c r="E55" s="19"/>
      <c r="F55" s="19"/>
      <c r="G55" s="19">
        <v>3292380</v>
      </c>
      <c r="H55" s="19"/>
      <c r="I55" s="19"/>
      <c r="J55" s="19" t="s">
        <v>89</v>
      </c>
      <c r="K55" s="19"/>
      <c r="L55" s="19"/>
      <c r="M55" s="19"/>
      <c r="N55" s="19"/>
      <c r="O55" s="19"/>
      <c r="P55" s="19">
        <v>219511217</v>
      </c>
      <c r="Q55" s="19"/>
      <c r="R55" s="19"/>
      <c r="S55" s="19">
        <v>2105128</v>
      </c>
      <c r="T55" s="19"/>
      <c r="U55" s="19"/>
      <c r="V55" s="19">
        <v>13256000</v>
      </c>
      <c r="W55" s="19"/>
      <c r="X55" s="19"/>
      <c r="Y55" s="19"/>
      <c r="Z55" s="19"/>
      <c r="AA55" s="19"/>
      <c r="AB55" s="19"/>
      <c r="AC55" s="19"/>
      <c r="AD55" s="19"/>
      <c r="AE55" s="19"/>
      <c r="AF55" s="19"/>
      <c r="AG55" s="19"/>
      <c r="AH55" s="19">
        <v>586000</v>
      </c>
      <c r="AI55" s="19"/>
      <c r="AJ55" s="19"/>
      <c r="AK55" s="19"/>
      <c r="AL55" s="19"/>
      <c r="AM55" s="19"/>
      <c r="AN55" s="19"/>
      <c r="AO55" s="19"/>
      <c r="AP55" s="19">
        <v>100000</v>
      </c>
      <c r="AQ55" s="19"/>
      <c r="AR55" s="19"/>
      <c r="AS55" s="19"/>
      <c r="AT55" s="19">
        <v>7865</v>
      </c>
      <c r="AU55" s="19"/>
      <c r="AV55" s="19"/>
      <c r="AW55" s="19"/>
      <c r="AX55" s="19"/>
      <c r="AY55" s="19"/>
      <c r="AZ55" s="19">
        <v>52088254</v>
      </c>
      <c r="BA55" s="19"/>
      <c r="BB55" s="19"/>
      <c r="BC55" s="19"/>
      <c r="BD55" s="19"/>
      <c r="BE55" s="19"/>
      <c r="BF55" s="19"/>
      <c r="BG55" s="19"/>
      <c r="BH55" s="19"/>
      <c r="BI55" s="19">
        <v>205681</v>
      </c>
      <c r="BJ55" s="19">
        <v>1730686</v>
      </c>
      <c r="BK55" s="19"/>
      <c r="BL55" s="19"/>
      <c r="BM55" s="19"/>
      <c r="BN55" s="19">
        <v>125400</v>
      </c>
      <c r="BO55" s="19">
        <v>524708</v>
      </c>
      <c r="BP55" s="19"/>
      <c r="BQ55" s="19"/>
      <c r="BR55" s="19"/>
      <c r="BS55" s="19"/>
      <c r="BT55" s="19"/>
      <c r="BU55" s="19"/>
      <c r="BV55" s="19"/>
      <c r="BW55" s="19"/>
      <c r="BX55" s="19"/>
      <c r="BY55" s="19"/>
      <c r="BZ55" s="19"/>
      <c r="CA55" s="19"/>
      <c r="CB55" s="19"/>
      <c r="CC55" s="19"/>
      <c r="CD55" s="19"/>
      <c r="CE55" s="19"/>
      <c r="CF55" s="19" t="s">
        <v>127</v>
      </c>
      <c r="CG55" s="19"/>
      <c r="CH55" s="19"/>
      <c r="CI55" s="19"/>
      <c r="CJ55" s="19"/>
      <c r="CK55" s="19"/>
      <c r="CL55" s="19"/>
      <c r="CM55" s="19"/>
      <c r="CN55" s="19"/>
      <c r="CO55" s="19"/>
      <c r="CP55" s="19"/>
      <c r="CQ55" s="19" t="s">
        <v>96</v>
      </c>
      <c r="CR55" s="19">
        <v>665868</v>
      </c>
      <c r="CS55" s="19"/>
      <c r="CT55" s="19"/>
      <c r="CU55" s="19"/>
      <c r="CV55" s="19" t="s">
        <v>89</v>
      </c>
      <c r="CW55" s="19"/>
      <c r="CX55" s="19">
        <v>35855834</v>
      </c>
      <c r="CY55" s="19">
        <v>5683959</v>
      </c>
      <c r="CZ55" s="19"/>
      <c r="DA55" s="19"/>
      <c r="DB55" s="19"/>
      <c r="DC55" s="19"/>
      <c r="DD55" s="19"/>
      <c r="DE55" s="19"/>
      <c r="DF55" s="19"/>
      <c r="DG55" s="19"/>
      <c r="DH55" s="19"/>
      <c r="DI55" s="19">
        <v>3683184</v>
      </c>
      <c r="DJ55" s="19"/>
      <c r="DK55" s="19">
        <v>1493265</v>
      </c>
      <c r="DL55" s="19"/>
      <c r="DM55" s="19"/>
      <c r="DN55" s="19"/>
      <c r="DO55" s="19"/>
      <c r="DP55" s="19">
        <v>1211891</v>
      </c>
      <c r="DQ55" s="19"/>
      <c r="DR55" s="19"/>
      <c r="DS55" s="19">
        <v>734250</v>
      </c>
      <c r="DT55" s="19"/>
      <c r="DU55" s="19"/>
      <c r="DV55" s="19" t="s">
        <v>89</v>
      </c>
      <c r="DW55" s="19"/>
      <c r="DX55" s="19"/>
      <c r="DY55" s="19"/>
      <c r="DZ55" s="19"/>
      <c r="EA55" s="19"/>
      <c r="EB55" s="19"/>
    </row>
    <row r="56" spans="1:132">
      <c r="A56" s="9" t="s">
        <v>86</v>
      </c>
      <c r="B56" s="15" t="s">
        <v>55</v>
      </c>
      <c r="C56" s="19">
        <v>1090400</v>
      </c>
      <c r="D56" s="19">
        <v>27635420</v>
      </c>
      <c r="E56" s="19">
        <v>2782918</v>
      </c>
      <c r="F56" s="19">
        <v>30912030</v>
      </c>
      <c r="G56" s="19"/>
      <c r="H56" s="19"/>
      <c r="I56" s="19">
        <v>14102350</v>
      </c>
      <c r="J56" s="19" t="s">
        <v>89</v>
      </c>
      <c r="K56" s="19">
        <v>55542070</v>
      </c>
      <c r="L56" s="19">
        <v>318910</v>
      </c>
      <c r="M56" s="19">
        <v>53614270</v>
      </c>
      <c r="N56" s="19">
        <v>22039500</v>
      </c>
      <c r="O56" s="19">
        <v>5855712</v>
      </c>
      <c r="P56" s="19">
        <v>39657410</v>
      </c>
      <c r="Q56" s="19">
        <v>4467910</v>
      </c>
      <c r="R56" s="19">
        <v>13572779</v>
      </c>
      <c r="S56" s="19">
        <v>13048089</v>
      </c>
      <c r="T56" s="19"/>
      <c r="U56" s="19">
        <v>566450</v>
      </c>
      <c r="V56" s="19">
        <v>9578450</v>
      </c>
      <c r="W56" s="19">
        <v>794305</v>
      </c>
      <c r="X56" s="19">
        <v>32712061</v>
      </c>
      <c r="Y56" s="19">
        <v>32949432</v>
      </c>
      <c r="Z56" s="19">
        <v>13378455</v>
      </c>
      <c r="AA56" s="19">
        <v>31091363</v>
      </c>
      <c r="AB56" s="19">
        <v>2040550</v>
      </c>
      <c r="AC56" s="19">
        <v>16296140</v>
      </c>
      <c r="AD56" s="19">
        <v>2104570</v>
      </c>
      <c r="AE56" s="19">
        <v>7222126</v>
      </c>
      <c r="AF56" s="19">
        <v>7433440</v>
      </c>
      <c r="AG56" s="19">
        <v>53614270</v>
      </c>
      <c r="AH56" s="19">
        <v>11991920</v>
      </c>
      <c r="AI56" s="19">
        <v>7603300</v>
      </c>
      <c r="AJ56" s="19">
        <v>844220</v>
      </c>
      <c r="AK56" s="19">
        <v>28966720</v>
      </c>
      <c r="AL56" s="19">
        <v>10209540</v>
      </c>
      <c r="AM56" s="19">
        <v>76815527</v>
      </c>
      <c r="AN56" s="19">
        <v>1666490</v>
      </c>
      <c r="AO56" s="19"/>
      <c r="AP56" s="19">
        <v>581316</v>
      </c>
      <c r="AQ56" s="19">
        <v>3644790</v>
      </c>
      <c r="AR56" s="19">
        <v>4874690</v>
      </c>
      <c r="AS56" s="19"/>
      <c r="AT56" s="19">
        <v>24427985</v>
      </c>
      <c r="AU56" s="19">
        <v>13106600</v>
      </c>
      <c r="AV56" s="19">
        <v>4318610</v>
      </c>
      <c r="AW56" s="19">
        <v>292780</v>
      </c>
      <c r="AX56" s="19">
        <v>6408462</v>
      </c>
      <c r="AY56" s="19">
        <v>13017610</v>
      </c>
      <c r="AZ56" s="19">
        <v>497710</v>
      </c>
      <c r="BA56" s="19">
        <v>24344553</v>
      </c>
      <c r="BB56" s="19">
        <v>3450420</v>
      </c>
      <c r="BC56" s="19">
        <v>22471690</v>
      </c>
      <c r="BD56" s="19">
        <v>1632520</v>
      </c>
      <c r="BE56" s="19">
        <v>521810</v>
      </c>
      <c r="BF56" s="19">
        <v>10838410</v>
      </c>
      <c r="BG56" s="19">
        <v>28302764</v>
      </c>
      <c r="BH56" s="19">
        <v>2801320</v>
      </c>
      <c r="BI56" s="19">
        <v>226669</v>
      </c>
      <c r="BJ56" s="19">
        <v>7411668</v>
      </c>
      <c r="BK56" s="19">
        <v>4995795</v>
      </c>
      <c r="BL56" s="19"/>
      <c r="BM56" s="19">
        <v>4280580</v>
      </c>
      <c r="BN56" s="19">
        <v>1510960</v>
      </c>
      <c r="BO56" s="19">
        <v>3095059</v>
      </c>
      <c r="BP56" s="19">
        <v>5699700</v>
      </c>
      <c r="BQ56" s="19">
        <v>5687310</v>
      </c>
      <c r="BR56" s="19">
        <v>1623684</v>
      </c>
      <c r="BS56" s="19">
        <v>1205190</v>
      </c>
      <c r="BT56" s="19">
        <v>9479810</v>
      </c>
      <c r="BU56" s="19">
        <v>3223690</v>
      </c>
      <c r="BV56" s="19">
        <v>1450310</v>
      </c>
      <c r="BW56" s="19">
        <v>7460930</v>
      </c>
      <c r="BX56" s="19">
        <v>6335680</v>
      </c>
      <c r="BY56" s="19">
        <v>21489272</v>
      </c>
      <c r="BZ56" s="19">
        <v>5939310</v>
      </c>
      <c r="CA56" s="19">
        <v>9927385</v>
      </c>
      <c r="CB56" s="19">
        <v>7013190</v>
      </c>
      <c r="CC56" s="19">
        <v>836550</v>
      </c>
      <c r="CD56" s="19">
        <v>44522580</v>
      </c>
      <c r="CE56" s="19">
        <v>4818480</v>
      </c>
      <c r="CF56" s="19" t="s">
        <v>127</v>
      </c>
      <c r="CG56" s="19">
        <v>3298100</v>
      </c>
      <c r="CH56" s="19">
        <v>2136296</v>
      </c>
      <c r="CI56" s="19">
        <v>3077500</v>
      </c>
      <c r="CJ56" s="19">
        <v>5506310</v>
      </c>
      <c r="CK56" s="19">
        <v>22906240</v>
      </c>
      <c r="CL56" s="19">
        <v>151910</v>
      </c>
      <c r="CM56" s="19">
        <v>870020</v>
      </c>
      <c r="CN56" s="19">
        <v>3791850</v>
      </c>
      <c r="CO56" s="19">
        <v>9758970</v>
      </c>
      <c r="CP56" s="19">
        <v>22740981</v>
      </c>
      <c r="CQ56" s="19" t="s">
        <v>96</v>
      </c>
      <c r="CR56" s="19">
        <v>10548400</v>
      </c>
      <c r="CS56" s="19">
        <v>2193850</v>
      </c>
      <c r="CT56" s="19">
        <v>15814130</v>
      </c>
      <c r="CU56" s="19">
        <v>36982175</v>
      </c>
      <c r="CV56" s="19" t="s">
        <v>89</v>
      </c>
      <c r="CW56" s="19">
        <v>114300</v>
      </c>
      <c r="CX56" s="19">
        <v>13135090</v>
      </c>
      <c r="CY56" s="19">
        <v>110113416</v>
      </c>
      <c r="CZ56" s="19">
        <v>16043777</v>
      </c>
      <c r="DA56" s="19">
        <v>381823</v>
      </c>
      <c r="DB56" s="19">
        <v>9373235</v>
      </c>
      <c r="DC56" s="19">
        <v>184220</v>
      </c>
      <c r="DD56" s="19">
        <v>3048810</v>
      </c>
      <c r="DE56" s="19">
        <v>19550320</v>
      </c>
      <c r="DF56" s="19">
        <v>1273750</v>
      </c>
      <c r="DG56" s="19">
        <v>1972060</v>
      </c>
      <c r="DH56" s="19">
        <v>7263860</v>
      </c>
      <c r="DI56" s="19">
        <v>30029377</v>
      </c>
      <c r="DJ56" s="19">
        <v>1259790</v>
      </c>
      <c r="DK56" s="19">
        <v>3140880</v>
      </c>
      <c r="DL56" s="19">
        <v>4214550</v>
      </c>
      <c r="DM56" s="19">
        <v>14118086</v>
      </c>
      <c r="DN56" s="19">
        <v>7285220</v>
      </c>
      <c r="DO56" s="19">
        <v>9832220</v>
      </c>
      <c r="DP56" s="19">
        <v>4689038</v>
      </c>
      <c r="DQ56" s="19">
        <v>1713100</v>
      </c>
      <c r="DR56" s="19">
        <v>261800</v>
      </c>
      <c r="DS56" s="19">
        <v>13910299</v>
      </c>
      <c r="DT56" s="19">
        <v>7595280</v>
      </c>
      <c r="DU56" s="19">
        <v>4078255</v>
      </c>
      <c r="DV56" s="19" t="s">
        <v>89</v>
      </c>
      <c r="DW56" s="19">
        <v>819785</v>
      </c>
      <c r="DX56" s="19">
        <v>5733460</v>
      </c>
      <c r="DY56" s="19">
        <v>11776631</v>
      </c>
      <c r="DZ56" s="19">
        <v>18627400</v>
      </c>
      <c r="EA56" s="19">
        <v>518220</v>
      </c>
      <c r="EB56" s="19">
        <v>6240100</v>
      </c>
    </row>
    <row r="57" spans="1:132">
      <c r="A57" s="9" t="s">
        <v>86</v>
      </c>
      <c r="B57" s="15" t="s">
        <v>77</v>
      </c>
      <c r="C57" s="19">
        <v>168074461</v>
      </c>
      <c r="D57" s="19">
        <v>273074923</v>
      </c>
      <c r="E57" s="19">
        <v>129952830</v>
      </c>
      <c r="F57" s="19">
        <v>358681715</v>
      </c>
      <c r="G57" s="19">
        <v>49803321</v>
      </c>
      <c r="H57" s="19">
        <v>2630916860</v>
      </c>
      <c r="I57" s="19">
        <v>681623527</v>
      </c>
      <c r="J57" s="19" t="s">
        <v>89</v>
      </c>
      <c r="K57" s="19">
        <v>186723156</v>
      </c>
      <c r="L57" s="19">
        <v>50886371</v>
      </c>
      <c r="M57" s="19">
        <v>812466833</v>
      </c>
      <c r="N57" s="19">
        <v>462958633</v>
      </c>
      <c r="O57" s="19">
        <v>895367999</v>
      </c>
      <c r="P57" s="19">
        <v>1145467221</v>
      </c>
      <c r="Q57" s="19">
        <v>127106947</v>
      </c>
      <c r="R57" s="19">
        <v>353819665</v>
      </c>
      <c r="S57" s="19">
        <v>349839614</v>
      </c>
      <c r="T57" s="19">
        <v>182761818</v>
      </c>
      <c r="U57" s="19">
        <v>533103107</v>
      </c>
      <c r="V57" s="19">
        <v>127051122</v>
      </c>
      <c r="W57" s="19">
        <v>858292187</v>
      </c>
      <c r="X57" s="19">
        <v>441542610</v>
      </c>
      <c r="Y57" s="19">
        <v>553735569</v>
      </c>
      <c r="Z57" s="19">
        <v>361401177</v>
      </c>
      <c r="AA57" s="19">
        <v>64057823</v>
      </c>
      <c r="AB57" s="19">
        <v>948868553</v>
      </c>
      <c r="AC57" s="19">
        <v>124112188</v>
      </c>
      <c r="AD57" s="19">
        <v>156492615</v>
      </c>
      <c r="AE57" s="19">
        <v>157065469</v>
      </c>
      <c r="AF57" s="19">
        <v>35816492</v>
      </c>
      <c r="AG57" s="19">
        <v>807061170</v>
      </c>
      <c r="AH57" s="19">
        <v>701354316</v>
      </c>
      <c r="AI57" s="19">
        <v>159119040</v>
      </c>
      <c r="AJ57" s="19">
        <v>311062268</v>
      </c>
      <c r="AK57" s="19">
        <v>184223089</v>
      </c>
      <c r="AL57" s="19">
        <v>321871875</v>
      </c>
      <c r="AM57" s="19">
        <v>490893923</v>
      </c>
      <c r="AN57" s="19">
        <v>86984807</v>
      </c>
      <c r="AO57" s="19">
        <v>1408122073</v>
      </c>
      <c r="AP57" s="19">
        <v>250753905</v>
      </c>
      <c r="AQ57" s="19">
        <v>42031427</v>
      </c>
      <c r="AR57" s="19">
        <v>51251821</v>
      </c>
      <c r="AS57" s="19">
        <v>1825969145</v>
      </c>
      <c r="AT57" s="19">
        <v>173588134</v>
      </c>
      <c r="AU57" s="19">
        <v>159718276</v>
      </c>
      <c r="AV57" s="19">
        <v>53580284</v>
      </c>
      <c r="AW57" s="19">
        <v>75693789</v>
      </c>
      <c r="AX57" s="19">
        <v>91709496</v>
      </c>
      <c r="AY57" s="19">
        <v>141692160</v>
      </c>
      <c r="AZ57" s="19">
        <v>51319224</v>
      </c>
      <c r="BA57" s="19">
        <v>639351190</v>
      </c>
      <c r="BB57" s="19">
        <v>33586779</v>
      </c>
      <c r="BC57" s="19">
        <v>362523121</v>
      </c>
      <c r="BD57" s="19">
        <v>76432908</v>
      </c>
      <c r="BE57" s="19">
        <v>105544712</v>
      </c>
      <c r="BF57" s="19">
        <v>130361708</v>
      </c>
      <c r="BG57" s="19">
        <v>1012402661</v>
      </c>
      <c r="BH57" s="19">
        <v>53340226</v>
      </c>
      <c r="BI57" s="19">
        <v>97184406</v>
      </c>
      <c r="BJ57" s="19">
        <v>144499901</v>
      </c>
      <c r="BK57" s="19">
        <v>151016846</v>
      </c>
      <c r="BL57" s="19">
        <v>123750028</v>
      </c>
      <c r="BM57" s="19">
        <v>76819325</v>
      </c>
      <c r="BN57" s="19">
        <v>25081963</v>
      </c>
      <c r="BO57" s="19">
        <v>193735130</v>
      </c>
      <c r="BP57" s="19">
        <v>72371601</v>
      </c>
      <c r="BQ57" s="19">
        <v>54664113</v>
      </c>
      <c r="BR57" s="19">
        <v>72030877</v>
      </c>
      <c r="BS57" s="19">
        <v>72279120</v>
      </c>
      <c r="BT57" s="19">
        <v>49164384</v>
      </c>
      <c r="BU57" s="19">
        <v>103585183</v>
      </c>
      <c r="BV57" s="19">
        <v>112191462</v>
      </c>
      <c r="BW57" s="19">
        <v>443733155</v>
      </c>
      <c r="BX57" s="19">
        <v>659317784</v>
      </c>
      <c r="BY57" s="19">
        <v>699794644</v>
      </c>
      <c r="BZ57" s="19">
        <v>126239995</v>
      </c>
      <c r="CA57" s="19">
        <v>278823922</v>
      </c>
      <c r="CB57" s="19">
        <v>291470386</v>
      </c>
      <c r="CC57" s="19">
        <v>105017445</v>
      </c>
      <c r="CD57" s="19">
        <v>148443485</v>
      </c>
      <c r="CE57" s="19">
        <v>91425805</v>
      </c>
      <c r="CF57" s="19" t="s">
        <v>127</v>
      </c>
      <c r="CG57" s="19">
        <v>98630831</v>
      </c>
      <c r="CH57" s="19">
        <v>31482357</v>
      </c>
      <c r="CI57" s="19">
        <v>150599541</v>
      </c>
      <c r="CJ57" s="19">
        <v>22829707</v>
      </c>
      <c r="CK57" s="19">
        <v>206741836</v>
      </c>
      <c r="CL57" s="19">
        <v>26385164</v>
      </c>
      <c r="CM57" s="19">
        <v>517635762</v>
      </c>
      <c r="CN57" s="19">
        <v>335747181</v>
      </c>
      <c r="CO57" s="19">
        <v>205988313</v>
      </c>
      <c r="CP57" s="19">
        <v>1150477992</v>
      </c>
      <c r="CQ57" s="19" t="s">
        <v>96</v>
      </c>
      <c r="CR57" s="19">
        <v>112355112</v>
      </c>
      <c r="CS57" s="19">
        <v>99877419</v>
      </c>
      <c r="CT57" s="19">
        <v>270883424</v>
      </c>
      <c r="CU57" s="19">
        <v>974022053</v>
      </c>
      <c r="CV57" s="19" t="s">
        <v>89</v>
      </c>
      <c r="CW57" s="19">
        <v>274906715</v>
      </c>
      <c r="CX57" s="19">
        <v>492474564</v>
      </c>
      <c r="CY57" s="19">
        <v>1705011270</v>
      </c>
      <c r="CZ57" s="19">
        <v>313667724</v>
      </c>
      <c r="DA57" s="19">
        <v>48208113</v>
      </c>
      <c r="DB57" s="19">
        <v>224424746</v>
      </c>
      <c r="DC57" s="19">
        <v>104414324</v>
      </c>
      <c r="DD57" s="19">
        <v>92390565</v>
      </c>
      <c r="DE57" s="19">
        <v>234050429</v>
      </c>
      <c r="DF57" s="19">
        <v>29684152</v>
      </c>
      <c r="DG57" s="19">
        <v>345101268</v>
      </c>
      <c r="DH57" s="19">
        <v>29404086</v>
      </c>
      <c r="DI57" s="19">
        <v>186248114</v>
      </c>
      <c r="DJ57" s="19">
        <v>146398092</v>
      </c>
      <c r="DK57" s="19">
        <v>61755752</v>
      </c>
      <c r="DL57" s="19">
        <v>162323980</v>
      </c>
      <c r="DM57" s="19">
        <v>442821548</v>
      </c>
      <c r="DN57" s="19">
        <v>68891411</v>
      </c>
      <c r="DO57" s="19">
        <v>75884986</v>
      </c>
      <c r="DP57" s="19">
        <v>109574362</v>
      </c>
      <c r="DQ57" s="19">
        <v>17828371</v>
      </c>
      <c r="DR57" s="19">
        <v>15256186</v>
      </c>
      <c r="DS57" s="19">
        <v>118327773</v>
      </c>
      <c r="DT57" s="19">
        <v>515744779</v>
      </c>
      <c r="DU57" s="19">
        <v>68381723</v>
      </c>
      <c r="DV57" s="19" t="s">
        <v>89</v>
      </c>
      <c r="DW57" s="19">
        <v>33083501</v>
      </c>
      <c r="DX57" s="19">
        <v>127385909</v>
      </c>
      <c r="DY57" s="19">
        <v>177952459</v>
      </c>
      <c r="DZ57" s="19">
        <v>98623430</v>
      </c>
      <c r="EA57" s="19">
        <v>100103185</v>
      </c>
      <c r="EB57" s="19">
        <v>282448940</v>
      </c>
    </row>
    <row r="58" spans="1:132">
      <c r="A58" s="9" t="s">
        <v>86</v>
      </c>
      <c r="B58" s="10" t="s">
        <v>87</v>
      </c>
      <c r="C58" s="19">
        <v>-68898592</v>
      </c>
      <c r="D58" s="19">
        <v>-975872854</v>
      </c>
      <c r="E58" s="19">
        <v>-18437634</v>
      </c>
      <c r="F58" s="19">
        <v>71755854</v>
      </c>
      <c r="G58" s="19">
        <v>21094769</v>
      </c>
      <c r="H58" s="19">
        <v>-211745985</v>
      </c>
      <c r="I58" s="19">
        <v>110765296</v>
      </c>
      <c r="J58" s="19" t="s">
        <v>89</v>
      </c>
      <c r="K58" s="19">
        <v>-1015283655</v>
      </c>
      <c r="L58" s="19">
        <v>-142321804</v>
      </c>
      <c r="M58" s="19">
        <v>-366914584</v>
      </c>
      <c r="N58" s="19">
        <v>-621430167</v>
      </c>
      <c r="O58" s="19">
        <v>19171849</v>
      </c>
      <c r="P58" s="19">
        <v>112178669</v>
      </c>
      <c r="Q58" s="19">
        <v>-20047935</v>
      </c>
      <c r="R58" s="19">
        <v>-50309972</v>
      </c>
      <c r="S58" s="19">
        <v>25253221</v>
      </c>
      <c r="T58" s="19">
        <v>-60160589</v>
      </c>
      <c r="U58" s="19">
        <v>111391111</v>
      </c>
      <c r="V58" s="19">
        <v>-273582507</v>
      </c>
      <c r="W58" s="19">
        <v>-71896167</v>
      </c>
      <c r="X58" s="19">
        <v>261782672</v>
      </c>
      <c r="Y58" s="19">
        <v>2236881</v>
      </c>
      <c r="Z58" s="19">
        <v>-171847</v>
      </c>
      <c r="AA58" s="19">
        <v>224522913</v>
      </c>
      <c r="AB58" s="19">
        <v>18006401</v>
      </c>
      <c r="AC58" s="19">
        <v>-18599762</v>
      </c>
      <c r="AD58" s="19">
        <v>26080118</v>
      </c>
      <c r="AE58" s="19">
        <v>24243804</v>
      </c>
      <c r="AF58" s="19">
        <v>18214369</v>
      </c>
      <c r="AG58" s="19">
        <v>-366005620</v>
      </c>
      <c r="AH58" s="19">
        <v>-331587562</v>
      </c>
      <c r="AI58" s="19">
        <v>-101340102</v>
      </c>
      <c r="AJ58" s="19">
        <v>16068309</v>
      </c>
      <c r="AK58" s="19">
        <v>-798658778</v>
      </c>
      <c r="AL58" s="19">
        <v>-142111808</v>
      </c>
      <c r="AM58" s="19">
        <v>-1246232101</v>
      </c>
      <c r="AN58" s="19">
        <v>-4738742</v>
      </c>
      <c r="AO58" s="19">
        <v>-1408122073</v>
      </c>
      <c r="AP58" s="19">
        <v>-161030425</v>
      </c>
      <c r="AQ58" s="19">
        <v>-7144529</v>
      </c>
      <c r="AR58" s="19">
        <v>11079531</v>
      </c>
      <c r="AS58" s="19">
        <v>-1825969145</v>
      </c>
      <c r="AT58" s="19">
        <v>35922573</v>
      </c>
      <c r="AU58" s="19">
        <v>-291643177</v>
      </c>
      <c r="AV58" s="19">
        <v>-18600356</v>
      </c>
      <c r="AW58" s="19">
        <v>-39494508</v>
      </c>
      <c r="AX58" s="19">
        <v>-383747679</v>
      </c>
      <c r="AY58" s="19">
        <v>94237571</v>
      </c>
      <c r="AZ58" s="19">
        <v>31978775</v>
      </c>
      <c r="BA58" s="19">
        <v>-349475398</v>
      </c>
      <c r="BB58" s="19">
        <v>-35315063</v>
      </c>
      <c r="BC58" s="19">
        <v>149204010</v>
      </c>
      <c r="BD58" s="19">
        <v>-73095937</v>
      </c>
      <c r="BE58" s="19">
        <v>54351574</v>
      </c>
      <c r="BF58" s="19">
        <v>35675195</v>
      </c>
      <c r="BG58" s="19">
        <v>-442983189</v>
      </c>
      <c r="BH58" s="19">
        <v>26518126</v>
      </c>
      <c r="BI58" s="19">
        <v>133771940</v>
      </c>
      <c r="BJ58" s="19">
        <v>-10818467</v>
      </c>
      <c r="BK58" s="19">
        <v>32212989</v>
      </c>
      <c r="BL58" s="19">
        <v>23941295</v>
      </c>
      <c r="BM58" s="19">
        <v>28708585</v>
      </c>
      <c r="BN58" s="19">
        <v>9941261</v>
      </c>
      <c r="BO58" s="19">
        <v>-17909070</v>
      </c>
      <c r="BP58" s="19">
        <v>-50262265</v>
      </c>
      <c r="BQ58" s="19">
        <v>31688139</v>
      </c>
      <c r="BR58" s="19">
        <v>6771033</v>
      </c>
      <c r="BS58" s="19">
        <v>-24732197</v>
      </c>
      <c r="BT58" s="19">
        <v>-153779498</v>
      </c>
      <c r="BU58" s="19">
        <v>-214975305</v>
      </c>
      <c r="BV58" s="19">
        <v>81856075</v>
      </c>
      <c r="BW58" s="19">
        <v>-61976535</v>
      </c>
      <c r="BX58" s="19">
        <v>1375498</v>
      </c>
      <c r="BY58" s="19">
        <v>-472691267</v>
      </c>
      <c r="BZ58" s="19">
        <v>104537500</v>
      </c>
      <c r="CA58" s="19">
        <v>7002389</v>
      </c>
      <c r="CB58" s="19">
        <v>21292204</v>
      </c>
      <c r="CC58" s="19">
        <v>-39891407</v>
      </c>
      <c r="CD58" s="19">
        <v>27054458</v>
      </c>
      <c r="CE58" s="19">
        <v>-34141687</v>
      </c>
      <c r="CF58" s="19" t="s">
        <v>127</v>
      </c>
      <c r="CG58" s="19">
        <v>1183041</v>
      </c>
      <c r="CH58" s="19">
        <v>-58373777</v>
      </c>
      <c r="CI58" s="19">
        <v>-9823163</v>
      </c>
      <c r="CJ58" s="19">
        <v>-4431673</v>
      </c>
      <c r="CK58" s="19">
        <v>5554989</v>
      </c>
      <c r="CL58" s="19">
        <v>9464494</v>
      </c>
      <c r="CM58" s="19">
        <v>-34199473</v>
      </c>
      <c r="CN58" s="19">
        <v>-204842470</v>
      </c>
      <c r="CO58" s="19">
        <v>33976946</v>
      </c>
      <c r="CP58" s="19">
        <v>72399740</v>
      </c>
      <c r="CQ58" s="19" t="s">
        <v>96</v>
      </c>
      <c r="CR58" s="19">
        <v>129957684</v>
      </c>
      <c r="CS58" s="19">
        <v>-75547039</v>
      </c>
      <c r="CT58" s="19">
        <v>-607797786</v>
      </c>
      <c r="CU58" s="19">
        <v>-73748765</v>
      </c>
      <c r="CV58" s="19" t="s">
        <v>89</v>
      </c>
      <c r="CW58" s="19">
        <v>38578122</v>
      </c>
      <c r="CX58" s="19">
        <v>-502550653</v>
      </c>
      <c r="CY58" s="19">
        <v>116034113</v>
      </c>
      <c r="CZ58" s="19">
        <v>21550751</v>
      </c>
      <c r="DA58" s="19">
        <v>19701963</v>
      </c>
      <c r="DB58" s="19">
        <v>145413727</v>
      </c>
      <c r="DC58" s="19">
        <v>-2367797</v>
      </c>
      <c r="DD58" s="19">
        <v>1725393</v>
      </c>
      <c r="DE58" s="19">
        <v>85025965</v>
      </c>
      <c r="DF58" s="19">
        <v>-17248847</v>
      </c>
      <c r="DG58" s="19">
        <v>2537252</v>
      </c>
      <c r="DH58" s="19">
        <v>-7223432</v>
      </c>
      <c r="DI58" s="19">
        <v>91570633</v>
      </c>
      <c r="DJ58" s="19">
        <v>6583626</v>
      </c>
      <c r="DK58" s="19">
        <v>27536116</v>
      </c>
      <c r="DL58" s="19">
        <v>-133327307</v>
      </c>
      <c r="DM58" s="19">
        <v>17527813</v>
      </c>
      <c r="DN58" s="19">
        <v>681045</v>
      </c>
      <c r="DO58" s="19">
        <v>-21123852</v>
      </c>
      <c r="DP58" s="19">
        <v>84135284</v>
      </c>
      <c r="DQ58" s="19">
        <v>-41536658</v>
      </c>
      <c r="DR58" s="19">
        <v>-5208738</v>
      </c>
      <c r="DS58" s="19">
        <v>-47936412</v>
      </c>
      <c r="DT58" s="19">
        <v>62138921</v>
      </c>
      <c r="DU58" s="19">
        <v>116746431</v>
      </c>
      <c r="DV58" s="19" t="s">
        <v>89</v>
      </c>
      <c r="DW58" s="19">
        <v>25111950</v>
      </c>
      <c r="DX58" s="19">
        <v>-49607140</v>
      </c>
      <c r="DY58" s="19">
        <v>10718169</v>
      </c>
      <c r="DZ58" s="19">
        <v>111504143</v>
      </c>
      <c r="EA58" s="19">
        <v>-21227433</v>
      </c>
      <c r="EB58" s="19">
        <v>56413884</v>
      </c>
    </row>
    <row r="59" spans="1:132">
      <c r="A59" s="9" t="s">
        <v>86</v>
      </c>
      <c r="B59" s="10" t="s">
        <v>16</v>
      </c>
      <c r="C59" s="19">
        <v>130987233</v>
      </c>
      <c r="D59" s="19">
        <v>1309232575</v>
      </c>
      <c r="E59" s="19">
        <v>96342797</v>
      </c>
      <c r="F59" s="19">
        <v>125272091</v>
      </c>
      <c r="G59" s="19">
        <v>743362</v>
      </c>
      <c r="H59" s="19">
        <v>102443000</v>
      </c>
      <c r="I59" s="19">
        <v>16654794</v>
      </c>
      <c r="J59" s="19" t="s">
        <v>89</v>
      </c>
      <c r="K59" s="19">
        <v>965730793</v>
      </c>
      <c r="L59" s="19">
        <v>14584980</v>
      </c>
      <c r="M59" s="19">
        <v>28107566</v>
      </c>
      <c r="N59" s="19">
        <v>473713823</v>
      </c>
      <c r="O59" s="19">
        <v>107914122</v>
      </c>
      <c r="P59" s="19">
        <v>133947044</v>
      </c>
      <c r="Q59" s="19">
        <v>18043326</v>
      </c>
      <c r="R59" s="19">
        <v>42710413</v>
      </c>
      <c r="S59" s="19">
        <v>121900352</v>
      </c>
      <c r="T59" s="19">
        <v>47477</v>
      </c>
      <c r="U59" s="19">
        <v>81098060</v>
      </c>
      <c r="V59" s="19">
        <v>109990688</v>
      </c>
      <c r="W59" s="19">
        <v>107617776</v>
      </c>
      <c r="X59" s="19">
        <v>248453218</v>
      </c>
      <c r="Y59" s="19">
        <v>27847147</v>
      </c>
      <c r="Z59" s="19">
        <v>33259814</v>
      </c>
      <c r="AA59" s="19">
        <v>12983232</v>
      </c>
      <c r="AB59" s="19">
        <v>1303572</v>
      </c>
      <c r="AC59" s="19">
        <v>168701483</v>
      </c>
      <c r="AD59" s="19">
        <v>10731443</v>
      </c>
      <c r="AE59" s="19">
        <v>26918625</v>
      </c>
      <c r="AF59" s="19">
        <v>24215234</v>
      </c>
      <c r="AG59" s="19">
        <v>28107566</v>
      </c>
      <c r="AH59" s="19">
        <v>303453797</v>
      </c>
      <c r="AI59" s="19">
        <v>102610818</v>
      </c>
      <c r="AJ59" s="19">
        <v>84054672</v>
      </c>
      <c r="AK59" s="19">
        <v>1078704093</v>
      </c>
      <c r="AL59" s="19">
        <v>26547516</v>
      </c>
      <c r="AM59" s="19">
        <v>448952138</v>
      </c>
      <c r="AN59" s="19">
        <v>14996606</v>
      </c>
      <c r="AO59" s="19">
        <v>0</v>
      </c>
      <c r="AP59" s="19">
        <v>88073040</v>
      </c>
      <c r="AQ59" s="19">
        <v>10042094</v>
      </c>
      <c r="AR59" s="19">
        <v>402800</v>
      </c>
      <c r="AS59" s="19">
        <v>318985000</v>
      </c>
      <c r="AT59" s="19">
        <v>88384855</v>
      </c>
      <c r="AU59" s="19">
        <v>9769012</v>
      </c>
      <c r="AV59" s="19">
        <v>2648902</v>
      </c>
      <c r="AW59" s="19">
        <v>53585957</v>
      </c>
      <c r="AX59" s="19">
        <v>33974064</v>
      </c>
      <c r="AY59" s="19">
        <v>19802081</v>
      </c>
      <c r="AZ59" s="19">
        <v>549984</v>
      </c>
      <c r="BA59" s="19">
        <v>311749421</v>
      </c>
      <c r="BB59" s="19">
        <v>372665</v>
      </c>
      <c r="BC59" s="19">
        <v>629636</v>
      </c>
      <c r="BD59" s="19">
        <v>102121673</v>
      </c>
      <c r="BE59" s="19">
        <v>2308269</v>
      </c>
      <c r="BF59" s="19">
        <v>36984207</v>
      </c>
      <c r="BG59" s="19">
        <v>11030198</v>
      </c>
      <c r="BH59" s="19">
        <v>36847208</v>
      </c>
      <c r="BI59" s="19">
        <v>74042907</v>
      </c>
      <c r="BJ59" s="19">
        <v>15443341</v>
      </c>
      <c r="BK59" s="19">
        <v>86087</v>
      </c>
      <c r="BL59" s="19">
        <v>191042</v>
      </c>
      <c r="BM59" s="19">
        <v>165736035</v>
      </c>
      <c r="BN59" s="19">
        <v>829088</v>
      </c>
      <c r="BO59" s="19">
        <v>50060191</v>
      </c>
      <c r="BP59" s="19">
        <v>49806004</v>
      </c>
      <c r="BQ59" s="19">
        <v>7079823</v>
      </c>
      <c r="BR59" s="19">
        <v>16401171</v>
      </c>
      <c r="BS59" s="19">
        <v>5260416</v>
      </c>
      <c r="BT59" s="19">
        <v>160890964</v>
      </c>
      <c r="BU59" s="19">
        <v>141003359</v>
      </c>
      <c r="BV59" s="19">
        <v>16625340</v>
      </c>
      <c r="BW59" s="19">
        <v>44966965</v>
      </c>
      <c r="BX59" s="19">
        <v>4512230</v>
      </c>
      <c r="BY59" s="19">
        <v>1639083</v>
      </c>
      <c r="BZ59" s="19">
        <v>3107275</v>
      </c>
      <c r="CA59" s="19">
        <v>101167</v>
      </c>
      <c r="CB59" s="19">
        <v>1026905</v>
      </c>
      <c r="CC59" s="19">
        <v>28302362</v>
      </c>
      <c r="CD59" s="19">
        <v>63072176</v>
      </c>
      <c r="CE59" s="19">
        <v>210406</v>
      </c>
      <c r="CF59" s="19" t="s">
        <v>127</v>
      </c>
      <c r="CG59" s="19">
        <v>9003240</v>
      </c>
      <c r="CH59" s="19">
        <v>71557107</v>
      </c>
      <c r="CI59" s="19">
        <v>223531384</v>
      </c>
      <c r="CJ59" s="19">
        <v>16017866</v>
      </c>
      <c r="CK59" s="19">
        <v>75683135</v>
      </c>
      <c r="CL59" s="19">
        <v>9656983</v>
      </c>
      <c r="CM59" s="19">
        <v>81975568</v>
      </c>
      <c r="CN59" s="19">
        <v>1334070</v>
      </c>
      <c r="CO59" s="19">
        <v>871455</v>
      </c>
      <c r="CP59" s="19">
        <v>24316388</v>
      </c>
      <c r="CQ59" s="19" t="s">
        <v>96</v>
      </c>
      <c r="CR59" s="19">
        <v>2231802</v>
      </c>
      <c r="CS59" s="19">
        <v>166930377</v>
      </c>
      <c r="CT59" s="19">
        <v>104076710</v>
      </c>
      <c r="CU59" s="19">
        <v>488986307</v>
      </c>
      <c r="CV59" s="19" t="s">
        <v>89</v>
      </c>
      <c r="CW59" s="19">
        <v>5115491</v>
      </c>
      <c r="CX59" s="19">
        <v>1595777</v>
      </c>
      <c r="CY59" s="19">
        <v>192217316</v>
      </c>
      <c r="CZ59" s="19">
        <v>369286</v>
      </c>
      <c r="DA59" s="19">
        <v>361073</v>
      </c>
      <c r="DB59" s="19">
        <v>413805</v>
      </c>
      <c r="DC59" s="19">
        <v>18580</v>
      </c>
      <c r="DD59" s="19">
        <v>70021603</v>
      </c>
      <c r="DE59" s="19">
        <v>4432559</v>
      </c>
      <c r="DF59" s="19">
        <v>36550481</v>
      </c>
      <c r="DG59" s="19">
        <v>103112265</v>
      </c>
      <c r="DH59" s="19">
        <v>546812</v>
      </c>
      <c r="DI59" s="19">
        <v>28019269</v>
      </c>
      <c r="DJ59" s="19">
        <v>202106</v>
      </c>
      <c r="DK59" s="19">
        <v>7586762</v>
      </c>
      <c r="DL59" s="19">
        <v>146646781</v>
      </c>
      <c r="DM59" s="19">
        <v>55092471</v>
      </c>
      <c r="DN59" s="19">
        <v>63985627</v>
      </c>
      <c r="DO59" s="19">
        <v>27346048</v>
      </c>
      <c r="DP59" s="19">
        <v>25129925</v>
      </c>
      <c r="DQ59" s="19">
        <v>73959626</v>
      </c>
      <c r="DR59" s="19">
        <v>6077170</v>
      </c>
      <c r="DS59" s="19">
        <v>29349398</v>
      </c>
      <c r="DT59" s="19">
        <v>50558330</v>
      </c>
      <c r="DU59" s="19">
        <v>7765</v>
      </c>
      <c r="DV59" s="19" t="s">
        <v>89</v>
      </c>
      <c r="DW59" s="19">
        <v>10929725</v>
      </c>
      <c r="DX59" s="19">
        <v>64700072</v>
      </c>
      <c r="DY59" s="19">
        <v>70011471</v>
      </c>
      <c r="DZ59" s="19">
        <v>11013076</v>
      </c>
      <c r="EA59" s="19">
        <v>27538233</v>
      </c>
      <c r="EB59" s="19">
        <v>5765066</v>
      </c>
    </row>
    <row r="60" spans="1:132">
      <c r="A60" s="9" t="s">
        <v>86</v>
      </c>
      <c r="B60" s="15" t="s">
        <v>148</v>
      </c>
      <c r="C60" s="19">
        <v>3688482</v>
      </c>
      <c r="D60" s="19">
        <v>3985176</v>
      </c>
      <c r="E60" s="19">
        <v>72380</v>
      </c>
      <c r="F60" s="19">
        <v>5988244</v>
      </c>
      <c r="G60" s="19">
        <v>119748</v>
      </c>
      <c r="H60" s="19"/>
      <c r="I60" s="19">
        <v>28512</v>
      </c>
      <c r="J60" s="19" t="s">
        <v>89</v>
      </c>
      <c r="K60" s="19">
        <v>7174799</v>
      </c>
      <c r="L60" s="19">
        <v>88119</v>
      </c>
      <c r="M60" s="19">
        <v>2189530</v>
      </c>
      <c r="N60" s="19">
        <v>284485</v>
      </c>
      <c r="O60" s="19">
        <v>2599191</v>
      </c>
      <c r="P60" s="19">
        <v>1519312</v>
      </c>
      <c r="Q60" s="19">
        <v>126809</v>
      </c>
      <c r="R60" s="19">
        <v>95641</v>
      </c>
      <c r="S60" s="19">
        <v>1020595</v>
      </c>
      <c r="T60" s="19">
        <v>4366</v>
      </c>
      <c r="U60" s="19">
        <v>1674008</v>
      </c>
      <c r="V60" s="19">
        <v>459621</v>
      </c>
      <c r="W60" s="19">
        <v>257984</v>
      </c>
      <c r="X60" s="19">
        <v>4466368</v>
      </c>
      <c r="Y60" s="19">
        <v>428066</v>
      </c>
      <c r="Z60" s="19">
        <v>16411</v>
      </c>
      <c r="AA60" s="19">
        <v>12983206</v>
      </c>
      <c r="AB60" s="19">
        <v>1303490</v>
      </c>
      <c r="AC60" s="19">
        <v>533882</v>
      </c>
      <c r="AD60" s="19">
        <v>214666</v>
      </c>
      <c r="AE60" s="19">
        <v>2338097</v>
      </c>
      <c r="AF60" s="19">
        <v>12323</v>
      </c>
      <c r="AG60" s="19">
        <v>2189530</v>
      </c>
      <c r="AH60" s="19">
        <v>7551299</v>
      </c>
      <c r="AI60" s="19">
        <v>10396</v>
      </c>
      <c r="AJ60" s="19">
        <v>43093</v>
      </c>
      <c r="AK60" s="19">
        <v>34340925</v>
      </c>
      <c r="AL60" s="19">
        <v>118881</v>
      </c>
      <c r="AM60" s="19">
        <v>1869144</v>
      </c>
      <c r="AN60" s="19">
        <v>30521</v>
      </c>
      <c r="AO60" s="19"/>
      <c r="AP60" s="19">
        <v>496950</v>
      </c>
      <c r="AQ60" s="19">
        <v>1250</v>
      </c>
      <c r="AR60" s="19">
        <v>395451</v>
      </c>
      <c r="AS60" s="19"/>
      <c r="AT60" s="19">
        <v>144562</v>
      </c>
      <c r="AU60" s="19">
        <v>99766</v>
      </c>
      <c r="AV60" s="19">
        <v>62382</v>
      </c>
      <c r="AW60" s="19">
        <v>13211</v>
      </c>
      <c r="AX60" s="19">
        <v>76845</v>
      </c>
      <c r="AY60" s="19">
        <v>122081</v>
      </c>
      <c r="AZ60" s="19">
        <v>61963</v>
      </c>
      <c r="BA60" s="19">
        <v>113520</v>
      </c>
      <c r="BB60" s="19">
        <v>371370</v>
      </c>
      <c r="BC60" s="19">
        <v>55580</v>
      </c>
      <c r="BD60" s="19">
        <v>58268</v>
      </c>
      <c r="BE60" s="19">
        <v>70756</v>
      </c>
      <c r="BF60" s="19">
        <v>963167</v>
      </c>
      <c r="BG60" s="19">
        <v>2878228</v>
      </c>
      <c r="BH60" s="19">
        <v>307468</v>
      </c>
      <c r="BI60" s="19">
        <v>134701</v>
      </c>
      <c r="BJ60" s="19">
        <v>21856</v>
      </c>
      <c r="BK60" s="19">
        <v>75611</v>
      </c>
      <c r="BL60" s="19">
        <v>4822</v>
      </c>
      <c r="BM60" s="19">
        <v>9592</v>
      </c>
      <c r="BN60" s="19">
        <v>302073</v>
      </c>
      <c r="BO60" s="19">
        <v>18258</v>
      </c>
      <c r="BP60" s="19">
        <v>37819</v>
      </c>
      <c r="BQ60" s="19">
        <v>6996</v>
      </c>
      <c r="BR60" s="19">
        <v>57587</v>
      </c>
      <c r="BS60" s="19">
        <v>16554</v>
      </c>
      <c r="BT60" s="19">
        <v>16935</v>
      </c>
      <c r="BU60" s="19">
        <v>76808</v>
      </c>
      <c r="BV60" s="19">
        <v>9837</v>
      </c>
      <c r="BW60" s="19">
        <v>22137</v>
      </c>
      <c r="BX60" s="19">
        <v>71168</v>
      </c>
      <c r="BY60" s="19">
        <v>93763</v>
      </c>
      <c r="BZ60" s="19">
        <v>2009642</v>
      </c>
      <c r="CA60" s="19">
        <v>94995</v>
      </c>
      <c r="CB60" s="19">
        <v>34584</v>
      </c>
      <c r="CC60" s="19">
        <v>41435</v>
      </c>
      <c r="CD60" s="19">
        <v>238258</v>
      </c>
      <c r="CE60" s="19">
        <v>8751</v>
      </c>
      <c r="CF60" s="19" t="s">
        <v>127</v>
      </c>
      <c r="CG60" s="19">
        <v>1335853</v>
      </c>
      <c r="CH60" s="19">
        <v>29114</v>
      </c>
      <c r="CI60" s="19">
        <v>40921</v>
      </c>
      <c r="CJ60" s="19">
        <v>4063</v>
      </c>
      <c r="CK60" s="19">
        <v>15294</v>
      </c>
      <c r="CL60" s="19">
        <v>2195441</v>
      </c>
      <c r="CM60" s="19">
        <v>4744372</v>
      </c>
      <c r="CN60" s="19">
        <v>24788</v>
      </c>
      <c r="CO60" s="19">
        <v>111467</v>
      </c>
      <c r="CP60" s="19">
        <v>11166</v>
      </c>
      <c r="CQ60" s="19" t="s">
        <v>96</v>
      </c>
      <c r="CR60" s="19">
        <v>856641</v>
      </c>
      <c r="CS60" s="19">
        <v>1400151</v>
      </c>
      <c r="CT60" s="19">
        <v>63411</v>
      </c>
      <c r="CU60" s="19">
        <v>191914</v>
      </c>
      <c r="CV60" s="19" t="s">
        <v>89</v>
      </c>
      <c r="CW60" s="19">
        <v>2591786</v>
      </c>
      <c r="CX60" s="19"/>
      <c r="CY60" s="19">
        <v>806532</v>
      </c>
      <c r="CZ60" s="19">
        <v>253625</v>
      </c>
      <c r="DA60" s="19">
        <v>293</v>
      </c>
      <c r="DB60" s="19">
        <v>51089</v>
      </c>
      <c r="DC60" s="19">
        <v>18514</v>
      </c>
      <c r="DD60" s="19">
        <v>21377</v>
      </c>
      <c r="DE60" s="19">
        <v>66744</v>
      </c>
      <c r="DF60" s="19">
        <v>6340</v>
      </c>
      <c r="DG60" s="19">
        <v>1927618</v>
      </c>
      <c r="DH60" s="19">
        <v>56752</v>
      </c>
      <c r="DI60" s="19">
        <v>40639</v>
      </c>
      <c r="DJ60" s="19">
        <v>28066</v>
      </c>
      <c r="DK60" s="19">
        <v>890154</v>
      </c>
      <c r="DL60" s="19">
        <v>86821</v>
      </c>
      <c r="DM60" s="19">
        <v>21954</v>
      </c>
      <c r="DN60" s="19">
        <v>45479</v>
      </c>
      <c r="DO60" s="19">
        <v>1038613</v>
      </c>
      <c r="DP60" s="19">
        <v>120757</v>
      </c>
      <c r="DQ60" s="19">
        <v>28228</v>
      </c>
      <c r="DR60" s="19">
        <v>1159</v>
      </c>
      <c r="DS60" s="19">
        <v>3651</v>
      </c>
      <c r="DT60" s="19">
        <v>31330</v>
      </c>
      <c r="DU60" s="19">
        <v>7744</v>
      </c>
      <c r="DV60" s="19" t="s">
        <v>89</v>
      </c>
      <c r="DW60" s="19">
        <v>21442</v>
      </c>
      <c r="DX60" s="19">
        <v>27979</v>
      </c>
      <c r="DY60" s="19">
        <v>20875</v>
      </c>
      <c r="DZ60" s="19">
        <v>10261750</v>
      </c>
      <c r="EA60" s="19">
        <v>945349</v>
      </c>
      <c r="EB60" s="19">
        <v>101410</v>
      </c>
    </row>
    <row r="61" spans="1:132">
      <c r="A61" s="9" t="s">
        <v>86</v>
      </c>
      <c r="B61" s="15" t="s">
        <v>62</v>
      </c>
      <c r="C61" s="19"/>
      <c r="D61" s="19"/>
      <c r="E61" s="19"/>
      <c r="F61" s="19"/>
      <c r="G61" s="19"/>
      <c r="H61" s="19"/>
      <c r="I61" s="19"/>
      <c r="J61" s="19" t="s">
        <v>89</v>
      </c>
      <c r="K61" s="19"/>
      <c r="L61" s="19"/>
      <c r="M61" s="19"/>
      <c r="N61" s="19"/>
      <c r="O61" s="19"/>
      <c r="P61" s="19"/>
      <c r="Q61" s="19">
        <v>3629000</v>
      </c>
      <c r="R61" s="19">
        <v>41080133</v>
      </c>
      <c r="S61" s="19"/>
      <c r="T61" s="19"/>
      <c r="U61" s="19"/>
      <c r="V61" s="19"/>
      <c r="W61" s="19"/>
      <c r="X61" s="19"/>
      <c r="Y61" s="19"/>
      <c r="Z61" s="19"/>
      <c r="AA61" s="19"/>
      <c r="AB61" s="19"/>
      <c r="AC61" s="19"/>
      <c r="AD61" s="19"/>
      <c r="AE61" s="19"/>
      <c r="AF61" s="19"/>
      <c r="AG61" s="19"/>
      <c r="AH61" s="19">
        <v>597347</v>
      </c>
      <c r="AI61" s="19"/>
      <c r="AJ61" s="19"/>
      <c r="AK61" s="19"/>
      <c r="AL61" s="19"/>
      <c r="AM61" s="19"/>
      <c r="AN61" s="19"/>
      <c r="AO61" s="19"/>
      <c r="AP61" s="19"/>
      <c r="AQ61" s="19"/>
      <c r="AR61" s="19"/>
      <c r="AS61" s="19"/>
      <c r="AT61" s="19"/>
      <c r="AU61" s="19"/>
      <c r="AV61" s="19"/>
      <c r="AW61" s="19"/>
      <c r="AX61" s="19"/>
      <c r="AY61" s="19"/>
      <c r="AZ61" s="19"/>
      <c r="BA61" s="19"/>
      <c r="BB61" s="19"/>
      <c r="BC61" s="19"/>
      <c r="BD61" s="19"/>
      <c r="BE61" s="19"/>
      <c r="BF61" s="19"/>
      <c r="BG61" s="19"/>
      <c r="BH61" s="19"/>
      <c r="BI61" s="19"/>
      <c r="BJ61" s="19"/>
      <c r="BK61" s="19"/>
      <c r="BL61" s="19"/>
      <c r="BM61" s="19"/>
      <c r="BN61" s="19"/>
      <c r="BO61" s="19"/>
      <c r="BP61" s="19">
        <v>49768000</v>
      </c>
      <c r="BQ61" s="19"/>
      <c r="BR61" s="19"/>
      <c r="BS61" s="19"/>
      <c r="BT61" s="19">
        <v>10279077</v>
      </c>
      <c r="BU61" s="19"/>
      <c r="BV61" s="19"/>
      <c r="BW61" s="19"/>
      <c r="BX61" s="19"/>
      <c r="BY61" s="19"/>
      <c r="BZ61" s="19"/>
      <c r="CA61" s="19"/>
      <c r="CB61" s="19"/>
      <c r="CC61" s="19"/>
      <c r="CD61" s="19"/>
      <c r="CE61" s="19"/>
      <c r="CF61" s="19" t="s">
        <v>127</v>
      </c>
      <c r="CG61" s="19"/>
      <c r="CH61" s="19"/>
      <c r="CI61" s="19"/>
      <c r="CJ61" s="19"/>
      <c r="CK61" s="19"/>
      <c r="CL61" s="19"/>
      <c r="CM61" s="19"/>
      <c r="CN61" s="19"/>
      <c r="CO61" s="19"/>
      <c r="CP61" s="19"/>
      <c r="CQ61" s="19" t="s">
        <v>96</v>
      </c>
      <c r="CR61" s="19"/>
      <c r="CS61" s="19"/>
      <c r="CT61" s="19">
        <v>103855730</v>
      </c>
      <c r="CU61" s="19"/>
      <c r="CV61" s="19" t="s">
        <v>89</v>
      </c>
      <c r="CW61" s="19"/>
      <c r="CX61" s="19"/>
      <c r="CY61" s="19"/>
      <c r="CZ61" s="19"/>
      <c r="DA61" s="19"/>
      <c r="DB61" s="19"/>
      <c r="DC61" s="19"/>
      <c r="DD61" s="19"/>
      <c r="DE61" s="19"/>
      <c r="DF61" s="19"/>
      <c r="DG61" s="19"/>
      <c r="DH61" s="19"/>
      <c r="DI61" s="19"/>
      <c r="DJ61" s="19"/>
      <c r="DK61" s="19"/>
      <c r="DL61" s="19"/>
      <c r="DM61" s="19"/>
      <c r="DN61" s="19"/>
      <c r="DO61" s="19"/>
      <c r="DP61" s="19"/>
      <c r="DQ61" s="19"/>
      <c r="DR61" s="19"/>
      <c r="DS61" s="19"/>
      <c r="DT61" s="19"/>
      <c r="DU61" s="19"/>
      <c r="DV61" s="19" t="s">
        <v>89</v>
      </c>
      <c r="DW61" s="19"/>
      <c r="DX61" s="19"/>
      <c r="DY61" s="19"/>
      <c r="DZ61" s="19"/>
      <c r="EA61" s="19"/>
      <c r="EB61" s="19"/>
    </row>
    <row r="62" spans="1:132">
      <c r="A62" s="9" t="s">
        <v>86</v>
      </c>
      <c r="B62" s="15" t="s">
        <v>20</v>
      </c>
      <c r="C62" s="19">
        <v>3372084</v>
      </c>
      <c r="D62" s="19">
        <v>21635944</v>
      </c>
      <c r="E62" s="19">
        <v>9833302</v>
      </c>
      <c r="F62" s="19">
        <v>256910</v>
      </c>
      <c r="G62" s="19">
        <v>623614</v>
      </c>
      <c r="H62" s="19"/>
      <c r="I62" s="19">
        <v>16626282</v>
      </c>
      <c r="J62" s="19" t="s">
        <v>89</v>
      </c>
      <c r="K62" s="19">
        <v>8496368</v>
      </c>
      <c r="L62" s="19">
        <v>1096861</v>
      </c>
      <c r="M62" s="19">
        <v>1918036</v>
      </c>
      <c r="N62" s="19">
        <v>63084</v>
      </c>
      <c r="O62" s="19">
        <v>12171749</v>
      </c>
      <c r="P62" s="19">
        <v>27918362</v>
      </c>
      <c r="Q62" s="19">
        <v>4157950</v>
      </c>
      <c r="R62" s="19">
        <v>895790</v>
      </c>
      <c r="S62" s="19">
        <v>2453431</v>
      </c>
      <c r="T62" s="19">
        <v>43111</v>
      </c>
      <c r="U62" s="19">
        <v>30618</v>
      </c>
      <c r="V62" s="19">
        <v>264596</v>
      </c>
      <c r="W62" s="19">
        <v>19993337</v>
      </c>
      <c r="X62" s="19">
        <v>90280</v>
      </c>
      <c r="Y62" s="19">
        <v>1278089</v>
      </c>
      <c r="Z62" s="19">
        <v>964850</v>
      </c>
      <c r="AA62" s="19">
        <v>26</v>
      </c>
      <c r="AB62" s="19">
        <v>82</v>
      </c>
      <c r="AC62" s="19">
        <v>95034251</v>
      </c>
      <c r="AD62" s="19">
        <v>1966777</v>
      </c>
      <c r="AE62" s="19">
        <v>221</v>
      </c>
      <c r="AF62" s="19"/>
      <c r="AG62" s="19">
        <v>1918036</v>
      </c>
      <c r="AH62" s="19"/>
      <c r="AI62" s="19">
        <v>422</v>
      </c>
      <c r="AJ62" s="19">
        <v>625860</v>
      </c>
      <c r="AK62" s="19">
        <v>155232714</v>
      </c>
      <c r="AL62" s="19">
        <v>96793</v>
      </c>
      <c r="AM62" s="19">
        <v>31548328</v>
      </c>
      <c r="AN62" s="19">
        <v>6247</v>
      </c>
      <c r="AO62" s="19"/>
      <c r="AP62" s="19">
        <v>87576090</v>
      </c>
      <c r="AQ62" s="19">
        <v>40844</v>
      </c>
      <c r="AR62" s="19">
        <v>7349</v>
      </c>
      <c r="AS62" s="19"/>
      <c r="AT62" s="19">
        <v>88240293</v>
      </c>
      <c r="AU62" s="19">
        <v>9669246</v>
      </c>
      <c r="AV62" s="19">
        <v>1586520</v>
      </c>
      <c r="AW62" s="19">
        <v>48859086</v>
      </c>
      <c r="AX62" s="19">
        <v>33897219</v>
      </c>
      <c r="AY62" s="19">
        <v>5120000</v>
      </c>
      <c r="AZ62" s="19">
        <v>488021</v>
      </c>
      <c r="BA62" s="19">
        <v>3806516</v>
      </c>
      <c r="BB62" s="19">
        <v>1295</v>
      </c>
      <c r="BC62" s="19">
        <v>34056</v>
      </c>
      <c r="BD62" s="19">
        <v>288405</v>
      </c>
      <c r="BE62" s="19">
        <v>442266</v>
      </c>
      <c r="BF62" s="19">
        <v>2241313</v>
      </c>
      <c r="BG62" s="19">
        <v>330720</v>
      </c>
      <c r="BH62" s="19">
        <v>26539740</v>
      </c>
      <c r="BI62" s="19">
        <v>73908206</v>
      </c>
      <c r="BJ62" s="19">
        <v>13882445</v>
      </c>
      <c r="BK62" s="19">
        <v>3820</v>
      </c>
      <c r="BL62" s="19">
        <v>186220</v>
      </c>
      <c r="BM62" s="19">
        <v>405073</v>
      </c>
      <c r="BN62" s="19">
        <v>27015</v>
      </c>
      <c r="BO62" s="19">
        <v>37329</v>
      </c>
      <c r="BP62" s="19">
        <v>185</v>
      </c>
      <c r="BQ62" s="19">
        <v>7072827</v>
      </c>
      <c r="BR62" s="19">
        <v>1218584</v>
      </c>
      <c r="BS62" s="19">
        <v>5243862</v>
      </c>
      <c r="BT62" s="19">
        <v>11871</v>
      </c>
      <c r="BU62" s="19">
        <v>138330256</v>
      </c>
      <c r="BV62" s="19">
        <v>433</v>
      </c>
      <c r="BW62" s="19">
        <v>54</v>
      </c>
      <c r="BX62" s="19">
        <v>4441062</v>
      </c>
      <c r="BY62" s="19">
        <v>664312</v>
      </c>
      <c r="BZ62" s="19">
        <v>1097633</v>
      </c>
      <c r="CA62" s="19">
        <v>6172</v>
      </c>
      <c r="CB62" s="19">
        <v>992321</v>
      </c>
      <c r="CC62" s="19">
        <v>296780</v>
      </c>
      <c r="CD62" s="19">
        <v>2424098</v>
      </c>
      <c r="CE62" s="19">
        <v>201655</v>
      </c>
      <c r="CF62" s="19" t="s">
        <v>127</v>
      </c>
      <c r="CG62" s="19"/>
      <c r="CH62" s="19">
        <v>57799</v>
      </c>
      <c r="CI62" s="19">
        <v>882400</v>
      </c>
      <c r="CJ62" s="19">
        <v>15708530</v>
      </c>
      <c r="CK62" s="19">
        <v>793807</v>
      </c>
      <c r="CL62" s="19">
        <v>4817542</v>
      </c>
      <c r="CM62" s="19">
        <v>13959716</v>
      </c>
      <c r="CN62" s="19">
        <v>1309282</v>
      </c>
      <c r="CO62" s="19">
        <v>70988</v>
      </c>
      <c r="CP62" s="19">
        <v>24305222</v>
      </c>
      <c r="CQ62" s="19" t="s">
        <v>96</v>
      </c>
      <c r="CR62" s="19">
        <v>1375161</v>
      </c>
      <c r="CS62" s="19">
        <v>3960680</v>
      </c>
      <c r="CT62" s="19">
        <v>157569</v>
      </c>
      <c r="CU62" s="19">
        <v>4400</v>
      </c>
      <c r="CV62" s="19" t="s">
        <v>89</v>
      </c>
      <c r="CW62" s="19">
        <v>2514185</v>
      </c>
      <c r="CX62" s="19">
        <v>27431</v>
      </c>
      <c r="CY62" s="19">
        <v>1383251</v>
      </c>
      <c r="CZ62" s="19">
        <v>115661</v>
      </c>
      <c r="DA62" s="19">
        <v>360780</v>
      </c>
      <c r="DB62" s="19">
        <v>362716</v>
      </c>
      <c r="DC62" s="19">
        <v>66</v>
      </c>
      <c r="DD62" s="19">
        <v>226</v>
      </c>
      <c r="DE62" s="19">
        <v>5815</v>
      </c>
      <c r="DF62" s="19">
        <v>57141</v>
      </c>
      <c r="DG62" s="19">
        <v>171507</v>
      </c>
      <c r="DH62" s="19">
        <v>490060</v>
      </c>
      <c r="DI62" s="19">
        <v>11822630</v>
      </c>
      <c r="DJ62" s="19">
        <v>152040</v>
      </c>
      <c r="DK62" s="19">
        <v>6696608</v>
      </c>
      <c r="DL62" s="19">
        <v>6511376</v>
      </c>
      <c r="DM62" s="19">
        <v>181113</v>
      </c>
      <c r="DN62" s="19">
        <v>5640148</v>
      </c>
      <c r="DO62" s="19">
        <v>4181309</v>
      </c>
      <c r="DP62" s="19">
        <v>9168</v>
      </c>
      <c r="DQ62" s="19">
        <v>121048</v>
      </c>
      <c r="DR62" s="19">
        <v>22034</v>
      </c>
      <c r="DS62" s="19">
        <v>29345747</v>
      </c>
      <c r="DT62" s="19">
        <v>3077000</v>
      </c>
      <c r="DU62" s="19">
        <v>21</v>
      </c>
      <c r="DV62" s="19" t="s">
        <v>89</v>
      </c>
      <c r="DW62" s="19">
        <v>10908283</v>
      </c>
      <c r="DX62" s="19">
        <v>20261622</v>
      </c>
      <c r="DY62" s="19">
        <v>1726286</v>
      </c>
      <c r="DZ62" s="19">
        <v>191326</v>
      </c>
      <c r="EA62" s="19">
        <v>26592884</v>
      </c>
      <c r="EB62" s="19">
        <v>663656</v>
      </c>
    </row>
    <row r="63" spans="1:132">
      <c r="A63" s="9" t="s">
        <v>86</v>
      </c>
      <c r="B63" s="15" t="s">
        <v>145</v>
      </c>
      <c r="C63" s="19"/>
      <c r="D63" s="19"/>
      <c r="E63" s="19"/>
      <c r="F63" s="19"/>
      <c r="G63" s="19"/>
      <c r="H63" s="19"/>
      <c r="I63" s="19"/>
      <c r="J63" s="19" t="s">
        <v>89</v>
      </c>
      <c r="K63" s="19"/>
      <c r="L63" s="19"/>
      <c r="M63" s="19"/>
      <c r="N63" s="19"/>
      <c r="O63" s="19"/>
      <c r="P63" s="19"/>
      <c r="Q63" s="19"/>
      <c r="R63" s="19"/>
      <c r="S63" s="19"/>
      <c r="T63" s="19"/>
      <c r="U63" s="19"/>
      <c r="V63" s="19"/>
      <c r="W63" s="19"/>
      <c r="X63" s="19"/>
      <c r="Y63" s="19"/>
      <c r="Z63" s="19"/>
      <c r="AA63" s="19"/>
      <c r="AB63" s="19"/>
      <c r="AC63" s="19"/>
      <c r="AD63" s="19"/>
      <c r="AE63" s="19"/>
      <c r="AF63" s="19"/>
      <c r="AG63" s="19"/>
      <c r="AH63" s="19"/>
      <c r="AI63" s="19"/>
      <c r="AJ63" s="19"/>
      <c r="AK63" s="19"/>
      <c r="AL63" s="19"/>
      <c r="AM63" s="19"/>
      <c r="AN63" s="19"/>
      <c r="AO63" s="19"/>
      <c r="AP63" s="19"/>
      <c r="AQ63" s="19"/>
      <c r="AR63" s="19"/>
      <c r="AS63" s="19"/>
      <c r="AT63" s="19"/>
      <c r="AU63" s="19"/>
      <c r="AV63" s="19"/>
      <c r="AW63" s="19"/>
      <c r="AX63" s="19"/>
      <c r="AY63" s="19"/>
      <c r="AZ63" s="19"/>
      <c r="BA63" s="19"/>
      <c r="BB63" s="19"/>
      <c r="BC63" s="19">
        <v>540000</v>
      </c>
      <c r="BD63" s="19"/>
      <c r="BE63" s="19">
        <v>1795247</v>
      </c>
      <c r="BF63" s="19">
        <v>33779727</v>
      </c>
      <c r="BG63" s="19"/>
      <c r="BH63" s="19"/>
      <c r="BI63" s="19"/>
      <c r="BJ63" s="19"/>
      <c r="BK63" s="19"/>
      <c r="BL63" s="19"/>
      <c r="BM63" s="19"/>
      <c r="BN63" s="19"/>
      <c r="BO63" s="19"/>
      <c r="BP63" s="19"/>
      <c r="BQ63" s="19"/>
      <c r="BR63" s="19"/>
      <c r="BS63" s="19"/>
      <c r="BT63" s="19"/>
      <c r="BU63" s="19"/>
      <c r="BV63" s="19"/>
      <c r="BW63" s="19"/>
      <c r="BX63" s="19"/>
      <c r="BY63" s="19"/>
      <c r="BZ63" s="19"/>
      <c r="CA63" s="19"/>
      <c r="CB63" s="19"/>
      <c r="CC63" s="19"/>
      <c r="CD63" s="19">
        <v>2242267</v>
      </c>
      <c r="CE63" s="19"/>
      <c r="CF63" s="19" t="s">
        <v>127</v>
      </c>
      <c r="CG63" s="19"/>
      <c r="CH63" s="19"/>
      <c r="CI63" s="19"/>
      <c r="CJ63" s="19"/>
      <c r="CK63" s="19"/>
      <c r="CL63" s="19"/>
      <c r="CM63" s="19"/>
      <c r="CN63" s="19"/>
      <c r="CO63" s="19"/>
      <c r="CP63" s="19"/>
      <c r="CQ63" s="19" t="s">
        <v>96</v>
      </c>
      <c r="CR63" s="19"/>
      <c r="CS63" s="19"/>
      <c r="CT63" s="19"/>
      <c r="CU63" s="19"/>
      <c r="CV63" s="19" t="s">
        <v>89</v>
      </c>
      <c r="CW63" s="19"/>
      <c r="CX63" s="19"/>
      <c r="CY63" s="19"/>
      <c r="CZ63" s="19"/>
      <c r="DA63" s="19"/>
      <c r="DB63" s="19"/>
      <c r="DC63" s="19"/>
      <c r="DD63" s="19"/>
      <c r="DE63" s="19"/>
      <c r="DF63" s="19"/>
      <c r="DG63" s="19"/>
      <c r="DH63" s="19"/>
      <c r="DI63" s="19"/>
      <c r="DJ63" s="19"/>
      <c r="DK63" s="19"/>
      <c r="DL63" s="19"/>
      <c r="DM63" s="19"/>
      <c r="DN63" s="19"/>
      <c r="DO63" s="19"/>
      <c r="DP63" s="19"/>
      <c r="DQ63" s="19"/>
      <c r="DR63" s="19"/>
      <c r="DS63" s="19"/>
      <c r="DT63" s="19"/>
      <c r="DU63" s="19"/>
      <c r="DV63" s="19" t="s">
        <v>89</v>
      </c>
      <c r="DW63" s="19"/>
      <c r="DX63" s="19"/>
      <c r="DY63" s="19"/>
      <c r="DZ63" s="19"/>
      <c r="EA63" s="19"/>
      <c r="EB63" s="19"/>
    </row>
    <row r="64" spans="1:132">
      <c r="A64" s="9" t="s">
        <v>86</v>
      </c>
      <c r="B64" s="16" t="s">
        <v>78</v>
      </c>
      <c r="C64" s="19">
        <v>123926667</v>
      </c>
      <c r="D64" s="19">
        <v>1257197575</v>
      </c>
      <c r="E64" s="19">
        <v>86437115</v>
      </c>
      <c r="F64" s="19">
        <v>119026937</v>
      </c>
      <c r="G64" s="19">
        <v>0</v>
      </c>
      <c r="H64" s="19">
        <v>102443000</v>
      </c>
      <c r="I64" s="19">
        <v>0</v>
      </c>
      <c r="J64" s="19" t="s">
        <v>89</v>
      </c>
      <c r="K64" s="19">
        <v>933060626</v>
      </c>
      <c r="L64" s="19">
        <v>13400000</v>
      </c>
      <c r="M64" s="19">
        <v>24000000</v>
      </c>
      <c r="N64" s="19">
        <v>473366254</v>
      </c>
      <c r="O64" s="19">
        <v>46752885</v>
      </c>
      <c r="P64" s="19">
        <v>74350000</v>
      </c>
      <c r="Q64" s="19">
        <v>0</v>
      </c>
      <c r="R64" s="19">
        <v>0</v>
      </c>
      <c r="S64" s="19">
        <v>104163615</v>
      </c>
      <c r="T64" s="19">
        <v>0</v>
      </c>
      <c r="U64" s="19">
        <v>79164710</v>
      </c>
      <c r="V64" s="19">
        <v>109266471</v>
      </c>
      <c r="W64" s="19">
        <v>87366455</v>
      </c>
      <c r="X64" s="19">
        <v>13714870</v>
      </c>
      <c r="Y64" s="19">
        <v>0</v>
      </c>
      <c r="Z64" s="19">
        <v>32278553</v>
      </c>
      <c r="AA64" s="19">
        <v>0</v>
      </c>
      <c r="AB64" s="19">
        <v>0</v>
      </c>
      <c r="AC64" s="19">
        <v>73133350</v>
      </c>
      <c r="AD64" s="19">
        <v>8550000</v>
      </c>
      <c r="AE64" s="19">
        <v>34580307</v>
      </c>
      <c r="AF64" s="19">
        <v>24202911</v>
      </c>
      <c r="AG64" s="19">
        <v>24000000</v>
      </c>
      <c r="AH64" s="19">
        <v>295577527</v>
      </c>
      <c r="AI64" s="19">
        <v>0</v>
      </c>
      <c r="AJ64" s="19">
        <v>83385719</v>
      </c>
      <c r="AK64" s="19">
        <v>176341000</v>
      </c>
      <c r="AL64" s="19">
        <v>26331842</v>
      </c>
      <c r="AM64" s="19">
        <v>145064208</v>
      </c>
      <c r="AN64" s="19">
        <v>14959838</v>
      </c>
      <c r="AO64" s="19">
        <v>0</v>
      </c>
      <c r="AP64" s="19">
        <v>0</v>
      </c>
      <c r="AQ64" s="19">
        <v>0</v>
      </c>
      <c r="AR64" s="19">
        <v>0</v>
      </c>
      <c r="AS64" s="19">
        <v>318985000</v>
      </c>
      <c r="AT64" s="19">
        <v>0</v>
      </c>
      <c r="AU64" s="19">
        <v>0</v>
      </c>
      <c r="AV64" s="19">
        <v>1000000</v>
      </c>
      <c r="AW64" s="19">
        <v>4713660</v>
      </c>
      <c r="AX64" s="19">
        <v>0</v>
      </c>
      <c r="AY64" s="19">
        <v>14560000</v>
      </c>
      <c r="AZ64" s="19">
        <v>0</v>
      </c>
      <c r="BA64" s="19">
        <v>300000000</v>
      </c>
      <c r="BB64" s="19">
        <v>0</v>
      </c>
      <c r="BC64" s="19">
        <v>0</v>
      </c>
      <c r="BD64" s="19">
        <v>101775000</v>
      </c>
      <c r="BE64" s="19">
        <v>0</v>
      </c>
      <c r="BF64" s="19">
        <v>0</v>
      </c>
      <c r="BG64" s="19">
        <v>0</v>
      </c>
      <c r="BH64" s="19">
        <v>0</v>
      </c>
      <c r="BI64" s="19">
        <v>0</v>
      </c>
      <c r="BJ64" s="19">
        <v>0</v>
      </c>
      <c r="BK64" s="19">
        <v>0</v>
      </c>
      <c r="BL64" s="19">
        <v>0</v>
      </c>
      <c r="BM64" s="19">
        <v>164383709</v>
      </c>
      <c r="BN64" s="19">
        <v>500000</v>
      </c>
      <c r="BO64" s="19">
        <v>49325635</v>
      </c>
      <c r="BP64" s="19">
        <v>0</v>
      </c>
      <c r="BQ64" s="19">
        <v>0</v>
      </c>
      <c r="BR64" s="19">
        <v>15125000</v>
      </c>
      <c r="BS64" s="19">
        <v>0</v>
      </c>
      <c r="BT64" s="19">
        <v>0</v>
      </c>
      <c r="BU64" s="19">
        <v>0</v>
      </c>
      <c r="BV64" s="19">
        <v>10377790</v>
      </c>
      <c r="BW64" s="19">
        <v>44944774</v>
      </c>
      <c r="BX64" s="19">
        <v>0</v>
      </c>
      <c r="BY64" s="19">
        <v>0</v>
      </c>
      <c r="BZ64" s="19">
        <v>0</v>
      </c>
      <c r="CA64" s="19">
        <v>0</v>
      </c>
      <c r="CB64" s="19">
        <v>0</v>
      </c>
      <c r="CC64" s="19">
        <v>11114524</v>
      </c>
      <c r="CD64" s="19">
        <v>40000000</v>
      </c>
      <c r="CE64" s="19">
        <v>0</v>
      </c>
      <c r="CF64" s="19" t="s">
        <v>127</v>
      </c>
      <c r="CG64" s="19">
        <v>6996981</v>
      </c>
      <c r="CH64" s="19">
        <v>71470194</v>
      </c>
      <c r="CI64" s="19">
        <v>222608063</v>
      </c>
      <c r="CJ64" s="19">
        <v>0</v>
      </c>
      <c r="CK64" s="19">
        <v>50933000</v>
      </c>
      <c r="CL64" s="19">
        <v>2644000</v>
      </c>
      <c r="CM64" s="19">
        <v>63271480</v>
      </c>
      <c r="CN64" s="19">
        <v>0</v>
      </c>
      <c r="CO64" s="19">
        <v>0</v>
      </c>
      <c r="CP64" s="19">
        <v>0</v>
      </c>
      <c r="CQ64" s="19" t="s">
        <v>96</v>
      </c>
      <c r="CR64" s="19">
        <v>0</v>
      </c>
      <c r="CS64" s="19">
        <v>161569546</v>
      </c>
      <c r="CT64" s="19">
        <v>0</v>
      </c>
      <c r="CU64" s="19">
        <v>319160000</v>
      </c>
      <c r="CV64" s="19" t="s">
        <v>89</v>
      </c>
      <c r="CW64" s="19">
        <v>0</v>
      </c>
      <c r="CX64" s="19"/>
      <c r="CY64" s="19">
        <v>184081893</v>
      </c>
      <c r="CZ64" s="19">
        <v>0</v>
      </c>
      <c r="DA64" s="19">
        <v>0</v>
      </c>
      <c r="DB64" s="19">
        <v>0</v>
      </c>
      <c r="DC64" s="19">
        <v>0</v>
      </c>
      <c r="DD64" s="19">
        <v>0</v>
      </c>
      <c r="DE64" s="19">
        <v>4360000</v>
      </c>
      <c r="DF64" s="19">
        <v>36487000</v>
      </c>
      <c r="DG64" s="19">
        <v>101013140</v>
      </c>
      <c r="DH64" s="19">
        <v>0</v>
      </c>
      <c r="DI64" s="19">
        <v>16156000</v>
      </c>
      <c r="DJ64" s="19">
        <v>0</v>
      </c>
      <c r="DK64" s="19">
        <v>0</v>
      </c>
      <c r="DL64" s="19">
        <v>137648584</v>
      </c>
      <c r="DM64" s="19">
        <v>0</v>
      </c>
      <c r="DN64" s="19">
        <v>0</v>
      </c>
      <c r="DO64" s="19">
        <v>18921650</v>
      </c>
      <c r="DP64" s="19">
        <v>25000000</v>
      </c>
      <c r="DQ64" s="19">
        <v>73810350</v>
      </c>
      <c r="DR64" s="19">
        <v>6053977</v>
      </c>
      <c r="DS64" s="19">
        <v>0</v>
      </c>
      <c r="DT64" s="19">
        <v>47450000</v>
      </c>
      <c r="DU64" s="19">
        <v>0</v>
      </c>
      <c r="DV64" s="19" t="s">
        <v>89</v>
      </c>
      <c r="DW64" s="19">
        <v>0</v>
      </c>
      <c r="DX64" s="19">
        <v>44410471</v>
      </c>
      <c r="DY64" s="19">
        <v>68264310</v>
      </c>
      <c r="DZ64" s="19">
        <v>0</v>
      </c>
      <c r="EA64" s="19">
        <v>0</v>
      </c>
      <c r="EB64" s="19">
        <v>5000000</v>
      </c>
    </row>
    <row r="65" spans="1:132">
      <c r="A65" s="9" t="s">
        <v>86</v>
      </c>
      <c r="B65" s="17" t="s">
        <v>80</v>
      </c>
      <c r="C65" s="19"/>
      <c r="D65" s="19"/>
      <c r="E65" s="19"/>
      <c r="F65" s="19"/>
      <c r="G65" s="19"/>
      <c r="H65" s="19"/>
      <c r="I65" s="19"/>
      <c r="J65" s="19" t="s">
        <v>89</v>
      </c>
      <c r="K65" s="19"/>
      <c r="L65" s="19"/>
      <c r="M65" s="19">
        <v>24000000</v>
      </c>
      <c r="N65" s="19"/>
      <c r="O65" s="19"/>
      <c r="P65" s="19"/>
      <c r="Q65" s="19"/>
      <c r="R65" s="19"/>
      <c r="S65" s="19">
        <v>104163615</v>
      </c>
      <c r="T65" s="19"/>
      <c r="U65" s="19"/>
      <c r="V65" s="19">
        <v>178000</v>
      </c>
      <c r="W65" s="19"/>
      <c r="X65" s="19"/>
      <c r="Y65" s="19"/>
      <c r="Z65" s="19"/>
      <c r="AA65" s="19"/>
      <c r="AB65" s="19"/>
      <c r="AC65" s="19">
        <v>73133350</v>
      </c>
      <c r="AD65" s="19">
        <v>8550000</v>
      </c>
      <c r="AE65" s="19"/>
      <c r="AF65" s="19"/>
      <c r="AG65" s="19">
        <v>24000000</v>
      </c>
      <c r="AH65" s="19"/>
      <c r="AI65" s="19"/>
      <c r="AJ65" s="19"/>
      <c r="AK65" s="19"/>
      <c r="AL65" s="19"/>
      <c r="AM65" s="19"/>
      <c r="AN65" s="19"/>
      <c r="AO65" s="19"/>
      <c r="AP65" s="19"/>
      <c r="AQ65" s="19"/>
      <c r="AR65" s="19"/>
      <c r="AS65" s="19"/>
      <c r="AT65" s="19"/>
      <c r="AU65" s="19"/>
      <c r="AV65" s="19"/>
      <c r="AW65" s="19"/>
      <c r="AX65" s="19"/>
      <c r="AY65" s="19"/>
      <c r="AZ65" s="19"/>
      <c r="BA65" s="19"/>
      <c r="BB65" s="19"/>
      <c r="BC65" s="19"/>
      <c r="BD65" s="19"/>
      <c r="BE65" s="19"/>
      <c r="BF65" s="19"/>
      <c r="BG65" s="19"/>
      <c r="BH65" s="19"/>
      <c r="BI65" s="19"/>
      <c r="BJ65" s="19"/>
      <c r="BK65" s="19"/>
      <c r="BL65" s="19"/>
      <c r="BM65" s="19"/>
      <c r="BN65" s="19"/>
      <c r="BO65" s="19"/>
      <c r="BP65" s="19"/>
      <c r="BQ65" s="19"/>
      <c r="BR65" s="19"/>
      <c r="BS65" s="19"/>
      <c r="BT65" s="19"/>
      <c r="BU65" s="19"/>
      <c r="BV65" s="19"/>
      <c r="BW65" s="19"/>
      <c r="BX65" s="19"/>
      <c r="BY65" s="19"/>
      <c r="BZ65" s="19"/>
      <c r="CA65" s="19"/>
      <c r="CB65" s="19"/>
      <c r="CC65" s="19"/>
      <c r="CD65" s="19"/>
      <c r="CE65" s="19"/>
      <c r="CF65" s="19" t="s">
        <v>127</v>
      </c>
      <c r="CG65" s="19"/>
      <c r="CH65" s="19"/>
      <c r="CI65" s="19">
        <v>222608063</v>
      </c>
      <c r="CJ65" s="19"/>
      <c r="CK65" s="19">
        <v>50933000</v>
      </c>
      <c r="CL65" s="19"/>
      <c r="CM65" s="19">
        <v>972510</v>
      </c>
      <c r="CN65" s="19"/>
      <c r="CO65" s="19"/>
      <c r="CP65" s="19"/>
      <c r="CQ65" s="19" t="s">
        <v>96</v>
      </c>
      <c r="CR65" s="19"/>
      <c r="CS65" s="19">
        <v>161569546</v>
      </c>
      <c r="CT65" s="19"/>
      <c r="CU65" s="19">
        <v>1000000</v>
      </c>
      <c r="CV65" s="19" t="s">
        <v>89</v>
      </c>
      <c r="CW65" s="19"/>
      <c r="CX65" s="19"/>
      <c r="CY65" s="19">
        <v>181681893</v>
      </c>
      <c r="CZ65" s="19"/>
      <c r="DA65" s="19"/>
      <c r="DB65" s="19"/>
      <c r="DC65" s="19"/>
      <c r="DD65" s="19"/>
      <c r="DE65" s="19"/>
      <c r="DF65" s="19">
        <v>36487000</v>
      </c>
      <c r="DG65" s="19">
        <v>101013140</v>
      </c>
      <c r="DH65" s="19"/>
      <c r="DI65" s="19">
        <v>16156000</v>
      </c>
      <c r="DJ65" s="19"/>
      <c r="DK65" s="19"/>
      <c r="DL65" s="19"/>
      <c r="DM65" s="19"/>
      <c r="DN65" s="19"/>
      <c r="DO65" s="19">
        <v>18921650</v>
      </c>
      <c r="DP65" s="19"/>
      <c r="DQ65" s="19">
        <v>73810350</v>
      </c>
      <c r="DR65" s="19"/>
      <c r="DS65" s="19"/>
      <c r="DT65" s="19">
        <v>47450000</v>
      </c>
      <c r="DU65" s="19"/>
      <c r="DV65" s="19" t="s">
        <v>89</v>
      </c>
      <c r="DW65" s="19"/>
      <c r="DX65" s="19"/>
      <c r="DY65" s="19"/>
      <c r="DZ65" s="19"/>
      <c r="EA65" s="19"/>
      <c r="EB65" s="19"/>
    </row>
    <row r="66" spans="1:132">
      <c r="A66" s="9" t="s">
        <v>86</v>
      </c>
      <c r="B66" s="17" t="s">
        <v>7</v>
      </c>
      <c r="C66" s="19">
        <v>12171700</v>
      </c>
      <c r="D66" s="19">
        <v>1209197575</v>
      </c>
      <c r="E66" s="19"/>
      <c r="F66" s="19">
        <v>5094000</v>
      </c>
      <c r="G66" s="19"/>
      <c r="H66" s="19"/>
      <c r="I66" s="19"/>
      <c r="J66" s="19" t="s">
        <v>89</v>
      </c>
      <c r="K66" s="19"/>
      <c r="L66" s="19"/>
      <c r="M66" s="19"/>
      <c r="N66" s="19"/>
      <c r="O66" s="19"/>
      <c r="P66" s="19"/>
      <c r="Q66" s="19"/>
      <c r="R66" s="19"/>
      <c r="S66" s="19"/>
      <c r="T66" s="19"/>
      <c r="U66" s="19">
        <v>79164710</v>
      </c>
      <c r="V66" s="19"/>
      <c r="W66" s="19"/>
      <c r="X66" s="19"/>
      <c r="Y66" s="19"/>
      <c r="Z66" s="19">
        <v>13569323</v>
      </c>
      <c r="AA66" s="19"/>
      <c r="AB66" s="19"/>
      <c r="AC66" s="19"/>
      <c r="AD66" s="19"/>
      <c r="AE66" s="19"/>
      <c r="AF66" s="19"/>
      <c r="AG66" s="19"/>
      <c r="AH66" s="19"/>
      <c r="AI66" s="19"/>
      <c r="AJ66" s="19"/>
      <c r="AK66" s="19">
        <v>176341000</v>
      </c>
      <c r="AL66" s="19"/>
      <c r="AM66" s="19"/>
      <c r="AN66" s="19"/>
      <c r="AO66" s="19"/>
      <c r="AP66" s="19"/>
      <c r="AQ66" s="19"/>
      <c r="AR66" s="19"/>
      <c r="AS66" s="19">
        <v>318985000</v>
      </c>
      <c r="AT66" s="19"/>
      <c r="AU66" s="19"/>
      <c r="AV66" s="19"/>
      <c r="AW66" s="19">
        <v>4713660</v>
      </c>
      <c r="AX66" s="19"/>
      <c r="AY66" s="19">
        <v>14560000</v>
      </c>
      <c r="AZ66" s="19"/>
      <c r="BA66" s="19">
        <v>300000000</v>
      </c>
      <c r="BB66" s="19"/>
      <c r="BC66" s="19"/>
      <c r="BD66" s="19"/>
      <c r="BE66" s="19"/>
      <c r="BF66" s="19"/>
      <c r="BG66" s="19"/>
      <c r="BH66" s="19"/>
      <c r="BI66" s="19"/>
      <c r="BJ66" s="19"/>
      <c r="BK66" s="19"/>
      <c r="BL66" s="19"/>
      <c r="BM66" s="19">
        <v>164383709</v>
      </c>
      <c r="BN66" s="19"/>
      <c r="BO66" s="19">
        <v>49325635</v>
      </c>
      <c r="BP66" s="19"/>
      <c r="BQ66" s="19"/>
      <c r="BR66" s="19">
        <v>15125000</v>
      </c>
      <c r="BS66" s="19"/>
      <c r="BT66" s="19"/>
      <c r="BU66" s="19"/>
      <c r="BV66" s="19">
        <v>10377790</v>
      </c>
      <c r="BW66" s="19"/>
      <c r="BX66" s="19"/>
      <c r="BY66" s="19"/>
      <c r="BZ66" s="19"/>
      <c r="CA66" s="19"/>
      <c r="CB66" s="19"/>
      <c r="CC66" s="19"/>
      <c r="CD66" s="19"/>
      <c r="CE66" s="19"/>
      <c r="CF66" s="19" t="s">
        <v>127</v>
      </c>
      <c r="CG66" s="19"/>
      <c r="CH66" s="19">
        <v>71470194</v>
      </c>
      <c r="CI66" s="19"/>
      <c r="CJ66" s="19"/>
      <c r="CK66" s="19"/>
      <c r="CL66" s="19"/>
      <c r="CM66" s="19"/>
      <c r="CN66" s="19"/>
      <c r="CO66" s="19"/>
      <c r="CP66" s="19"/>
      <c r="CQ66" s="19" t="s">
        <v>96</v>
      </c>
      <c r="CR66" s="19"/>
      <c r="CS66" s="19"/>
      <c r="CT66" s="19"/>
      <c r="CU66" s="19">
        <v>310000000</v>
      </c>
      <c r="CV66" s="19" t="s">
        <v>89</v>
      </c>
      <c r="CW66" s="19"/>
      <c r="CX66" s="19"/>
      <c r="CY66" s="19"/>
      <c r="CZ66" s="19"/>
      <c r="DA66" s="19"/>
      <c r="DB66" s="19"/>
      <c r="DC66" s="19"/>
      <c r="DD66" s="19"/>
      <c r="DE66" s="19"/>
      <c r="DF66" s="19"/>
      <c r="DG66" s="19"/>
      <c r="DH66" s="19"/>
      <c r="DI66" s="19"/>
      <c r="DJ66" s="19"/>
      <c r="DK66" s="19"/>
      <c r="DL66" s="19"/>
      <c r="DM66" s="19"/>
      <c r="DN66" s="19"/>
      <c r="DO66" s="19"/>
      <c r="DP66" s="19"/>
      <c r="DQ66" s="19"/>
      <c r="DR66" s="19"/>
      <c r="DS66" s="19"/>
      <c r="DT66" s="19"/>
      <c r="DU66" s="19"/>
      <c r="DV66" s="19" t="s">
        <v>89</v>
      </c>
      <c r="DW66" s="19"/>
      <c r="DX66" s="19"/>
      <c r="DY66" s="19">
        <v>68264310</v>
      </c>
      <c r="DZ66" s="19"/>
      <c r="EA66" s="19"/>
      <c r="EB66" s="19"/>
    </row>
    <row r="67" spans="1:132">
      <c r="A67" s="9" t="s">
        <v>86</v>
      </c>
      <c r="B67" s="17" t="s">
        <v>25</v>
      </c>
      <c r="C67" s="19">
        <v>111754967</v>
      </c>
      <c r="D67" s="19">
        <v>48000000</v>
      </c>
      <c r="E67" s="19"/>
      <c r="F67" s="19">
        <v>113932937</v>
      </c>
      <c r="G67" s="19"/>
      <c r="H67" s="19"/>
      <c r="I67" s="19"/>
      <c r="J67" s="19" t="s">
        <v>89</v>
      </c>
      <c r="K67" s="19">
        <v>933060626</v>
      </c>
      <c r="L67" s="19">
        <v>13400000</v>
      </c>
      <c r="M67" s="19"/>
      <c r="N67" s="19">
        <v>301812250</v>
      </c>
      <c r="O67" s="19"/>
      <c r="P67" s="19"/>
      <c r="Q67" s="19"/>
      <c r="R67" s="19"/>
      <c r="S67" s="19"/>
      <c r="T67" s="19"/>
      <c r="U67" s="19"/>
      <c r="V67" s="19"/>
      <c r="W67" s="19">
        <v>63366455</v>
      </c>
      <c r="X67" s="19"/>
      <c r="Y67" s="19"/>
      <c r="Z67" s="19"/>
      <c r="AA67" s="19"/>
      <c r="AB67" s="19"/>
      <c r="AC67" s="19"/>
      <c r="AD67" s="19"/>
      <c r="AE67" s="19"/>
      <c r="AF67" s="19">
        <v>24202911</v>
      </c>
      <c r="AG67" s="19"/>
      <c r="AH67" s="19"/>
      <c r="AI67" s="19"/>
      <c r="AJ67" s="19">
        <v>83385719</v>
      </c>
      <c r="AK67" s="19"/>
      <c r="AL67" s="19">
        <v>26331842</v>
      </c>
      <c r="AM67" s="19"/>
      <c r="AN67" s="19"/>
      <c r="AO67" s="19"/>
      <c r="AP67" s="19"/>
      <c r="AQ67" s="19"/>
      <c r="AR67" s="19"/>
      <c r="AS67" s="19"/>
      <c r="AT67" s="19"/>
      <c r="AU67" s="19"/>
      <c r="AV67" s="19">
        <v>1000000</v>
      </c>
      <c r="AW67" s="19"/>
      <c r="AX67" s="19"/>
      <c r="AY67" s="19"/>
      <c r="AZ67" s="19"/>
      <c r="BA67" s="19"/>
      <c r="BB67" s="19"/>
      <c r="BC67" s="19"/>
      <c r="BD67" s="19"/>
      <c r="BE67" s="19"/>
      <c r="BF67" s="19"/>
      <c r="BG67" s="19"/>
      <c r="BH67" s="19"/>
      <c r="BI67" s="19"/>
      <c r="BJ67" s="19"/>
      <c r="BK67" s="19"/>
      <c r="BL67" s="19"/>
      <c r="BM67" s="19"/>
      <c r="BN67" s="19">
        <v>500000</v>
      </c>
      <c r="BO67" s="19"/>
      <c r="BP67" s="19"/>
      <c r="BQ67" s="19"/>
      <c r="BR67" s="19"/>
      <c r="BS67" s="19"/>
      <c r="BT67" s="19"/>
      <c r="BU67" s="19"/>
      <c r="BV67" s="19"/>
      <c r="BW67" s="19">
        <v>44944774</v>
      </c>
      <c r="BX67" s="19"/>
      <c r="BY67" s="19"/>
      <c r="BZ67" s="19"/>
      <c r="CA67" s="19"/>
      <c r="CB67" s="19"/>
      <c r="CC67" s="19">
        <v>11114524</v>
      </c>
      <c r="CD67" s="19"/>
      <c r="CE67" s="19"/>
      <c r="CF67" s="19" t="s">
        <v>127</v>
      </c>
      <c r="CG67" s="19"/>
      <c r="CH67" s="19"/>
      <c r="CI67" s="19"/>
      <c r="CJ67" s="19"/>
      <c r="CK67" s="19"/>
      <c r="CL67" s="19"/>
      <c r="CM67" s="19">
        <v>22010970</v>
      </c>
      <c r="CN67" s="19"/>
      <c r="CO67" s="19"/>
      <c r="CP67" s="19"/>
      <c r="CQ67" s="19" t="s">
        <v>96</v>
      </c>
      <c r="CR67" s="19"/>
      <c r="CS67" s="19"/>
      <c r="CT67" s="19"/>
      <c r="CU67" s="19">
        <v>8160000</v>
      </c>
      <c r="CV67" s="19" t="s">
        <v>89</v>
      </c>
      <c r="CW67" s="19"/>
      <c r="CX67" s="19"/>
      <c r="CY67" s="19">
        <v>2400000</v>
      </c>
      <c r="CZ67" s="19"/>
      <c r="DA67" s="19"/>
      <c r="DB67" s="19"/>
      <c r="DC67" s="19"/>
      <c r="DD67" s="19"/>
      <c r="DE67" s="19">
        <v>4360000</v>
      </c>
      <c r="DF67" s="19"/>
      <c r="DG67" s="19"/>
      <c r="DH67" s="19"/>
      <c r="DI67" s="19"/>
      <c r="DJ67" s="19"/>
      <c r="DK67" s="19"/>
      <c r="DL67" s="19"/>
      <c r="DM67" s="19"/>
      <c r="DN67" s="19"/>
      <c r="DO67" s="19"/>
      <c r="DP67" s="19"/>
      <c r="DQ67" s="19"/>
      <c r="DR67" s="19">
        <v>6053977</v>
      </c>
      <c r="DS67" s="19"/>
      <c r="DT67" s="19"/>
      <c r="DU67" s="19"/>
      <c r="DV67" s="19" t="s">
        <v>89</v>
      </c>
      <c r="DW67" s="19"/>
      <c r="DX67" s="19"/>
      <c r="DY67" s="19"/>
      <c r="DZ67" s="19"/>
      <c r="EA67" s="19"/>
      <c r="EB67" s="19"/>
    </row>
    <row r="68" spans="1:132">
      <c r="A68" s="9" t="s">
        <v>86</v>
      </c>
      <c r="B68" s="17" t="s">
        <v>17</v>
      </c>
      <c r="C68" s="19"/>
      <c r="D68" s="19"/>
      <c r="E68" s="19">
        <v>86437115</v>
      </c>
      <c r="F68" s="19"/>
      <c r="G68" s="19"/>
      <c r="H68" s="19">
        <v>102443000</v>
      </c>
      <c r="I68" s="19"/>
      <c r="J68" s="19" t="s">
        <v>89</v>
      </c>
      <c r="K68" s="19"/>
      <c r="L68" s="19"/>
      <c r="M68" s="19"/>
      <c r="N68" s="19">
        <v>171554004</v>
      </c>
      <c r="O68" s="19">
        <v>46752885</v>
      </c>
      <c r="P68" s="19">
        <v>74350000</v>
      </c>
      <c r="Q68" s="19"/>
      <c r="R68" s="19"/>
      <c r="S68" s="19"/>
      <c r="T68" s="19"/>
      <c r="U68" s="19"/>
      <c r="V68" s="19">
        <v>109088471</v>
      </c>
      <c r="W68" s="19">
        <v>24000000</v>
      </c>
      <c r="X68" s="19">
        <v>13714870</v>
      </c>
      <c r="Y68" s="19"/>
      <c r="Z68" s="19">
        <v>18709230</v>
      </c>
      <c r="AA68" s="19"/>
      <c r="AB68" s="19"/>
      <c r="AC68" s="19"/>
      <c r="AD68" s="19"/>
      <c r="AE68" s="19">
        <v>34580307</v>
      </c>
      <c r="AF68" s="19"/>
      <c r="AG68" s="19"/>
      <c r="AH68" s="19">
        <v>295577527</v>
      </c>
      <c r="AI68" s="19"/>
      <c r="AJ68" s="19"/>
      <c r="AK68" s="19"/>
      <c r="AL68" s="19"/>
      <c r="AM68" s="19">
        <v>145064208</v>
      </c>
      <c r="AN68" s="19">
        <v>14959838</v>
      </c>
      <c r="AO68" s="19"/>
      <c r="AP68" s="19"/>
      <c r="AQ68" s="19"/>
      <c r="AR68" s="19"/>
      <c r="AS68" s="19"/>
      <c r="AT68" s="19"/>
      <c r="AU68" s="19"/>
      <c r="AV68" s="19"/>
      <c r="AW68" s="19"/>
      <c r="AX68" s="19"/>
      <c r="AY68" s="19"/>
      <c r="AZ68" s="19"/>
      <c r="BA68" s="19"/>
      <c r="BB68" s="19"/>
      <c r="BC68" s="19"/>
      <c r="BD68" s="19">
        <v>101775000</v>
      </c>
      <c r="BE68" s="19"/>
      <c r="BF68" s="19"/>
      <c r="BG68" s="19"/>
      <c r="BH68" s="19"/>
      <c r="BI68" s="19"/>
      <c r="BJ68" s="19"/>
      <c r="BK68" s="19"/>
      <c r="BL68" s="19"/>
      <c r="BM68" s="19"/>
      <c r="BN68" s="19"/>
      <c r="BO68" s="19"/>
      <c r="BP68" s="19"/>
      <c r="BQ68" s="19"/>
      <c r="BR68" s="19"/>
      <c r="BS68" s="19"/>
      <c r="BT68" s="19"/>
      <c r="BU68" s="19"/>
      <c r="BV68" s="19"/>
      <c r="BW68" s="19"/>
      <c r="BX68" s="19"/>
      <c r="BY68" s="19"/>
      <c r="BZ68" s="19"/>
      <c r="CA68" s="19"/>
      <c r="CB68" s="19"/>
      <c r="CC68" s="19"/>
      <c r="CD68" s="19">
        <v>40000000</v>
      </c>
      <c r="CE68" s="19"/>
      <c r="CF68" s="19" t="s">
        <v>127</v>
      </c>
      <c r="CG68" s="19">
        <v>6996981</v>
      </c>
      <c r="CH68" s="19"/>
      <c r="CI68" s="19"/>
      <c r="CJ68" s="19"/>
      <c r="CK68" s="19"/>
      <c r="CL68" s="19">
        <v>2644000</v>
      </c>
      <c r="CM68" s="19">
        <v>40288000</v>
      </c>
      <c r="CN68" s="19"/>
      <c r="CO68" s="19"/>
      <c r="CP68" s="19"/>
      <c r="CQ68" s="19" t="s">
        <v>96</v>
      </c>
      <c r="CR68" s="19"/>
      <c r="CS68" s="19"/>
      <c r="CT68" s="19"/>
      <c r="CU68" s="19"/>
      <c r="CV68" s="19" t="s">
        <v>89</v>
      </c>
      <c r="CW68" s="19"/>
      <c r="CX68" s="19"/>
      <c r="CY68" s="19"/>
      <c r="CZ68" s="19"/>
      <c r="DA68" s="19"/>
      <c r="DB68" s="19"/>
      <c r="DC68" s="19"/>
      <c r="DD68" s="19"/>
      <c r="DE68" s="19"/>
      <c r="DF68" s="19"/>
      <c r="DG68" s="19"/>
      <c r="DH68" s="19"/>
      <c r="DI68" s="19"/>
      <c r="DJ68" s="19"/>
      <c r="DK68" s="19"/>
      <c r="DL68" s="19">
        <v>137648584</v>
      </c>
      <c r="DM68" s="19"/>
      <c r="DN68" s="19"/>
      <c r="DO68" s="19"/>
      <c r="DP68" s="19">
        <v>25000000</v>
      </c>
      <c r="DQ68" s="19"/>
      <c r="DR68" s="19"/>
      <c r="DS68" s="19"/>
      <c r="DT68" s="19"/>
      <c r="DU68" s="19"/>
      <c r="DV68" s="19" t="s">
        <v>89</v>
      </c>
      <c r="DW68" s="19"/>
      <c r="DX68" s="19">
        <v>44410471</v>
      </c>
      <c r="DY68" s="19"/>
      <c r="DZ68" s="19"/>
      <c r="EA68" s="19"/>
      <c r="EB68" s="19">
        <v>5000000</v>
      </c>
    </row>
    <row r="69" spans="1:132">
      <c r="A69" s="9" t="s">
        <v>86</v>
      </c>
      <c r="B69" s="15" t="s">
        <v>41</v>
      </c>
      <c r="C69" s="19"/>
      <c r="D69" s="19">
        <v>26413880</v>
      </c>
      <c r="E69" s="19"/>
      <c r="F69" s="19"/>
      <c r="G69" s="19"/>
      <c r="H69" s="19"/>
      <c r="I69" s="19"/>
      <c r="J69" s="19" t="s">
        <v>89</v>
      </c>
      <c r="K69" s="19">
        <v>16999000</v>
      </c>
      <c r="L69" s="19"/>
      <c r="M69" s="19"/>
      <c r="N69" s="19"/>
      <c r="O69" s="19">
        <v>46390297</v>
      </c>
      <c r="P69" s="19">
        <v>30159370</v>
      </c>
      <c r="Q69" s="19">
        <v>10129567</v>
      </c>
      <c r="R69" s="19">
        <v>638849</v>
      </c>
      <c r="S69" s="19">
        <v>14262711</v>
      </c>
      <c r="T69" s="19"/>
      <c r="U69" s="19">
        <v>228724</v>
      </c>
      <c r="V69" s="19"/>
      <c r="W69" s="19"/>
      <c r="X69" s="19">
        <v>230181700</v>
      </c>
      <c r="Y69" s="19">
        <v>26140992</v>
      </c>
      <c r="Z69" s="19"/>
      <c r="AA69" s="19"/>
      <c r="AB69" s="19"/>
      <c r="AC69" s="19"/>
      <c r="AD69" s="19"/>
      <c r="AE69" s="19"/>
      <c r="AF69" s="19"/>
      <c r="AG69" s="19"/>
      <c r="AH69" s="19">
        <v>-272376</v>
      </c>
      <c r="AI69" s="19">
        <v>102600000</v>
      </c>
      <c r="AJ69" s="19"/>
      <c r="AK69" s="19">
        <v>712789454</v>
      </c>
      <c r="AL69" s="19"/>
      <c r="AM69" s="19">
        <v>270470458</v>
      </c>
      <c r="AN69" s="19"/>
      <c r="AO69" s="19"/>
      <c r="AP69" s="19"/>
      <c r="AQ69" s="19">
        <v>10000000</v>
      </c>
      <c r="AR69" s="19"/>
      <c r="AS69" s="19"/>
      <c r="AT69" s="19"/>
      <c r="AU69" s="19"/>
      <c r="AV69" s="19"/>
      <c r="AW69" s="19"/>
      <c r="AX69" s="19"/>
      <c r="AY69" s="19"/>
      <c r="AZ69" s="19"/>
      <c r="BA69" s="19">
        <v>7829385</v>
      </c>
      <c r="BB69" s="19"/>
      <c r="BC69" s="19"/>
      <c r="BD69" s="19"/>
      <c r="BE69" s="19"/>
      <c r="BF69" s="19"/>
      <c r="BG69" s="19">
        <v>7821250</v>
      </c>
      <c r="BH69" s="19">
        <v>10000000</v>
      </c>
      <c r="BI69" s="19"/>
      <c r="BJ69" s="19">
        <v>1539040</v>
      </c>
      <c r="BK69" s="19">
        <v>6656</v>
      </c>
      <c r="BL69" s="19"/>
      <c r="BM69" s="19">
        <v>937661</v>
      </c>
      <c r="BN69" s="19"/>
      <c r="BO69" s="19">
        <v>678969</v>
      </c>
      <c r="BP69" s="19"/>
      <c r="BQ69" s="19"/>
      <c r="BR69" s="19"/>
      <c r="BS69" s="19"/>
      <c r="BT69" s="19">
        <v>150583081</v>
      </c>
      <c r="BU69" s="19">
        <v>2596295</v>
      </c>
      <c r="BV69" s="19">
        <v>6237280</v>
      </c>
      <c r="BW69" s="19"/>
      <c r="BX69" s="19"/>
      <c r="BY69" s="19">
        <v>881008</v>
      </c>
      <c r="BZ69" s="19"/>
      <c r="CA69" s="19"/>
      <c r="CB69" s="19"/>
      <c r="CC69" s="19">
        <v>16849623</v>
      </c>
      <c r="CD69" s="19">
        <v>18167553</v>
      </c>
      <c r="CE69" s="19"/>
      <c r="CF69" s="19" t="s">
        <v>127</v>
      </c>
      <c r="CG69" s="19">
        <v>670406</v>
      </c>
      <c r="CH69" s="19"/>
      <c r="CI69" s="19"/>
      <c r="CJ69" s="19">
        <v>305273</v>
      </c>
      <c r="CK69" s="19">
        <v>23941034</v>
      </c>
      <c r="CL69" s="19"/>
      <c r="CM69" s="19"/>
      <c r="CN69" s="19"/>
      <c r="CO69" s="19">
        <v>689000</v>
      </c>
      <c r="CP69" s="19"/>
      <c r="CQ69" s="19" t="s">
        <v>96</v>
      </c>
      <c r="CR69" s="19"/>
      <c r="CS69" s="19"/>
      <c r="CT69" s="19"/>
      <c r="CU69" s="19">
        <v>169629993</v>
      </c>
      <c r="CV69" s="19" t="s">
        <v>89</v>
      </c>
      <c r="CW69" s="19">
        <v>9520</v>
      </c>
      <c r="CX69" s="19">
        <v>1568346</v>
      </c>
      <c r="CY69" s="19">
        <v>5945640</v>
      </c>
      <c r="CZ69" s="19"/>
      <c r="DA69" s="19"/>
      <c r="DB69" s="19"/>
      <c r="DC69" s="19"/>
      <c r="DD69" s="19">
        <v>70000000</v>
      </c>
      <c r="DE69" s="19"/>
      <c r="DF69" s="19"/>
      <c r="DG69" s="19"/>
      <c r="DH69" s="19"/>
      <c r="DI69" s="19"/>
      <c r="DJ69" s="19">
        <v>22000</v>
      </c>
      <c r="DK69" s="19"/>
      <c r="DL69" s="19">
        <v>2400000</v>
      </c>
      <c r="DM69" s="19">
        <v>54889404</v>
      </c>
      <c r="DN69" s="19">
        <v>58300000</v>
      </c>
      <c r="DO69" s="19">
        <v>3204476</v>
      </c>
      <c r="DP69" s="19"/>
      <c r="DQ69" s="19"/>
      <c r="DR69" s="19"/>
      <c r="DS69" s="19"/>
      <c r="DT69" s="19"/>
      <c r="DU69" s="19"/>
      <c r="DV69" s="19" t="s">
        <v>89</v>
      </c>
      <c r="DW69" s="19"/>
      <c r="DX69" s="19"/>
      <c r="DY69" s="19"/>
      <c r="DZ69" s="19">
        <v>560000</v>
      </c>
      <c r="EA69" s="19"/>
      <c r="EB69" s="19"/>
    </row>
    <row r="70" spans="1:132">
      <c r="A70" s="9" t="s">
        <v>86</v>
      </c>
      <c r="B70" s="10" t="s">
        <v>10</v>
      </c>
      <c r="C70" s="19">
        <v>1401800</v>
      </c>
      <c r="D70" s="19">
        <v>21079340</v>
      </c>
      <c r="E70" s="19">
        <v>13769472</v>
      </c>
      <c r="F70" s="19">
        <v>27556681</v>
      </c>
      <c r="G70" s="19">
        <v>19894922</v>
      </c>
      <c r="H70" s="19">
        <v>4223280</v>
      </c>
      <c r="I70" s="19">
        <v>89952230</v>
      </c>
      <c r="J70" s="19" t="s">
        <v>89</v>
      </c>
      <c r="K70" s="19">
        <v>21582360</v>
      </c>
      <c r="L70" s="19">
        <v>5781697</v>
      </c>
      <c r="M70" s="19">
        <v>115978751</v>
      </c>
      <c r="N70" s="19">
        <v>8833251</v>
      </c>
      <c r="O70" s="19">
        <v>125256904</v>
      </c>
      <c r="P70" s="19">
        <v>118960256</v>
      </c>
      <c r="Q70" s="19">
        <v>668656</v>
      </c>
      <c r="R70" s="19">
        <v>4476025</v>
      </c>
      <c r="S70" s="19">
        <v>68053262</v>
      </c>
      <c r="T70" s="19">
        <v>433853</v>
      </c>
      <c r="U70" s="19">
        <v>641058</v>
      </c>
      <c r="V70" s="19">
        <v>5439287</v>
      </c>
      <c r="W70" s="19">
        <v>30628302</v>
      </c>
      <c r="X70" s="19">
        <v>119129242</v>
      </c>
      <c r="Y70" s="19">
        <v>5419264</v>
      </c>
      <c r="Z70" s="19">
        <v>22771612</v>
      </c>
      <c r="AA70" s="19">
        <v>71110281</v>
      </c>
      <c r="AB70" s="19">
        <v>2055895</v>
      </c>
      <c r="AC70" s="19">
        <v>14455513</v>
      </c>
      <c r="AD70" s="19">
        <v>34573309</v>
      </c>
      <c r="AE70" s="19">
        <v>5462020</v>
      </c>
      <c r="AF70" s="19">
        <v>0</v>
      </c>
      <c r="AG70" s="19">
        <v>115978751</v>
      </c>
      <c r="AH70" s="19">
        <v>5418501</v>
      </c>
      <c r="AI70" s="19">
        <v>8408094</v>
      </c>
      <c r="AJ70" s="19">
        <v>27909766</v>
      </c>
      <c r="AK70" s="19">
        <v>57220510</v>
      </c>
      <c r="AL70" s="19">
        <v>4175743</v>
      </c>
      <c r="AM70" s="19">
        <v>601297137</v>
      </c>
      <c r="AN70" s="19">
        <v>230030</v>
      </c>
      <c r="AO70" s="19">
        <v>0</v>
      </c>
      <c r="AP70" s="19">
        <v>82822865</v>
      </c>
      <c r="AQ70" s="19">
        <v>1298438</v>
      </c>
      <c r="AR70" s="19">
        <v>3928097</v>
      </c>
      <c r="AS70" s="19">
        <v>0</v>
      </c>
      <c r="AT70" s="19">
        <v>68597645</v>
      </c>
      <c r="AU70" s="19">
        <v>22223790</v>
      </c>
      <c r="AV70" s="19">
        <v>28284</v>
      </c>
      <c r="AW70" s="19">
        <v>12103976</v>
      </c>
      <c r="AX70" s="19">
        <v>18210855</v>
      </c>
      <c r="AY70" s="19">
        <v>84515112</v>
      </c>
      <c r="AZ70" s="19">
        <v>23492025</v>
      </c>
      <c r="BA70" s="19">
        <v>24757017</v>
      </c>
      <c r="BB70" s="19">
        <v>400041</v>
      </c>
      <c r="BC70" s="19">
        <v>39525114</v>
      </c>
      <c r="BD70" s="19">
        <v>796</v>
      </c>
      <c r="BE70" s="19">
        <v>45949432</v>
      </c>
      <c r="BF70" s="19">
        <v>62818588</v>
      </c>
      <c r="BG70" s="19">
        <v>17251815</v>
      </c>
      <c r="BH70" s="19">
        <v>36442606</v>
      </c>
      <c r="BI70" s="19">
        <v>2866050</v>
      </c>
      <c r="BJ70" s="19">
        <v>1002690</v>
      </c>
      <c r="BK70" s="19">
        <v>9153754</v>
      </c>
      <c r="BL70" s="19">
        <v>2294693</v>
      </c>
      <c r="BM70" s="19">
        <v>126160416</v>
      </c>
      <c r="BN70" s="19">
        <v>2023931</v>
      </c>
      <c r="BO70" s="19">
        <v>7319249</v>
      </c>
      <c r="BP70" s="19">
        <v>1268624</v>
      </c>
      <c r="BQ70" s="19">
        <v>23669060</v>
      </c>
      <c r="BR70" s="19">
        <v>643506</v>
      </c>
      <c r="BS70" s="19">
        <v>1048000</v>
      </c>
      <c r="BT70" s="19">
        <v>25628774</v>
      </c>
      <c r="BU70" s="19">
        <v>4198185</v>
      </c>
      <c r="BV70" s="19">
        <v>8207412</v>
      </c>
      <c r="BW70" s="19">
        <v>1</v>
      </c>
      <c r="BX70" s="19">
        <v>1017815</v>
      </c>
      <c r="BY70" s="19">
        <v>24232349</v>
      </c>
      <c r="BZ70" s="19">
        <v>89225528</v>
      </c>
      <c r="CA70" s="19">
        <v>5722075</v>
      </c>
      <c r="CB70" s="19">
        <v>5893906</v>
      </c>
      <c r="CC70" s="19">
        <v>10544</v>
      </c>
      <c r="CD70" s="19">
        <v>1567276</v>
      </c>
      <c r="CE70" s="19">
        <v>5779943</v>
      </c>
      <c r="CF70" s="19" t="s">
        <v>127</v>
      </c>
      <c r="CG70" s="19">
        <v>7101918</v>
      </c>
      <c r="CH70" s="19">
        <v>755167</v>
      </c>
      <c r="CI70" s="19">
        <v>60158245</v>
      </c>
      <c r="CJ70" s="19">
        <v>10394856</v>
      </c>
      <c r="CK70" s="19">
        <v>73057574</v>
      </c>
      <c r="CL70" s="19">
        <v>14906942</v>
      </c>
      <c r="CM70" s="19">
        <v>48034881</v>
      </c>
      <c r="CN70" s="19">
        <v>1489784</v>
      </c>
      <c r="CO70" s="19">
        <v>17209934</v>
      </c>
      <c r="CP70" s="19">
        <v>16103313</v>
      </c>
      <c r="CQ70" s="19" t="s">
        <v>96</v>
      </c>
      <c r="CR70" s="19">
        <v>11676226</v>
      </c>
      <c r="CS70" s="19">
        <v>9796355</v>
      </c>
      <c r="CT70" s="19">
        <v>73562932</v>
      </c>
      <c r="CU70" s="19">
        <v>329515000</v>
      </c>
      <c r="CV70" s="19" t="s">
        <v>89</v>
      </c>
      <c r="CW70" s="19">
        <v>2739860</v>
      </c>
      <c r="CX70" s="19">
        <v>1940997</v>
      </c>
      <c r="CY70" s="19">
        <v>257477565</v>
      </c>
      <c r="CZ70" s="19">
        <v>3326510</v>
      </c>
      <c r="DA70" s="19">
        <v>0</v>
      </c>
      <c r="DB70" s="19">
        <v>14516089</v>
      </c>
      <c r="DC70" s="19">
        <v>12</v>
      </c>
      <c r="DD70" s="19">
        <v>840018</v>
      </c>
      <c r="DE70" s="19">
        <v>2283</v>
      </c>
      <c r="DF70" s="19">
        <v>36711462</v>
      </c>
      <c r="DG70" s="19">
        <v>43715094</v>
      </c>
      <c r="DH70" s="19">
        <v>3111996</v>
      </c>
      <c r="DI70" s="19">
        <v>69413448</v>
      </c>
      <c r="DJ70" s="19">
        <v>2047180</v>
      </c>
      <c r="DK70" s="19">
        <v>3806270</v>
      </c>
      <c r="DL70" s="19">
        <v>5924457</v>
      </c>
      <c r="DM70" s="19">
        <v>36430923</v>
      </c>
      <c r="DN70" s="19">
        <v>0</v>
      </c>
      <c r="DO70" s="19">
        <v>1441196</v>
      </c>
      <c r="DP70" s="19">
        <v>35078</v>
      </c>
      <c r="DQ70" s="19">
        <v>10627653</v>
      </c>
      <c r="DR70" s="19">
        <v>6</v>
      </c>
      <c r="DS70" s="19">
        <v>2809320</v>
      </c>
      <c r="DT70" s="19">
        <v>19532359</v>
      </c>
      <c r="DU70" s="19">
        <v>0</v>
      </c>
      <c r="DV70" s="19" t="s">
        <v>89</v>
      </c>
      <c r="DW70" s="19">
        <v>460542</v>
      </c>
      <c r="DX70" s="19">
        <v>100000</v>
      </c>
      <c r="DY70" s="19">
        <v>69729335</v>
      </c>
      <c r="DZ70" s="19">
        <v>11474358</v>
      </c>
      <c r="EA70" s="19">
        <v>1511721</v>
      </c>
      <c r="EB70" s="19">
        <v>2112497</v>
      </c>
    </row>
    <row r="71" spans="1:132">
      <c r="A71" s="9" t="s">
        <v>86</v>
      </c>
      <c r="B71" s="15" t="s">
        <v>60</v>
      </c>
      <c r="C71" s="19"/>
      <c r="D71" s="19"/>
      <c r="E71" s="19">
        <v>10386230</v>
      </c>
      <c r="F71" s="19">
        <v>474986</v>
      </c>
      <c r="G71" s="19">
        <v>2487176</v>
      </c>
      <c r="H71" s="19"/>
      <c r="I71" s="19">
        <v>43585870</v>
      </c>
      <c r="J71" s="19" t="s">
        <v>89</v>
      </c>
      <c r="K71" s="19">
        <v>807499</v>
      </c>
      <c r="L71" s="19">
        <v>5430255</v>
      </c>
      <c r="M71" s="19">
        <v>61637666</v>
      </c>
      <c r="N71" s="19"/>
      <c r="O71" s="19">
        <v>38895598</v>
      </c>
      <c r="P71" s="19">
        <v>438384</v>
      </c>
      <c r="Q71" s="19">
        <v>602975</v>
      </c>
      <c r="R71" s="19">
        <v>4368502</v>
      </c>
      <c r="S71" s="19">
        <v>39163301</v>
      </c>
      <c r="T71" s="19">
        <v>433853</v>
      </c>
      <c r="U71" s="19">
        <v>634729</v>
      </c>
      <c r="V71" s="19">
        <v>3864840</v>
      </c>
      <c r="W71" s="19">
        <v>8594920</v>
      </c>
      <c r="X71" s="19">
        <v>89794908</v>
      </c>
      <c r="Y71" s="19"/>
      <c r="Z71" s="19">
        <v>18170374</v>
      </c>
      <c r="AA71" s="19">
        <v>68080350</v>
      </c>
      <c r="AB71" s="19"/>
      <c r="AC71" s="19"/>
      <c r="AD71" s="19">
        <v>18531699</v>
      </c>
      <c r="AE71" s="19">
        <v>4031701</v>
      </c>
      <c r="AF71" s="19"/>
      <c r="AG71" s="19">
        <v>61637666</v>
      </c>
      <c r="AH71" s="19"/>
      <c r="AI71" s="19">
        <v>3963328</v>
      </c>
      <c r="AJ71" s="19">
        <v>5352176</v>
      </c>
      <c r="AK71" s="19">
        <v>26911763</v>
      </c>
      <c r="AL71" s="19">
        <v>2227576</v>
      </c>
      <c r="AM71" s="19">
        <v>52322868</v>
      </c>
      <c r="AN71" s="19"/>
      <c r="AO71" s="19"/>
      <c r="AP71" s="19">
        <v>389084</v>
      </c>
      <c r="AQ71" s="19">
        <v>1057898</v>
      </c>
      <c r="AR71" s="19">
        <v>3761096</v>
      </c>
      <c r="AS71" s="19"/>
      <c r="AT71" s="19">
        <v>62370939</v>
      </c>
      <c r="AU71" s="19">
        <v>17804675</v>
      </c>
      <c r="AV71" s="19"/>
      <c r="AW71" s="19">
        <v>11069039</v>
      </c>
      <c r="AX71" s="19">
        <v>18210855</v>
      </c>
      <c r="AY71" s="19">
        <v>7515112</v>
      </c>
      <c r="AZ71" s="19">
        <v>2572178</v>
      </c>
      <c r="BA71" s="19">
        <v>17976184</v>
      </c>
      <c r="BB71" s="19"/>
      <c r="BC71" s="19">
        <v>29982558</v>
      </c>
      <c r="BD71" s="19"/>
      <c r="BE71" s="19">
        <v>17614904</v>
      </c>
      <c r="BF71" s="19">
        <v>62683561</v>
      </c>
      <c r="BG71" s="19">
        <v>3963740</v>
      </c>
      <c r="BH71" s="19">
        <v>6000000</v>
      </c>
      <c r="BI71" s="19"/>
      <c r="BJ71" s="19"/>
      <c r="BK71" s="19">
        <v>9035604</v>
      </c>
      <c r="BL71" s="19">
        <v>871933</v>
      </c>
      <c r="BM71" s="19">
        <v>1658850</v>
      </c>
      <c r="BN71" s="19"/>
      <c r="BO71" s="19">
        <v>4218297</v>
      </c>
      <c r="BP71" s="19">
        <v>928275</v>
      </c>
      <c r="BQ71" s="19">
        <v>793640</v>
      </c>
      <c r="BR71" s="19"/>
      <c r="BS71" s="19"/>
      <c r="BT71" s="19">
        <v>243808</v>
      </c>
      <c r="BU71" s="19">
        <v>3938848</v>
      </c>
      <c r="BV71" s="19">
        <v>8016629</v>
      </c>
      <c r="BW71" s="19"/>
      <c r="BX71" s="19">
        <v>717253</v>
      </c>
      <c r="BY71" s="19">
        <v>23431803</v>
      </c>
      <c r="BZ71" s="19"/>
      <c r="CA71" s="19">
        <v>5654384</v>
      </c>
      <c r="CB71" s="19">
        <v>3312896</v>
      </c>
      <c r="CC71" s="19"/>
      <c r="CD71" s="19">
        <v>935206</v>
      </c>
      <c r="CE71" s="19">
        <v>5179432</v>
      </c>
      <c r="CF71" s="19" t="s">
        <v>127</v>
      </c>
      <c r="CG71" s="19"/>
      <c r="CH71" s="19"/>
      <c r="CI71" s="19">
        <v>42205237</v>
      </c>
      <c r="CJ71" s="19">
        <v>10338296</v>
      </c>
      <c r="CK71" s="19">
        <v>70226748</v>
      </c>
      <c r="CL71" s="19">
        <v>13501010</v>
      </c>
      <c r="CM71" s="19"/>
      <c r="CN71" s="19">
        <v>826893</v>
      </c>
      <c r="CO71" s="19"/>
      <c r="CP71" s="19">
        <v>12442372</v>
      </c>
      <c r="CQ71" s="19" t="s">
        <v>96</v>
      </c>
      <c r="CR71" s="19">
        <v>584970</v>
      </c>
      <c r="CS71" s="19">
        <v>9170622</v>
      </c>
      <c r="CT71" s="19">
        <v>3501130</v>
      </c>
      <c r="CU71" s="19"/>
      <c r="CV71" s="19" t="s">
        <v>89</v>
      </c>
      <c r="CW71" s="19">
        <v>1671235</v>
      </c>
      <c r="CX71" s="19">
        <v>28228</v>
      </c>
      <c r="CY71" s="19">
        <v>3436796</v>
      </c>
      <c r="CZ71" s="19">
        <v>1000222</v>
      </c>
      <c r="DA71" s="19"/>
      <c r="DB71" s="19">
        <v>8235089</v>
      </c>
      <c r="DC71" s="19"/>
      <c r="DD71" s="19">
        <v>840018</v>
      </c>
      <c r="DE71" s="19">
        <v>1866</v>
      </c>
      <c r="DF71" s="19">
        <v>303073</v>
      </c>
      <c r="DG71" s="19">
        <v>38645</v>
      </c>
      <c r="DH71" s="19">
        <v>2571380</v>
      </c>
      <c r="DI71" s="19">
        <v>55261265</v>
      </c>
      <c r="DJ71" s="19"/>
      <c r="DK71" s="19">
        <v>2971780</v>
      </c>
      <c r="DL71" s="19">
        <v>1524212</v>
      </c>
      <c r="DM71" s="19">
        <v>7352934</v>
      </c>
      <c r="DN71" s="19"/>
      <c r="DO71" s="19">
        <v>1044169</v>
      </c>
      <c r="DP71" s="19"/>
      <c r="DQ71" s="19">
        <v>10405762</v>
      </c>
      <c r="DR71" s="19"/>
      <c r="DS71" s="19">
        <v>2809320</v>
      </c>
      <c r="DT71" s="19">
        <v>2898222</v>
      </c>
      <c r="DU71" s="19"/>
      <c r="DV71" s="19" t="s">
        <v>89</v>
      </c>
      <c r="DW71" s="19"/>
      <c r="DX71" s="19"/>
      <c r="DY71" s="19">
        <v>2954921</v>
      </c>
      <c r="DZ71" s="19">
        <v>6045228</v>
      </c>
      <c r="EA71" s="19">
        <v>1511688</v>
      </c>
      <c r="EB71" s="19">
        <v>1429626</v>
      </c>
    </row>
    <row r="72" spans="1:132">
      <c r="A72" s="9" t="s">
        <v>86</v>
      </c>
      <c r="B72" s="15" t="s">
        <v>29</v>
      </c>
      <c r="C72" s="19">
        <v>1400000</v>
      </c>
      <c r="D72" s="19"/>
      <c r="E72" s="19">
        <v>3382950</v>
      </c>
      <c r="F72" s="19">
        <v>25500000</v>
      </c>
      <c r="G72" s="19">
        <v>17398000</v>
      </c>
      <c r="H72" s="19"/>
      <c r="I72" s="19">
        <v>46366360</v>
      </c>
      <c r="J72" s="19" t="s">
        <v>89</v>
      </c>
      <c r="K72" s="19"/>
      <c r="L72" s="19"/>
      <c r="M72" s="19">
        <v>100000</v>
      </c>
      <c r="N72" s="19"/>
      <c r="O72" s="19">
        <v>200000</v>
      </c>
      <c r="P72" s="19"/>
      <c r="Q72" s="19"/>
      <c r="R72" s="19"/>
      <c r="S72" s="19">
        <v>26912400</v>
      </c>
      <c r="T72" s="19"/>
      <c r="U72" s="19"/>
      <c r="V72" s="19"/>
      <c r="W72" s="19">
        <v>3000000</v>
      </c>
      <c r="X72" s="19">
        <v>24500000</v>
      </c>
      <c r="Y72" s="19"/>
      <c r="Z72" s="19">
        <v>500000</v>
      </c>
      <c r="AA72" s="19">
        <v>3000000</v>
      </c>
      <c r="AB72" s="19">
        <v>1801000</v>
      </c>
      <c r="AC72" s="19">
        <v>7480000</v>
      </c>
      <c r="AD72" s="19">
        <v>13007809</v>
      </c>
      <c r="AE72" s="19">
        <v>1130000</v>
      </c>
      <c r="AF72" s="19"/>
      <c r="AG72" s="19">
        <v>100000</v>
      </c>
      <c r="AH72" s="19"/>
      <c r="AI72" s="19">
        <v>3955000</v>
      </c>
      <c r="AJ72" s="19">
        <v>14750155</v>
      </c>
      <c r="AK72" s="19">
        <v>1200000</v>
      </c>
      <c r="AL72" s="19">
        <v>1928022</v>
      </c>
      <c r="AM72" s="19">
        <v>31377618</v>
      </c>
      <c r="AN72" s="19">
        <v>230000</v>
      </c>
      <c r="AO72" s="19"/>
      <c r="AP72" s="19"/>
      <c r="AQ72" s="19"/>
      <c r="AR72" s="19">
        <v>167000</v>
      </c>
      <c r="AS72" s="19"/>
      <c r="AT72" s="19"/>
      <c r="AU72" s="19">
        <v>150000</v>
      </c>
      <c r="AV72" s="19"/>
      <c r="AW72" s="19"/>
      <c r="AX72" s="19"/>
      <c r="AY72" s="19"/>
      <c r="AZ72" s="19"/>
      <c r="BA72" s="19">
        <v>6220000</v>
      </c>
      <c r="BB72" s="19">
        <v>400000</v>
      </c>
      <c r="BC72" s="19">
        <v>2500000</v>
      </c>
      <c r="BD72" s="19"/>
      <c r="BE72" s="19">
        <v>26595000</v>
      </c>
      <c r="BF72" s="19"/>
      <c r="BG72" s="19">
        <v>5424330</v>
      </c>
      <c r="BH72" s="19">
        <v>16547050</v>
      </c>
      <c r="BI72" s="19"/>
      <c r="BJ72" s="19"/>
      <c r="BK72" s="19"/>
      <c r="BL72" s="19">
        <v>30000</v>
      </c>
      <c r="BM72" s="19">
        <v>9485000</v>
      </c>
      <c r="BN72" s="19"/>
      <c r="BO72" s="19">
        <v>3099800</v>
      </c>
      <c r="BP72" s="19">
        <v>340000</v>
      </c>
      <c r="BQ72" s="19"/>
      <c r="BR72" s="19">
        <v>643500</v>
      </c>
      <c r="BS72" s="19"/>
      <c r="BT72" s="19"/>
      <c r="BU72" s="19"/>
      <c r="BV72" s="19"/>
      <c r="BW72" s="19"/>
      <c r="BX72" s="19"/>
      <c r="BY72" s="19"/>
      <c r="BZ72" s="19">
        <v>89225520</v>
      </c>
      <c r="CA72" s="19"/>
      <c r="CB72" s="19">
        <v>1610000</v>
      </c>
      <c r="CC72" s="19"/>
      <c r="CD72" s="19">
        <v>360000</v>
      </c>
      <c r="CE72" s="19">
        <v>600500</v>
      </c>
      <c r="CF72" s="19" t="s">
        <v>127</v>
      </c>
      <c r="CG72" s="19"/>
      <c r="CH72" s="19"/>
      <c r="CI72" s="19">
        <v>15922000</v>
      </c>
      <c r="CJ72" s="19"/>
      <c r="CK72" s="19">
        <v>600000</v>
      </c>
      <c r="CL72" s="19">
        <v>50000</v>
      </c>
      <c r="CM72" s="19">
        <v>7696881</v>
      </c>
      <c r="CN72" s="19"/>
      <c r="CO72" s="19"/>
      <c r="CP72" s="19"/>
      <c r="CQ72" s="19" t="s">
        <v>96</v>
      </c>
      <c r="CR72" s="19">
        <v>10570000</v>
      </c>
      <c r="CS72" s="19">
        <v>625733</v>
      </c>
      <c r="CT72" s="19"/>
      <c r="CU72" s="19"/>
      <c r="CV72" s="19" t="s">
        <v>89</v>
      </c>
      <c r="CW72" s="19">
        <v>100000</v>
      </c>
      <c r="CX72" s="19"/>
      <c r="CY72" s="19">
        <v>253105000</v>
      </c>
      <c r="CZ72" s="19">
        <v>2326000</v>
      </c>
      <c r="DA72" s="19"/>
      <c r="DB72" s="19">
        <v>6281000</v>
      </c>
      <c r="DC72" s="19"/>
      <c r="DD72" s="19"/>
      <c r="DE72" s="19"/>
      <c r="DF72" s="19"/>
      <c r="DG72" s="19">
        <v>300000</v>
      </c>
      <c r="DH72" s="19">
        <v>300000</v>
      </c>
      <c r="DI72" s="19">
        <v>12945000</v>
      </c>
      <c r="DJ72" s="19">
        <v>1280000</v>
      </c>
      <c r="DK72" s="19">
        <v>530000</v>
      </c>
      <c r="DL72" s="19">
        <v>4400000</v>
      </c>
      <c r="DM72" s="19">
        <v>28719600</v>
      </c>
      <c r="DN72" s="19"/>
      <c r="DO72" s="19">
        <v>350000</v>
      </c>
      <c r="DP72" s="19"/>
      <c r="DQ72" s="19"/>
      <c r="DR72" s="19"/>
      <c r="DS72" s="19"/>
      <c r="DT72" s="19">
        <v>16600000</v>
      </c>
      <c r="DU72" s="19"/>
      <c r="DV72" s="19" t="s">
        <v>89</v>
      </c>
      <c r="DW72" s="19">
        <v>90000</v>
      </c>
      <c r="DX72" s="19">
        <v>100000</v>
      </c>
      <c r="DY72" s="19">
        <v>38737272</v>
      </c>
      <c r="DZ72" s="19">
        <v>5000000</v>
      </c>
      <c r="EA72" s="19"/>
      <c r="EB72" s="19"/>
    </row>
    <row r="73" spans="1:132">
      <c r="A73" s="9" t="s">
        <v>86</v>
      </c>
      <c r="B73" s="15" t="s">
        <v>57</v>
      </c>
      <c r="C73" s="19"/>
      <c r="D73" s="19"/>
      <c r="E73" s="19"/>
      <c r="F73" s="19">
        <v>1551775</v>
      </c>
      <c r="G73" s="19">
        <v>9746</v>
      </c>
      <c r="H73" s="19"/>
      <c r="I73" s="19"/>
      <c r="J73" s="19" t="s">
        <v>89</v>
      </c>
      <c r="K73" s="19">
        <v>18515188</v>
      </c>
      <c r="L73" s="19"/>
      <c r="M73" s="19">
        <v>77000</v>
      </c>
      <c r="N73" s="19"/>
      <c r="O73" s="19"/>
      <c r="P73" s="19">
        <v>306674</v>
      </c>
      <c r="Q73" s="19"/>
      <c r="R73" s="19"/>
      <c r="S73" s="19"/>
      <c r="T73" s="19"/>
      <c r="U73" s="19"/>
      <c r="V73" s="19">
        <v>819750</v>
      </c>
      <c r="W73" s="19"/>
      <c r="X73" s="19"/>
      <c r="Y73" s="19"/>
      <c r="Z73" s="19">
        <v>4072728</v>
      </c>
      <c r="AA73" s="19">
        <v>29931</v>
      </c>
      <c r="AB73" s="19"/>
      <c r="AC73" s="19">
        <v>587617</v>
      </c>
      <c r="AD73" s="19">
        <v>1697036</v>
      </c>
      <c r="AE73" s="19"/>
      <c r="AF73" s="19"/>
      <c r="AG73" s="19">
        <v>77000</v>
      </c>
      <c r="AH73" s="19"/>
      <c r="AI73" s="19"/>
      <c r="AJ73" s="19"/>
      <c r="AK73" s="19">
        <v>29094739</v>
      </c>
      <c r="AL73" s="19"/>
      <c r="AM73" s="19">
        <v>149719375</v>
      </c>
      <c r="AN73" s="19"/>
      <c r="AO73" s="19"/>
      <c r="AP73" s="19"/>
      <c r="AQ73" s="19"/>
      <c r="AR73" s="19"/>
      <c r="AS73" s="19"/>
      <c r="AT73" s="19"/>
      <c r="AU73" s="19"/>
      <c r="AV73" s="19"/>
      <c r="AW73" s="19"/>
      <c r="AX73" s="19"/>
      <c r="AY73" s="19"/>
      <c r="AZ73" s="19"/>
      <c r="BA73" s="19"/>
      <c r="BB73" s="19"/>
      <c r="BC73" s="19">
        <v>4750000</v>
      </c>
      <c r="BD73" s="19"/>
      <c r="BE73" s="19"/>
      <c r="BF73" s="19"/>
      <c r="BG73" s="19"/>
      <c r="BH73" s="19">
        <v>441561</v>
      </c>
      <c r="BI73" s="19"/>
      <c r="BJ73" s="19"/>
      <c r="BK73" s="19"/>
      <c r="BL73" s="19">
        <v>1392760</v>
      </c>
      <c r="BM73" s="19"/>
      <c r="BN73" s="19"/>
      <c r="BO73" s="19"/>
      <c r="BP73" s="19"/>
      <c r="BQ73" s="19"/>
      <c r="BR73" s="19"/>
      <c r="BS73" s="19"/>
      <c r="BT73" s="19"/>
      <c r="BU73" s="19"/>
      <c r="BV73" s="19"/>
      <c r="BW73" s="19"/>
      <c r="BX73" s="19"/>
      <c r="BY73" s="19"/>
      <c r="BZ73" s="19"/>
      <c r="CA73" s="19"/>
      <c r="CB73" s="19"/>
      <c r="CC73" s="19"/>
      <c r="CD73" s="19"/>
      <c r="CE73" s="19"/>
      <c r="CF73" s="19" t="s">
        <v>127</v>
      </c>
      <c r="CG73" s="19"/>
      <c r="CH73" s="19"/>
      <c r="CI73" s="19"/>
      <c r="CJ73" s="19"/>
      <c r="CK73" s="19">
        <v>128930</v>
      </c>
      <c r="CL73" s="19"/>
      <c r="CM73" s="19"/>
      <c r="CN73" s="19"/>
      <c r="CO73" s="19"/>
      <c r="CP73" s="19">
        <v>237500</v>
      </c>
      <c r="CQ73" s="19" t="s">
        <v>96</v>
      </c>
      <c r="CR73" s="19">
        <v>227108</v>
      </c>
      <c r="CS73" s="19"/>
      <c r="CT73" s="19"/>
      <c r="CU73" s="19"/>
      <c r="CV73" s="19" t="s">
        <v>89</v>
      </c>
      <c r="CW73" s="19">
        <v>119486</v>
      </c>
      <c r="CX73" s="19"/>
      <c r="CY73" s="19"/>
      <c r="CZ73" s="19"/>
      <c r="DA73" s="19"/>
      <c r="DB73" s="19"/>
      <c r="DC73" s="19"/>
      <c r="DD73" s="19"/>
      <c r="DE73" s="19"/>
      <c r="DF73" s="19"/>
      <c r="DG73" s="19"/>
      <c r="DH73" s="19"/>
      <c r="DI73" s="19"/>
      <c r="DJ73" s="19"/>
      <c r="DK73" s="19"/>
      <c r="DL73" s="19"/>
      <c r="DM73" s="19"/>
      <c r="DN73" s="19"/>
      <c r="DO73" s="19"/>
      <c r="DP73" s="19"/>
      <c r="DQ73" s="19"/>
      <c r="DR73" s="19"/>
      <c r="DS73" s="19"/>
      <c r="DT73" s="19"/>
      <c r="DU73" s="19"/>
      <c r="DV73" s="19" t="s">
        <v>89</v>
      </c>
      <c r="DW73" s="19"/>
      <c r="DX73" s="19"/>
      <c r="DY73" s="19">
        <v>7864100</v>
      </c>
      <c r="DZ73" s="19"/>
      <c r="EA73" s="19"/>
      <c r="EB73" s="19"/>
    </row>
    <row r="74" spans="1:132">
      <c r="A74" s="9" t="s">
        <v>86</v>
      </c>
      <c r="B74" s="15" t="s">
        <v>9</v>
      </c>
      <c r="C74" s="19">
        <v>1800</v>
      </c>
      <c r="D74" s="19"/>
      <c r="E74" s="19">
        <v>292</v>
      </c>
      <c r="F74" s="19">
        <v>29920</v>
      </c>
      <c r="G74" s="19"/>
      <c r="H74" s="19"/>
      <c r="I74" s="19"/>
      <c r="J74" s="19" t="s">
        <v>89</v>
      </c>
      <c r="K74" s="19">
        <v>2259673</v>
      </c>
      <c r="L74" s="19">
        <v>314398</v>
      </c>
      <c r="M74" s="19">
        <v>138616</v>
      </c>
      <c r="N74" s="19">
        <v>7533251</v>
      </c>
      <c r="O74" s="19">
        <v>1710000</v>
      </c>
      <c r="P74" s="19">
        <v>2220201</v>
      </c>
      <c r="Q74" s="19">
        <v>8215</v>
      </c>
      <c r="R74" s="19">
        <v>107523</v>
      </c>
      <c r="S74" s="19">
        <v>1977561</v>
      </c>
      <c r="T74" s="19"/>
      <c r="U74" s="19">
        <v>6329</v>
      </c>
      <c r="V74" s="19">
        <v>754697</v>
      </c>
      <c r="W74" s="19">
        <v>973900</v>
      </c>
      <c r="X74" s="19">
        <v>4834334</v>
      </c>
      <c r="Y74" s="19">
        <v>5419264</v>
      </c>
      <c r="Z74" s="19">
        <v>28510</v>
      </c>
      <c r="AA74" s="19"/>
      <c r="AB74" s="19">
        <v>254895</v>
      </c>
      <c r="AC74" s="19">
        <v>6387896</v>
      </c>
      <c r="AD74" s="19">
        <v>1336765</v>
      </c>
      <c r="AE74" s="19">
        <v>300319</v>
      </c>
      <c r="AF74" s="19"/>
      <c r="AG74" s="19">
        <v>138616</v>
      </c>
      <c r="AH74" s="19">
        <v>1809928</v>
      </c>
      <c r="AI74" s="19">
        <v>489766</v>
      </c>
      <c r="AJ74" s="19">
        <v>7487474</v>
      </c>
      <c r="AK74" s="19">
        <v>14008</v>
      </c>
      <c r="AL74" s="19">
        <v>20145</v>
      </c>
      <c r="AM74" s="19">
        <v>13646338</v>
      </c>
      <c r="AN74" s="19">
        <v>30</v>
      </c>
      <c r="AO74" s="19"/>
      <c r="AP74" s="19">
        <v>858780</v>
      </c>
      <c r="AQ74" s="19"/>
      <c r="AR74" s="19">
        <v>1</v>
      </c>
      <c r="AS74" s="19"/>
      <c r="AT74" s="19">
        <v>6226706</v>
      </c>
      <c r="AU74" s="19">
        <v>4269115</v>
      </c>
      <c r="AV74" s="19">
        <v>28284</v>
      </c>
      <c r="AW74" s="19">
        <v>755957</v>
      </c>
      <c r="AX74" s="19"/>
      <c r="AY74" s="19"/>
      <c r="AZ74" s="19">
        <v>1119</v>
      </c>
      <c r="BA74" s="19">
        <v>560833</v>
      </c>
      <c r="BB74" s="19">
        <v>41</v>
      </c>
      <c r="BC74" s="19">
        <v>500766</v>
      </c>
      <c r="BD74" s="19">
        <v>796</v>
      </c>
      <c r="BE74" s="19">
        <v>1739528</v>
      </c>
      <c r="BF74" s="19">
        <v>135027</v>
      </c>
      <c r="BG74" s="19">
        <v>59430</v>
      </c>
      <c r="BH74" s="19">
        <v>2462921</v>
      </c>
      <c r="BI74" s="19">
        <v>2866050</v>
      </c>
      <c r="BJ74" s="19">
        <v>1002690</v>
      </c>
      <c r="BK74" s="19">
        <v>77065</v>
      </c>
      <c r="BL74" s="19"/>
      <c r="BM74" s="19">
        <v>106</v>
      </c>
      <c r="BN74" s="19">
        <v>23931</v>
      </c>
      <c r="BO74" s="19">
        <v>1152</v>
      </c>
      <c r="BP74" s="19">
        <v>349</v>
      </c>
      <c r="BQ74" s="19">
        <v>2383</v>
      </c>
      <c r="BR74" s="19">
        <v>6</v>
      </c>
      <c r="BS74" s="19">
        <v>1048000</v>
      </c>
      <c r="BT74" s="19">
        <v>21011</v>
      </c>
      <c r="BU74" s="19">
        <v>117437</v>
      </c>
      <c r="BV74" s="19">
        <v>190783</v>
      </c>
      <c r="BW74" s="19">
        <v>1</v>
      </c>
      <c r="BX74" s="19">
        <v>300562</v>
      </c>
      <c r="BY74" s="19">
        <v>800546</v>
      </c>
      <c r="BZ74" s="19">
        <v>8</v>
      </c>
      <c r="CA74" s="19">
        <v>67691</v>
      </c>
      <c r="CB74" s="19">
        <v>971010</v>
      </c>
      <c r="CC74" s="19">
        <v>10544</v>
      </c>
      <c r="CD74" s="19">
        <v>272070</v>
      </c>
      <c r="CE74" s="19">
        <v>11</v>
      </c>
      <c r="CF74" s="19" t="s">
        <v>127</v>
      </c>
      <c r="CG74" s="19"/>
      <c r="CH74" s="19">
        <v>677268</v>
      </c>
      <c r="CI74" s="19">
        <v>2031008</v>
      </c>
      <c r="CJ74" s="19">
        <v>56560</v>
      </c>
      <c r="CK74" s="19">
        <v>2101896</v>
      </c>
      <c r="CL74" s="19">
        <v>1355932</v>
      </c>
      <c r="CM74" s="19">
        <v>510000</v>
      </c>
      <c r="CN74" s="19">
        <v>662891</v>
      </c>
      <c r="CO74" s="19"/>
      <c r="CP74" s="19">
        <v>3423441</v>
      </c>
      <c r="CQ74" s="19" t="s">
        <v>96</v>
      </c>
      <c r="CR74" s="19">
        <v>294148</v>
      </c>
      <c r="CS74" s="19"/>
      <c r="CT74" s="19">
        <v>5046214</v>
      </c>
      <c r="CU74" s="19"/>
      <c r="CV74" s="19" t="s">
        <v>89</v>
      </c>
      <c r="CW74" s="19">
        <v>849139</v>
      </c>
      <c r="CX74" s="19">
        <v>1912769</v>
      </c>
      <c r="CY74" s="19">
        <v>165600</v>
      </c>
      <c r="CZ74" s="19">
        <v>288</v>
      </c>
      <c r="DA74" s="19"/>
      <c r="DB74" s="19"/>
      <c r="DC74" s="19">
        <v>12</v>
      </c>
      <c r="DD74" s="19"/>
      <c r="DE74" s="19">
        <v>417</v>
      </c>
      <c r="DF74" s="19">
        <v>13</v>
      </c>
      <c r="DG74" s="19">
        <v>121969</v>
      </c>
      <c r="DH74" s="19">
        <v>240616</v>
      </c>
      <c r="DI74" s="19">
        <v>1207183</v>
      </c>
      <c r="DJ74" s="19">
        <v>359</v>
      </c>
      <c r="DK74" s="19">
        <v>304490</v>
      </c>
      <c r="DL74" s="19">
        <v>245</v>
      </c>
      <c r="DM74" s="19">
        <v>358389</v>
      </c>
      <c r="DN74" s="19"/>
      <c r="DO74" s="19">
        <v>47027</v>
      </c>
      <c r="DP74" s="19">
        <v>35078</v>
      </c>
      <c r="DQ74" s="19">
        <v>221891</v>
      </c>
      <c r="DR74" s="19">
        <v>6</v>
      </c>
      <c r="DS74" s="19"/>
      <c r="DT74" s="19">
        <v>34137</v>
      </c>
      <c r="DU74" s="19"/>
      <c r="DV74" s="19" t="s">
        <v>89</v>
      </c>
      <c r="DW74" s="19">
        <v>370542</v>
      </c>
      <c r="DX74" s="19"/>
      <c r="DY74" s="19">
        <v>20173042</v>
      </c>
      <c r="DZ74" s="19">
        <v>429130</v>
      </c>
      <c r="EA74" s="19">
        <v>33</v>
      </c>
      <c r="EB74" s="19">
        <v>682871</v>
      </c>
    </row>
    <row r="75" spans="1:132">
      <c r="A75" s="9" t="s">
        <v>86</v>
      </c>
      <c r="B75" s="15" t="s">
        <v>43</v>
      </c>
      <c r="C75" s="19"/>
      <c r="D75" s="19">
        <v>21079340</v>
      </c>
      <c r="E75" s="19"/>
      <c r="F75" s="19"/>
      <c r="G75" s="19"/>
      <c r="H75" s="19"/>
      <c r="I75" s="19"/>
      <c r="J75" s="19" t="s">
        <v>89</v>
      </c>
      <c r="K75" s="19"/>
      <c r="L75" s="19">
        <v>37044</v>
      </c>
      <c r="M75" s="19">
        <v>54025469</v>
      </c>
      <c r="N75" s="19">
        <v>1300000</v>
      </c>
      <c r="O75" s="19">
        <v>84451306</v>
      </c>
      <c r="P75" s="19">
        <v>115994997</v>
      </c>
      <c r="Q75" s="19">
        <v>57466</v>
      </c>
      <c r="R75" s="19"/>
      <c r="S75" s="19"/>
      <c r="T75" s="19"/>
      <c r="U75" s="19"/>
      <c r="V75" s="19"/>
      <c r="W75" s="19">
        <v>18059482</v>
      </c>
      <c r="X75" s="19"/>
      <c r="Y75" s="19"/>
      <c r="Z75" s="19"/>
      <c r="AA75" s="19"/>
      <c r="AB75" s="19"/>
      <c r="AC75" s="19"/>
      <c r="AD75" s="19"/>
      <c r="AE75" s="19"/>
      <c r="AF75" s="19"/>
      <c r="AG75" s="19">
        <v>54025469</v>
      </c>
      <c r="AH75" s="19">
        <v>3608573</v>
      </c>
      <c r="AI75" s="19"/>
      <c r="AJ75" s="19">
        <v>319961</v>
      </c>
      <c r="AK75" s="19"/>
      <c r="AL75" s="19"/>
      <c r="AM75" s="19">
        <v>354230938</v>
      </c>
      <c r="AN75" s="19"/>
      <c r="AO75" s="19"/>
      <c r="AP75" s="19">
        <v>81575001</v>
      </c>
      <c r="AQ75" s="19">
        <v>240540</v>
      </c>
      <c r="AR75" s="19"/>
      <c r="AS75" s="19"/>
      <c r="AT75" s="19"/>
      <c r="AU75" s="19"/>
      <c r="AV75" s="19"/>
      <c r="AW75" s="19">
        <v>278980</v>
      </c>
      <c r="AX75" s="19"/>
      <c r="AY75" s="19">
        <v>77000000</v>
      </c>
      <c r="AZ75" s="19">
        <v>20918728</v>
      </c>
      <c r="BA75" s="19"/>
      <c r="BB75" s="19"/>
      <c r="BC75" s="19">
        <v>1791790</v>
      </c>
      <c r="BD75" s="19"/>
      <c r="BE75" s="19"/>
      <c r="BF75" s="19"/>
      <c r="BG75" s="19">
        <v>7804315</v>
      </c>
      <c r="BH75" s="19">
        <v>10991074</v>
      </c>
      <c r="BI75" s="19"/>
      <c r="BJ75" s="19"/>
      <c r="BK75" s="19">
        <v>41085</v>
      </c>
      <c r="BL75" s="19"/>
      <c r="BM75" s="19">
        <v>115016460</v>
      </c>
      <c r="BN75" s="19">
        <v>2000000</v>
      </c>
      <c r="BO75" s="19"/>
      <c r="BP75" s="19"/>
      <c r="BQ75" s="19">
        <v>22873037</v>
      </c>
      <c r="BR75" s="19"/>
      <c r="BS75" s="19"/>
      <c r="BT75" s="19">
        <v>25363955</v>
      </c>
      <c r="BU75" s="19">
        <v>141900</v>
      </c>
      <c r="BV75" s="19"/>
      <c r="BW75" s="19"/>
      <c r="BX75" s="19"/>
      <c r="BY75" s="19"/>
      <c r="BZ75" s="19"/>
      <c r="CA75" s="19"/>
      <c r="CB75" s="19"/>
      <c r="CC75" s="19"/>
      <c r="CD75" s="19"/>
      <c r="CE75" s="19"/>
      <c r="CF75" s="19" t="s">
        <v>127</v>
      </c>
      <c r="CG75" s="19">
        <v>7101918</v>
      </c>
      <c r="CH75" s="19">
        <v>77899</v>
      </c>
      <c r="CI75" s="19"/>
      <c r="CJ75" s="19"/>
      <c r="CK75" s="19"/>
      <c r="CL75" s="19"/>
      <c r="CM75" s="19">
        <v>39828000</v>
      </c>
      <c r="CN75" s="19"/>
      <c r="CO75" s="19">
        <v>17209934</v>
      </c>
      <c r="CP75" s="19"/>
      <c r="CQ75" s="19" t="s">
        <v>96</v>
      </c>
      <c r="CR75" s="19"/>
      <c r="CS75" s="19"/>
      <c r="CT75" s="19">
        <v>65015588</v>
      </c>
      <c r="CU75" s="19"/>
      <c r="CV75" s="19" t="s">
        <v>89</v>
      </c>
      <c r="CW75" s="19"/>
      <c r="CX75" s="19"/>
      <c r="CY75" s="19">
        <v>770169</v>
      </c>
      <c r="CZ75" s="19"/>
      <c r="DA75" s="19"/>
      <c r="DB75" s="19"/>
      <c r="DC75" s="19"/>
      <c r="DD75" s="19"/>
      <c r="DE75" s="19"/>
      <c r="DF75" s="19">
        <v>36408376</v>
      </c>
      <c r="DG75" s="19">
        <v>43254480</v>
      </c>
      <c r="DH75" s="19"/>
      <c r="DI75" s="19"/>
      <c r="DJ75" s="19">
        <v>766821</v>
      </c>
      <c r="DK75" s="19"/>
      <c r="DL75" s="19"/>
      <c r="DM75" s="19"/>
      <c r="DN75" s="19"/>
      <c r="DO75" s="19"/>
      <c r="DP75" s="19"/>
      <c r="DQ75" s="19"/>
      <c r="DR75" s="19"/>
      <c r="DS75" s="19"/>
      <c r="DT75" s="19"/>
      <c r="DU75" s="19"/>
      <c r="DV75" s="19" t="s">
        <v>89</v>
      </c>
      <c r="DW75" s="19"/>
      <c r="DX75" s="19"/>
      <c r="DY75" s="19"/>
      <c r="DZ75" s="19"/>
      <c r="EA75" s="19"/>
      <c r="EB75" s="19"/>
    </row>
    <row r="76" spans="1:132">
      <c r="A76" s="9" t="s">
        <v>86</v>
      </c>
      <c r="B76" s="10" t="s">
        <v>65</v>
      </c>
      <c r="C76" s="19">
        <v>60686841</v>
      </c>
      <c r="D76" s="19">
        <v>312280381</v>
      </c>
      <c r="E76" s="19">
        <v>64135691</v>
      </c>
      <c r="F76" s="19">
        <v>169471264</v>
      </c>
      <c r="G76" s="19">
        <v>1943209</v>
      </c>
      <c r="H76" s="19">
        <v>-113526265</v>
      </c>
      <c r="I76" s="19">
        <v>37467860</v>
      </c>
      <c r="J76" s="19" t="s">
        <v>89</v>
      </c>
      <c r="K76" s="19">
        <v>-71135222</v>
      </c>
      <c r="L76" s="19">
        <v>-133518521</v>
      </c>
      <c r="M76" s="19">
        <v>-454785769</v>
      </c>
      <c r="N76" s="19">
        <v>-156549595</v>
      </c>
      <c r="O76" s="19">
        <v>1829067</v>
      </c>
      <c r="P76" s="19">
        <v>127165457</v>
      </c>
      <c r="Q76" s="19">
        <v>-2673265</v>
      </c>
      <c r="R76" s="19">
        <v>-12075584</v>
      </c>
      <c r="S76" s="19">
        <v>79100311</v>
      </c>
      <c r="T76" s="19">
        <v>-60546965</v>
      </c>
      <c r="U76" s="19">
        <v>191848113</v>
      </c>
      <c r="V76" s="19">
        <v>-169031106</v>
      </c>
      <c r="W76" s="19">
        <v>5093307</v>
      </c>
      <c r="X76" s="19">
        <v>391106648</v>
      </c>
      <c r="Y76" s="19">
        <v>24664764</v>
      </c>
      <c r="Z76" s="19">
        <v>10316355</v>
      </c>
      <c r="AA76" s="19">
        <v>166395864</v>
      </c>
      <c r="AB76" s="19">
        <v>17254078</v>
      </c>
      <c r="AC76" s="19">
        <v>135646208</v>
      </c>
      <c r="AD76" s="19">
        <v>2238252</v>
      </c>
      <c r="AE76" s="19">
        <v>55700409</v>
      </c>
      <c r="AF76" s="19">
        <v>42429603</v>
      </c>
      <c r="AG76" s="19">
        <v>-453876805</v>
      </c>
      <c r="AH76" s="19">
        <v>-33552266</v>
      </c>
      <c r="AI76" s="19">
        <v>-7137378</v>
      </c>
      <c r="AJ76" s="19">
        <v>72213215</v>
      </c>
      <c r="AK76" s="19">
        <v>222824805</v>
      </c>
      <c r="AL76" s="19">
        <v>-119740035</v>
      </c>
      <c r="AM76" s="19">
        <v>-1398577100</v>
      </c>
      <c r="AN76" s="19">
        <v>10027834</v>
      </c>
      <c r="AO76" s="19">
        <v>-1408122073</v>
      </c>
      <c r="AP76" s="19">
        <v>-155780250</v>
      </c>
      <c r="AQ76" s="19">
        <v>1599127</v>
      </c>
      <c r="AR76" s="19">
        <v>7554234</v>
      </c>
      <c r="AS76" s="19">
        <v>-1506984145</v>
      </c>
      <c r="AT76" s="19">
        <v>55709783</v>
      </c>
      <c r="AU76" s="19">
        <v>-304097955</v>
      </c>
      <c r="AV76" s="19">
        <v>-15979738</v>
      </c>
      <c r="AW76" s="19">
        <v>1987473</v>
      </c>
      <c r="AX76" s="19">
        <v>-367984470</v>
      </c>
      <c r="AY76" s="19">
        <v>29524540</v>
      </c>
      <c r="AZ76" s="19">
        <v>9036734</v>
      </c>
      <c r="BA76" s="19">
        <v>-62482994</v>
      </c>
      <c r="BB76" s="19">
        <v>-35342439</v>
      </c>
      <c r="BC76" s="19">
        <v>110308532</v>
      </c>
      <c r="BD76" s="19">
        <v>29024940</v>
      </c>
      <c r="BE76" s="19">
        <v>10710411</v>
      </c>
      <c r="BF76" s="19">
        <v>9840814</v>
      </c>
      <c r="BG76" s="19">
        <v>-449204806</v>
      </c>
      <c r="BH76" s="19">
        <v>26922728</v>
      </c>
      <c r="BI76" s="19">
        <v>204948797</v>
      </c>
      <c r="BJ76" s="19">
        <v>3622184</v>
      </c>
      <c r="BK76" s="19">
        <v>23145322</v>
      </c>
      <c r="BL76" s="19">
        <v>21837644</v>
      </c>
      <c r="BM76" s="19">
        <v>68284204</v>
      </c>
      <c r="BN76" s="19">
        <v>8746418</v>
      </c>
      <c r="BO76" s="19">
        <v>24831872</v>
      </c>
      <c r="BP76" s="19">
        <v>-1724885</v>
      </c>
      <c r="BQ76" s="19">
        <v>15098902</v>
      </c>
      <c r="BR76" s="19">
        <v>22528698</v>
      </c>
      <c r="BS76" s="19">
        <v>-20519781</v>
      </c>
      <c r="BT76" s="19">
        <v>-18517308</v>
      </c>
      <c r="BU76" s="19">
        <v>-78170131</v>
      </c>
      <c r="BV76" s="19">
        <v>90274003</v>
      </c>
      <c r="BW76" s="19">
        <v>-17009571</v>
      </c>
      <c r="BX76" s="19">
        <v>4869913</v>
      </c>
      <c r="BY76" s="19">
        <v>-495284533</v>
      </c>
      <c r="BZ76" s="19">
        <v>18419247</v>
      </c>
      <c r="CA76" s="19">
        <v>1381481</v>
      </c>
      <c r="CB76" s="19">
        <v>16425203</v>
      </c>
      <c r="CC76" s="19">
        <v>-11599589</v>
      </c>
      <c r="CD76" s="19">
        <v>88559358</v>
      </c>
      <c r="CE76" s="19">
        <v>-39711224</v>
      </c>
      <c r="CF76" s="19" t="s">
        <v>127</v>
      </c>
      <c r="CG76" s="19">
        <v>3084363</v>
      </c>
      <c r="CH76" s="19">
        <v>12428163</v>
      </c>
      <c r="CI76" s="19">
        <v>153549976</v>
      </c>
      <c r="CJ76" s="19">
        <v>1191337</v>
      </c>
      <c r="CK76" s="19">
        <v>8180550</v>
      </c>
      <c r="CL76" s="19">
        <v>4214535</v>
      </c>
      <c r="CM76" s="19">
        <v>-258786</v>
      </c>
      <c r="CN76" s="19">
        <v>-204998184</v>
      </c>
      <c r="CO76" s="19">
        <v>17638467</v>
      </c>
      <c r="CP76" s="19">
        <v>80612815</v>
      </c>
      <c r="CQ76" s="19" t="s">
        <v>96</v>
      </c>
      <c r="CR76" s="19">
        <v>120513260</v>
      </c>
      <c r="CS76" s="19">
        <v>81586983</v>
      </c>
      <c r="CT76" s="19">
        <v>-577284008</v>
      </c>
      <c r="CU76" s="19">
        <v>85722542</v>
      </c>
      <c r="CV76" s="19" t="s">
        <v>89</v>
      </c>
      <c r="CW76" s="19">
        <v>40953753</v>
      </c>
      <c r="CX76" s="19">
        <v>-497515270</v>
      </c>
      <c r="CY76" s="19">
        <v>50773864</v>
      </c>
      <c r="CZ76" s="19">
        <v>18593527</v>
      </c>
      <c r="DA76" s="19">
        <v>20063036</v>
      </c>
      <c r="DB76" s="19">
        <v>131311443</v>
      </c>
      <c r="DC76" s="19">
        <v>-2349229</v>
      </c>
      <c r="DD76" s="19">
        <v>70906978</v>
      </c>
      <c r="DE76" s="19">
        <v>89456241</v>
      </c>
      <c r="DF76" s="19">
        <v>-17409828</v>
      </c>
      <c r="DG76" s="19">
        <v>61934423</v>
      </c>
      <c r="DH76" s="19">
        <v>-9788616</v>
      </c>
      <c r="DI76" s="19">
        <v>50176454</v>
      </c>
      <c r="DJ76" s="19">
        <v>4738552</v>
      </c>
      <c r="DK76" s="19">
        <v>31316608</v>
      </c>
      <c r="DL76" s="19">
        <v>7395017</v>
      </c>
      <c r="DM76" s="19">
        <v>36189361</v>
      </c>
      <c r="DN76" s="19">
        <v>64666672</v>
      </c>
      <c r="DO76" s="19">
        <v>4781000</v>
      </c>
      <c r="DP76" s="19">
        <v>109230131</v>
      </c>
      <c r="DQ76" s="19">
        <v>21795315</v>
      </c>
      <c r="DR76" s="19">
        <v>868426</v>
      </c>
      <c r="DS76" s="19">
        <v>-21396334</v>
      </c>
      <c r="DT76" s="19">
        <v>93164892</v>
      </c>
      <c r="DU76" s="19">
        <v>116754196</v>
      </c>
      <c r="DV76" s="19" t="s">
        <v>89</v>
      </c>
      <c r="DW76" s="19">
        <v>35581133</v>
      </c>
      <c r="DX76" s="19">
        <v>14992932</v>
      </c>
      <c r="DY76" s="19">
        <v>11000305</v>
      </c>
      <c r="DZ76" s="19">
        <v>111042861</v>
      </c>
      <c r="EA76" s="19">
        <v>4799079</v>
      </c>
      <c r="EB76" s="19">
        <v>60066453</v>
      </c>
    </row>
    <row r="77" spans="1:132">
      <c r="A77" s="9" t="s">
        <v>86</v>
      </c>
      <c r="B77" s="10" t="s">
        <v>101</v>
      </c>
      <c r="C77" s="19">
        <v>0</v>
      </c>
      <c r="D77" s="19">
        <v>0</v>
      </c>
      <c r="E77" s="19">
        <v>1089390</v>
      </c>
      <c r="F77" s="19">
        <v>16376220</v>
      </c>
      <c r="G77" s="19">
        <v>1540570</v>
      </c>
      <c r="H77" s="19">
        <v>2679390</v>
      </c>
      <c r="I77" s="19">
        <v>0</v>
      </c>
      <c r="J77" s="19" t="s">
        <v>89</v>
      </c>
      <c r="K77" s="19">
        <v>0</v>
      </c>
      <c r="L77" s="19">
        <v>0</v>
      </c>
      <c r="M77" s="19">
        <v>69300</v>
      </c>
      <c r="N77" s="19">
        <v>0</v>
      </c>
      <c r="O77" s="19">
        <v>0</v>
      </c>
      <c r="P77" s="19">
        <v>12923170</v>
      </c>
      <c r="Q77" s="19">
        <v>0</v>
      </c>
      <c r="R77" s="19">
        <v>0</v>
      </c>
      <c r="S77" s="19">
        <v>0</v>
      </c>
      <c r="T77" s="19">
        <v>0</v>
      </c>
      <c r="U77" s="19">
        <v>38126233</v>
      </c>
      <c r="V77" s="19">
        <v>0</v>
      </c>
      <c r="W77" s="19">
        <v>0</v>
      </c>
      <c r="X77" s="19">
        <v>3515640</v>
      </c>
      <c r="Y77" s="19">
        <v>695290</v>
      </c>
      <c r="Z77" s="19">
        <v>0</v>
      </c>
      <c r="AA77" s="19">
        <v>12589830</v>
      </c>
      <c r="AB77" s="19">
        <v>855540</v>
      </c>
      <c r="AC77" s="19">
        <v>15206730</v>
      </c>
      <c r="AD77" s="19">
        <v>0</v>
      </c>
      <c r="AE77" s="19">
        <v>5350260</v>
      </c>
      <c r="AF77" s="19">
        <v>0</v>
      </c>
      <c r="AG77" s="19">
        <v>69300</v>
      </c>
      <c r="AH77" s="19">
        <v>3407160</v>
      </c>
      <c r="AI77" s="19">
        <v>0</v>
      </c>
      <c r="AJ77" s="19">
        <v>6573496</v>
      </c>
      <c r="AK77" s="19">
        <v>5621110</v>
      </c>
      <c r="AL77" s="19">
        <v>615270</v>
      </c>
      <c r="AM77" s="19">
        <v>0</v>
      </c>
      <c r="AN77" s="19">
        <v>2609444</v>
      </c>
      <c r="AO77" s="19"/>
      <c r="AP77" s="19">
        <v>0</v>
      </c>
      <c r="AQ77" s="19"/>
      <c r="AR77" s="19">
        <v>0</v>
      </c>
      <c r="AS77" s="19"/>
      <c r="AT77" s="19"/>
      <c r="AU77" s="19">
        <v>0</v>
      </c>
      <c r="AV77" s="19">
        <v>0</v>
      </c>
      <c r="AW77" s="19">
        <v>126810</v>
      </c>
      <c r="AX77" s="19">
        <v>790</v>
      </c>
      <c r="AY77" s="19">
        <v>2210790</v>
      </c>
      <c r="AZ77" s="19">
        <v>994030</v>
      </c>
      <c r="BA77" s="19">
        <v>0</v>
      </c>
      <c r="BB77" s="19">
        <v>0</v>
      </c>
      <c r="BC77" s="19">
        <v>3547190</v>
      </c>
      <c r="BD77" s="19">
        <v>0</v>
      </c>
      <c r="BE77" s="19">
        <v>1056369</v>
      </c>
      <c r="BF77" s="19">
        <v>0</v>
      </c>
      <c r="BG77" s="19">
        <v>0</v>
      </c>
      <c r="BH77" s="19">
        <v>0</v>
      </c>
      <c r="BI77" s="19">
        <v>4096860</v>
      </c>
      <c r="BJ77" s="19">
        <v>441440</v>
      </c>
      <c r="BK77" s="19">
        <v>0</v>
      </c>
      <c r="BL77" s="19">
        <v>0</v>
      </c>
      <c r="BM77" s="19">
        <v>6871950</v>
      </c>
      <c r="BN77" s="19">
        <v>0</v>
      </c>
      <c r="BO77" s="19">
        <v>0</v>
      </c>
      <c r="BP77" s="19">
        <v>0</v>
      </c>
      <c r="BQ77" s="19">
        <v>0</v>
      </c>
      <c r="BR77" s="19">
        <v>2256400</v>
      </c>
      <c r="BS77" s="19">
        <v>0</v>
      </c>
      <c r="BT77" s="19">
        <v>0</v>
      </c>
      <c r="BU77" s="19">
        <v>0</v>
      </c>
      <c r="BV77" s="19">
        <v>0</v>
      </c>
      <c r="BW77" s="19">
        <v>444480</v>
      </c>
      <c r="BX77" s="19">
        <v>0</v>
      </c>
      <c r="BY77" s="19">
        <v>0</v>
      </c>
      <c r="BZ77" s="19">
        <v>9828137</v>
      </c>
      <c r="CA77" s="19">
        <v>151962</v>
      </c>
      <c r="CB77" s="19">
        <v>1843290</v>
      </c>
      <c r="CC77" s="19">
        <v>0</v>
      </c>
      <c r="CD77" s="19">
        <v>0</v>
      </c>
      <c r="CE77" s="19">
        <v>0</v>
      </c>
      <c r="CF77" s="19" t="s">
        <v>127</v>
      </c>
      <c r="CG77" s="19">
        <v>339279</v>
      </c>
      <c r="CH77" s="19">
        <v>0</v>
      </c>
      <c r="CI77" s="19">
        <v>0</v>
      </c>
      <c r="CJ77" s="19">
        <v>140979</v>
      </c>
      <c r="CK77" s="19">
        <v>1118540</v>
      </c>
      <c r="CL77" s="19">
        <v>2006177</v>
      </c>
      <c r="CM77" s="19">
        <v>0</v>
      </c>
      <c r="CN77" s="19">
        <v>925810</v>
      </c>
      <c r="CO77" s="19">
        <v>2862960</v>
      </c>
      <c r="CP77" s="19">
        <v>0</v>
      </c>
      <c r="CQ77" s="19" t="s">
        <v>96</v>
      </c>
      <c r="CR77" s="19">
        <v>4290959</v>
      </c>
      <c r="CS77" s="19">
        <v>6526949</v>
      </c>
      <c r="CT77" s="19"/>
      <c r="CU77" s="19"/>
      <c r="CV77" s="19" t="s">
        <v>89</v>
      </c>
      <c r="CW77" s="19">
        <v>1444740</v>
      </c>
      <c r="CX77" s="19"/>
      <c r="CY77" s="19">
        <v>4105894</v>
      </c>
      <c r="CZ77" s="19"/>
      <c r="DA77" s="19"/>
      <c r="DB77" s="19">
        <v>1804670</v>
      </c>
      <c r="DC77" s="19"/>
      <c r="DD77" s="19"/>
      <c r="DE77" s="19"/>
      <c r="DF77" s="19"/>
      <c r="DG77" s="19">
        <v>5627500</v>
      </c>
      <c r="DH77" s="19"/>
      <c r="DI77" s="19">
        <v>1769320</v>
      </c>
      <c r="DJ77" s="19">
        <v>890527</v>
      </c>
      <c r="DK77" s="19">
        <v>1232348</v>
      </c>
      <c r="DL77" s="19"/>
      <c r="DM77" s="19">
        <v>1141014</v>
      </c>
      <c r="DN77" s="19"/>
      <c r="DO77" s="19"/>
      <c r="DP77" s="19">
        <v>5301660</v>
      </c>
      <c r="DQ77" s="19">
        <v>2421892</v>
      </c>
      <c r="DR77" s="19"/>
      <c r="DS77" s="19"/>
      <c r="DT77" s="19"/>
      <c r="DU77" s="19"/>
      <c r="DV77" s="19" t="s">
        <v>89</v>
      </c>
      <c r="DW77" s="19"/>
      <c r="DX77" s="19"/>
      <c r="DY77" s="19"/>
      <c r="DZ77" s="19">
        <v>655550</v>
      </c>
      <c r="EA77" s="19"/>
      <c r="EB77" s="19">
        <v>867994</v>
      </c>
    </row>
    <row r="78" spans="1:132">
      <c r="A78" s="9" t="s">
        <v>86</v>
      </c>
      <c r="B78" s="10" t="s">
        <v>149</v>
      </c>
      <c r="C78" s="19">
        <v>60686841</v>
      </c>
      <c r="D78" s="19">
        <v>312280381</v>
      </c>
      <c r="E78" s="19">
        <v>63046301</v>
      </c>
      <c r="F78" s="19">
        <v>153095044</v>
      </c>
      <c r="G78" s="19">
        <v>402639</v>
      </c>
      <c r="H78" s="19">
        <v>-116205655</v>
      </c>
      <c r="I78" s="19">
        <v>37467860</v>
      </c>
      <c r="J78" s="19" t="s">
        <v>89</v>
      </c>
      <c r="K78" s="19">
        <v>-71135222</v>
      </c>
      <c r="L78" s="19">
        <v>-133518521</v>
      </c>
      <c r="M78" s="19">
        <v>-454855069</v>
      </c>
      <c r="N78" s="19">
        <v>-156549595</v>
      </c>
      <c r="O78" s="19">
        <v>1829067</v>
      </c>
      <c r="P78" s="19">
        <v>114242287</v>
      </c>
      <c r="Q78" s="19">
        <v>-2673265</v>
      </c>
      <c r="R78" s="19">
        <v>-12075584</v>
      </c>
      <c r="S78" s="19">
        <v>79100311</v>
      </c>
      <c r="T78" s="19">
        <v>-60546965</v>
      </c>
      <c r="U78" s="19">
        <v>153721880</v>
      </c>
      <c r="V78" s="19">
        <v>-169031106</v>
      </c>
      <c r="W78" s="19">
        <v>5093307</v>
      </c>
      <c r="X78" s="19">
        <v>387591008</v>
      </c>
      <c r="Y78" s="19">
        <v>23969474</v>
      </c>
      <c r="Z78" s="19">
        <v>10316355</v>
      </c>
      <c r="AA78" s="19">
        <v>153806034</v>
      </c>
      <c r="AB78" s="19">
        <v>16398538</v>
      </c>
      <c r="AC78" s="19">
        <v>120439478</v>
      </c>
      <c r="AD78" s="19">
        <v>2238252</v>
      </c>
      <c r="AE78" s="19">
        <v>60350149</v>
      </c>
      <c r="AF78" s="19">
        <v>42429603</v>
      </c>
      <c r="AG78" s="19">
        <v>-453946105</v>
      </c>
      <c r="AH78" s="19">
        <v>-36959426</v>
      </c>
      <c r="AI78" s="19">
        <v>-7137378</v>
      </c>
      <c r="AJ78" s="19">
        <v>65639719</v>
      </c>
      <c r="AK78" s="19">
        <v>217203695</v>
      </c>
      <c r="AL78" s="19">
        <v>-120355305</v>
      </c>
      <c r="AM78" s="19">
        <v>-1398577100</v>
      </c>
      <c r="AN78" s="19">
        <v>7418390</v>
      </c>
      <c r="AO78" s="19">
        <v>-536339168</v>
      </c>
      <c r="AP78" s="19">
        <v>-155780250</v>
      </c>
      <c r="AQ78" s="19">
        <v>1599127</v>
      </c>
      <c r="AR78" s="19">
        <v>7554234</v>
      </c>
      <c r="AS78" s="19">
        <v>11673214</v>
      </c>
      <c r="AT78" s="19">
        <v>55709783</v>
      </c>
      <c r="AU78" s="19">
        <v>-304097955</v>
      </c>
      <c r="AV78" s="19">
        <v>-15979738</v>
      </c>
      <c r="AW78" s="19">
        <v>1860663</v>
      </c>
      <c r="AX78" s="19">
        <v>-367985260</v>
      </c>
      <c r="AY78" s="19">
        <v>27313750</v>
      </c>
      <c r="AZ78" s="19">
        <v>8042704</v>
      </c>
      <c r="BA78" s="19">
        <v>-62482994</v>
      </c>
      <c r="BB78" s="19">
        <v>-35342439</v>
      </c>
      <c r="BC78" s="19">
        <v>106761342</v>
      </c>
      <c r="BD78" s="19">
        <v>29024940</v>
      </c>
      <c r="BE78" s="19">
        <v>9654042</v>
      </c>
      <c r="BF78" s="19">
        <v>9840814</v>
      </c>
      <c r="BG78" s="19">
        <v>-449204806</v>
      </c>
      <c r="BH78" s="19">
        <v>26922728</v>
      </c>
      <c r="BI78" s="19">
        <v>200851937</v>
      </c>
      <c r="BJ78" s="19">
        <v>3180744</v>
      </c>
      <c r="BK78" s="19">
        <v>23145322</v>
      </c>
      <c r="BL78" s="19">
        <v>21837644</v>
      </c>
      <c r="BM78" s="19">
        <v>61412254</v>
      </c>
      <c r="BN78" s="19">
        <v>8746418</v>
      </c>
      <c r="BO78" s="19">
        <v>24831872</v>
      </c>
      <c r="BP78" s="19">
        <v>-1724885</v>
      </c>
      <c r="BQ78" s="19">
        <v>15098902</v>
      </c>
      <c r="BR78" s="19">
        <v>20272298</v>
      </c>
      <c r="BS78" s="19">
        <v>-20519781</v>
      </c>
      <c r="BT78" s="19">
        <v>-18517308</v>
      </c>
      <c r="BU78" s="19">
        <v>-78170131</v>
      </c>
      <c r="BV78" s="19">
        <v>90274003</v>
      </c>
      <c r="BW78" s="19">
        <v>-17454051</v>
      </c>
      <c r="BX78" s="19">
        <v>4869913</v>
      </c>
      <c r="BY78" s="19">
        <v>-495284533</v>
      </c>
      <c r="BZ78" s="19">
        <v>8591110</v>
      </c>
      <c r="CA78" s="19">
        <v>1229519</v>
      </c>
      <c r="CB78" s="19">
        <v>14581913</v>
      </c>
      <c r="CC78" s="19">
        <v>-11599589</v>
      </c>
      <c r="CD78" s="19">
        <v>88559358</v>
      </c>
      <c r="CE78" s="19">
        <v>-39711224</v>
      </c>
      <c r="CF78" s="19" t="s">
        <v>127</v>
      </c>
      <c r="CG78" s="19">
        <v>2745084</v>
      </c>
      <c r="CH78" s="19">
        <v>12428163</v>
      </c>
      <c r="CI78" s="19">
        <v>153549976</v>
      </c>
      <c r="CJ78" s="19">
        <v>1050358</v>
      </c>
      <c r="CK78" s="19">
        <v>7062010</v>
      </c>
      <c r="CL78" s="19">
        <v>2208358</v>
      </c>
      <c r="CM78" s="19">
        <v>-258786</v>
      </c>
      <c r="CN78" s="19">
        <v>-205923994</v>
      </c>
      <c r="CO78" s="19">
        <v>14775507</v>
      </c>
      <c r="CP78" s="19">
        <v>80612815</v>
      </c>
      <c r="CQ78" s="19" t="s">
        <v>96</v>
      </c>
      <c r="CR78" s="19">
        <v>116222301</v>
      </c>
      <c r="CS78" s="19">
        <v>75060034</v>
      </c>
      <c r="CT78" s="19">
        <v>-577284008</v>
      </c>
      <c r="CU78" s="19">
        <v>85722542</v>
      </c>
      <c r="CV78" s="19" t="s">
        <v>89</v>
      </c>
      <c r="CW78" s="19">
        <v>39509013</v>
      </c>
      <c r="CX78" s="19">
        <v>-497515270</v>
      </c>
      <c r="CY78" s="19">
        <v>46667970</v>
      </c>
      <c r="CZ78" s="19">
        <v>18593527</v>
      </c>
      <c r="DA78" s="19">
        <v>20063036</v>
      </c>
      <c r="DB78" s="19">
        <v>129506773</v>
      </c>
      <c r="DC78" s="19">
        <v>-2349229</v>
      </c>
      <c r="DD78" s="19">
        <v>70906978</v>
      </c>
      <c r="DE78" s="19">
        <v>89456241</v>
      </c>
      <c r="DF78" s="19">
        <v>-17409828</v>
      </c>
      <c r="DG78" s="19">
        <v>56306923</v>
      </c>
      <c r="DH78" s="19">
        <v>-9788616</v>
      </c>
      <c r="DI78" s="19">
        <v>48407134</v>
      </c>
      <c r="DJ78" s="19">
        <v>3848025</v>
      </c>
      <c r="DK78" s="19">
        <v>30084260</v>
      </c>
      <c r="DL78" s="19">
        <v>7395017</v>
      </c>
      <c r="DM78" s="19">
        <v>35048347</v>
      </c>
      <c r="DN78" s="19">
        <v>64666672</v>
      </c>
      <c r="DO78" s="19">
        <v>4781000</v>
      </c>
      <c r="DP78" s="19">
        <v>103928471</v>
      </c>
      <c r="DQ78" s="19">
        <v>19373423</v>
      </c>
      <c r="DR78" s="19">
        <v>868426</v>
      </c>
      <c r="DS78" s="19">
        <v>-21396334</v>
      </c>
      <c r="DT78" s="19">
        <v>93164892</v>
      </c>
      <c r="DU78" s="19">
        <v>116754196</v>
      </c>
      <c r="DV78" s="19" t="s">
        <v>89</v>
      </c>
      <c r="DW78" s="19">
        <v>35581133</v>
      </c>
      <c r="DX78" s="19">
        <v>14992932</v>
      </c>
      <c r="DY78" s="19">
        <v>11000305</v>
      </c>
      <c r="DZ78" s="19">
        <v>110387311</v>
      </c>
      <c r="EA78" s="19">
        <v>4799079</v>
      </c>
      <c r="EB78" s="19">
        <v>59198459</v>
      </c>
    </row>
  </sheetData>
  <phoneticPr fontId="14" type="noConversion"/>
  <pageMargins left="0.69972223043441772" right="0.69972223043441772" top="0.75" bottom="0.75" header="0.30000001192092896" footer="0.30000001192092896"/>
  <pageSetup paperSize="9" orientation="portrai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6"/>
  <dimension ref="A1:GH78"/>
  <sheetViews>
    <sheetView zoomScale="70" zoomScaleNormal="70" zoomScaleSheetLayoutView="80" workbookViewId="0">
      <pane xSplit="2" ySplit="1" topLeftCell="CM2" activePane="bottomRight" state="frozen"/>
      <selection pane="topRight"/>
      <selection pane="bottomLeft"/>
      <selection pane="bottomRight" activeCell="CZ1" sqref="CZ1"/>
    </sheetView>
  </sheetViews>
  <sheetFormatPr defaultColWidth="8.796875" defaultRowHeight="17.399999999999999"/>
  <cols>
    <col min="2" max="2" width="27.19921875" customWidth="1"/>
    <col min="3" max="190" width="15.69921875" customWidth="1"/>
  </cols>
  <sheetData>
    <row r="1" spans="1:190" ht="17.55" customHeight="1">
      <c r="A1" s="5"/>
      <c r="B1" s="6" t="s">
        <v>111</v>
      </c>
      <c r="C1" s="20">
        <v>1510001</v>
      </c>
      <c r="D1" s="20">
        <v>1510002</v>
      </c>
      <c r="E1" s="20">
        <v>1510003</v>
      </c>
      <c r="F1" s="20">
        <v>1510004</v>
      </c>
      <c r="G1" s="20">
        <v>1510005</v>
      </c>
      <c r="H1" s="20">
        <v>1510006</v>
      </c>
      <c r="I1" s="20">
        <v>1510007</v>
      </c>
      <c r="J1" s="20">
        <v>1510008</v>
      </c>
      <c r="K1" s="20">
        <v>1510009</v>
      </c>
      <c r="L1" s="20">
        <v>1510010</v>
      </c>
      <c r="M1" s="20">
        <v>1510011</v>
      </c>
      <c r="N1" s="20">
        <v>1510012</v>
      </c>
      <c r="O1" s="20">
        <v>1510013</v>
      </c>
      <c r="P1" s="20">
        <v>1510014</v>
      </c>
      <c r="Q1" s="20">
        <v>1510015</v>
      </c>
      <c r="R1" s="20">
        <v>1510016</v>
      </c>
      <c r="S1" s="20">
        <v>1510017</v>
      </c>
      <c r="T1" s="20">
        <v>1510018</v>
      </c>
      <c r="U1" s="20">
        <v>1510019</v>
      </c>
      <c r="V1" s="20">
        <v>1510020</v>
      </c>
      <c r="W1" s="20">
        <v>1510021</v>
      </c>
      <c r="X1" s="20">
        <v>1510022</v>
      </c>
      <c r="Y1" s="20">
        <v>1510023</v>
      </c>
      <c r="Z1" s="20">
        <v>1510024</v>
      </c>
      <c r="AA1" s="20">
        <v>1510025</v>
      </c>
      <c r="AB1" s="20">
        <v>1510026</v>
      </c>
      <c r="AC1" s="20">
        <v>1510027</v>
      </c>
      <c r="AD1" s="20">
        <v>1510028</v>
      </c>
      <c r="AE1" s="20">
        <v>1510029</v>
      </c>
      <c r="AF1" s="20">
        <v>1510030</v>
      </c>
      <c r="AG1" s="20">
        <v>1510031</v>
      </c>
      <c r="AH1" s="20">
        <v>1510032</v>
      </c>
      <c r="AI1" s="20">
        <v>1510033</v>
      </c>
      <c r="AJ1" s="20">
        <v>1510034</v>
      </c>
      <c r="AK1" s="20">
        <v>1510035</v>
      </c>
      <c r="AL1" s="20">
        <v>1510036</v>
      </c>
      <c r="AM1" s="20">
        <v>1510037</v>
      </c>
      <c r="AN1" s="20">
        <v>1510038</v>
      </c>
      <c r="AO1" s="20">
        <v>1510039</v>
      </c>
      <c r="AP1" s="20">
        <v>1510040</v>
      </c>
      <c r="AQ1" s="20">
        <v>1510041</v>
      </c>
      <c r="AR1" s="20">
        <v>1510042</v>
      </c>
      <c r="AS1" s="20">
        <v>1510043</v>
      </c>
      <c r="AT1" s="20">
        <v>1510044</v>
      </c>
      <c r="AU1" s="20">
        <v>1510045</v>
      </c>
      <c r="AV1" s="20">
        <v>1510046</v>
      </c>
      <c r="AW1" s="20">
        <v>1510047</v>
      </c>
      <c r="AX1" s="20">
        <v>1510048</v>
      </c>
      <c r="AY1" s="20">
        <v>1510049</v>
      </c>
      <c r="AZ1" s="20">
        <v>1510050</v>
      </c>
      <c r="BA1" s="20">
        <v>1510051</v>
      </c>
      <c r="BB1" s="20">
        <v>1510052</v>
      </c>
      <c r="BC1" s="20">
        <v>1604053</v>
      </c>
      <c r="BD1" s="20">
        <v>1604054</v>
      </c>
      <c r="BE1" s="20">
        <v>1604055</v>
      </c>
      <c r="BF1" s="20">
        <v>1604056</v>
      </c>
      <c r="BG1" s="20">
        <v>1604057</v>
      </c>
      <c r="BH1" s="20">
        <v>1604058</v>
      </c>
      <c r="BI1" s="20">
        <v>1604059</v>
      </c>
      <c r="BJ1" s="20">
        <v>1604060</v>
      </c>
      <c r="BK1" s="20">
        <v>1604061</v>
      </c>
      <c r="BL1" s="20">
        <v>1608062</v>
      </c>
      <c r="BM1" s="20">
        <v>1608063</v>
      </c>
      <c r="BN1" s="20">
        <v>1608064</v>
      </c>
      <c r="BO1" s="20">
        <v>1608065</v>
      </c>
      <c r="BP1" s="20">
        <v>1608066</v>
      </c>
      <c r="BQ1" s="20">
        <v>1608067</v>
      </c>
      <c r="BR1" s="20">
        <v>1608068</v>
      </c>
      <c r="BS1" s="20">
        <v>1608069</v>
      </c>
      <c r="BT1" s="20">
        <v>1608070</v>
      </c>
      <c r="BU1" s="20">
        <v>1608071</v>
      </c>
      <c r="BV1" s="20">
        <v>1608072</v>
      </c>
      <c r="BW1" s="20">
        <v>1608073</v>
      </c>
      <c r="BX1" s="20">
        <v>1608074</v>
      </c>
      <c r="BY1" s="20">
        <v>1608075</v>
      </c>
      <c r="BZ1" s="20">
        <v>1608076</v>
      </c>
      <c r="CA1" s="20">
        <v>1608077</v>
      </c>
      <c r="CB1" s="20">
        <v>1608078</v>
      </c>
      <c r="CC1" s="20">
        <v>1608079</v>
      </c>
      <c r="CD1" s="20">
        <v>1608080</v>
      </c>
      <c r="CE1" s="20">
        <v>1608081</v>
      </c>
      <c r="CF1" s="20">
        <v>1608082</v>
      </c>
      <c r="CG1" s="20">
        <v>1608083</v>
      </c>
      <c r="CH1" s="20">
        <v>1608084</v>
      </c>
      <c r="CI1" s="20">
        <v>1608085</v>
      </c>
      <c r="CJ1" s="20">
        <v>1608086</v>
      </c>
      <c r="CK1" s="20">
        <v>1608087</v>
      </c>
      <c r="CL1" s="20">
        <v>1608088</v>
      </c>
      <c r="CM1" s="20">
        <v>1608089</v>
      </c>
      <c r="CN1" s="20">
        <v>1608090</v>
      </c>
      <c r="CO1" s="20">
        <v>1608091</v>
      </c>
      <c r="CP1" s="20">
        <v>1608092</v>
      </c>
      <c r="CQ1" s="20">
        <v>1608093</v>
      </c>
      <c r="CR1" s="20">
        <v>1608094</v>
      </c>
      <c r="CS1" s="20">
        <v>1612095</v>
      </c>
      <c r="CT1" s="20">
        <v>1612096</v>
      </c>
      <c r="CU1" s="20">
        <v>1612097</v>
      </c>
      <c r="CV1" s="20">
        <v>1612098</v>
      </c>
      <c r="CW1" s="20">
        <v>1612099</v>
      </c>
      <c r="CX1" s="20">
        <v>1612100</v>
      </c>
      <c r="CY1" s="20">
        <v>1612101</v>
      </c>
      <c r="CZ1" s="20">
        <v>1708102</v>
      </c>
      <c r="DA1" s="20">
        <v>1708103</v>
      </c>
      <c r="DB1" s="20">
        <v>1708104</v>
      </c>
      <c r="DC1" s="20">
        <v>1708105</v>
      </c>
      <c r="DD1" s="20">
        <v>1708106</v>
      </c>
      <c r="DE1" s="20">
        <v>1708107</v>
      </c>
      <c r="DF1" s="20">
        <v>1708108</v>
      </c>
      <c r="DG1" s="20">
        <v>1708109</v>
      </c>
      <c r="DH1" s="20">
        <v>1708110</v>
      </c>
      <c r="DI1" s="20">
        <v>1708111</v>
      </c>
      <c r="DJ1" s="20">
        <v>1708112</v>
      </c>
      <c r="DK1" s="20">
        <v>1708113</v>
      </c>
      <c r="DL1" s="20">
        <v>1708114</v>
      </c>
      <c r="DM1" s="20">
        <v>1708115</v>
      </c>
      <c r="DN1" s="20">
        <v>1708116</v>
      </c>
      <c r="DO1" s="20">
        <v>1708117</v>
      </c>
      <c r="DP1" s="20">
        <v>1708118</v>
      </c>
      <c r="DQ1" s="20">
        <v>1708119</v>
      </c>
      <c r="DR1" s="20">
        <v>1708120</v>
      </c>
      <c r="DS1" s="20">
        <v>1708121</v>
      </c>
      <c r="DT1" s="20">
        <v>1708122</v>
      </c>
      <c r="DU1" s="20">
        <v>1708123</v>
      </c>
      <c r="DV1" s="20">
        <v>1708124</v>
      </c>
      <c r="DW1" s="20">
        <v>1708125</v>
      </c>
      <c r="DX1" s="20">
        <v>1708126</v>
      </c>
      <c r="DY1" s="20">
        <v>1708127</v>
      </c>
      <c r="DZ1" s="20">
        <v>1708128</v>
      </c>
      <c r="EA1" s="20">
        <v>1708129</v>
      </c>
      <c r="EB1" s="20">
        <v>1708130</v>
      </c>
      <c r="EC1" s="20">
        <v>1808131</v>
      </c>
      <c r="ED1" s="20">
        <v>1808132</v>
      </c>
      <c r="EE1" s="20">
        <v>1808133</v>
      </c>
      <c r="EF1" s="20">
        <v>1808134</v>
      </c>
      <c r="EG1" s="20">
        <v>1808135</v>
      </c>
      <c r="EH1" s="20">
        <v>1808136</v>
      </c>
      <c r="EI1" s="20">
        <v>1808137</v>
      </c>
      <c r="EJ1" s="20">
        <v>1808138</v>
      </c>
      <c r="EK1" s="20">
        <v>1808139</v>
      </c>
      <c r="EL1" s="20">
        <v>1808140</v>
      </c>
      <c r="EM1" s="20">
        <v>1808141</v>
      </c>
      <c r="EN1" s="20">
        <v>1808142</v>
      </c>
      <c r="EO1" s="20">
        <v>1808143</v>
      </c>
      <c r="EP1" s="20">
        <v>1808144</v>
      </c>
      <c r="EQ1" s="20">
        <v>1808145</v>
      </c>
      <c r="ER1" s="20">
        <v>1808146</v>
      </c>
      <c r="ES1" s="20">
        <v>1808147</v>
      </c>
      <c r="ET1" s="20">
        <v>1808148</v>
      </c>
      <c r="EU1" s="20">
        <v>1808149</v>
      </c>
      <c r="EV1" s="20">
        <v>1808150</v>
      </c>
      <c r="EW1" s="20">
        <v>1808151</v>
      </c>
      <c r="EX1" s="20">
        <v>1808152</v>
      </c>
      <c r="EY1" s="20">
        <v>1808153</v>
      </c>
      <c r="EZ1" s="20">
        <v>1808154</v>
      </c>
      <c r="FA1" s="20">
        <v>1808155</v>
      </c>
      <c r="FB1" s="20">
        <v>1808156</v>
      </c>
      <c r="FC1" s="20">
        <v>1808157</v>
      </c>
      <c r="FD1" s="20">
        <v>1808158</v>
      </c>
      <c r="FE1" s="20">
        <v>1808159</v>
      </c>
      <c r="FF1" s="20">
        <v>1808160</v>
      </c>
      <c r="FG1" s="20">
        <v>1808161</v>
      </c>
      <c r="FH1" s="20">
        <v>1808162</v>
      </c>
      <c r="FI1" s="20">
        <v>1808163</v>
      </c>
      <c r="FJ1" s="20">
        <v>1808164</v>
      </c>
      <c r="FK1" s="20">
        <v>1808165</v>
      </c>
      <c r="FL1" s="20">
        <v>1810166</v>
      </c>
      <c r="FM1" s="20">
        <v>1810167</v>
      </c>
      <c r="FN1" s="20">
        <v>1810168</v>
      </c>
      <c r="FO1" s="20">
        <v>1810169</v>
      </c>
      <c r="FP1" s="20">
        <v>1810170</v>
      </c>
      <c r="FQ1" s="20">
        <v>1810171</v>
      </c>
      <c r="FR1" s="20">
        <v>1810172</v>
      </c>
      <c r="FS1" s="20">
        <v>1810173</v>
      </c>
      <c r="FT1" s="20">
        <v>1810174</v>
      </c>
      <c r="FU1" s="20">
        <v>1810175</v>
      </c>
      <c r="FV1" s="20">
        <v>1810176</v>
      </c>
      <c r="FW1" s="20">
        <v>1810177</v>
      </c>
      <c r="FX1" s="20">
        <v>1810178</v>
      </c>
      <c r="FY1" s="20">
        <v>1810179</v>
      </c>
      <c r="FZ1" s="20">
        <v>1810180</v>
      </c>
      <c r="GA1" s="20">
        <v>1810181</v>
      </c>
      <c r="GB1" s="20">
        <v>1810182</v>
      </c>
      <c r="GC1" s="20">
        <v>1810183</v>
      </c>
      <c r="GD1" s="20">
        <v>1810184</v>
      </c>
      <c r="GE1" s="20">
        <v>1810185</v>
      </c>
      <c r="GF1" s="20">
        <v>1810186</v>
      </c>
      <c r="GG1" s="20">
        <v>1810187</v>
      </c>
      <c r="GH1" s="20">
        <v>1810188</v>
      </c>
    </row>
    <row r="2" spans="1:190" ht="17.55" customHeight="1">
      <c r="A2" s="7" t="s">
        <v>1</v>
      </c>
      <c r="B2" s="8" t="s">
        <v>112</v>
      </c>
      <c r="C2" s="19">
        <v>393856054</v>
      </c>
      <c r="D2" s="19">
        <v>1909876581</v>
      </c>
      <c r="E2" s="19">
        <v>689206076</v>
      </c>
      <c r="F2" s="19">
        <v>1498873445</v>
      </c>
      <c r="G2" s="19">
        <v>249860513</v>
      </c>
      <c r="H2" s="19">
        <v>1041205842</v>
      </c>
      <c r="I2" s="19">
        <v>2061098911</v>
      </c>
      <c r="J2" s="19" t="s">
        <v>89</v>
      </c>
      <c r="K2" s="19">
        <v>670079981</v>
      </c>
      <c r="L2" s="19">
        <v>911686486</v>
      </c>
      <c r="M2" s="19">
        <v>2037403783</v>
      </c>
      <c r="N2" s="19">
        <v>474316891</v>
      </c>
      <c r="O2" s="19">
        <v>2667853031</v>
      </c>
      <c r="P2" s="19">
        <v>2369900759</v>
      </c>
      <c r="Q2" s="19">
        <v>154968018</v>
      </c>
      <c r="R2" s="19">
        <v>449074968</v>
      </c>
      <c r="S2" s="19">
        <v>4912136342</v>
      </c>
      <c r="T2" s="19">
        <v>59408868</v>
      </c>
      <c r="U2" s="19">
        <v>2505160480</v>
      </c>
      <c r="V2" s="19">
        <v>213172256</v>
      </c>
      <c r="W2" s="19">
        <v>1144175624</v>
      </c>
      <c r="X2" s="19">
        <v>5983207957</v>
      </c>
      <c r="Y2" s="19">
        <v>568889123</v>
      </c>
      <c r="Z2" s="19">
        <v>790325207</v>
      </c>
      <c r="AA2" s="19">
        <v>4328651090</v>
      </c>
      <c r="AB2" s="19">
        <v>213714258</v>
      </c>
      <c r="AC2" s="19">
        <v>1273827901</v>
      </c>
      <c r="AD2" s="19">
        <v>1612877091</v>
      </c>
      <c r="AE2" s="19">
        <v>851394730</v>
      </c>
      <c r="AF2" s="19">
        <v>318712134</v>
      </c>
      <c r="AG2" s="19">
        <v>831565601</v>
      </c>
      <c r="AH2" s="19">
        <v>1448707258</v>
      </c>
      <c r="AI2" s="19">
        <v>397087621</v>
      </c>
      <c r="AJ2" s="19">
        <v>896353267</v>
      </c>
      <c r="AK2" s="19" t="s">
        <v>89</v>
      </c>
      <c r="AL2" s="19">
        <v>697676645</v>
      </c>
      <c r="AM2" s="19">
        <v>3212286138</v>
      </c>
      <c r="AN2" s="19">
        <v>211155975</v>
      </c>
      <c r="AO2" s="19">
        <v>383293205</v>
      </c>
      <c r="AP2" s="19">
        <v>835981027</v>
      </c>
      <c r="AQ2" s="19">
        <v>52737361</v>
      </c>
      <c r="AR2" s="19">
        <v>214511025</v>
      </c>
      <c r="AS2" s="19">
        <v>1217927767</v>
      </c>
      <c r="AT2" s="19">
        <v>2440840925</v>
      </c>
      <c r="AU2" s="19">
        <v>1771331721</v>
      </c>
      <c r="AV2" s="19">
        <v>392469020</v>
      </c>
      <c r="AW2" s="19">
        <v>721245331</v>
      </c>
      <c r="AX2" s="19" t="s">
        <v>96</v>
      </c>
      <c r="AY2" s="19">
        <v>577824262</v>
      </c>
      <c r="AZ2" s="19">
        <v>434244430</v>
      </c>
      <c r="BA2" s="19">
        <v>2114880131</v>
      </c>
      <c r="BB2" s="19">
        <v>93678450</v>
      </c>
      <c r="BC2" s="19">
        <v>2174172892</v>
      </c>
      <c r="BD2" s="19">
        <v>154525262</v>
      </c>
      <c r="BE2" s="19">
        <v>1049554526</v>
      </c>
      <c r="BF2" s="19">
        <v>2410887892</v>
      </c>
      <c r="BG2" s="19">
        <v>1579899216</v>
      </c>
      <c r="BH2" s="19">
        <v>922919816</v>
      </c>
      <c r="BI2" s="19">
        <v>517717328</v>
      </c>
      <c r="BJ2" s="19">
        <v>711712255</v>
      </c>
      <c r="BK2" s="19">
        <v>655614649</v>
      </c>
      <c r="BL2" s="19">
        <v>421569917</v>
      </c>
      <c r="BM2" s="19">
        <v>210373023</v>
      </c>
      <c r="BN2" s="19">
        <v>158242936</v>
      </c>
      <c r="BO2" s="19">
        <v>361617021</v>
      </c>
      <c r="BP2" s="19">
        <v>59597176</v>
      </c>
      <c r="BQ2" s="19" t="s">
        <v>175</v>
      </c>
      <c r="BR2" s="19">
        <v>265960366</v>
      </c>
      <c r="BS2" s="19">
        <v>87897867</v>
      </c>
      <c r="BT2" s="19">
        <v>54888688</v>
      </c>
      <c r="BU2" s="19">
        <v>303948216</v>
      </c>
      <c r="BV2" s="19">
        <v>512683428</v>
      </c>
      <c r="BW2" s="19">
        <v>80359193</v>
      </c>
      <c r="BX2" s="19">
        <v>228024123</v>
      </c>
      <c r="BY2" s="19">
        <v>1104621866</v>
      </c>
      <c r="BZ2" s="19">
        <v>600750050</v>
      </c>
      <c r="CA2" s="19">
        <v>394806393</v>
      </c>
      <c r="CB2" s="19">
        <v>329105471</v>
      </c>
      <c r="CC2" s="19">
        <v>94924144</v>
      </c>
      <c r="CD2" s="19">
        <v>344363204</v>
      </c>
      <c r="CE2" s="19">
        <v>525424603</v>
      </c>
      <c r="CF2" s="19">
        <v>549067261</v>
      </c>
      <c r="CG2" s="19">
        <v>293063719</v>
      </c>
      <c r="CH2" s="19">
        <v>132033261</v>
      </c>
      <c r="CI2" s="19">
        <v>1033559784</v>
      </c>
      <c r="CJ2" s="19">
        <v>591689622</v>
      </c>
      <c r="CK2" s="19">
        <v>3642482326</v>
      </c>
      <c r="CL2" s="19">
        <v>652069192</v>
      </c>
      <c r="CM2" s="19">
        <v>1466542987</v>
      </c>
      <c r="CN2" s="19">
        <v>163339438</v>
      </c>
      <c r="CO2" s="19">
        <v>323727740</v>
      </c>
      <c r="CP2" s="19">
        <v>999261357</v>
      </c>
      <c r="CQ2" s="19" t="s">
        <v>96</v>
      </c>
      <c r="CR2" s="19">
        <v>606280156</v>
      </c>
      <c r="CS2" s="19">
        <v>1429229681</v>
      </c>
      <c r="CT2" s="19">
        <v>1337562869</v>
      </c>
      <c r="CU2" s="19">
        <v>467514946</v>
      </c>
      <c r="CV2" s="19">
        <v>7086703</v>
      </c>
      <c r="CW2" s="19">
        <v>1387040740</v>
      </c>
      <c r="CX2" s="19">
        <v>1327728596</v>
      </c>
      <c r="CY2" s="19">
        <v>2842214554</v>
      </c>
      <c r="CZ2" s="19">
        <v>281260443</v>
      </c>
      <c r="DA2" s="19">
        <v>116610683</v>
      </c>
      <c r="DB2" s="19">
        <v>557732124</v>
      </c>
      <c r="DC2" s="19">
        <v>38842499</v>
      </c>
      <c r="DD2" s="19">
        <v>199988785</v>
      </c>
      <c r="DE2" s="19">
        <v>715342018</v>
      </c>
      <c r="DF2" s="19">
        <v>77892739</v>
      </c>
      <c r="DG2" s="19">
        <v>451324246</v>
      </c>
      <c r="DH2" s="19">
        <v>177251188</v>
      </c>
      <c r="DI2" s="19">
        <v>2711494734</v>
      </c>
      <c r="DJ2" s="19">
        <v>40141016</v>
      </c>
      <c r="DK2" s="19">
        <v>1304608417</v>
      </c>
      <c r="DL2" s="19">
        <v>67905331</v>
      </c>
      <c r="DM2" s="19">
        <v>1445990256</v>
      </c>
      <c r="DN2" s="19">
        <v>134164014</v>
      </c>
      <c r="DO2" s="19">
        <v>132454087</v>
      </c>
      <c r="DP2" s="19">
        <v>848187155</v>
      </c>
      <c r="DQ2" s="19">
        <v>471226186</v>
      </c>
      <c r="DR2" s="19">
        <v>294439908</v>
      </c>
      <c r="DS2" s="19">
        <v>106758369</v>
      </c>
      <c r="DT2" s="19">
        <v>460216618</v>
      </c>
      <c r="DU2" s="19">
        <v>112648773</v>
      </c>
      <c r="DV2" s="19">
        <v>690951630</v>
      </c>
      <c r="DW2" s="19">
        <v>635255248</v>
      </c>
      <c r="DX2" s="19">
        <v>296811308</v>
      </c>
      <c r="DY2" s="19">
        <v>308372238</v>
      </c>
      <c r="DZ2" s="19">
        <v>686930078</v>
      </c>
      <c r="EA2" s="19">
        <v>74607209</v>
      </c>
      <c r="EB2" s="19">
        <v>802420271</v>
      </c>
      <c r="EC2" s="19">
        <v>119834373</v>
      </c>
      <c r="ED2" s="19">
        <v>63003802</v>
      </c>
      <c r="EE2" s="19">
        <v>212360927</v>
      </c>
      <c r="EF2" s="19">
        <v>4156625509</v>
      </c>
      <c r="EG2" s="19">
        <v>5843833523</v>
      </c>
      <c r="EH2" s="19">
        <v>83761578</v>
      </c>
      <c r="EI2" s="19">
        <v>585534999</v>
      </c>
      <c r="EJ2" s="19">
        <v>168551584</v>
      </c>
      <c r="EK2" s="19" t="s">
        <v>89</v>
      </c>
      <c r="EL2" s="19">
        <v>2409371966</v>
      </c>
      <c r="EM2" s="19">
        <v>472682555</v>
      </c>
      <c r="EN2" s="19">
        <v>2286661326</v>
      </c>
      <c r="EO2" s="19">
        <v>568283763</v>
      </c>
      <c r="EP2" s="19">
        <v>515988602</v>
      </c>
      <c r="EQ2" s="19">
        <v>389519888</v>
      </c>
      <c r="ER2" s="19">
        <v>2133007678</v>
      </c>
      <c r="ES2" s="19">
        <v>761860902</v>
      </c>
      <c r="ET2" s="19">
        <v>163671320</v>
      </c>
      <c r="EU2" s="19">
        <v>1057876506</v>
      </c>
      <c r="EV2" s="19">
        <v>94993290</v>
      </c>
      <c r="EW2" s="19">
        <v>109198389</v>
      </c>
      <c r="EX2" s="19">
        <v>815693731</v>
      </c>
      <c r="EY2" s="19">
        <v>3543840394</v>
      </c>
      <c r="EZ2" s="19">
        <v>447698111</v>
      </c>
      <c r="FA2" s="19">
        <v>2352200460</v>
      </c>
      <c r="FB2" s="19">
        <v>306641286</v>
      </c>
      <c r="FC2" s="19" t="s">
        <v>89</v>
      </c>
      <c r="FD2" s="19">
        <v>115713540</v>
      </c>
      <c r="FE2" s="19">
        <v>2919043556</v>
      </c>
      <c r="FF2" s="19">
        <v>69950722</v>
      </c>
      <c r="FG2" s="19">
        <v>446356622</v>
      </c>
      <c r="FH2" s="19">
        <v>59356633</v>
      </c>
      <c r="FI2" s="19">
        <v>35725642</v>
      </c>
      <c r="FJ2" s="19">
        <v>91377785</v>
      </c>
      <c r="FK2" s="19">
        <v>390624871</v>
      </c>
      <c r="FL2" s="19">
        <v>36309445</v>
      </c>
      <c r="FM2" s="19">
        <v>10775899</v>
      </c>
      <c r="FN2" s="19" t="s">
        <v>89</v>
      </c>
      <c r="FO2" s="19">
        <v>40559419</v>
      </c>
      <c r="FP2" s="19">
        <v>234411261</v>
      </c>
      <c r="FQ2" s="19" t="s">
        <v>89</v>
      </c>
      <c r="FR2" s="19">
        <v>7018226</v>
      </c>
      <c r="FS2" s="19">
        <v>14072119</v>
      </c>
      <c r="FT2" s="19">
        <v>112017144</v>
      </c>
      <c r="FU2" s="19" t="s">
        <v>89</v>
      </c>
      <c r="FV2" s="19">
        <v>699053298</v>
      </c>
      <c r="FW2" s="19">
        <v>205989767</v>
      </c>
      <c r="FX2" s="19" t="s">
        <v>157</v>
      </c>
      <c r="FY2" s="19">
        <v>352960106</v>
      </c>
      <c r="FZ2" s="19">
        <v>105805161</v>
      </c>
      <c r="GA2" s="19" t="s">
        <v>89</v>
      </c>
      <c r="GB2" s="19" t="s">
        <v>89</v>
      </c>
      <c r="GC2" s="19">
        <v>326969822</v>
      </c>
      <c r="GD2" s="19" t="s">
        <v>89</v>
      </c>
      <c r="GE2" s="19">
        <v>11447539</v>
      </c>
      <c r="GF2" s="19" t="s">
        <v>89</v>
      </c>
      <c r="GG2" s="19">
        <v>165720383</v>
      </c>
      <c r="GH2" s="19">
        <v>25909785</v>
      </c>
    </row>
    <row r="3" spans="1:190" ht="17.55" customHeight="1">
      <c r="A3" s="7" t="s">
        <v>1</v>
      </c>
      <c r="B3" s="8" t="s">
        <v>84</v>
      </c>
      <c r="C3" s="19">
        <v>321380778</v>
      </c>
      <c r="D3" s="19">
        <v>1073450055</v>
      </c>
      <c r="E3" s="19">
        <v>163544127</v>
      </c>
      <c r="F3" s="19">
        <v>292366443</v>
      </c>
      <c r="G3" s="19">
        <v>240629684</v>
      </c>
      <c r="H3" s="19">
        <v>174475109</v>
      </c>
      <c r="I3" s="19">
        <v>635807918</v>
      </c>
      <c r="J3" s="19" t="s">
        <v>89</v>
      </c>
      <c r="K3" s="19">
        <v>408636542</v>
      </c>
      <c r="L3" s="19">
        <v>825313616</v>
      </c>
      <c r="M3" s="19">
        <v>521391808</v>
      </c>
      <c r="N3" s="19">
        <v>281417817</v>
      </c>
      <c r="O3" s="19">
        <v>975426665</v>
      </c>
      <c r="P3" s="19">
        <v>1572350373</v>
      </c>
      <c r="Q3" s="19">
        <v>112146226</v>
      </c>
      <c r="R3" s="19">
        <v>243102818</v>
      </c>
      <c r="S3" s="19">
        <v>1833176323</v>
      </c>
      <c r="T3" s="19">
        <v>7281004</v>
      </c>
      <c r="U3" s="19">
        <v>2189118492</v>
      </c>
      <c r="V3" s="19">
        <v>134941042</v>
      </c>
      <c r="W3" s="19">
        <v>591045982</v>
      </c>
      <c r="X3" s="19">
        <v>1041440405</v>
      </c>
      <c r="Y3" s="19">
        <v>158398143</v>
      </c>
      <c r="Z3" s="19">
        <v>314574791</v>
      </c>
      <c r="AA3" s="19">
        <v>3275559128</v>
      </c>
      <c r="AB3" s="19">
        <v>195814387</v>
      </c>
      <c r="AC3" s="19">
        <v>178589808</v>
      </c>
      <c r="AD3" s="19">
        <v>406745689</v>
      </c>
      <c r="AE3" s="19">
        <v>429590355</v>
      </c>
      <c r="AF3" s="19">
        <v>158684034</v>
      </c>
      <c r="AG3" s="19">
        <v>387294675</v>
      </c>
      <c r="AH3" s="19">
        <v>1107816337</v>
      </c>
      <c r="AI3" s="19">
        <v>129370191</v>
      </c>
      <c r="AJ3" s="19">
        <v>679973114</v>
      </c>
      <c r="AK3" s="19" t="s">
        <v>89</v>
      </c>
      <c r="AL3" s="19">
        <v>445989120</v>
      </c>
      <c r="AM3" s="19">
        <v>1550470662</v>
      </c>
      <c r="AN3" s="19">
        <v>110382051</v>
      </c>
      <c r="AO3" s="19">
        <v>178973342</v>
      </c>
      <c r="AP3" s="19">
        <v>785695810</v>
      </c>
      <c r="AQ3" s="19">
        <v>12522617</v>
      </c>
      <c r="AR3" s="19">
        <v>112635576</v>
      </c>
      <c r="AS3" s="19">
        <v>1098920893</v>
      </c>
      <c r="AT3" s="19">
        <v>551672592</v>
      </c>
      <c r="AU3" s="19">
        <v>149534528</v>
      </c>
      <c r="AV3" s="19">
        <v>240496043</v>
      </c>
      <c r="AW3" s="19">
        <v>70902481</v>
      </c>
      <c r="AX3" s="19" t="s">
        <v>96</v>
      </c>
      <c r="AY3" s="19">
        <v>134326391</v>
      </c>
      <c r="AZ3" s="19">
        <v>123190905</v>
      </c>
      <c r="BA3" s="19">
        <v>895176599</v>
      </c>
      <c r="BB3" s="19">
        <v>64926931</v>
      </c>
      <c r="BC3" s="19">
        <v>1329264824</v>
      </c>
      <c r="BD3" s="19">
        <v>132604546</v>
      </c>
      <c r="BE3" s="19">
        <v>533836890</v>
      </c>
      <c r="BF3" s="19">
        <v>1155041284</v>
      </c>
      <c r="BG3" s="19">
        <v>1129703908</v>
      </c>
      <c r="BH3" s="19">
        <v>153037644</v>
      </c>
      <c r="BI3" s="19">
        <v>462701289</v>
      </c>
      <c r="BJ3" s="19">
        <v>666473516</v>
      </c>
      <c r="BK3" s="19">
        <v>419646275</v>
      </c>
      <c r="BL3" s="19">
        <v>363038257</v>
      </c>
      <c r="BM3" s="19">
        <v>108207906</v>
      </c>
      <c r="BN3" s="19">
        <v>120051391</v>
      </c>
      <c r="BO3" s="19">
        <v>273394157</v>
      </c>
      <c r="BP3" s="19">
        <v>38205420</v>
      </c>
      <c r="BQ3" s="19" t="s">
        <v>175</v>
      </c>
      <c r="BR3" s="19">
        <v>212422812</v>
      </c>
      <c r="BS3" s="19">
        <v>38577505</v>
      </c>
      <c r="BT3" s="19">
        <v>33321541</v>
      </c>
      <c r="BU3" s="19">
        <v>164524831</v>
      </c>
      <c r="BV3" s="19">
        <v>497584619</v>
      </c>
      <c r="BW3" s="19">
        <v>63002574</v>
      </c>
      <c r="BX3" s="19">
        <v>169139451</v>
      </c>
      <c r="BY3" s="19">
        <v>737448050</v>
      </c>
      <c r="BZ3" s="19">
        <v>587170907</v>
      </c>
      <c r="CA3" s="19">
        <v>97700735</v>
      </c>
      <c r="CB3" s="19">
        <v>127347734</v>
      </c>
      <c r="CC3" s="19">
        <v>91874144</v>
      </c>
      <c r="CD3" s="19">
        <v>302829731</v>
      </c>
      <c r="CE3" s="19">
        <v>434678603</v>
      </c>
      <c r="CF3" s="19">
        <v>512535044</v>
      </c>
      <c r="CG3" s="19">
        <v>244729175</v>
      </c>
      <c r="CH3" s="19">
        <v>120552907</v>
      </c>
      <c r="CI3" s="19">
        <v>392507899</v>
      </c>
      <c r="CJ3" s="19">
        <v>538054241</v>
      </c>
      <c r="CK3" s="19">
        <v>646282411</v>
      </c>
      <c r="CL3" s="19">
        <v>117222258</v>
      </c>
      <c r="CM3" s="19">
        <v>794181397</v>
      </c>
      <c r="CN3" s="19">
        <v>105112965</v>
      </c>
      <c r="CO3" s="19">
        <v>264189475</v>
      </c>
      <c r="CP3" s="19">
        <v>848733340</v>
      </c>
      <c r="CQ3" s="19" t="s">
        <v>96</v>
      </c>
      <c r="CR3" s="19">
        <v>441257308</v>
      </c>
      <c r="CS3" s="19">
        <v>608899499</v>
      </c>
      <c r="CT3" s="19">
        <v>1265903491</v>
      </c>
      <c r="CU3" s="19">
        <v>306500495</v>
      </c>
      <c r="CV3" s="19">
        <v>7086703</v>
      </c>
      <c r="CW3" s="19">
        <v>761241253</v>
      </c>
      <c r="CX3" s="19">
        <v>1131978918</v>
      </c>
      <c r="CY3" s="19">
        <v>2412612049</v>
      </c>
      <c r="CZ3" s="19">
        <v>241525557</v>
      </c>
      <c r="DA3" s="19">
        <v>66486395</v>
      </c>
      <c r="DB3" s="19">
        <v>522582975</v>
      </c>
      <c r="DC3" s="19">
        <v>34511444</v>
      </c>
      <c r="DD3" s="19">
        <v>54430911</v>
      </c>
      <c r="DE3" s="19">
        <v>37490106</v>
      </c>
      <c r="DF3" s="19">
        <v>43600921</v>
      </c>
      <c r="DG3" s="19">
        <v>213152712</v>
      </c>
      <c r="DH3" s="19">
        <v>119091726</v>
      </c>
      <c r="DI3" s="19">
        <v>679630202</v>
      </c>
      <c r="DJ3" s="19">
        <v>32440832</v>
      </c>
      <c r="DK3" s="19">
        <v>1031832151</v>
      </c>
      <c r="DL3" s="19">
        <v>50275309</v>
      </c>
      <c r="DM3" s="19">
        <v>1403633638</v>
      </c>
      <c r="DN3" s="19">
        <v>123157472</v>
      </c>
      <c r="DO3" s="19">
        <v>69861783</v>
      </c>
      <c r="DP3" s="19">
        <v>622536642</v>
      </c>
      <c r="DQ3" s="19">
        <v>425828200</v>
      </c>
      <c r="DR3" s="19">
        <v>273375788</v>
      </c>
      <c r="DS3" s="19">
        <v>37271882</v>
      </c>
      <c r="DT3" s="19">
        <v>407460787</v>
      </c>
      <c r="DU3" s="19">
        <v>70742942</v>
      </c>
      <c r="DV3" s="19">
        <v>675044630</v>
      </c>
      <c r="DW3" s="19">
        <v>469639467</v>
      </c>
      <c r="DX3" s="19">
        <v>274371832</v>
      </c>
      <c r="DY3" s="19">
        <v>148727371</v>
      </c>
      <c r="DZ3" s="19">
        <v>606445055</v>
      </c>
      <c r="EA3" s="19">
        <v>11035999</v>
      </c>
      <c r="EB3" s="19">
        <v>356144103</v>
      </c>
      <c r="EC3" s="19">
        <v>119164491</v>
      </c>
      <c r="ED3" s="19">
        <v>27073982</v>
      </c>
      <c r="EE3" s="19">
        <v>62321433</v>
      </c>
      <c r="EF3" s="19">
        <v>1003955398</v>
      </c>
      <c r="EG3" s="19">
        <v>2389016786</v>
      </c>
      <c r="EH3" s="19">
        <v>21874889</v>
      </c>
      <c r="EI3" s="19">
        <v>308272510</v>
      </c>
      <c r="EJ3" s="19">
        <v>134277345</v>
      </c>
      <c r="EK3" s="19" t="s">
        <v>89</v>
      </c>
      <c r="EL3" s="19">
        <v>2103742795</v>
      </c>
      <c r="EM3" s="19">
        <v>342756539</v>
      </c>
      <c r="EN3" s="19">
        <v>1899879231</v>
      </c>
      <c r="EO3" s="19">
        <v>221205403</v>
      </c>
      <c r="EP3" s="19">
        <v>151108583</v>
      </c>
      <c r="EQ3" s="19">
        <v>223881720</v>
      </c>
      <c r="ER3" s="19">
        <v>843090551</v>
      </c>
      <c r="ES3" s="19">
        <v>722236821</v>
      </c>
      <c r="ET3" s="19">
        <v>154401320</v>
      </c>
      <c r="EU3" s="19">
        <v>1051467049</v>
      </c>
      <c r="EV3" s="19">
        <v>93354690</v>
      </c>
      <c r="EW3" s="19">
        <v>82509065</v>
      </c>
      <c r="EX3" s="19">
        <v>642884525</v>
      </c>
      <c r="EY3" s="19">
        <v>726610563</v>
      </c>
      <c r="EZ3" s="19">
        <v>43128259</v>
      </c>
      <c r="FA3" s="19">
        <v>206452521</v>
      </c>
      <c r="FB3" s="19">
        <v>116398148</v>
      </c>
      <c r="FC3" s="19" t="s">
        <v>89</v>
      </c>
      <c r="FD3" s="19">
        <v>38674689</v>
      </c>
      <c r="FE3" s="19">
        <v>2449345724</v>
      </c>
      <c r="FF3" s="19">
        <v>40450015</v>
      </c>
      <c r="FG3" s="19">
        <v>391866299</v>
      </c>
      <c r="FH3" s="19">
        <v>17766118</v>
      </c>
      <c r="FI3" s="19">
        <v>31453743</v>
      </c>
      <c r="FJ3" s="19">
        <v>57546214</v>
      </c>
      <c r="FK3" s="19">
        <v>238140053</v>
      </c>
      <c r="FL3" s="19">
        <v>23933693</v>
      </c>
      <c r="FM3" s="19">
        <v>9095899</v>
      </c>
      <c r="FN3" s="19" t="s">
        <v>89</v>
      </c>
      <c r="FO3" s="19">
        <v>40559419</v>
      </c>
      <c r="FP3" s="19">
        <v>130231946</v>
      </c>
      <c r="FQ3" s="19" t="s">
        <v>89</v>
      </c>
      <c r="FR3" s="19">
        <v>6018226</v>
      </c>
      <c r="FS3" s="19">
        <v>14072119</v>
      </c>
      <c r="FT3" s="19">
        <v>112017144</v>
      </c>
      <c r="FU3" s="19" t="s">
        <v>89</v>
      </c>
      <c r="FV3" s="19">
        <v>136303892</v>
      </c>
      <c r="FW3" s="19">
        <v>193034422</v>
      </c>
      <c r="FX3" s="19" t="s">
        <v>157</v>
      </c>
      <c r="FY3" s="19">
        <v>244590106</v>
      </c>
      <c r="FZ3" s="19">
        <v>105805161</v>
      </c>
      <c r="GA3" s="19" t="s">
        <v>89</v>
      </c>
      <c r="GB3" s="19" t="s">
        <v>89</v>
      </c>
      <c r="GC3" s="19">
        <v>290931151</v>
      </c>
      <c r="GD3" s="19" t="s">
        <v>89</v>
      </c>
      <c r="GE3" s="19">
        <v>11447539</v>
      </c>
      <c r="GF3" s="19" t="s">
        <v>89</v>
      </c>
      <c r="GG3" s="19">
        <v>70150469</v>
      </c>
      <c r="GH3" s="19">
        <v>15909785</v>
      </c>
    </row>
    <row r="4" spans="1:190" ht="17.55" customHeight="1">
      <c r="A4" s="7" t="s">
        <v>1</v>
      </c>
      <c r="B4" s="11" t="s">
        <v>23</v>
      </c>
      <c r="C4" s="19">
        <v>321380778</v>
      </c>
      <c r="D4" s="19">
        <v>996089863</v>
      </c>
      <c r="E4" s="19">
        <v>139699197</v>
      </c>
      <c r="F4" s="19">
        <v>292366443</v>
      </c>
      <c r="G4" s="19">
        <v>163856944</v>
      </c>
      <c r="H4" s="19">
        <v>174475109</v>
      </c>
      <c r="I4" s="19">
        <v>635807918</v>
      </c>
      <c r="J4" s="19" t="s">
        <v>89</v>
      </c>
      <c r="K4" s="19">
        <v>335980575</v>
      </c>
      <c r="L4" s="19">
        <v>104771690</v>
      </c>
      <c r="M4" s="19">
        <v>472218946</v>
      </c>
      <c r="N4" s="19">
        <v>281417817</v>
      </c>
      <c r="O4" s="19">
        <v>832882298</v>
      </c>
      <c r="P4" s="19">
        <v>1491877963</v>
      </c>
      <c r="Q4" s="19">
        <v>35306819</v>
      </c>
      <c r="R4" s="19">
        <v>217278918</v>
      </c>
      <c r="S4" s="19">
        <v>1796349412</v>
      </c>
      <c r="T4" s="19">
        <v>7281004</v>
      </c>
      <c r="U4" s="19">
        <v>2153709475</v>
      </c>
      <c r="V4" s="19">
        <v>111841042</v>
      </c>
      <c r="W4" s="19">
        <v>571578682</v>
      </c>
      <c r="X4" s="19">
        <v>1041440405</v>
      </c>
      <c r="Y4" s="19">
        <v>158398143</v>
      </c>
      <c r="Z4" s="19">
        <v>177888201</v>
      </c>
      <c r="AA4" s="19">
        <v>2713966966</v>
      </c>
      <c r="AB4" s="19">
        <v>195814387</v>
      </c>
      <c r="AC4" s="19">
        <v>177492308</v>
      </c>
      <c r="AD4" s="19">
        <v>357793689</v>
      </c>
      <c r="AE4" s="19">
        <v>415806085</v>
      </c>
      <c r="AF4" s="19">
        <v>158684034</v>
      </c>
      <c r="AG4" s="19">
        <v>387294675</v>
      </c>
      <c r="AH4" s="19">
        <v>1107816337</v>
      </c>
      <c r="AI4" s="19">
        <v>102459025</v>
      </c>
      <c r="AJ4" s="19">
        <v>144146286</v>
      </c>
      <c r="AK4" s="19" t="s">
        <v>89</v>
      </c>
      <c r="AL4" s="19">
        <v>445465980</v>
      </c>
      <c r="AM4" s="19">
        <v>1544236167</v>
      </c>
      <c r="AN4" s="19">
        <v>109349551</v>
      </c>
      <c r="AO4" s="19">
        <v>178973342</v>
      </c>
      <c r="AP4" s="19">
        <v>783046993</v>
      </c>
      <c r="AQ4" s="19">
        <v>12522617</v>
      </c>
      <c r="AR4" s="19">
        <v>85207076</v>
      </c>
      <c r="AS4" s="19">
        <v>1098920893</v>
      </c>
      <c r="AT4" s="19">
        <v>231957452</v>
      </c>
      <c r="AU4" s="19">
        <v>149534528</v>
      </c>
      <c r="AV4" s="19">
        <v>240496043</v>
      </c>
      <c r="AW4" s="19">
        <v>53500141</v>
      </c>
      <c r="AX4" s="19" t="s">
        <v>96</v>
      </c>
      <c r="AY4" s="19">
        <v>110206391</v>
      </c>
      <c r="AZ4" s="19">
        <v>123190905</v>
      </c>
      <c r="BA4" s="19">
        <v>617558462</v>
      </c>
      <c r="BB4" s="19">
        <v>64926931</v>
      </c>
      <c r="BC4" s="19">
        <v>1095130024</v>
      </c>
      <c r="BD4" s="19">
        <v>132604546</v>
      </c>
      <c r="BE4" s="19">
        <v>188266890</v>
      </c>
      <c r="BF4" s="19">
        <v>619890164</v>
      </c>
      <c r="BG4" s="19">
        <v>539788896</v>
      </c>
      <c r="BH4" s="19">
        <v>84785982</v>
      </c>
      <c r="BI4" s="19">
        <v>348921528</v>
      </c>
      <c r="BJ4" s="19">
        <v>461385817</v>
      </c>
      <c r="BK4" s="19">
        <v>333948275</v>
      </c>
      <c r="BL4" s="19">
        <v>345490257</v>
      </c>
      <c r="BM4" s="19">
        <v>94828434</v>
      </c>
      <c r="BN4" s="19">
        <v>120051391</v>
      </c>
      <c r="BO4" s="19">
        <v>71109167</v>
      </c>
      <c r="BP4" s="19">
        <v>38205420</v>
      </c>
      <c r="BQ4" s="19" t="s">
        <v>175</v>
      </c>
      <c r="BR4" s="19">
        <v>212422812</v>
      </c>
      <c r="BS4" s="19">
        <v>7168865</v>
      </c>
      <c r="BT4" s="19">
        <v>33321541</v>
      </c>
      <c r="BU4" s="19">
        <v>50709191</v>
      </c>
      <c r="BV4" s="19">
        <v>497584619</v>
      </c>
      <c r="BW4" s="19">
        <v>63002574</v>
      </c>
      <c r="BX4" s="19">
        <v>169139451</v>
      </c>
      <c r="BY4" s="19">
        <v>700995690</v>
      </c>
      <c r="BZ4" s="19">
        <v>547903677</v>
      </c>
      <c r="CA4" s="19">
        <v>97700735</v>
      </c>
      <c r="CB4" s="19">
        <v>80046184</v>
      </c>
      <c r="CC4" s="19">
        <v>83053304</v>
      </c>
      <c r="CD4" s="19">
        <v>214415802</v>
      </c>
      <c r="CE4" s="19">
        <v>164799003</v>
      </c>
      <c r="CF4" s="19">
        <v>236084785</v>
      </c>
      <c r="CG4" s="19">
        <v>244729175</v>
      </c>
      <c r="CH4" s="19">
        <v>119556807</v>
      </c>
      <c r="CI4" s="19">
        <v>317293439</v>
      </c>
      <c r="CJ4" s="19">
        <v>100378241</v>
      </c>
      <c r="CK4" s="19">
        <v>621024124</v>
      </c>
      <c r="CL4" s="19">
        <v>37233058</v>
      </c>
      <c r="CM4" s="19">
        <v>794181397</v>
      </c>
      <c r="CN4" s="19">
        <v>105112965</v>
      </c>
      <c r="CO4" s="19">
        <v>264189475</v>
      </c>
      <c r="CP4" s="19">
        <v>263378683</v>
      </c>
      <c r="CQ4" s="19" t="s">
        <v>96</v>
      </c>
      <c r="CR4" s="19">
        <v>282507308</v>
      </c>
      <c r="CS4" s="19">
        <v>608899499</v>
      </c>
      <c r="CT4" s="19">
        <v>1265903491</v>
      </c>
      <c r="CU4" s="19">
        <v>306500495</v>
      </c>
      <c r="CV4" s="19">
        <v>7086703</v>
      </c>
      <c r="CW4" s="19">
        <v>721060601</v>
      </c>
      <c r="CX4" s="19">
        <v>1131978918</v>
      </c>
      <c r="CY4" s="19">
        <v>2340821596</v>
      </c>
      <c r="CZ4" s="19">
        <v>241525557</v>
      </c>
      <c r="DA4" s="19">
        <v>66486395</v>
      </c>
      <c r="DB4" s="19">
        <v>522582975</v>
      </c>
      <c r="DC4" s="19">
        <v>34511444</v>
      </c>
      <c r="DD4" s="19">
        <v>53563461</v>
      </c>
      <c r="DE4" s="19">
        <v>37490106</v>
      </c>
      <c r="DF4" s="19">
        <v>38216269</v>
      </c>
      <c r="DG4" s="19">
        <v>213152712</v>
      </c>
      <c r="DH4" s="19">
        <v>119091726</v>
      </c>
      <c r="DI4" s="19">
        <v>499043222</v>
      </c>
      <c r="DJ4" s="19">
        <v>32440832</v>
      </c>
      <c r="DK4" s="19">
        <v>573721487</v>
      </c>
      <c r="DL4" s="19">
        <v>50275309</v>
      </c>
      <c r="DM4" s="19">
        <v>574706722</v>
      </c>
      <c r="DN4" s="19">
        <v>50136197</v>
      </c>
      <c r="DO4" s="19">
        <v>69861783</v>
      </c>
      <c r="DP4" s="19">
        <v>600137942</v>
      </c>
      <c r="DQ4" s="19">
        <v>320819900</v>
      </c>
      <c r="DR4" s="19">
        <v>177015824</v>
      </c>
      <c r="DS4" s="19">
        <v>37271882</v>
      </c>
      <c r="DT4" s="19">
        <v>407460787</v>
      </c>
      <c r="DU4" s="19">
        <v>70742942</v>
      </c>
      <c r="DV4" s="19">
        <v>675044630</v>
      </c>
      <c r="DW4" s="19">
        <v>464639467</v>
      </c>
      <c r="DX4" s="19">
        <v>274371832</v>
      </c>
      <c r="DY4" s="19">
        <v>108094341</v>
      </c>
      <c r="DZ4" s="19">
        <v>339909111</v>
      </c>
      <c r="EA4" s="19">
        <v>11035999</v>
      </c>
      <c r="EB4" s="19">
        <v>356144103</v>
      </c>
      <c r="EC4" s="19">
        <v>112507991</v>
      </c>
      <c r="ED4" s="19">
        <v>27073982</v>
      </c>
      <c r="EE4" s="19">
        <v>39310623</v>
      </c>
      <c r="EF4" s="19">
        <v>914812591</v>
      </c>
      <c r="EG4" s="19">
        <v>1447222864</v>
      </c>
      <c r="EH4" s="19">
        <v>21874889</v>
      </c>
      <c r="EI4" s="19">
        <v>308272510</v>
      </c>
      <c r="EJ4" s="19">
        <v>134277345</v>
      </c>
      <c r="EK4" s="19" t="s">
        <v>89</v>
      </c>
      <c r="EL4" s="19">
        <v>1970612750</v>
      </c>
      <c r="EM4" s="19">
        <v>332698639</v>
      </c>
      <c r="EN4" s="19">
        <v>1899879231</v>
      </c>
      <c r="EO4" s="19">
        <v>221205403</v>
      </c>
      <c r="EP4" s="19">
        <v>110145454</v>
      </c>
      <c r="EQ4" s="19">
        <v>223881720</v>
      </c>
      <c r="ER4" s="19">
        <v>818890189</v>
      </c>
      <c r="ES4" s="19">
        <v>207750661</v>
      </c>
      <c r="ET4" s="19">
        <v>154401320</v>
      </c>
      <c r="EU4" s="19">
        <v>1051467049</v>
      </c>
      <c r="EV4" s="19">
        <v>7231555</v>
      </c>
      <c r="EW4" s="19">
        <v>46747864</v>
      </c>
      <c r="EX4" s="19">
        <v>642884525</v>
      </c>
      <c r="EY4" s="19">
        <v>726610563</v>
      </c>
      <c r="EZ4" s="19">
        <v>37448055</v>
      </c>
      <c r="FA4" s="19">
        <v>195084521</v>
      </c>
      <c r="FB4" s="19">
        <v>82282418</v>
      </c>
      <c r="FC4" s="19" t="s">
        <v>89</v>
      </c>
      <c r="FD4" s="19">
        <v>38674689</v>
      </c>
      <c r="FE4" s="19">
        <v>2351608123</v>
      </c>
      <c r="FF4" s="19">
        <v>40450015</v>
      </c>
      <c r="FG4" s="19">
        <v>262959459</v>
      </c>
      <c r="FH4" s="19">
        <v>17766118</v>
      </c>
      <c r="FI4" s="19">
        <v>15203743</v>
      </c>
      <c r="FJ4" s="19">
        <v>57546214</v>
      </c>
      <c r="FK4" s="19">
        <v>219640053</v>
      </c>
      <c r="FL4" s="19">
        <v>23933693</v>
      </c>
      <c r="FM4" s="19">
        <v>9095899</v>
      </c>
      <c r="FN4" s="19" t="s">
        <v>89</v>
      </c>
      <c r="FO4" s="19">
        <v>40559419</v>
      </c>
      <c r="FP4" s="19">
        <v>130231946</v>
      </c>
      <c r="FQ4" s="19" t="s">
        <v>89</v>
      </c>
      <c r="FR4" s="19">
        <v>2645214</v>
      </c>
      <c r="FS4" s="19">
        <v>14072119</v>
      </c>
      <c r="FT4" s="19">
        <v>112017144</v>
      </c>
      <c r="FU4" s="19" t="s">
        <v>89</v>
      </c>
      <c r="FV4" s="19">
        <v>136303892</v>
      </c>
      <c r="FW4" s="19">
        <v>47834422</v>
      </c>
      <c r="FX4" s="19" t="s">
        <v>157</v>
      </c>
      <c r="FY4" s="19">
        <v>240602506</v>
      </c>
      <c r="FZ4" s="19">
        <v>105805161</v>
      </c>
      <c r="GA4" s="19" t="s">
        <v>89</v>
      </c>
      <c r="GB4" s="19" t="s">
        <v>89</v>
      </c>
      <c r="GC4" s="19">
        <v>290931151</v>
      </c>
      <c r="GD4" s="19" t="s">
        <v>89</v>
      </c>
      <c r="GE4" s="19">
        <v>11447539</v>
      </c>
      <c r="GF4" s="19" t="s">
        <v>89</v>
      </c>
      <c r="GG4" s="19">
        <v>40982369</v>
      </c>
      <c r="GH4" s="19">
        <v>15909785</v>
      </c>
    </row>
    <row r="5" spans="1:190" ht="17.55" customHeight="1">
      <c r="A5" s="7" t="s">
        <v>1</v>
      </c>
      <c r="B5" s="12" t="s">
        <v>61</v>
      </c>
      <c r="C5" s="19">
        <v>50514822</v>
      </c>
      <c r="D5" s="19">
        <v>366469610</v>
      </c>
      <c r="E5" s="19">
        <v>117996382</v>
      </c>
      <c r="F5" s="19">
        <v>284600332</v>
      </c>
      <c r="G5" s="19">
        <v>126610284</v>
      </c>
      <c r="H5" s="19">
        <v>37591789</v>
      </c>
      <c r="I5" s="19">
        <v>56119549</v>
      </c>
      <c r="J5" s="19" t="s">
        <v>89</v>
      </c>
      <c r="K5" s="19">
        <v>150681535</v>
      </c>
      <c r="L5" s="19">
        <v>21041000</v>
      </c>
      <c r="M5" s="19">
        <v>141954558</v>
      </c>
      <c r="N5" s="19">
        <v>184451120</v>
      </c>
      <c r="O5" s="19">
        <v>445088568</v>
      </c>
      <c r="P5" s="19">
        <v>1007282659</v>
      </c>
      <c r="Q5" s="19">
        <v>34242285</v>
      </c>
      <c r="R5" s="19">
        <v>215288728</v>
      </c>
      <c r="S5" s="19">
        <v>1419971027</v>
      </c>
      <c r="T5" s="19">
        <v>7081004</v>
      </c>
      <c r="U5" s="19">
        <v>1929692844</v>
      </c>
      <c r="V5" s="19">
        <v>4016198</v>
      </c>
      <c r="W5" s="19">
        <v>298739375</v>
      </c>
      <c r="X5" s="19">
        <v>497916342</v>
      </c>
      <c r="Y5" s="19">
        <v>137108002</v>
      </c>
      <c r="Z5" s="19">
        <v>92144047</v>
      </c>
      <c r="AA5" s="19">
        <v>169084938</v>
      </c>
      <c r="AB5" s="19">
        <v>88366009</v>
      </c>
      <c r="AC5" s="19">
        <v>130059839</v>
      </c>
      <c r="AD5" s="19">
        <v>262824455</v>
      </c>
      <c r="AE5" s="19">
        <v>209435926</v>
      </c>
      <c r="AF5" s="19">
        <v>112477794</v>
      </c>
      <c r="AG5" s="19">
        <v>74183887</v>
      </c>
      <c r="AH5" s="19">
        <v>471725237</v>
      </c>
      <c r="AI5" s="19">
        <v>36021470</v>
      </c>
      <c r="AJ5" s="19">
        <v>29774120</v>
      </c>
      <c r="AK5" s="19" t="s">
        <v>89</v>
      </c>
      <c r="AL5" s="19">
        <v>383739310</v>
      </c>
      <c r="AM5" s="19">
        <v>226981604</v>
      </c>
      <c r="AN5" s="19">
        <v>106049271</v>
      </c>
      <c r="AO5" s="19">
        <v>27553500</v>
      </c>
      <c r="AP5" s="19">
        <v>554018859</v>
      </c>
      <c r="AQ5" s="19">
        <v>11173950</v>
      </c>
      <c r="AR5" s="19">
        <v>82091885</v>
      </c>
      <c r="AS5" s="19">
        <v>100449294</v>
      </c>
      <c r="AT5" s="19">
        <v>210289089</v>
      </c>
      <c r="AU5" s="19">
        <v>24426125</v>
      </c>
      <c r="AV5" s="19">
        <v>204289350</v>
      </c>
      <c r="AW5" s="19">
        <v>8027192</v>
      </c>
      <c r="AX5" s="19" t="s">
        <v>96</v>
      </c>
      <c r="AY5" s="19">
        <v>101253118</v>
      </c>
      <c r="AZ5" s="19">
        <v>37891884</v>
      </c>
      <c r="BA5" s="19">
        <v>11745884</v>
      </c>
      <c r="BB5" s="19">
        <v>64431904</v>
      </c>
      <c r="BC5" s="19">
        <v>242541810</v>
      </c>
      <c r="BD5" s="19">
        <v>130779126</v>
      </c>
      <c r="BE5" s="19">
        <v>89365711</v>
      </c>
      <c r="BF5" s="19">
        <v>270491713</v>
      </c>
      <c r="BG5" s="19">
        <v>434100321</v>
      </c>
      <c r="BH5" s="19">
        <v>40523522</v>
      </c>
      <c r="BI5" s="19">
        <v>309670120</v>
      </c>
      <c r="BJ5" s="19">
        <v>70576266</v>
      </c>
      <c r="BK5" s="19">
        <v>68569339</v>
      </c>
      <c r="BL5" s="19">
        <v>252629154</v>
      </c>
      <c r="BM5" s="19">
        <v>32327877</v>
      </c>
      <c r="BN5" s="19">
        <v>33858017</v>
      </c>
      <c r="BO5" s="19">
        <v>27009480</v>
      </c>
      <c r="BP5" s="19">
        <v>9541843</v>
      </c>
      <c r="BQ5" s="19" t="s">
        <v>175</v>
      </c>
      <c r="BR5" s="19">
        <v>203523098</v>
      </c>
      <c r="BS5" s="19">
        <v>6978162</v>
      </c>
      <c r="BT5" s="19">
        <v>26172050</v>
      </c>
      <c r="BU5" s="19">
        <v>5627581</v>
      </c>
      <c r="BV5" s="19">
        <v>52780493</v>
      </c>
      <c r="BW5" s="19">
        <v>40389329</v>
      </c>
      <c r="BX5" s="19">
        <v>141991688</v>
      </c>
      <c r="BY5" s="19">
        <v>169884906</v>
      </c>
      <c r="BZ5" s="19">
        <v>299039499</v>
      </c>
      <c r="CA5" s="19">
        <v>25773436</v>
      </c>
      <c r="CB5" s="19">
        <v>29677227</v>
      </c>
      <c r="CC5" s="19">
        <v>81920144</v>
      </c>
      <c r="CD5" s="19">
        <v>194736245</v>
      </c>
      <c r="CE5" s="19">
        <v>4886782</v>
      </c>
      <c r="CF5" s="19">
        <v>9494181</v>
      </c>
      <c r="CG5" s="19">
        <v>223918770</v>
      </c>
      <c r="CH5" s="19">
        <v>77364352</v>
      </c>
      <c r="CI5" s="19">
        <v>16489248</v>
      </c>
      <c r="CJ5" s="19">
        <v>6706431</v>
      </c>
      <c r="CK5" s="19">
        <v>339396825</v>
      </c>
      <c r="CL5" s="19">
        <v>5888020</v>
      </c>
      <c r="CM5" s="19">
        <v>78048820</v>
      </c>
      <c r="CN5" s="19">
        <v>68872628</v>
      </c>
      <c r="CO5" s="19">
        <v>142203773</v>
      </c>
      <c r="CP5" s="19">
        <v>3312449</v>
      </c>
      <c r="CQ5" s="19" t="s">
        <v>96</v>
      </c>
      <c r="CR5" s="19">
        <v>222178865</v>
      </c>
      <c r="CS5" s="19">
        <v>161821491</v>
      </c>
      <c r="CT5" s="19">
        <v>1217600494</v>
      </c>
      <c r="CU5" s="19">
        <v>306500495</v>
      </c>
      <c r="CV5" s="19">
        <v>2300796</v>
      </c>
      <c r="CW5" s="19">
        <v>477826182</v>
      </c>
      <c r="CX5" s="19">
        <v>471613504</v>
      </c>
      <c r="CY5" s="19">
        <v>747515672</v>
      </c>
      <c r="CZ5" s="19">
        <v>116953580</v>
      </c>
      <c r="DA5" s="19">
        <v>47175400</v>
      </c>
      <c r="DB5" s="19">
        <v>252960981</v>
      </c>
      <c r="DC5" s="19">
        <v>30409952</v>
      </c>
      <c r="DD5" s="19">
        <v>48544805</v>
      </c>
      <c r="DE5" s="19">
        <v>36673519</v>
      </c>
      <c r="DF5" s="19">
        <v>31181214</v>
      </c>
      <c r="DG5" s="19">
        <v>4348340</v>
      </c>
      <c r="DH5" s="19">
        <v>42259026</v>
      </c>
      <c r="DI5" s="19">
        <v>52435443</v>
      </c>
      <c r="DJ5" s="19">
        <v>32220802</v>
      </c>
      <c r="DK5" s="19">
        <v>364908222</v>
      </c>
      <c r="DL5" s="19">
        <v>27605525</v>
      </c>
      <c r="DM5" s="19">
        <v>64766262</v>
      </c>
      <c r="DN5" s="19">
        <v>35568526</v>
      </c>
      <c r="DO5" s="19">
        <v>8665511</v>
      </c>
      <c r="DP5" s="19">
        <v>382202640</v>
      </c>
      <c r="DQ5" s="19">
        <v>6964070</v>
      </c>
      <c r="DR5" s="19">
        <v>55951634</v>
      </c>
      <c r="DS5" s="19">
        <v>14978087</v>
      </c>
      <c r="DT5" s="19">
        <v>252693114</v>
      </c>
      <c r="DU5" s="19">
        <v>69789236</v>
      </c>
      <c r="DV5" s="19">
        <v>674771450</v>
      </c>
      <c r="DW5" s="19">
        <v>284521968</v>
      </c>
      <c r="DX5" s="19">
        <v>148333162</v>
      </c>
      <c r="DY5" s="19">
        <v>7555099</v>
      </c>
      <c r="DZ5" s="19">
        <v>257833525</v>
      </c>
      <c r="EA5" s="19">
        <v>5038299</v>
      </c>
      <c r="EB5" s="19">
        <v>84859370</v>
      </c>
      <c r="EC5" s="19">
        <v>64582122</v>
      </c>
      <c r="ED5" s="19">
        <v>20625704</v>
      </c>
      <c r="EE5" s="19">
        <v>22012497</v>
      </c>
      <c r="EF5" s="19">
        <v>155274678</v>
      </c>
      <c r="EG5" s="19">
        <v>1259117212</v>
      </c>
      <c r="EH5" s="19">
        <v>19152891</v>
      </c>
      <c r="EI5" s="19">
        <v>139138874</v>
      </c>
      <c r="EJ5" s="19">
        <v>134190475</v>
      </c>
      <c r="EK5" s="19" t="s">
        <v>89</v>
      </c>
      <c r="EL5" s="19">
        <v>1007169944</v>
      </c>
      <c r="EM5" s="19">
        <v>257093602</v>
      </c>
      <c r="EN5" s="19">
        <v>616674618</v>
      </c>
      <c r="EO5" s="19">
        <v>165806184</v>
      </c>
      <c r="EP5" s="19">
        <v>5914830</v>
      </c>
      <c r="EQ5" s="19">
        <v>223881720</v>
      </c>
      <c r="ER5" s="19">
        <v>83912473</v>
      </c>
      <c r="ES5" s="19">
        <v>125369392</v>
      </c>
      <c r="ET5" s="19">
        <v>64715842</v>
      </c>
      <c r="EU5" s="19">
        <v>999149646</v>
      </c>
      <c r="EV5" s="19">
        <v>2103883</v>
      </c>
      <c r="EW5" s="19">
        <v>10828274</v>
      </c>
      <c r="EX5" s="19">
        <v>480614254</v>
      </c>
      <c r="EY5" s="19">
        <v>455611214</v>
      </c>
      <c r="EZ5" s="19">
        <v>32133162</v>
      </c>
      <c r="FA5" s="19">
        <v>133651481</v>
      </c>
      <c r="FB5" s="19">
        <v>42046538</v>
      </c>
      <c r="FC5" s="19" t="s">
        <v>89</v>
      </c>
      <c r="FD5" s="19">
        <v>6720189</v>
      </c>
      <c r="FE5" s="19">
        <v>1378558855</v>
      </c>
      <c r="FF5" s="19">
        <v>37614410</v>
      </c>
      <c r="FG5" s="19">
        <v>181592752</v>
      </c>
      <c r="FH5" s="19">
        <v>682118</v>
      </c>
      <c r="FI5" s="19">
        <v>9887285</v>
      </c>
      <c r="FJ5" s="19">
        <v>41588602</v>
      </c>
      <c r="FK5" s="19">
        <v>133537057</v>
      </c>
      <c r="FL5" s="19">
        <v>22245896</v>
      </c>
      <c r="FM5" s="19">
        <v>1416255</v>
      </c>
      <c r="FN5" s="19" t="s">
        <v>89</v>
      </c>
      <c r="FO5" s="19">
        <v>40559419</v>
      </c>
      <c r="FP5" s="19">
        <v>139736203</v>
      </c>
      <c r="FQ5" s="19" t="s">
        <v>89</v>
      </c>
      <c r="FR5" s="19">
        <v>738768</v>
      </c>
      <c r="FS5" s="19">
        <v>13956719</v>
      </c>
      <c r="FT5" s="19">
        <v>110000000</v>
      </c>
      <c r="FU5" s="19" t="s">
        <v>89</v>
      </c>
      <c r="FV5" s="19">
        <v>12128368</v>
      </c>
      <c r="FW5" s="19">
        <v>36184920</v>
      </c>
      <c r="FX5" s="19" t="s">
        <v>157</v>
      </c>
      <c r="FY5" s="19">
        <v>209127086</v>
      </c>
      <c r="FZ5" s="19">
        <v>41576506</v>
      </c>
      <c r="GA5" s="19" t="s">
        <v>89</v>
      </c>
      <c r="GB5" s="19" t="s">
        <v>89</v>
      </c>
      <c r="GC5" s="19">
        <v>90778761</v>
      </c>
      <c r="GD5" s="19" t="s">
        <v>89</v>
      </c>
      <c r="GE5" s="19">
        <v>8617095</v>
      </c>
      <c r="GF5" s="19" t="s">
        <v>89</v>
      </c>
      <c r="GG5" s="19">
        <v>5803907</v>
      </c>
      <c r="GH5" s="19">
        <v>11869888</v>
      </c>
    </row>
    <row r="6" spans="1:190" ht="17.55" customHeight="1">
      <c r="A6" s="7" t="s">
        <v>1</v>
      </c>
      <c r="B6" s="12" t="s">
        <v>75</v>
      </c>
      <c r="C6" s="19">
        <v>237994260</v>
      </c>
      <c r="D6" s="19"/>
      <c r="E6" s="19"/>
      <c r="F6" s="19"/>
      <c r="G6" s="19">
        <v>10530000</v>
      </c>
      <c r="H6" s="19"/>
      <c r="I6" s="19"/>
      <c r="J6" s="19" t="s">
        <v>89</v>
      </c>
      <c r="K6" s="19"/>
      <c r="L6" s="19">
        <v>4500000</v>
      </c>
      <c r="M6" s="19"/>
      <c r="N6" s="19">
        <v>50000000</v>
      </c>
      <c r="O6" s="19">
        <v>1200000</v>
      </c>
      <c r="P6" s="19"/>
      <c r="Q6" s="19"/>
      <c r="R6" s="19"/>
      <c r="S6" s="19"/>
      <c r="T6" s="19"/>
      <c r="U6" s="19"/>
      <c r="V6" s="19"/>
      <c r="W6" s="19"/>
      <c r="X6" s="19">
        <v>44657558</v>
      </c>
      <c r="Y6" s="19">
        <v>5100000</v>
      </c>
      <c r="Z6" s="19"/>
      <c r="AA6" s="19"/>
      <c r="AB6" s="19"/>
      <c r="AC6" s="19">
        <v>385266</v>
      </c>
      <c r="AD6" s="19"/>
      <c r="AE6" s="19">
        <v>31893933</v>
      </c>
      <c r="AF6" s="19"/>
      <c r="AG6" s="19"/>
      <c r="AH6" s="19">
        <v>504857239</v>
      </c>
      <c r="AI6" s="19">
        <v>250000</v>
      </c>
      <c r="AJ6" s="19"/>
      <c r="AK6" s="19" t="s">
        <v>89</v>
      </c>
      <c r="AL6" s="19"/>
      <c r="AM6" s="19"/>
      <c r="AN6" s="19"/>
      <c r="AO6" s="19"/>
      <c r="AP6" s="19">
        <v>3100000</v>
      </c>
      <c r="AQ6" s="19"/>
      <c r="AR6" s="19"/>
      <c r="AS6" s="19"/>
      <c r="AT6" s="19"/>
      <c r="AU6" s="19">
        <v>1400000</v>
      </c>
      <c r="AV6" s="19"/>
      <c r="AW6" s="19">
        <v>20860067</v>
      </c>
      <c r="AX6" s="19" t="s">
        <v>96</v>
      </c>
      <c r="AY6" s="19"/>
      <c r="AZ6" s="19"/>
      <c r="BA6" s="19"/>
      <c r="BB6" s="19"/>
      <c r="BC6" s="19"/>
      <c r="BD6" s="19"/>
      <c r="BE6" s="19">
        <v>800000</v>
      </c>
      <c r="BF6" s="19">
        <v>88975000</v>
      </c>
      <c r="BG6" s="19"/>
      <c r="BH6" s="19"/>
      <c r="BI6" s="19"/>
      <c r="BJ6" s="19"/>
      <c r="BK6" s="19"/>
      <c r="BL6" s="19">
        <v>92797497</v>
      </c>
      <c r="BM6" s="19"/>
      <c r="BN6" s="19"/>
      <c r="BO6" s="19">
        <v>12000000</v>
      </c>
      <c r="BP6" s="19"/>
      <c r="BQ6" s="19" t="s">
        <v>175</v>
      </c>
      <c r="BR6" s="19"/>
      <c r="BS6" s="19"/>
      <c r="BT6" s="19"/>
      <c r="BU6" s="19"/>
      <c r="BV6" s="19">
        <v>3800000</v>
      </c>
      <c r="BW6" s="19"/>
      <c r="BX6" s="19"/>
      <c r="BY6" s="19"/>
      <c r="BZ6" s="19">
        <v>169890671</v>
      </c>
      <c r="CA6" s="19"/>
      <c r="CB6" s="19"/>
      <c r="CC6" s="19"/>
      <c r="CD6" s="19"/>
      <c r="CE6" s="19"/>
      <c r="CF6" s="19"/>
      <c r="CG6" s="19">
        <v>925000</v>
      </c>
      <c r="CH6" s="19"/>
      <c r="CI6" s="19">
        <v>4150000</v>
      </c>
      <c r="CJ6" s="19">
        <v>20000000</v>
      </c>
      <c r="CK6" s="19">
        <v>5500000</v>
      </c>
      <c r="CL6" s="19">
        <v>6000000</v>
      </c>
      <c r="CM6" s="19">
        <v>427908596</v>
      </c>
      <c r="CN6" s="19">
        <v>3850000</v>
      </c>
      <c r="CO6" s="19"/>
      <c r="CP6" s="19">
        <v>18900000</v>
      </c>
      <c r="CQ6" s="19" t="s">
        <v>96</v>
      </c>
      <c r="CR6" s="19"/>
      <c r="CS6" s="19"/>
      <c r="CT6" s="19">
        <v>27598000</v>
      </c>
      <c r="CU6" s="19"/>
      <c r="CV6" s="19">
        <v>1748098</v>
      </c>
      <c r="CW6" s="19"/>
      <c r="CX6" s="19">
        <v>561233355</v>
      </c>
      <c r="CY6" s="19">
        <v>524186908</v>
      </c>
      <c r="CZ6" s="19"/>
      <c r="DA6" s="19"/>
      <c r="DB6" s="19"/>
      <c r="DC6" s="19"/>
      <c r="DD6" s="19"/>
      <c r="DE6" s="19"/>
      <c r="DF6" s="19"/>
      <c r="DG6" s="19"/>
      <c r="DH6" s="19"/>
      <c r="DI6" s="19">
        <v>12910021</v>
      </c>
      <c r="DJ6" s="19"/>
      <c r="DK6" s="19">
        <v>15060570</v>
      </c>
      <c r="DL6" s="19"/>
      <c r="DM6" s="19"/>
      <c r="DN6" s="19"/>
      <c r="DO6" s="19"/>
      <c r="DP6" s="19"/>
      <c r="DQ6" s="19"/>
      <c r="DR6" s="19"/>
      <c r="DS6" s="19"/>
      <c r="DT6" s="19"/>
      <c r="DU6" s="19"/>
      <c r="DV6" s="19"/>
      <c r="DW6" s="19"/>
      <c r="DX6" s="19"/>
      <c r="DY6" s="19"/>
      <c r="DZ6" s="19"/>
      <c r="EA6" s="19"/>
      <c r="EB6" s="19"/>
      <c r="EC6" s="19"/>
      <c r="ED6" s="19"/>
      <c r="EE6" s="19">
        <v>6000000</v>
      </c>
      <c r="EF6" s="19">
        <v>3760983</v>
      </c>
      <c r="EG6" s="19">
        <v>40000000</v>
      </c>
      <c r="EH6" s="19">
        <v>760138</v>
      </c>
      <c r="EI6" s="19">
        <v>154351314</v>
      </c>
      <c r="EJ6" s="19"/>
      <c r="EK6" s="19" t="s">
        <v>89</v>
      </c>
      <c r="EL6" s="19">
        <v>734029490</v>
      </c>
      <c r="EM6" s="19"/>
      <c r="EN6" s="19">
        <v>982511883</v>
      </c>
      <c r="EO6" s="19"/>
      <c r="EP6" s="19">
        <v>92293480</v>
      </c>
      <c r="EQ6" s="19"/>
      <c r="ER6" s="19"/>
      <c r="ES6" s="19">
        <v>32500000</v>
      </c>
      <c r="ET6" s="19"/>
      <c r="EU6" s="19"/>
      <c r="EV6" s="19"/>
      <c r="EW6" s="19">
        <v>32174565</v>
      </c>
      <c r="EX6" s="19"/>
      <c r="EY6" s="19"/>
      <c r="EZ6" s="19"/>
      <c r="FA6" s="19"/>
      <c r="FB6" s="19"/>
      <c r="FC6" s="19" t="s">
        <v>89</v>
      </c>
      <c r="FD6" s="19"/>
      <c r="FE6" s="19">
        <v>178175660</v>
      </c>
      <c r="FF6" s="19"/>
      <c r="FG6" s="19"/>
      <c r="FH6" s="19"/>
      <c r="FI6" s="19"/>
      <c r="FJ6" s="19">
        <v>10382858</v>
      </c>
      <c r="FK6" s="19"/>
      <c r="FL6" s="19"/>
      <c r="FM6" s="19">
        <v>7019644</v>
      </c>
      <c r="FN6" s="19" t="s">
        <v>89</v>
      </c>
      <c r="FO6" s="19"/>
      <c r="FP6" s="19"/>
      <c r="FQ6" s="19" t="s">
        <v>89</v>
      </c>
      <c r="FR6" s="19"/>
      <c r="FS6" s="19"/>
      <c r="FT6" s="19"/>
      <c r="FU6" s="19" t="s">
        <v>89</v>
      </c>
      <c r="FV6" s="19"/>
      <c r="FW6" s="19"/>
      <c r="FX6" s="19" t="s">
        <v>157</v>
      </c>
      <c r="FY6" s="19"/>
      <c r="FZ6" s="19"/>
      <c r="GA6" s="19" t="s">
        <v>89</v>
      </c>
      <c r="GB6" s="19" t="s">
        <v>89</v>
      </c>
      <c r="GC6" s="19"/>
      <c r="GD6" s="19" t="s">
        <v>89</v>
      </c>
      <c r="GE6" s="19"/>
      <c r="GF6" s="19" t="s">
        <v>89</v>
      </c>
      <c r="GG6" s="19">
        <v>3825582</v>
      </c>
      <c r="GH6" s="19">
        <v>1576872</v>
      </c>
    </row>
    <row r="7" spans="1:190" ht="17.55" customHeight="1">
      <c r="A7" s="7" t="s">
        <v>1</v>
      </c>
      <c r="B7" s="13" t="s">
        <v>51</v>
      </c>
      <c r="C7" s="19">
        <v>7117512</v>
      </c>
      <c r="D7" s="19">
        <v>624866839</v>
      </c>
      <c r="E7" s="19">
        <v>4183826</v>
      </c>
      <c r="F7" s="19"/>
      <c r="G7" s="19">
        <v>24758800</v>
      </c>
      <c r="H7" s="19"/>
      <c r="I7" s="19"/>
      <c r="J7" s="19" t="s">
        <v>89</v>
      </c>
      <c r="K7" s="19">
        <v>181577406</v>
      </c>
      <c r="L7" s="19">
        <v>78327110</v>
      </c>
      <c r="M7" s="19"/>
      <c r="N7" s="19">
        <v>38320313</v>
      </c>
      <c r="O7" s="19"/>
      <c r="P7" s="19"/>
      <c r="Q7" s="19">
        <v>441713</v>
      </c>
      <c r="R7" s="19">
        <v>1177520</v>
      </c>
      <c r="S7" s="19">
        <v>167421885</v>
      </c>
      <c r="T7" s="19"/>
      <c r="U7" s="19">
        <v>173934353</v>
      </c>
      <c r="V7" s="19">
        <v>7256510</v>
      </c>
      <c r="W7" s="19">
        <v>272796393</v>
      </c>
      <c r="X7" s="19">
        <v>218095465</v>
      </c>
      <c r="Y7" s="19">
        <v>496377</v>
      </c>
      <c r="Z7" s="19">
        <v>15004487</v>
      </c>
      <c r="AA7" s="19">
        <v>2281111546</v>
      </c>
      <c r="AB7" s="19">
        <v>832000</v>
      </c>
      <c r="AC7" s="19">
        <v>10137000</v>
      </c>
      <c r="AD7" s="19">
        <v>52265162</v>
      </c>
      <c r="AE7" s="19">
        <v>33038260</v>
      </c>
      <c r="AF7" s="19">
        <v>46156700</v>
      </c>
      <c r="AG7" s="19">
        <v>254276134</v>
      </c>
      <c r="AH7" s="19">
        <v>58553423</v>
      </c>
      <c r="AI7" s="19">
        <v>30983949</v>
      </c>
      <c r="AJ7" s="19">
        <v>111031369</v>
      </c>
      <c r="AK7" s="19" t="s">
        <v>89</v>
      </c>
      <c r="AL7" s="19">
        <v>2585840</v>
      </c>
      <c r="AM7" s="19">
        <v>167216149</v>
      </c>
      <c r="AN7" s="19"/>
      <c r="AO7" s="19">
        <v>122503145</v>
      </c>
      <c r="AP7" s="19">
        <v>9199944</v>
      </c>
      <c r="AQ7" s="19"/>
      <c r="AR7" s="19">
        <v>380000</v>
      </c>
      <c r="AS7" s="19">
        <v>491741498</v>
      </c>
      <c r="AT7" s="19"/>
      <c r="AU7" s="19">
        <v>26418000</v>
      </c>
      <c r="AV7" s="19">
        <v>36204463</v>
      </c>
      <c r="AW7" s="19">
        <v>20284412</v>
      </c>
      <c r="AX7" s="19" t="s">
        <v>96</v>
      </c>
      <c r="AY7" s="19">
        <v>5983800</v>
      </c>
      <c r="AZ7" s="19">
        <v>85299021</v>
      </c>
      <c r="BA7" s="19">
        <v>237960681</v>
      </c>
      <c r="BB7" s="19"/>
      <c r="BC7" s="19">
        <v>646980080</v>
      </c>
      <c r="BD7" s="19">
        <v>1815000</v>
      </c>
      <c r="BE7" s="19">
        <v>39129440</v>
      </c>
      <c r="BF7" s="19">
        <v>239087624</v>
      </c>
      <c r="BG7" s="19">
        <v>93177970</v>
      </c>
      <c r="BH7" s="19">
        <v>42521828</v>
      </c>
      <c r="BI7" s="19">
        <v>28669950</v>
      </c>
      <c r="BJ7" s="19">
        <v>188909899</v>
      </c>
      <c r="BK7" s="19">
        <v>196991420</v>
      </c>
      <c r="BL7" s="19"/>
      <c r="BM7" s="19">
        <v>30513985</v>
      </c>
      <c r="BN7" s="19">
        <v>84288392</v>
      </c>
      <c r="BO7" s="19">
        <v>30508386</v>
      </c>
      <c r="BP7" s="19">
        <v>6371533</v>
      </c>
      <c r="BQ7" s="19" t="s">
        <v>175</v>
      </c>
      <c r="BR7" s="19">
        <v>7968614</v>
      </c>
      <c r="BS7" s="19">
        <v>109963</v>
      </c>
      <c r="BT7" s="19">
        <v>418301</v>
      </c>
      <c r="BU7" s="19">
        <v>23193293</v>
      </c>
      <c r="BV7" s="19">
        <v>146181531</v>
      </c>
      <c r="BW7" s="19"/>
      <c r="BX7" s="19">
        <v>1972347</v>
      </c>
      <c r="BY7" s="19"/>
      <c r="BZ7" s="19">
        <v>48950456</v>
      </c>
      <c r="CA7" s="19">
        <v>43927299</v>
      </c>
      <c r="CB7" s="19">
        <v>46748882</v>
      </c>
      <c r="CC7" s="19"/>
      <c r="CD7" s="19">
        <v>18501957</v>
      </c>
      <c r="CE7" s="19">
        <v>159579481</v>
      </c>
      <c r="CF7" s="19">
        <v>11574552</v>
      </c>
      <c r="CG7" s="19"/>
      <c r="CH7" s="19">
        <v>599098</v>
      </c>
      <c r="CI7" s="19">
        <v>128629895</v>
      </c>
      <c r="CJ7" s="19">
        <v>72556910</v>
      </c>
      <c r="CK7" s="19">
        <v>237931974</v>
      </c>
      <c r="CL7" s="19">
        <v>12930226</v>
      </c>
      <c r="CM7" s="19">
        <v>275258522</v>
      </c>
      <c r="CN7" s="19">
        <v>3865444</v>
      </c>
      <c r="CO7" s="19"/>
      <c r="CP7" s="19">
        <v>206896947</v>
      </c>
      <c r="CQ7" s="19" t="s">
        <v>96</v>
      </c>
      <c r="CR7" s="19"/>
      <c r="CS7" s="19">
        <v>369500000</v>
      </c>
      <c r="CT7" s="19"/>
      <c r="CU7" s="19"/>
      <c r="CV7" s="19"/>
      <c r="CW7" s="19">
        <v>150293632</v>
      </c>
      <c r="CX7" s="19">
        <v>47301210</v>
      </c>
      <c r="CY7" s="19">
        <v>881518453</v>
      </c>
      <c r="CZ7" s="19">
        <v>106038150</v>
      </c>
      <c r="DA7" s="19">
        <v>19310995</v>
      </c>
      <c r="DB7" s="19">
        <v>148450526</v>
      </c>
      <c r="DC7" s="19">
        <v>157163</v>
      </c>
      <c r="DD7" s="19">
        <v>1265000</v>
      </c>
      <c r="DE7" s="19"/>
      <c r="DF7" s="19"/>
      <c r="DG7" s="19"/>
      <c r="DH7" s="19">
        <v>64823250</v>
      </c>
      <c r="DI7" s="19">
        <v>389250538</v>
      </c>
      <c r="DJ7" s="19"/>
      <c r="DK7" s="19">
        <v>109114056</v>
      </c>
      <c r="DL7" s="19">
        <v>11132000</v>
      </c>
      <c r="DM7" s="19">
        <v>259975965</v>
      </c>
      <c r="DN7" s="19">
        <v>2349500</v>
      </c>
      <c r="DO7" s="19">
        <v>5960000</v>
      </c>
      <c r="DP7" s="19">
        <v>163562722</v>
      </c>
      <c r="DQ7" s="19">
        <v>233373939</v>
      </c>
      <c r="DR7" s="19">
        <v>19994728</v>
      </c>
      <c r="DS7" s="19">
        <v>21667141</v>
      </c>
      <c r="DT7" s="19">
        <v>93298054</v>
      </c>
      <c r="DU7" s="19">
        <v>953706</v>
      </c>
      <c r="DV7" s="19"/>
      <c r="DW7" s="19">
        <v>77667062</v>
      </c>
      <c r="DX7" s="19">
        <v>74512400</v>
      </c>
      <c r="DY7" s="19">
        <v>61263249</v>
      </c>
      <c r="DZ7" s="19"/>
      <c r="EA7" s="19"/>
      <c r="EB7" s="19"/>
      <c r="EC7" s="19">
        <v>44656617</v>
      </c>
      <c r="ED7" s="19">
        <v>6448278</v>
      </c>
      <c r="EE7" s="19">
        <v>879500</v>
      </c>
      <c r="EF7" s="19">
        <v>755747660</v>
      </c>
      <c r="EG7" s="19">
        <v>5556196</v>
      </c>
      <c r="EH7" s="19"/>
      <c r="EI7" s="19"/>
      <c r="EJ7" s="19"/>
      <c r="EK7" s="19" t="s">
        <v>89</v>
      </c>
      <c r="EL7" s="19">
        <v>181967207</v>
      </c>
      <c r="EM7" s="19">
        <v>69646809</v>
      </c>
      <c r="EN7" s="19">
        <v>288340150</v>
      </c>
      <c r="EO7" s="19">
        <v>331000</v>
      </c>
      <c r="EP7" s="19"/>
      <c r="EQ7" s="19"/>
      <c r="ER7" s="19"/>
      <c r="ES7" s="19">
        <v>43075801</v>
      </c>
      <c r="ET7" s="19">
        <v>88000000</v>
      </c>
      <c r="EU7" s="19">
        <v>22509933</v>
      </c>
      <c r="EV7" s="19">
        <v>5008984</v>
      </c>
      <c r="EW7" s="19">
        <v>2900000</v>
      </c>
      <c r="EX7" s="19">
        <v>136277070</v>
      </c>
      <c r="EY7" s="19"/>
      <c r="EZ7" s="19">
        <v>4341904</v>
      </c>
      <c r="FA7" s="19">
        <v>61422210</v>
      </c>
      <c r="FB7" s="19">
        <v>29246505</v>
      </c>
      <c r="FC7" s="19" t="s">
        <v>89</v>
      </c>
      <c r="FD7" s="19">
        <v>26399500</v>
      </c>
      <c r="FE7" s="19">
        <v>391093216</v>
      </c>
      <c r="FF7" s="19">
        <v>2618945</v>
      </c>
      <c r="FG7" s="19">
        <v>78848452</v>
      </c>
      <c r="FH7" s="19">
        <v>16952000</v>
      </c>
      <c r="FI7" s="19"/>
      <c r="FJ7" s="19">
        <v>5570304</v>
      </c>
      <c r="FK7" s="19">
        <v>46451863</v>
      </c>
      <c r="FL7" s="19">
        <v>720000</v>
      </c>
      <c r="FM7" s="19"/>
      <c r="FN7" s="19" t="s">
        <v>89</v>
      </c>
      <c r="FO7" s="19"/>
      <c r="FP7" s="19"/>
      <c r="FQ7" s="19" t="s">
        <v>89</v>
      </c>
      <c r="FR7" s="19"/>
      <c r="FS7" s="19"/>
      <c r="FT7" s="19"/>
      <c r="FU7" s="19" t="s">
        <v>89</v>
      </c>
      <c r="FV7" s="19">
        <v>13633012</v>
      </c>
      <c r="FW7" s="19">
        <v>8316485</v>
      </c>
      <c r="FX7" s="19" t="s">
        <v>157</v>
      </c>
      <c r="FY7" s="19">
        <v>6901106</v>
      </c>
      <c r="FZ7" s="19">
        <v>33000000</v>
      </c>
      <c r="GA7" s="19" t="s">
        <v>89</v>
      </c>
      <c r="GB7" s="19" t="s">
        <v>89</v>
      </c>
      <c r="GC7" s="19"/>
      <c r="GD7" s="19" t="s">
        <v>89</v>
      </c>
      <c r="GE7" s="19"/>
      <c r="GF7" s="19" t="s">
        <v>89</v>
      </c>
      <c r="GG7" s="19"/>
      <c r="GH7" s="19">
        <v>1166370</v>
      </c>
    </row>
    <row r="8" spans="1:190" ht="17.55" customHeight="1">
      <c r="A8" s="7" t="s">
        <v>1</v>
      </c>
      <c r="B8" s="13" t="s">
        <v>69</v>
      </c>
      <c r="C8" s="19">
        <v>21552254</v>
      </c>
      <c r="D8" s="19"/>
      <c r="E8" s="19"/>
      <c r="F8" s="19"/>
      <c r="G8" s="19">
        <v>1957860</v>
      </c>
      <c r="H8" s="19">
        <v>1245000</v>
      </c>
      <c r="I8" s="19"/>
      <c r="J8" s="19" t="s">
        <v>89</v>
      </c>
      <c r="K8" s="19"/>
      <c r="L8" s="19"/>
      <c r="M8" s="19">
        <v>33500000</v>
      </c>
      <c r="N8" s="19"/>
      <c r="O8" s="19"/>
      <c r="P8" s="19"/>
      <c r="Q8" s="19">
        <v>191740</v>
      </c>
      <c r="R8" s="19"/>
      <c r="S8" s="19">
        <v>30000000</v>
      </c>
      <c r="T8" s="19"/>
      <c r="U8" s="19"/>
      <c r="V8" s="19">
        <v>945000</v>
      </c>
      <c r="W8" s="19"/>
      <c r="X8" s="19"/>
      <c r="Y8" s="19"/>
      <c r="Z8" s="19">
        <v>936126</v>
      </c>
      <c r="AA8" s="19"/>
      <c r="AB8" s="19">
        <v>77000000</v>
      </c>
      <c r="AC8" s="19"/>
      <c r="AD8" s="19"/>
      <c r="AE8" s="19">
        <v>118072155</v>
      </c>
      <c r="AF8" s="19"/>
      <c r="AG8" s="19"/>
      <c r="AH8" s="19"/>
      <c r="AI8" s="19"/>
      <c r="AJ8" s="19">
        <v>1000000</v>
      </c>
      <c r="AK8" s="19" t="s">
        <v>89</v>
      </c>
      <c r="AL8" s="19"/>
      <c r="AM8" s="19">
        <v>835846731</v>
      </c>
      <c r="AN8" s="19"/>
      <c r="AO8" s="19"/>
      <c r="AP8" s="19"/>
      <c r="AQ8" s="19"/>
      <c r="AR8" s="19"/>
      <c r="AS8" s="19">
        <v>10000000</v>
      </c>
      <c r="AT8" s="19">
        <v>9883060</v>
      </c>
      <c r="AU8" s="19"/>
      <c r="AV8" s="19"/>
      <c r="AW8" s="19"/>
      <c r="AX8" s="19" t="s">
        <v>96</v>
      </c>
      <c r="AY8" s="19"/>
      <c r="AZ8" s="19"/>
      <c r="BA8" s="19">
        <v>164383298</v>
      </c>
      <c r="BB8" s="19"/>
      <c r="BC8" s="19">
        <v>141000000</v>
      </c>
      <c r="BD8" s="19"/>
      <c r="BE8" s="19"/>
      <c r="BF8" s="19"/>
      <c r="BG8" s="19"/>
      <c r="BH8" s="19"/>
      <c r="BI8" s="19"/>
      <c r="BJ8" s="19"/>
      <c r="BK8" s="19"/>
      <c r="BL8" s="19"/>
      <c r="BM8" s="19">
        <v>17500000</v>
      </c>
      <c r="BN8" s="19"/>
      <c r="BO8" s="19"/>
      <c r="BP8" s="19">
        <v>22292044</v>
      </c>
      <c r="BQ8" s="19" t="s">
        <v>175</v>
      </c>
      <c r="BR8" s="19"/>
      <c r="BS8" s="19"/>
      <c r="BT8" s="19"/>
      <c r="BU8" s="19"/>
      <c r="BV8" s="19">
        <v>24416400</v>
      </c>
      <c r="BW8" s="19"/>
      <c r="BX8" s="19"/>
      <c r="BY8" s="19">
        <v>468861974</v>
      </c>
      <c r="BZ8" s="19"/>
      <c r="CA8" s="19"/>
      <c r="CB8" s="19"/>
      <c r="CC8" s="19"/>
      <c r="CD8" s="19">
        <v>1177600</v>
      </c>
      <c r="CE8" s="19"/>
      <c r="CF8" s="19"/>
      <c r="CG8" s="19">
        <v>3500000</v>
      </c>
      <c r="CH8" s="19"/>
      <c r="CI8" s="19">
        <v>120700000</v>
      </c>
      <c r="CJ8" s="19"/>
      <c r="CK8" s="19"/>
      <c r="CL8" s="19"/>
      <c r="CM8" s="19"/>
      <c r="CN8" s="19"/>
      <c r="CO8" s="19"/>
      <c r="CP8" s="19"/>
      <c r="CQ8" s="19" t="s">
        <v>96</v>
      </c>
      <c r="CR8" s="19"/>
      <c r="CS8" s="19"/>
      <c r="CT8" s="19"/>
      <c r="CU8" s="19"/>
      <c r="CV8" s="19"/>
      <c r="CW8" s="19"/>
      <c r="CX8" s="19">
        <v>20000000</v>
      </c>
      <c r="CY8" s="19">
        <v>180000000</v>
      </c>
      <c r="CZ8" s="19">
        <v>6000000</v>
      </c>
      <c r="DA8" s="19"/>
      <c r="DB8" s="19">
        <v>119140868</v>
      </c>
      <c r="DC8" s="19"/>
      <c r="DD8" s="19"/>
      <c r="DE8" s="19"/>
      <c r="DF8" s="19">
        <v>6600000</v>
      </c>
      <c r="DG8" s="19"/>
      <c r="DH8" s="19"/>
      <c r="DI8" s="19"/>
      <c r="DJ8" s="19"/>
      <c r="DK8" s="19">
        <v>5250000</v>
      </c>
      <c r="DL8" s="19"/>
      <c r="DM8" s="19">
        <v>242607239</v>
      </c>
      <c r="DN8" s="19">
        <v>9780000</v>
      </c>
      <c r="DO8" s="19">
        <v>52201830</v>
      </c>
      <c r="DP8" s="19"/>
      <c r="DQ8" s="19"/>
      <c r="DR8" s="19"/>
      <c r="DS8" s="19"/>
      <c r="DT8" s="19"/>
      <c r="DU8" s="19"/>
      <c r="DV8" s="19"/>
      <c r="DW8" s="19"/>
      <c r="DX8" s="19"/>
      <c r="DY8" s="19"/>
      <c r="DZ8" s="19">
        <v>26358556</v>
      </c>
      <c r="EA8" s="19">
        <v>3400000</v>
      </c>
      <c r="EB8" s="19"/>
      <c r="EC8" s="19"/>
      <c r="ED8" s="19"/>
      <c r="EE8" s="19"/>
      <c r="EF8" s="19"/>
      <c r="EG8" s="19"/>
      <c r="EH8" s="19"/>
      <c r="EI8" s="19"/>
      <c r="EJ8" s="19"/>
      <c r="EK8" s="19" t="s">
        <v>89</v>
      </c>
      <c r="EL8" s="19"/>
      <c r="EM8" s="19"/>
      <c r="EN8" s="19"/>
      <c r="EO8" s="19"/>
      <c r="EP8" s="19"/>
      <c r="EQ8" s="19"/>
      <c r="ER8" s="19"/>
      <c r="ES8" s="19"/>
      <c r="ET8" s="19"/>
      <c r="EU8" s="19"/>
      <c r="EV8" s="19"/>
      <c r="EW8" s="19"/>
      <c r="EX8" s="19"/>
      <c r="EY8" s="19">
        <v>20000000</v>
      </c>
      <c r="EZ8" s="19"/>
      <c r="FA8" s="19"/>
      <c r="FB8" s="19"/>
      <c r="FC8" s="19" t="s">
        <v>89</v>
      </c>
      <c r="FD8" s="19"/>
      <c r="FE8" s="19"/>
      <c r="FF8" s="19"/>
      <c r="FG8" s="19"/>
      <c r="FH8" s="19"/>
      <c r="FI8" s="19"/>
      <c r="FJ8" s="19"/>
      <c r="FK8" s="19">
        <v>22327984</v>
      </c>
      <c r="FL8" s="19"/>
      <c r="FM8" s="19"/>
      <c r="FN8" s="19" t="s">
        <v>89</v>
      </c>
      <c r="FO8" s="19"/>
      <c r="FP8" s="19"/>
      <c r="FQ8" s="19" t="s">
        <v>89</v>
      </c>
      <c r="FR8" s="19"/>
      <c r="FS8" s="19"/>
      <c r="FT8" s="19"/>
      <c r="FU8" s="19" t="s">
        <v>89</v>
      </c>
      <c r="FV8" s="19">
        <v>10078884</v>
      </c>
      <c r="FW8" s="19">
        <v>3331287</v>
      </c>
      <c r="FX8" s="19" t="s">
        <v>157</v>
      </c>
      <c r="FY8" s="19"/>
      <c r="FZ8" s="19"/>
      <c r="GA8" s="19" t="s">
        <v>89</v>
      </c>
      <c r="GB8" s="19" t="s">
        <v>89</v>
      </c>
      <c r="GC8" s="19">
        <v>199000000</v>
      </c>
      <c r="GD8" s="19" t="s">
        <v>89</v>
      </c>
      <c r="GE8" s="19"/>
      <c r="GF8" s="19" t="s">
        <v>89</v>
      </c>
      <c r="GG8" s="19"/>
      <c r="GH8" s="19"/>
    </row>
    <row r="9" spans="1:190" ht="17.55" customHeight="1">
      <c r="A9" s="7" t="s">
        <v>1</v>
      </c>
      <c r="B9" s="13" t="s">
        <v>134</v>
      </c>
      <c r="C9" s="19">
        <v>4091930</v>
      </c>
      <c r="D9" s="19">
        <v>65000</v>
      </c>
      <c r="E9" s="19">
        <v>600000</v>
      </c>
      <c r="F9" s="19"/>
      <c r="G9" s="19"/>
      <c r="H9" s="19">
        <v>1318320</v>
      </c>
      <c r="I9" s="19">
        <v>542081894</v>
      </c>
      <c r="J9" s="19" t="s">
        <v>89</v>
      </c>
      <c r="K9" s="19"/>
      <c r="L9" s="19"/>
      <c r="M9" s="19">
        <v>220624250</v>
      </c>
      <c r="N9" s="19">
        <v>7416757</v>
      </c>
      <c r="O9" s="19">
        <v>316567105</v>
      </c>
      <c r="P9" s="19">
        <v>484595304</v>
      </c>
      <c r="Q9" s="19">
        <v>431081</v>
      </c>
      <c r="R9" s="19">
        <v>547990</v>
      </c>
      <c r="S9" s="19">
        <v>38806186</v>
      </c>
      <c r="T9" s="19">
        <v>200000</v>
      </c>
      <c r="U9" s="19"/>
      <c r="V9" s="19">
        <v>10695684</v>
      </c>
      <c r="W9" s="19"/>
      <c r="X9" s="19"/>
      <c r="Y9" s="19">
        <v>14027307</v>
      </c>
      <c r="Z9" s="19">
        <v>20879796</v>
      </c>
      <c r="AA9" s="19"/>
      <c r="AB9" s="19">
        <v>1843528</v>
      </c>
      <c r="AC9" s="19">
        <v>1704000</v>
      </c>
      <c r="AD9" s="19">
        <v>22693704</v>
      </c>
      <c r="AE9" s="19">
        <v>1779823</v>
      </c>
      <c r="AF9" s="19"/>
      <c r="AG9" s="19">
        <v>31133387</v>
      </c>
      <c r="AH9" s="19">
        <v>35747927</v>
      </c>
      <c r="AI9" s="19"/>
      <c r="AJ9" s="19"/>
      <c r="AK9" s="19" t="s">
        <v>89</v>
      </c>
      <c r="AL9" s="19">
        <v>55649873</v>
      </c>
      <c r="AM9" s="19">
        <v>34810</v>
      </c>
      <c r="AN9" s="19">
        <v>2748960</v>
      </c>
      <c r="AO9" s="19"/>
      <c r="AP9" s="19">
        <v>31538320</v>
      </c>
      <c r="AQ9" s="19">
        <v>278646</v>
      </c>
      <c r="AR9" s="19">
        <v>2635191</v>
      </c>
      <c r="AS9" s="19">
        <v>10736744</v>
      </c>
      <c r="AT9" s="19">
        <v>1013900</v>
      </c>
      <c r="AU9" s="19">
        <v>5475413</v>
      </c>
      <c r="AV9" s="19"/>
      <c r="AW9" s="19">
        <v>3803470</v>
      </c>
      <c r="AX9" s="19" t="s">
        <v>96</v>
      </c>
      <c r="AY9" s="19">
        <v>2956243</v>
      </c>
      <c r="AZ9" s="19"/>
      <c r="BA9" s="19">
        <v>936050</v>
      </c>
      <c r="BB9" s="19"/>
      <c r="BC9" s="19">
        <v>2948184</v>
      </c>
      <c r="BD9" s="19"/>
      <c r="BE9" s="19">
        <v>56199739</v>
      </c>
      <c r="BF9" s="19">
        <v>83046</v>
      </c>
      <c r="BG9" s="19">
        <v>718585</v>
      </c>
      <c r="BH9" s="19">
        <v>140470</v>
      </c>
      <c r="BI9" s="19">
        <v>6191518</v>
      </c>
      <c r="BJ9" s="19"/>
      <c r="BK9" s="19"/>
      <c r="BL9" s="19">
        <v>44176</v>
      </c>
      <c r="BM9" s="19"/>
      <c r="BN9" s="19">
        <v>0</v>
      </c>
      <c r="BO9" s="19"/>
      <c r="BP9" s="19"/>
      <c r="BQ9" s="19" t="s">
        <v>175</v>
      </c>
      <c r="BR9" s="19"/>
      <c r="BS9" s="19"/>
      <c r="BT9" s="19">
        <v>5862190</v>
      </c>
      <c r="BU9" s="19">
        <v>2387230</v>
      </c>
      <c r="BV9" s="19">
        <v>33949680</v>
      </c>
      <c r="BW9" s="19">
        <v>21933464</v>
      </c>
      <c r="BX9" s="19">
        <v>24065509</v>
      </c>
      <c r="BY9" s="19">
        <v>1611950</v>
      </c>
      <c r="BZ9" s="19">
        <v>29795791</v>
      </c>
      <c r="CA9" s="19"/>
      <c r="CB9" s="19"/>
      <c r="CC9" s="19">
        <v>1114000</v>
      </c>
      <c r="CD9" s="19"/>
      <c r="CE9" s="19"/>
      <c r="CF9" s="19">
        <v>13314413</v>
      </c>
      <c r="CG9" s="19">
        <v>943130</v>
      </c>
      <c r="CH9" s="19"/>
      <c r="CI9" s="19">
        <v>17007617</v>
      </c>
      <c r="CJ9" s="19"/>
      <c r="CK9" s="19">
        <v>5866903</v>
      </c>
      <c r="CL9" s="19"/>
      <c r="CM9" s="19">
        <v>52220</v>
      </c>
      <c r="CN9" s="19">
        <v>367190</v>
      </c>
      <c r="CO9" s="19">
        <v>113742156</v>
      </c>
      <c r="CP9" s="19">
        <v>6343491</v>
      </c>
      <c r="CQ9" s="19" t="s">
        <v>96</v>
      </c>
      <c r="CR9" s="19">
        <v>54755187</v>
      </c>
      <c r="CS9" s="19"/>
      <c r="CT9" s="19">
        <v>1625661</v>
      </c>
      <c r="CU9" s="19"/>
      <c r="CV9" s="19">
        <v>914972</v>
      </c>
      <c r="CW9" s="19">
        <v>21943260</v>
      </c>
      <c r="CX9" s="19">
        <v>920000</v>
      </c>
      <c r="CY9" s="19">
        <v>6545750</v>
      </c>
      <c r="CZ9" s="19"/>
      <c r="DA9" s="19"/>
      <c r="DB9" s="19"/>
      <c r="DC9" s="19">
        <v>1959379</v>
      </c>
      <c r="DD9" s="19"/>
      <c r="DE9" s="19"/>
      <c r="DF9" s="19">
        <v>18986</v>
      </c>
      <c r="DG9" s="19">
        <v>1275882</v>
      </c>
      <c r="DH9" s="19"/>
      <c r="DI9" s="19">
        <v>237920</v>
      </c>
      <c r="DJ9" s="19"/>
      <c r="DK9" s="19">
        <v>2168619</v>
      </c>
      <c r="DL9" s="19">
        <v>156874</v>
      </c>
      <c r="DM9" s="19">
        <v>5726531</v>
      </c>
      <c r="DN9" s="19"/>
      <c r="DO9" s="19">
        <v>1966162</v>
      </c>
      <c r="DP9" s="19">
        <v>732580</v>
      </c>
      <c r="DQ9" s="19"/>
      <c r="DR9" s="19"/>
      <c r="DS9" s="19">
        <v>532180</v>
      </c>
      <c r="DT9" s="19">
        <v>55522159</v>
      </c>
      <c r="DU9" s="19"/>
      <c r="DV9" s="19"/>
      <c r="DW9" s="19">
        <v>19363937</v>
      </c>
      <c r="DX9" s="19"/>
      <c r="DY9" s="19">
        <v>1172523</v>
      </c>
      <c r="DZ9" s="19">
        <v>55717030</v>
      </c>
      <c r="EA9" s="19">
        <v>897700</v>
      </c>
      <c r="EB9" s="19">
        <v>269563098</v>
      </c>
      <c r="EC9" s="19"/>
      <c r="ED9" s="19"/>
      <c r="EE9" s="19">
        <v>10418626</v>
      </c>
      <c r="EF9" s="19"/>
      <c r="EG9" s="19">
        <v>96725933</v>
      </c>
      <c r="EH9" s="19">
        <v>64760</v>
      </c>
      <c r="EI9" s="19">
        <v>14225596</v>
      </c>
      <c r="EJ9" s="19"/>
      <c r="EK9" s="19" t="s">
        <v>89</v>
      </c>
      <c r="EL9" s="19">
        <v>46072109</v>
      </c>
      <c r="EM9" s="19">
        <v>1417063</v>
      </c>
      <c r="EN9" s="19">
        <v>12352580</v>
      </c>
      <c r="EO9" s="19">
        <v>29572600</v>
      </c>
      <c r="EP9" s="19"/>
      <c r="EQ9" s="19"/>
      <c r="ER9" s="19">
        <v>369988735</v>
      </c>
      <c r="ES9" s="19"/>
      <c r="ET9" s="19">
        <v>3930</v>
      </c>
      <c r="EU9" s="19">
        <v>8894967</v>
      </c>
      <c r="EV9" s="19">
        <v>113788</v>
      </c>
      <c r="EW9" s="19"/>
      <c r="EX9" s="19">
        <v>11436141</v>
      </c>
      <c r="EY9" s="19">
        <v>246066449</v>
      </c>
      <c r="EZ9" s="19">
        <v>944989</v>
      </c>
      <c r="FA9" s="19"/>
      <c r="FB9" s="19">
        <v>9416000</v>
      </c>
      <c r="FC9" s="19" t="s">
        <v>89</v>
      </c>
      <c r="FD9" s="19"/>
      <c r="FE9" s="19">
        <v>399204392</v>
      </c>
      <c r="FF9" s="19">
        <v>36110</v>
      </c>
      <c r="FG9" s="19"/>
      <c r="FH9" s="19"/>
      <c r="FI9" s="19">
        <v>3385218</v>
      </c>
      <c r="FJ9" s="19"/>
      <c r="FK9" s="19">
        <v>8952794</v>
      </c>
      <c r="FL9" s="19">
        <v>347797</v>
      </c>
      <c r="FM9" s="19"/>
      <c r="FN9" s="19" t="s">
        <v>89</v>
      </c>
      <c r="FO9" s="19"/>
      <c r="FP9" s="19"/>
      <c r="FQ9" s="19" t="s">
        <v>89</v>
      </c>
      <c r="FR9" s="19"/>
      <c r="FS9" s="19">
        <v>115400</v>
      </c>
      <c r="FT9" s="19"/>
      <c r="FU9" s="19" t="s">
        <v>89</v>
      </c>
      <c r="FV9" s="19">
        <v>100463628</v>
      </c>
      <c r="FW9" s="19">
        <v>1730</v>
      </c>
      <c r="FX9" s="19" t="s">
        <v>157</v>
      </c>
      <c r="FY9" s="19">
        <v>12768631</v>
      </c>
      <c r="FZ9" s="19">
        <v>1224045</v>
      </c>
      <c r="GA9" s="19" t="s">
        <v>89</v>
      </c>
      <c r="GB9" s="19" t="s">
        <v>89</v>
      </c>
      <c r="GC9" s="19"/>
      <c r="GD9" s="19" t="s">
        <v>89</v>
      </c>
      <c r="GE9" s="19">
        <v>2830444</v>
      </c>
      <c r="GF9" s="19" t="s">
        <v>89</v>
      </c>
      <c r="GG9" s="19">
        <v>4382880</v>
      </c>
      <c r="GH9" s="19">
        <v>908863</v>
      </c>
    </row>
    <row r="10" spans="1:190" ht="17.55" customHeight="1">
      <c r="A10" s="7" t="s">
        <v>1</v>
      </c>
      <c r="B10" s="13" t="s">
        <v>135</v>
      </c>
      <c r="C10" s="19">
        <v>10000</v>
      </c>
      <c r="D10" s="19">
        <v>4688414</v>
      </c>
      <c r="E10" s="19">
        <v>2098989</v>
      </c>
      <c r="F10" s="19">
        <v>7766111</v>
      </c>
      <c r="G10" s="19"/>
      <c r="H10" s="19"/>
      <c r="I10" s="19">
        <v>37606475</v>
      </c>
      <c r="J10" s="19" t="s">
        <v>89</v>
      </c>
      <c r="K10" s="19">
        <v>3721634</v>
      </c>
      <c r="L10" s="19">
        <v>903580</v>
      </c>
      <c r="M10" s="19">
        <v>75584738</v>
      </c>
      <c r="N10" s="19">
        <v>1229627</v>
      </c>
      <c r="O10" s="19">
        <v>33441325</v>
      </c>
      <c r="P10" s="19"/>
      <c r="Q10" s="19"/>
      <c r="R10" s="19">
        <v>264680</v>
      </c>
      <c r="S10" s="19">
        <v>140150314</v>
      </c>
      <c r="T10" s="19"/>
      <c r="U10" s="19">
        <v>19957278</v>
      </c>
      <c r="V10" s="19">
        <v>82007128</v>
      </c>
      <c r="W10" s="19">
        <v>42914</v>
      </c>
      <c r="X10" s="19">
        <v>280771040</v>
      </c>
      <c r="Y10" s="19">
        <v>1666457</v>
      </c>
      <c r="Z10" s="19">
        <v>48923745</v>
      </c>
      <c r="AA10" s="19">
        <v>41245939</v>
      </c>
      <c r="AB10" s="19">
        <v>631620</v>
      </c>
      <c r="AC10" s="19">
        <v>34137883</v>
      </c>
      <c r="AD10" s="19">
        <v>12010368</v>
      </c>
      <c r="AE10" s="19">
        <v>14655988</v>
      </c>
      <c r="AF10" s="19">
        <v>49540</v>
      </c>
      <c r="AG10" s="19">
        <v>1233907</v>
      </c>
      <c r="AH10" s="19">
        <v>36932511</v>
      </c>
      <c r="AI10" s="19">
        <v>35203606</v>
      </c>
      <c r="AJ10" s="19">
        <v>1759749</v>
      </c>
      <c r="AK10" s="19" t="s">
        <v>89</v>
      </c>
      <c r="AL10" s="19">
        <v>3490957</v>
      </c>
      <c r="AM10" s="19">
        <v>315656873</v>
      </c>
      <c r="AN10" s="19">
        <v>551320</v>
      </c>
      <c r="AO10" s="19">
        <v>28916697</v>
      </c>
      <c r="AP10" s="19"/>
      <c r="AQ10" s="19"/>
      <c r="AR10" s="19">
        <v>100000</v>
      </c>
      <c r="AS10" s="19">
        <v>485993357</v>
      </c>
      <c r="AT10" s="19">
        <v>8384733</v>
      </c>
      <c r="AU10" s="19">
        <v>90014990</v>
      </c>
      <c r="AV10" s="19">
        <v>2230</v>
      </c>
      <c r="AW10" s="19">
        <v>525000</v>
      </c>
      <c r="AX10" s="19" t="s">
        <v>96</v>
      </c>
      <c r="AY10" s="19">
        <v>13230</v>
      </c>
      <c r="AZ10" s="19"/>
      <c r="BA10" s="19">
        <v>202532549</v>
      </c>
      <c r="BB10" s="19">
        <v>32140</v>
      </c>
      <c r="BC10" s="19">
        <v>61659950</v>
      </c>
      <c r="BD10" s="19">
        <v>10420</v>
      </c>
      <c r="BE10" s="19">
        <v>2772000</v>
      </c>
      <c r="BF10" s="19">
        <v>21252781</v>
      </c>
      <c r="BG10" s="19">
        <v>11792020</v>
      </c>
      <c r="BH10" s="19">
        <v>1224820</v>
      </c>
      <c r="BI10" s="19">
        <v>4360890</v>
      </c>
      <c r="BJ10" s="19">
        <v>201899652</v>
      </c>
      <c r="BK10" s="19">
        <v>55177300</v>
      </c>
      <c r="BL10" s="19">
        <v>19430</v>
      </c>
      <c r="BM10" s="19">
        <v>14486572</v>
      </c>
      <c r="BN10" s="19">
        <v>1904982</v>
      </c>
      <c r="BO10" s="19">
        <v>596334</v>
      </c>
      <c r="BP10" s="19"/>
      <c r="BQ10" s="19" t="s">
        <v>175</v>
      </c>
      <c r="BR10" s="19">
        <v>931100</v>
      </c>
      <c r="BS10" s="19">
        <v>80740</v>
      </c>
      <c r="BT10" s="19">
        <v>869000</v>
      </c>
      <c r="BU10" s="19">
        <v>19501087</v>
      </c>
      <c r="BV10" s="19">
        <v>236456515</v>
      </c>
      <c r="BW10" s="19">
        <v>679781</v>
      </c>
      <c r="BX10" s="19">
        <v>1109907</v>
      </c>
      <c r="BY10" s="19">
        <v>60636860</v>
      </c>
      <c r="BZ10" s="19">
        <v>227260</v>
      </c>
      <c r="CA10" s="19"/>
      <c r="CB10" s="19">
        <v>3620075</v>
      </c>
      <c r="CC10" s="19">
        <v>19160</v>
      </c>
      <c r="CD10" s="19"/>
      <c r="CE10" s="19">
        <v>332740</v>
      </c>
      <c r="CF10" s="19">
        <v>201690509</v>
      </c>
      <c r="CG10" s="19">
        <v>6360176</v>
      </c>
      <c r="CH10" s="19">
        <v>39132260</v>
      </c>
      <c r="CI10" s="19">
        <v>30316679</v>
      </c>
      <c r="CJ10" s="19">
        <v>1114900</v>
      </c>
      <c r="CK10" s="19">
        <v>32328422</v>
      </c>
      <c r="CL10" s="19">
        <v>1469612</v>
      </c>
      <c r="CM10" s="19">
        <v>12913239</v>
      </c>
      <c r="CN10" s="19">
        <v>28157703</v>
      </c>
      <c r="CO10" s="19">
        <v>8243546</v>
      </c>
      <c r="CP10" s="19">
        <v>27925796</v>
      </c>
      <c r="CQ10" s="19" t="s">
        <v>96</v>
      </c>
      <c r="CR10" s="19">
        <v>5573256</v>
      </c>
      <c r="CS10" s="19">
        <v>77578008</v>
      </c>
      <c r="CT10" s="19">
        <v>5709641</v>
      </c>
      <c r="CU10" s="19"/>
      <c r="CV10" s="19">
        <v>2122837</v>
      </c>
      <c r="CW10" s="19">
        <v>20247527</v>
      </c>
      <c r="CX10" s="19">
        <v>30593799</v>
      </c>
      <c r="CY10" s="19">
        <v>1054813</v>
      </c>
      <c r="CZ10" s="19">
        <v>12533827</v>
      </c>
      <c r="DA10" s="19"/>
      <c r="DB10" s="19">
        <v>2030600</v>
      </c>
      <c r="DC10" s="19">
        <v>1984950</v>
      </c>
      <c r="DD10" s="19">
        <v>305303</v>
      </c>
      <c r="DE10" s="19"/>
      <c r="DF10" s="19"/>
      <c r="DG10" s="19">
        <v>207219610</v>
      </c>
      <c r="DH10" s="19"/>
      <c r="DI10" s="19">
        <v>44209300</v>
      </c>
      <c r="DJ10" s="19"/>
      <c r="DK10" s="19">
        <v>77220020</v>
      </c>
      <c r="DL10" s="19">
        <v>11380910</v>
      </c>
      <c r="DM10" s="19">
        <v>1630725</v>
      </c>
      <c r="DN10" s="19">
        <v>2438171</v>
      </c>
      <c r="DO10" s="19">
        <v>1068280</v>
      </c>
      <c r="DP10" s="19">
        <v>53622000</v>
      </c>
      <c r="DQ10" s="19">
        <v>80481891</v>
      </c>
      <c r="DR10" s="19">
        <v>101069462</v>
      </c>
      <c r="DS10" s="19">
        <v>94474</v>
      </c>
      <c r="DT10" s="19">
        <v>5947460</v>
      </c>
      <c r="DU10" s="19"/>
      <c r="DV10" s="19">
        <v>273180</v>
      </c>
      <c r="DW10" s="19">
        <v>83086500</v>
      </c>
      <c r="DX10" s="19">
        <v>51526270</v>
      </c>
      <c r="DY10" s="19">
        <v>24605045</v>
      </c>
      <c r="DZ10" s="19"/>
      <c r="EA10" s="19">
        <v>1700000</v>
      </c>
      <c r="EB10" s="19">
        <v>1721635</v>
      </c>
      <c r="EC10" s="19">
        <v>3217967</v>
      </c>
      <c r="ED10" s="19"/>
      <c r="EE10" s="19"/>
      <c r="EF10" s="19"/>
      <c r="EG10" s="19">
        <v>45823523</v>
      </c>
      <c r="EH10" s="19">
        <v>1813860</v>
      </c>
      <c r="EI10" s="19">
        <v>556726</v>
      </c>
      <c r="EJ10" s="19">
        <v>81100</v>
      </c>
      <c r="EK10" s="19" t="s">
        <v>89</v>
      </c>
      <c r="EL10" s="19">
        <v>1374000</v>
      </c>
      <c r="EM10" s="19">
        <v>4541165</v>
      </c>
      <c r="EN10" s="19"/>
      <c r="EO10" s="19">
        <v>25340699</v>
      </c>
      <c r="EP10" s="19"/>
      <c r="EQ10" s="19"/>
      <c r="ER10" s="19">
        <v>112210721</v>
      </c>
      <c r="ES10" s="19">
        <v>360888</v>
      </c>
      <c r="ET10" s="19">
        <v>1681548</v>
      </c>
      <c r="EU10" s="19">
        <v>20912503</v>
      </c>
      <c r="EV10" s="19">
        <v>4900</v>
      </c>
      <c r="EW10" s="19"/>
      <c r="EX10" s="19">
        <v>14557060</v>
      </c>
      <c r="EY10" s="19">
        <v>4932900</v>
      </c>
      <c r="EZ10" s="19">
        <v>28000</v>
      </c>
      <c r="FA10" s="19">
        <v>10830</v>
      </c>
      <c r="FB10" s="19">
        <v>1573375</v>
      </c>
      <c r="FC10" s="19" t="s">
        <v>89</v>
      </c>
      <c r="FD10" s="19">
        <v>5555000</v>
      </c>
      <c r="FE10" s="19">
        <v>4576000</v>
      </c>
      <c r="FF10" s="19">
        <v>180550</v>
      </c>
      <c r="FG10" s="19">
        <v>2518255</v>
      </c>
      <c r="FH10" s="19">
        <v>132000</v>
      </c>
      <c r="FI10" s="19">
        <v>1931240</v>
      </c>
      <c r="FJ10" s="19">
        <v>4450</v>
      </c>
      <c r="FK10" s="19">
        <v>8370355</v>
      </c>
      <c r="FL10" s="19">
        <v>620000</v>
      </c>
      <c r="FM10" s="19">
        <v>660000</v>
      </c>
      <c r="FN10" s="19" t="s">
        <v>89</v>
      </c>
      <c r="FO10" s="19"/>
      <c r="FP10" s="19">
        <v>-11276117</v>
      </c>
      <c r="FQ10" s="19" t="s">
        <v>89</v>
      </c>
      <c r="FR10" s="19"/>
      <c r="FS10" s="19"/>
      <c r="FT10" s="19"/>
      <c r="FU10" s="19" t="s">
        <v>89</v>
      </c>
      <c r="FV10" s="19"/>
      <c r="FW10" s="19"/>
      <c r="FX10" s="19" t="s">
        <v>157</v>
      </c>
      <c r="FY10" s="19">
        <v>11805683</v>
      </c>
      <c r="FZ10" s="19">
        <v>30004610</v>
      </c>
      <c r="GA10" s="19" t="s">
        <v>89</v>
      </c>
      <c r="GB10" s="19" t="s">
        <v>89</v>
      </c>
      <c r="GC10" s="19">
        <v>1152390</v>
      </c>
      <c r="GD10" s="19" t="s">
        <v>89</v>
      </c>
      <c r="GE10" s="19"/>
      <c r="GF10" s="19" t="s">
        <v>89</v>
      </c>
      <c r="GG10" s="19">
        <v>26970000</v>
      </c>
      <c r="GH10" s="19"/>
    </row>
    <row r="11" spans="1:190" ht="17.55" customHeight="1">
      <c r="A11" s="7" t="s">
        <v>1</v>
      </c>
      <c r="B11" s="13" t="s">
        <v>40</v>
      </c>
      <c r="C11" s="19">
        <v>100000</v>
      </c>
      <c r="D11" s="19"/>
      <c r="E11" s="19">
        <v>14820000</v>
      </c>
      <c r="F11" s="19"/>
      <c r="G11" s="19"/>
      <c r="H11" s="19">
        <v>134320000</v>
      </c>
      <c r="I11" s="19"/>
      <c r="J11" s="19" t="s">
        <v>89</v>
      </c>
      <c r="K11" s="19"/>
      <c r="L11" s="19"/>
      <c r="M11" s="19">
        <v>555400</v>
      </c>
      <c r="N11" s="19"/>
      <c r="O11" s="19">
        <v>36585300</v>
      </c>
      <c r="P11" s="19"/>
      <c r="Q11" s="19"/>
      <c r="R11" s="19"/>
      <c r="S11" s="19"/>
      <c r="T11" s="19"/>
      <c r="U11" s="19">
        <v>30125000</v>
      </c>
      <c r="V11" s="19">
        <v>6920522</v>
      </c>
      <c r="W11" s="19"/>
      <c r="X11" s="19"/>
      <c r="Y11" s="19"/>
      <c r="Z11" s="19"/>
      <c r="AA11" s="19">
        <v>222524543</v>
      </c>
      <c r="AB11" s="19">
        <v>27141230</v>
      </c>
      <c r="AC11" s="19">
        <v>1068320</v>
      </c>
      <c r="AD11" s="19">
        <v>8000000</v>
      </c>
      <c r="AE11" s="19">
        <v>6930000</v>
      </c>
      <c r="AF11" s="19"/>
      <c r="AG11" s="19">
        <v>26467360</v>
      </c>
      <c r="AH11" s="19"/>
      <c r="AI11" s="19"/>
      <c r="AJ11" s="19">
        <v>581048</v>
      </c>
      <c r="AK11" s="19" t="s">
        <v>89</v>
      </c>
      <c r="AL11" s="19"/>
      <c r="AM11" s="19">
        <v>-1500000</v>
      </c>
      <c r="AN11" s="19"/>
      <c r="AO11" s="19"/>
      <c r="AP11" s="19">
        <v>185189870</v>
      </c>
      <c r="AQ11" s="19">
        <v>1070021</v>
      </c>
      <c r="AR11" s="19"/>
      <c r="AS11" s="19"/>
      <c r="AT11" s="19">
        <v>2386670</v>
      </c>
      <c r="AU11" s="19">
        <v>1800000</v>
      </c>
      <c r="AV11" s="19"/>
      <c r="AW11" s="19"/>
      <c r="AX11" s="19" t="s">
        <v>96</v>
      </c>
      <c r="AY11" s="19"/>
      <c r="AZ11" s="19"/>
      <c r="BA11" s="19"/>
      <c r="BB11" s="19">
        <v>462887</v>
      </c>
      <c r="BC11" s="19"/>
      <c r="BD11" s="19"/>
      <c r="BE11" s="19"/>
      <c r="BF11" s="19"/>
      <c r="BG11" s="19"/>
      <c r="BH11" s="19">
        <v>375342</v>
      </c>
      <c r="BI11" s="19">
        <v>29050</v>
      </c>
      <c r="BJ11" s="19"/>
      <c r="BK11" s="19">
        <v>13210216</v>
      </c>
      <c r="BL11" s="19"/>
      <c r="BM11" s="19"/>
      <c r="BN11" s="19"/>
      <c r="BO11" s="19">
        <v>994967</v>
      </c>
      <c r="BP11" s="19"/>
      <c r="BQ11" s="19" t="s">
        <v>175</v>
      </c>
      <c r="BR11" s="19"/>
      <c r="BS11" s="19"/>
      <c r="BT11" s="19"/>
      <c r="BU11" s="19"/>
      <c r="BV11" s="19"/>
      <c r="BW11" s="19"/>
      <c r="BX11" s="19"/>
      <c r="BY11" s="19"/>
      <c r="BZ11" s="19"/>
      <c r="CA11" s="19">
        <v>28000000</v>
      </c>
      <c r="CB11" s="19"/>
      <c r="CC11" s="19"/>
      <c r="CD11" s="19"/>
      <c r="CE11" s="19"/>
      <c r="CF11" s="19">
        <v>11130</v>
      </c>
      <c r="CG11" s="19">
        <v>9082099</v>
      </c>
      <c r="CH11" s="19">
        <v>2461097</v>
      </c>
      <c r="CI11" s="19"/>
      <c r="CJ11" s="19"/>
      <c r="CK11" s="19"/>
      <c r="CL11" s="19">
        <v>10945200</v>
      </c>
      <c r="CM11" s="19"/>
      <c r="CN11" s="19"/>
      <c r="CO11" s="19"/>
      <c r="CP11" s="19"/>
      <c r="CQ11" s="19" t="s">
        <v>96</v>
      </c>
      <c r="CR11" s="19"/>
      <c r="CS11" s="19"/>
      <c r="CT11" s="19">
        <v>13369695</v>
      </c>
      <c r="CU11" s="19"/>
      <c r="CV11" s="19"/>
      <c r="CW11" s="19">
        <v>50750000</v>
      </c>
      <c r="CX11" s="19">
        <v>317050</v>
      </c>
      <c r="CY11" s="19"/>
      <c r="CZ11" s="19"/>
      <c r="DA11" s="19"/>
      <c r="DB11" s="19"/>
      <c r="DC11" s="19"/>
      <c r="DD11" s="19">
        <v>3448353</v>
      </c>
      <c r="DE11" s="19">
        <v>816587</v>
      </c>
      <c r="DF11" s="19">
        <v>416069</v>
      </c>
      <c r="DG11" s="19">
        <v>308880</v>
      </c>
      <c r="DH11" s="19">
        <v>12009450</v>
      </c>
      <c r="DI11" s="19"/>
      <c r="DJ11" s="19">
        <v>220030</v>
      </c>
      <c r="DK11" s="19"/>
      <c r="DL11" s="19"/>
      <c r="DM11" s="19"/>
      <c r="DN11" s="19"/>
      <c r="DO11" s="19"/>
      <c r="DP11" s="19">
        <v>18000</v>
      </c>
      <c r="DQ11" s="19"/>
      <c r="DR11" s="19"/>
      <c r="DS11" s="19"/>
      <c r="DT11" s="19"/>
      <c r="DU11" s="19"/>
      <c r="DV11" s="19"/>
      <c r="DW11" s="19"/>
      <c r="DX11" s="19"/>
      <c r="DY11" s="19">
        <v>13498425</v>
      </c>
      <c r="DZ11" s="19"/>
      <c r="EA11" s="19"/>
      <c r="EB11" s="19"/>
      <c r="EC11" s="19">
        <v>51285</v>
      </c>
      <c r="ED11" s="19"/>
      <c r="EE11" s="19"/>
      <c r="EF11" s="19">
        <v>29270</v>
      </c>
      <c r="EG11" s="19"/>
      <c r="EH11" s="19">
        <v>83240</v>
      </c>
      <c r="EI11" s="19"/>
      <c r="EJ11" s="19">
        <v>5770</v>
      </c>
      <c r="EK11" s="19" t="s">
        <v>89</v>
      </c>
      <c r="EL11" s="19"/>
      <c r="EM11" s="19"/>
      <c r="EN11" s="19"/>
      <c r="EO11" s="19">
        <v>154920</v>
      </c>
      <c r="EP11" s="19">
        <v>11937144</v>
      </c>
      <c r="EQ11" s="19"/>
      <c r="ER11" s="19">
        <v>252778260</v>
      </c>
      <c r="ES11" s="19">
        <v>6444580</v>
      </c>
      <c r="ET11" s="19"/>
      <c r="EU11" s="19"/>
      <c r="EV11" s="19"/>
      <c r="EW11" s="19">
        <v>845025</v>
      </c>
      <c r="EX11" s="19"/>
      <c r="EY11" s="19"/>
      <c r="EZ11" s="19"/>
      <c r="FA11" s="19"/>
      <c r="FB11" s="19"/>
      <c r="FC11" s="19" t="s">
        <v>89</v>
      </c>
      <c r="FD11" s="19"/>
      <c r="FE11" s="19"/>
      <c r="FF11" s="19"/>
      <c r="FG11" s="19"/>
      <c r="FH11" s="19"/>
      <c r="FI11" s="19"/>
      <c r="FJ11" s="19"/>
      <c r="FK11" s="19"/>
      <c r="FL11" s="19"/>
      <c r="FM11" s="19"/>
      <c r="FN11" s="19" t="s">
        <v>89</v>
      </c>
      <c r="FO11" s="19"/>
      <c r="FP11" s="19">
        <v>1771860</v>
      </c>
      <c r="FQ11" s="19" t="s">
        <v>89</v>
      </c>
      <c r="FR11" s="19">
        <v>1906446</v>
      </c>
      <c r="FS11" s="19"/>
      <c r="FT11" s="19">
        <v>2017144</v>
      </c>
      <c r="FU11" s="19" t="s">
        <v>89</v>
      </c>
      <c r="FV11" s="19"/>
      <c r="FW11" s="19"/>
      <c r="FX11" s="19" t="s">
        <v>157</v>
      </c>
      <c r="FY11" s="19"/>
      <c r="FZ11" s="19"/>
      <c r="GA11" s="19" t="s">
        <v>89</v>
      </c>
      <c r="GB11" s="19" t="s">
        <v>89</v>
      </c>
      <c r="GC11" s="19"/>
      <c r="GD11" s="19" t="s">
        <v>89</v>
      </c>
      <c r="GE11" s="19"/>
      <c r="GF11" s="19" t="s">
        <v>89</v>
      </c>
      <c r="GG11" s="19"/>
      <c r="GH11" s="19">
        <v>387792</v>
      </c>
    </row>
    <row r="12" spans="1:190" ht="17.55" customHeight="1">
      <c r="A12" s="7" t="s">
        <v>1</v>
      </c>
      <c r="B12" s="14" t="s">
        <v>30</v>
      </c>
      <c r="C12" s="19"/>
      <c r="D12" s="19">
        <v>77360192</v>
      </c>
      <c r="E12" s="19">
        <v>23844930</v>
      </c>
      <c r="F12" s="19"/>
      <c r="G12" s="19">
        <v>76772740</v>
      </c>
      <c r="H12" s="19"/>
      <c r="I12" s="19"/>
      <c r="J12" s="19" t="s">
        <v>89</v>
      </c>
      <c r="K12" s="19">
        <v>72655967</v>
      </c>
      <c r="L12" s="19">
        <v>720541926</v>
      </c>
      <c r="M12" s="19">
        <v>49172862</v>
      </c>
      <c r="N12" s="19"/>
      <c r="O12" s="19">
        <v>142544367</v>
      </c>
      <c r="P12" s="19">
        <v>80472410</v>
      </c>
      <c r="Q12" s="19">
        <v>76839407</v>
      </c>
      <c r="R12" s="19">
        <v>25823900</v>
      </c>
      <c r="S12" s="19">
        <v>36826911</v>
      </c>
      <c r="T12" s="19"/>
      <c r="U12" s="19">
        <v>35409017</v>
      </c>
      <c r="V12" s="19">
        <v>23100000</v>
      </c>
      <c r="W12" s="19">
        <v>19467300</v>
      </c>
      <c r="X12" s="19"/>
      <c r="Y12" s="19"/>
      <c r="Z12" s="19">
        <v>136686590</v>
      </c>
      <c r="AA12" s="19">
        <v>561592162</v>
      </c>
      <c r="AB12" s="19"/>
      <c r="AC12" s="19">
        <v>1097500</v>
      </c>
      <c r="AD12" s="19">
        <v>48952000</v>
      </c>
      <c r="AE12" s="19">
        <v>13784270</v>
      </c>
      <c r="AF12" s="19"/>
      <c r="AG12" s="19"/>
      <c r="AH12" s="19"/>
      <c r="AI12" s="19">
        <v>26911166</v>
      </c>
      <c r="AJ12" s="19">
        <v>535826828</v>
      </c>
      <c r="AK12" s="19" t="s">
        <v>89</v>
      </c>
      <c r="AL12" s="19">
        <v>523140</v>
      </c>
      <c r="AM12" s="19">
        <v>5780435</v>
      </c>
      <c r="AN12" s="19">
        <v>1032500</v>
      </c>
      <c r="AO12" s="19"/>
      <c r="AP12" s="19">
        <v>2648817</v>
      </c>
      <c r="AQ12" s="19"/>
      <c r="AR12" s="19">
        <v>27428500</v>
      </c>
      <c r="AS12" s="19"/>
      <c r="AT12" s="19">
        <v>319715140</v>
      </c>
      <c r="AU12" s="19"/>
      <c r="AV12" s="19"/>
      <c r="AW12" s="19">
        <v>17402340</v>
      </c>
      <c r="AX12" s="19" t="s">
        <v>96</v>
      </c>
      <c r="AY12" s="19">
        <v>24120000</v>
      </c>
      <c r="AZ12" s="19"/>
      <c r="BA12" s="19">
        <v>263000000</v>
      </c>
      <c r="BB12" s="19"/>
      <c r="BC12" s="19">
        <v>234134800</v>
      </c>
      <c r="BD12" s="19"/>
      <c r="BE12" s="19">
        <v>345570000</v>
      </c>
      <c r="BF12" s="19">
        <v>535151120</v>
      </c>
      <c r="BG12" s="19">
        <v>589915012</v>
      </c>
      <c r="BH12" s="19">
        <v>68251662</v>
      </c>
      <c r="BI12" s="19">
        <v>113779761</v>
      </c>
      <c r="BJ12" s="19">
        <v>205087699</v>
      </c>
      <c r="BK12" s="19">
        <v>85698000</v>
      </c>
      <c r="BL12" s="19">
        <v>17548000</v>
      </c>
      <c r="BM12" s="19">
        <v>13379472</v>
      </c>
      <c r="BN12" s="19"/>
      <c r="BO12" s="19">
        <v>202284990</v>
      </c>
      <c r="BP12" s="19"/>
      <c r="BQ12" s="19" t="s">
        <v>175</v>
      </c>
      <c r="BR12" s="19"/>
      <c r="BS12" s="19">
        <v>31408640</v>
      </c>
      <c r="BT12" s="19"/>
      <c r="BU12" s="19">
        <v>113815640</v>
      </c>
      <c r="BV12" s="19"/>
      <c r="BW12" s="19"/>
      <c r="BX12" s="19"/>
      <c r="BY12" s="19">
        <v>36452360</v>
      </c>
      <c r="BZ12" s="19">
        <v>39267230</v>
      </c>
      <c r="CA12" s="19"/>
      <c r="CB12" s="19">
        <v>47301550</v>
      </c>
      <c r="CC12" s="19">
        <v>8820840</v>
      </c>
      <c r="CD12" s="19">
        <v>88413929</v>
      </c>
      <c r="CE12" s="19">
        <v>269879600</v>
      </c>
      <c r="CF12" s="19">
        <v>276450259</v>
      </c>
      <c r="CG12" s="19"/>
      <c r="CH12" s="19">
        <v>996100</v>
      </c>
      <c r="CI12" s="19">
        <v>75214460</v>
      </c>
      <c r="CJ12" s="19">
        <v>437676000</v>
      </c>
      <c r="CK12" s="19">
        <v>25258287</v>
      </c>
      <c r="CL12" s="19">
        <v>79989200</v>
      </c>
      <c r="CM12" s="19"/>
      <c r="CN12" s="19"/>
      <c r="CO12" s="19"/>
      <c r="CP12" s="19">
        <v>585354657</v>
      </c>
      <c r="CQ12" s="19" t="s">
        <v>96</v>
      </c>
      <c r="CR12" s="19">
        <v>158750000</v>
      </c>
      <c r="CS12" s="19"/>
      <c r="CT12" s="19"/>
      <c r="CU12" s="19"/>
      <c r="CV12" s="19"/>
      <c r="CW12" s="19">
        <v>40180652</v>
      </c>
      <c r="CX12" s="19"/>
      <c r="CY12" s="19">
        <v>71790453</v>
      </c>
      <c r="CZ12" s="19"/>
      <c r="DA12" s="19"/>
      <c r="DB12" s="19"/>
      <c r="DC12" s="19"/>
      <c r="DD12" s="19">
        <v>867450</v>
      </c>
      <c r="DE12" s="19"/>
      <c r="DF12" s="19">
        <v>5384652</v>
      </c>
      <c r="DG12" s="19"/>
      <c r="DH12" s="19"/>
      <c r="DI12" s="19">
        <v>180586980</v>
      </c>
      <c r="DJ12" s="19"/>
      <c r="DK12" s="19">
        <v>458110664</v>
      </c>
      <c r="DL12" s="19"/>
      <c r="DM12" s="19">
        <v>828926916</v>
      </c>
      <c r="DN12" s="19">
        <v>73021275</v>
      </c>
      <c r="DO12" s="19"/>
      <c r="DP12" s="19">
        <v>22398700</v>
      </c>
      <c r="DQ12" s="19">
        <v>105008300</v>
      </c>
      <c r="DR12" s="19">
        <v>96359964</v>
      </c>
      <c r="DS12" s="19"/>
      <c r="DT12" s="19"/>
      <c r="DU12" s="19"/>
      <c r="DV12" s="19"/>
      <c r="DW12" s="19">
        <v>5000000</v>
      </c>
      <c r="DX12" s="19"/>
      <c r="DY12" s="19">
        <v>40633030</v>
      </c>
      <c r="DZ12" s="19">
        <v>266535944</v>
      </c>
      <c r="EA12" s="19"/>
      <c r="EB12" s="19"/>
      <c r="EC12" s="19">
        <v>6656500</v>
      </c>
      <c r="ED12" s="19"/>
      <c r="EE12" s="19">
        <v>23010810</v>
      </c>
      <c r="EF12" s="19">
        <v>89142807</v>
      </c>
      <c r="EG12" s="19">
        <v>941793922</v>
      </c>
      <c r="EH12" s="19"/>
      <c r="EI12" s="19"/>
      <c r="EJ12" s="19"/>
      <c r="EK12" s="19" t="s">
        <v>89</v>
      </c>
      <c r="EL12" s="19">
        <v>133130045</v>
      </c>
      <c r="EM12" s="19">
        <v>10057900</v>
      </c>
      <c r="EN12" s="19"/>
      <c r="EO12" s="19"/>
      <c r="EP12" s="19">
        <v>40963129</v>
      </c>
      <c r="EQ12" s="19"/>
      <c r="ER12" s="19">
        <v>24200362</v>
      </c>
      <c r="ES12" s="19">
        <v>514486160</v>
      </c>
      <c r="ET12" s="19"/>
      <c r="EU12" s="19"/>
      <c r="EV12" s="19">
        <v>86123135</v>
      </c>
      <c r="EW12" s="19">
        <v>35761201</v>
      </c>
      <c r="EX12" s="19"/>
      <c r="EY12" s="19"/>
      <c r="EZ12" s="19">
        <v>5680204</v>
      </c>
      <c r="FA12" s="19">
        <v>11368000</v>
      </c>
      <c r="FB12" s="19">
        <v>34115730</v>
      </c>
      <c r="FC12" s="19" t="s">
        <v>89</v>
      </c>
      <c r="FD12" s="19"/>
      <c r="FE12" s="19">
        <v>97737601</v>
      </c>
      <c r="FF12" s="19"/>
      <c r="FG12" s="19">
        <v>128906840</v>
      </c>
      <c r="FH12" s="19"/>
      <c r="FI12" s="19">
        <v>16250000</v>
      </c>
      <c r="FJ12" s="19"/>
      <c r="FK12" s="19">
        <v>18500000</v>
      </c>
      <c r="FL12" s="19"/>
      <c r="FM12" s="19"/>
      <c r="FN12" s="19" t="s">
        <v>89</v>
      </c>
      <c r="FO12" s="19"/>
      <c r="FP12" s="19"/>
      <c r="FQ12" s="19" t="s">
        <v>89</v>
      </c>
      <c r="FR12" s="19">
        <v>3373012</v>
      </c>
      <c r="FS12" s="19"/>
      <c r="FT12" s="19"/>
      <c r="FU12" s="19" t="s">
        <v>89</v>
      </c>
      <c r="FV12" s="19"/>
      <c r="FW12" s="19">
        <v>145200000</v>
      </c>
      <c r="FX12" s="19" t="s">
        <v>157</v>
      </c>
      <c r="FY12" s="19">
        <v>3987600</v>
      </c>
      <c r="FZ12" s="19"/>
      <c r="GA12" s="19" t="s">
        <v>89</v>
      </c>
      <c r="GB12" s="19" t="s">
        <v>89</v>
      </c>
      <c r="GC12" s="19"/>
      <c r="GD12" s="19" t="s">
        <v>89</v>
      </c>
      <c r="GE12" s="19"/>
      <c r="GF12" s="19" t="s">
        <v>89</v>
      </c>
      <c r="GG12" s="19">
        <v>29168100</v>
      </c>
      <c r="GH12" s="19"/>
    </row>
    <row r="13" spans="1:190" ht="17.55" customHeight="1">
      <c r="A13" s="7" t="s">
        <v>1</v>
      </c>
      <c r="B13" s="14" t="s">
        <v>66</v>
      </c>
      <c r="C13" s="19"/>
      <c r="D13" s="19"/>
      <c r="E13" s="19"/>
      <c r="F13" s="19"/>
      <c r="G13" s="19"/>
      <c r="H13" s="19"/>
      <c r="I13" s="19"/>
      <c r="J13" s="19" t="s">
        <v>89</v>
      </c>
      <c r="K13" s="19"/>
      <c r="L13" s="19"/>
      <c r="M13" s="19"/>
      <c r="N13" s="19"/>
      <c r="O13" s="19"/>
      <c r="P13" s="19"/>
      <c r="Q13" s="19"/>
      <c r="R13" s="19"/>
      <c r="S13" s="19"/>
      <c r="T13" s="19"/>
      <c r="U13" s="19"/>
      <c r="V13" s="19"/>
      <c r="W13" s="19"/>
      <c r="X13" s="19"/>
      <c r="Y13" s="19"/>
      <c r="Z13" s="19"/>
      <c r="AA13" s="19"/>
      <c r="AB13" s="19"/>
      <c r="AC13" s="19"/>
      <c r="AD13" s="19"/>
      <c r="AE13" s="19"/>
      <c r="AF13" s="19"/>
      <c r="AG13" s="19"/>
      <c r="AH13" s="19"/>
      <c r="AI13" s="19"/>
      <c r="AJ13" s="19"/>
      <c r="AK13" s="19" t="s">
        <v>89</v>
      </c>
      <c r="AL13" s="19"/>
      <c r="AM13" s="19">
        <v>454060</v>
      </c>
      <c r="AN13" s="19"/>
      <c r="AO13" s="19"/>
      <c r="AP13" s="19"/>
      <c r="AQ13" s="19"/>
      <c r="AR13" s="19"/>
      <c r="AS13" s="19"/>
      <c r="AT13" s="19"/>
      <c r="AU13" s="19"/>
      <c r="AV13" s="19"/>
      <c r="AW13" s="19"/>
      <c r="AX13" s="19" t="s">
        <v>96</v>
      </c>
      <c r="AY13" s="19"/>
      <c r="AZ13" s="19"/>
      <c r="BA13" s="19">
        <v>14618137</v>
      </c>
      <c r="BB13" s="19"/>
      <c r="BC13" s="19"/>
      <c r="BD13" s="19"/>
      <c r="BE13" s="19"/>
      <c r="BF13" s="19"/>
      <c r="BG13" s="19"/>
      <c r="BH13" s="19"/>
      <c r="BI13" s="19"/>
      <c r="BJ13" s="19"/>
      <c r="BK13" s="19"/>
      <c r="BL13" s="19"/>
      <c r="BM13" s="19"/>
      <c r="BN13" s="19"/>
      <c r="BO13" s="19"/>
      <c r="BP13" s="19"/>
      <c r="BQ13" s="19" t="s">
        <v>175</v>
      </c>
      <c r="BR13" s="19"/>
      <c r="BS13" s="19"/>
      <c r="BT13" s="19"/>
      <c r="BU13" s="19"/>
      <c r="BV13" s="19"/>
      <c r="BW13" s="19"/>
      <c r="BX13" s="19"/>
      <c r="BY13" s="19"/>
      <c r="BZ13" s="19"/>
      <c r="CA13" s="19"/>
      <c r="CB13" s="19"/>
      <c r="CC13" s="19"/>
      <c r="CD13" s="19"/>
      <c r="CE13" s="19"/>
      <c r="CF13" s="19"/>
      <c r="CG13" s="19"/>
      <c r="CH13" s="19"/>
      <c r="CI13" s="19"/>
      <c r="CJ13" s="19"/>
      <c r="CK13" s="19"/>
      <c r="CL13" s="19"/>
      <c r="CM13" s="19"/>
      <c r="CN13" s="19"/>
      <c r="CO13" s="19"/>
      <c r="CP13" s="19"/>
      <c r="CQ13" s="19" t="s">
        <v>96</v>
      </c>
      <c r="CR13" s="19"/>
      <c r="CS13" s="19"/>
      <c r="CT13" s="19"/>
      <c r="CU13" s="19"/>
      <c r="CV13" s="19"/>
      <c r="CW13" s="19"/>
      <c r="CX13" s="19"/>
      <c r="CY13" s="19"/>
      <c r="CZ13" s="19"/>
      <c r="DA13" s="19"/>
      <c r="DB13" s="19"/>
      <c r="DC13" s="19"/>
      <c r="DD13" s="19"/>
      <c r="DE13" s="19"/>
      <c r="DF13" s="19"/>
      <c r="DG13" s="19"/>
      <c r="DH13" s="19"/>
      <c r="DI13" s="19"/>
      <c r="DJ13" s="19"/>
      <c r="DK13" s="19"/>
      <c r="DL13" s="19"/>
      <c r="DM13" s="19"/>
      <c r="DN13" s="19"/>
      <c r="DO13" s="19"/>
      <c r="DP13" s="19"/>
      <c r="DQ13" s="19"/>
      <c r="DR13" s="19"/>
      <c r="DS13" s="19"/>
      <c r="DT13" s="19"/>
      <c r="DU13" s="19"/>
      <c r="DV13" s="19"/>
      <c r="DW13" s="19"/>
      <c r="DX13" s="19"/>
      <c r="DY13" s="19"/>
      <c r="DZ13" s="19"/>
      <c r="EA13" s="19"/>
      <c r="EB13" s="19"/>
      <c r="EC13" s="19"/>
      <c r="ED13" s="19"/>
      <c r="EE13" s="19"/>
      <c r="EF13" s="19"/>
      <c r="EG13" s="19"/>
      <c r="EH13" s="19"/>
      <c r="EI13" s="19"/>
      <c r="EJ13" s="19"/>
      <c r="EK13" s="19" t="s">
        <v>89</v>
      </c>
      <c r="EL13" s="19"/>
      <c r="EM13" s="19"/>
      <c r="EN13" s="19"/>
      <c r="EO13" s="19"/>
      <c r="EP13" s="19"/>
      <c r="EQ13" s="19"/>
      <c r="ER13" s="19"/>
      <c r="ES13" s="19"/>
      <c r="ET13" s="19"/>
      <c r="EU13" s="19"/>
      <c r="EV13" s="19"/>
      <c r="EW13" s="19"/>
      <c r="EX13" s="19"/>
      <c r="EY13" s="19"/>
      <c r="EZ13" s="19"/>
      <c r="FA13" s="19"/>
      <c r="FB13" s="19"/>
      <c r="FC13" s="19" t="s">
        <v>89</v>
      </c>
      <c r="FD13" s="19"/>
      <c r="FE13" s="19"/>
      <c r="FF13" s="19"/>
      <c r="FG13" s="19"/>
      <c r="FH13" s="19"/>
      <c r="FI13" s="19"/>
      <c r="FJ13" s="19"/>
      <c r="FK13" s="19"/>
      <c r="FL13" s="19"/>
      <c r="FM13" s="19"/>
      <c r="FN13" s="19" t="s">
        <v>89</v>
      </c>
      <c r="FO13" s="19"/>
      <c r="FP13" s="19"/>
      <c r="FQ13" s="19" t="s">
        <v>89</v>
      </c>
      <c r="FR13" s="19"/>
      <c r="FS13" s="19"/>
      <c r="FT13" s="19"/>
      <c r="FU13" s="19" t="s">
        <v>89</v>
      </c>
      <c r="FV13" s="19"/>
      <c r="FW13" s="19"/>
      <c r="FX13" s="19" t="s">
        <v>157</v>
      </c>
      <c r="FY13" s="19"/>
      <c r="FZ13" s="19"/>
      <c r="GA13" s="19" t="s">
        <v>89</v>
      </c>
      <c r="GB13" s="19" t="s">
        <v>89</v>
      </c>
      <c r="GC13" s="19"/>
      <c r="GD13" s="19" t="s">
        <v>89</v>
      </c>
      <c r="GE13" s="19"/>
      <c r="GF13" s="19" t="s">
        <v>89</v>
      </c>
      <c r="GG13" s="19"/>
      <c r="GH13" s="19"/>
    </row>
    <row r="14" spans="1:190" ht="17.55" customHeight="1">
      <c r="A14" s="7" t="s">
        <v>1</v>
      </c>
      <c r="B14" s="8" t="s">
        <v>19</v>
      </c>
      <c r="C14" s="19">
        <v>72475276</v>
      </c>
      <c r="D14" s="19">
        <v>836426526</v>
      </c>
      <c r="E14" s="19">
        <v>525661949</v>
      </c>
      <c r="F14" s="19">
        <v>1206507002</v>
      </c>
      <c r="G14" s="19">
        <v>9230829</v>
      </c>
      <c r="H14" s="19">
        <v>866730733</v>
      </c>
      <c r="I14" s="19">
        <v>1425290993</v>
      </c>
      <c r="J14" s="19" t="s">
        <v>89</v>
      </c>
      <c r="K14" s="19">
        <v>261443439</v>
      </c>
      <c r="L14" s="19">
        <v>86372870</v>
      </c>
      <c r="M14" s="19">
        <v>1516011975</v>
      </c>
      <c r="N14" s="19">
        <v>192899074</v>
      </c>
      <c r="O14" s="19">
        <v>1692426366</v>
      </c>
      <c r="P14" s="19">
        <v>797550386</v>
      </c>
      <c r="Q14" s="19">
        <v>42821792</v>
      </c>
      <c r="R14" s="19">
        <v>205972150</v>
      </c>
      <c r="S14" s="19">
        <v>3078960019</v>
      </c>
      <c r="T14" s="19">
        <v>52127864</v>
      </c>
      <c r="U14" s="19">
        <v>316041988</v>
      </c>
      <c r="V14" s="19">
        <v>78231214</v>
      </c>
      <c r="W14" s="19">
        <v>553129642</v>
      </c>
      <c r="X14" s="19">
        <v>4941767552</v>
      </c>
      <c r="Y14" s="19">
        <v>410490980</v>
      </c>
      <c r="Z14" s="19">
        <v>475750416</v>
      </c>
      <c r="AA14" s="19">
        <v>1053091962</v>
      </c>
      <c r="AB14" s="19">
        <v>17899871</v>
      </c>
      <c r="AC14" s="19">
        <v>1095238093</v>
      </c>
      <c r="AD14" s="19">
        <v>1206131402</v>
      </c>
      <c r="AE14" s="19">
        <v>421804375</v>
      </c>
      <c r="AF14" s="19">
        <v>160028100</v>
      </c>
      <c r="AG14" s="19">
        <v>444270926</v>
      </c>
      <c r="AH14" s="19">
        <v>340890921</v>
      </c>
      <c r="AI14" s="19">
        <v>267717430</v>
      </c>
      <c r="AJ14" s="19">
        <v>216380153</v>
      </c>
      <c r="AK14" s="19" t="s">
        <v>89</v>
      </c>
      <c r="AL14" s="19">
        <v>251687525</v>
      </c>
      <c r="AM14" s="19">
        <v>1661815476</v>
      </c>
      <c r="AN14" s="19">
        <v>100773924</v>
      </c>
      <c r="AO14" s="19">
        <v>204319863</v>
      </c>
      <c r="AP14" s="19">
        <v>50285217</v>
      </c>
      <c r="AQ14" s="19">
        <v>40214744</v>
      </c>
      <c r="AR14" s="19">
        <v>101875449</v>
      </c>
      <c r="AS14" s="19">
        <v>119006874</v>
      </c>
      <c r="AT14" s="19">
        <v>1889168333</v>
      </c>
      <c r="AU14" s="19">
        <v>1621797193</v>
      </c>
      <c r="AV14" s="19">
        <v>151972977</v>
      </c>
      <c r="AW14" s="19">
        <v>650342850</v>
      </c>
      <c r="AX14" s="19" t="s">
        <v>96</v>
      </c>
      <c r="AY14" s="19">
        <v>443497871</v>
      </c>
      <c r="AZ14" s="19">
        <v>311053525</v>
      </c>
      <c r="BA14" s="19">
        <v>1219703532</v>
      </c>
      <c r="BB14" s="19">
        <v>28751519</v>
      </c>
      <c r="BC14" s="19">
        <v>844908068</v>
      </c>
      <c r="BD14" s="19">
        <v>21920716</v>
      </c>
      <c r="BE14" s="19">
        <v>515717636</v>
      </c>
      <c r="BF14" s="19">
        <v>1255846608</v>
      </c>
      <c r="BG14" s="19">
        <v>450195308</v>
      </c>
      <c r="BH14" s="19">
        <v>769882172</v>
      </c>
      <c r="BI14" s="19">
        <v>55016039</v>
      </c>
      <c r="BJ14" s="19">
        <v>45238739</v>
      </c>
      <c r="BK14" s="19">
        <v>235968374</v>
      </c>
      <c r="BL14" s="19">
        <v>58531660</v>
      </c>
      <c r="BM14" s="19">
        <v>102165117</v>
      </c>
      <c r="BN14" s="19">
        <v>38191545</v>
      </c>
      <c r="BO14" s="19">
        <v>88222864</v>
      </c>
      <c r="BP14" s="19">
        <v>21391756</v>
      </c>
      <c r="BQ14" s="19" t="s">
        <v>175</v>
      </c>
      <c r="BR14" s="19">
        <v>53537554</v>
      </c>
      <c r="BS14" s="19">
        <v>49320362</v>
      </c>
      <c r="BT14" s="19">
        <v>21567147</v>
      </c>
      <c r="BU14" s="19">
        <v>139423385</v>
      </c>
      <c r="BV14" s="19">
        <v>15098809</v>
      </c>
      <c r="BW14" s="19">
        <v>17356619</v>
      </c>
      <c r="BX14" s="19">
        <v>58884672</v>
      </c>
      <c r="BY14" s="19">
        <v>367173816</v>
      </c>
      <c r="BZ14" s="19">
        <v>13579143</v>
      </c>
      <c r="CA14" s="19">
        <v>297105658</v>
      </c>
      <c r="CB14" s="19">
        <v>201757737</v>
      </c>
      <c r="CC14" s="19">
        <v>3050000</v>
      </c>
      <c r="CD14" s="19">
        <v>41533473</v>
      </c>
      <c r="CE14" s="19">
        <v>90746000</v>
      </c>
      <c r="CF14" s="19">
        <v>36532217</v>
      </c>
      <c r="CG14" s="19">
        <v>48334544</v>
      </c>
      <c r="CH14" s="19">
        <v>11480354</v>
      </c>
      <c r="CI14" s="19">
        <v>641051885</v>
      </c>
      <c r="CJ14" s="19">
        <v>53635381</v>
      </c>
      <c r="CK14" s="19">
        <v>2996199915</v>
      </c>
      <c r="CL14" s="19">
        <v>534846934</v>
      </c>
      <c r="CM14" s="19">
        <v>672361590</v>
      </c>
      <c r="CN14" s="19">
        <v>58226473</v>
      </c>
      <c r="CO14" s="19">
        <v>59538265</v>
      </c>
      <c r="CP14" s="19">
        <v>150528017</v>
      </c>
      <c r="CQ14" s="19" t="s">
        <v>96</v>
      </c>
      <c r="CR14" s="19">
        <v>165022848</v>
      </c>
      <c r="CS14" s="19">
        <v>820330182</v>
      </c>
      <c r="CT14" s="19">
        <v>71659378</v>
      </c>
      <c r="CU14" s="19">
        <v>161014451</v>
      </c>
      <c r="CV14" s="19">
        <v>0</v>
      </c>
      <c r="CW14" s="19">
        <v>625799487</v>
      </c>
      <c r="CX14" s="19">
        <v>195749678</v>
      </c>
      <c r="CY14" s="19">
        <v>429602505</v>
      </c>
      <c r="CZ14" s="19">
        <v>39734886</v>
      </c>
      <c r="DA14" s="19">
        <v>50124288</v>
      </c>
      <c r="DB14" s="19">
        <v>35149149</v>
      </c>
      <c r="DC14" s="19">
        <v>4331055</v>
      </c>
      <c r="DD14" s="19">
        <v>145557874</v>
      </c>
      <c r="DE14" s="19">
        <v>677851912</v>
      </c>
      <c r="DF14" s="19">
        <v>34291818</v>
      </c>
      <c r="DG14" s="19">
        <v>238171534</v>
      </c>
      <c r="DH14" s="19">
        <v>58159462</v>
      </c>
      <c r="DI14" s="19">
        <v>2031864532</v>
      </c>
      <c r="DJ14" s="19">
        <v>7700184</v>
      </c>
      <c r="DK14" s="19">
        <v>272776266</v>
      </c>
      <c r="DL14" s="19">
        <v>17630022</v>
      </c>
      <c r="DM14" s="19">
        <v>42356618</v>
      </c>
      <c r="DN14" s="19">
        <v>11006542</v>
      </c>
      <c r="DO14" s="19">
        <v>62592304</v>
      </c>
      <c r="DP14" s="19">
        <v>225650513</v>
      </c>
      <c r="DQ14" s="19">
        <v>45397986</v>
      </c>
      <c r="DR14" s="19">
        <v>21064120</v>
      </c>
      <c r="DS14" s="19">
        <v>69486487</v>
      </c>
      <c r="DT14" s="19">
        <v>52755831</v>
      </c>
      <c r="DU14" s="19">
        <v>41905831</v>
      </c>
      <c r="DV14" s="19">
        <v>15907000</v>
      </c>
      <c r="DW14" s="19">
        <v>165615781</v>
      </c>
      <c r="DX14" s="19">
        <v>22439476</v>
      </c>
      <c r="DY14" s="19">
        <v>159644867</v>
      </c>
      <c r="DZ14" s="19">
        <v>80485023</v>
      </c>
      <c r="EA14" s="19">
        <v>63571210</v>
      </c>
      <c r="EB14" s="19">
        <v>446276168</v>
      </c>
      <c r="EC14" s="19">
        <v>669882</v>
      </c>
      <c r="ED14" s="19">
        <v>35929820</v>
      </c>
      <c r="EE14" s="19">
        <v>150039494</v>
      </c>
      <c r="EF14" s="19">
        <v>3152670111</v>
      </c>
      <c r="EG14" s="19">
        <v>3454816737</v>
      </c>
      <c r="EH14" s="19">
        <v>61886689</v>
      </c>
      <c r="EI14" s="19">
        <v>277262489</v>
      </c>
      <c r="EJ14" s="19">
        <v>34274239</v>
      </c>
      <c r="EK14" s="19" t="s">
        <v>89</v>
      </c>
      <c r="EL14" s="19">
        <v>305629171</v>
      </c>
      <c r="EM14" s="19">
        <v>129926016</v>
      </c>
      <c r="EN14" s="19">
        <v>386782095</v>
      </c>
      <c r="EO14" s="19">
        <v>347078360</v>
      </c>
      <c r="EP14" s="19">
        <v>364880019</v>
      </c>
      <c r="EQ14" s="19">
        <v>165638168</v>
      </c>
      <c r="ER14" s="19">
        <v>1289917127</v>
      </c>
      <c r="ES14" s="19">
        <v>39624081</v>
      </c>
      <c r="ET14" s="19">
        <v>9270000</v>
      </c>
      <c r="EU14" s="19">
        <v>6409457</v>
      </c>
      <c r="EV14" s="19">
        <v>1638600</v>
      </c>
      <c r="EW14" s="19">
        <v>26689324</v>
      </c>
      <c r="EX14" s="19">
        <v>172809206</v>
      </c>
      <c r="EY14" s="19">
        <v>2817229831</v>
      </c>
      <c r="EZ14" s="19">
        <v>404569852</v>
      </c>
      <c r="FA14" s="19">
        <v>2145747939</v>
      </c>
      <c r="FB14" s="19">
        <v>190243138</v>
      </c>
      <c r="FC14" s="19" t="s">
        <v>89</v>
      </c>
      <c r="FD14" s="19">
        <v>77038851</v>
      </c>
      <c r="FE14" s="19">
        <v>469697832</v>
      </c>
      <c r="FF14" s="19">
        <v>29500707</v>
      </c>
      <c r="FG14" s="19">
        <v>54490323</v>
      </c>
      <c r="FH14" s="19">
        <v>41590515</v>
      </c>
      <c r="FI14" s="19">
        <v>4271899</v>
      </c>
      <c r="FJ14" s="19">
        <v>33831571</v>
      </c>
      <c r="FK14" s="19">
        <v>152484818</v>
      </c>
      <c r="FL14" s="19">
        <v>12375752</v>
      </c>
      <c r="FM14" s="19">
        <v>1680000</v>
      </c>
      <c r="FN14" s="19" t="s">
        <v>89</v>
      </c>
      <c r="FO14" s="19">
        <v>0</v>
      </c>
      <c r="FP14" s="19">
        <v>104179315</v>
      </c>
      <c r="FQ14" s="19" t="s">
        <v>89</v>
      </c>
      <c r="FR14" s="19">
        <v>1000000</v>
      </c>
      <c r="FS14" s="19">
        <v>0</v>
      </c>
      <c r="FT14" s="19">
        <v>0</v>
      </c>
      <c r="FU14" s="19" t="s">
        <v>89</v>
      </c>
      <c r="FV14" s="19">
        <v>562749406</v>
      </c>
      <c r="FW14" s="19">
        <v>12955345</v>
      </c>
      <c r="FX14" s="19" t="s">
        <v>157</v>
      </c>
      <c r="FY14" s="19">
        <v>108370000</v>
      </c>
      <c r="FZ14" s="19">
        <v>0</v>
      </c>
      <c r="GA14" s="19" t="s">
        <v>89</v>
      </c>
      <c r="GB14" s="19" t="s">
        <v>89</v>
      </c>
      <c r="GC14" s="19">
        <v>36038671</v>
      </c>
      <c r="GD14" s="19" t="s">
        <v>89</v>
      </c>
      <c r="GE14" s="19">
        <v>0</v>
      </c>
      <c r="GF14" s="19" t="s">
        <v>89</v>
      </c>
      <c r="GG14" s="19">
        <v>95569914</v>
      </c>
      <c r="GH14" s="19">
        <v>10000000</v>
      </c>
    </row>
    <row r="15" spans="1:190" ht="17.55" customHeight="1">
      <c r="A15" s="7" t="s">
        <v>1</v>
      </c>
      <c r="B15" s="11" t="s">
        <v>8</v>
      </c>
      <c r="C15" s="19"/>
      <c r="D15" s="19">
        <v>5000000</v>
      </c>
      <c r="E15" s="19">
        <v>80773930</v>
      </c>
      <c r="F15" s="19">
        <v>33000000</v>
      </c>
      <c r="G15" s="19"/>
      <c r="H15" s="19">
        <v>4860000</v>
      </c>
      <c r="I15" s="19"/>
      <c r="J15" s="19" t="s">
        <v>89</v>
      </c>
      <c r="K15" s="19"/>
      <c r="L15" s="19"/>
      <c r="M15" s="19">
        <v>13692620</v>
      </c>
      <c r="N15" s="19"/>
      <c r="O15" s="19">
        <v>75823357</v>
      </c>
      <c r="P15" s="19">
        <v>14760000</v>
      </c>
      <c r="Q15" s="19"/>
      <c r="R15" s="19">
        <v>12800000</v>
      </c>
      <c r="S15" s="19">
        <v>146945898</v>
      </c>
      <c r="T15" s="19">
        <v>1000000</v>
      </c>
      <c r="U15" s="19">
        <v>3000000</v>
      </c>
      <c r="V15" s="19"/>
      <c r="W15" s="19">
        <v>121813542</v>
      </c>
      <c r="X15" s="19">
        <v>165026635</v>
      </c>
      <c r="Y15" s="19">
        <v>75553631</v>
      </c>
      <c r="Z15" s="19">
        <v>170929633</v>
      </c>
      <c r="AA15" s="19">
        <v>264554992</v>
      </c>
      <c r="AB15" s="19"/>
      <c r="AC15" s="19">
        <v>15000000</v>
      </c>
      <c r="AD15" s="19">
        <v>78516583</v>
      </c>
      <c r="AE15" s="19"/>
      <c r="AF15" s="19"/>
      <c r="AG15" s="19">
        <v>34935791</v>
      </c>
      <c r="AH15" s="19">
        <v>135000000</v>
      </c>
      <c r="AI15" s="19"/>
      <c r="AJ15" s="19"/>
      <c r="AK15" s="19" t="s">
        <v>89</v>
      </c>
      <c r="AL15" s="19">
        <v>11000000</v>
      </c>
      <c r="AM15" s="19"/>
      <c r="AN15" s="19"/>
      <c r="AO15" s="19"/>
      <c r="AP15" s="19"/>
      <c r="AQ15" s="19">
        <v>1000000</v>
      </c>
      <c r="AR15" s="19"/>
      <c r="AS15" s="19"/>
      <c r="AT15" s="19"/>
      <c r="AU15" s="19">
        <v>30487000</v>
      </c>
      <c r="AV15" s="19"/>
      <c r="AW15" s="19"/>
      <c r="AX15" s="19" t="s">
        <v>96</v>
      </c>
      <c r="AY15" s="19">
        <v>246583622</v>
      </c>
      <c r="AZ15" s="19">
        <v>62274616</v>
      </c>
      <c r="BA15" s="19">
        <v>7300000</v>
      </c>
      <c r="BB15" s="19"/>
      <c r="BC15" s="19"/>
      <c r="BD15" s="19">
        <v>500119</v>
      </c>
      <c r="BE15" s="19"/>
      <c r="BF15" s="19">
        <v>3496115</v>
      </c>
      <c r="BG15" s="19"/>
      <c r="BH15" s="19">
        <v>11837570</v>
      </c>
      <c r="BI15" s="19"/>
      <c r="BJ15" s="19">
        <v>1100000</v>
      </c>
      <c r="BK15" s="19"/>
      <c r="BL15" s="19">
        <v>9875000</v>
      </c>
      <c r="BM15" s="19">
        <v>35565671</v>
      </c>
      <c r="BN15" s="19">
        <v>1873773</v>
      </c>
      <c r="BO15" s="19">
        <v>4631331</v>
      </c>
      <c r="BP15" s="19"/>
      <c r="BQ15" s="19" t="s">
        <v>175</v>
      </c>
      <c r="BR15" s="19"/>
      <c r="BS15" s="19">
        <v>50000</v>
      </c>
      <c r="BT15" s="19"/>
      <c r="BU15" s="19"/>
      <c r="BV15" s="19"/>
      <c r="BW15" s="19"/>
      <c r="BX15" s="19"/>
      <c r="BY15" s="19">
        <v>77982250</v>
      </c>
      <c r="BZ15" s="19"/>
      <c r="CA15" s="19">
        <v>2400000</v>
      </c>
      <c r="CB15" s="19">
        <v>87000000</v>
      </c>
      <c r="CC15" s="19">
        <v>3050000</v>
      </c>
      <c r="CD15" s="19">
        <v>300000</v>
      </c>
      <c r="CE15" s="19"/>
      <c r="CF15" s="19">
        <v>0</v>
      </c>
      <c r="CG15" s="19"/>
      <c r="CH15" s="19"/>
      <c r="CI15" s="19">
        <v>4307826</v>
      </c>
      <c r="CJ15" s="19">
        <v>2069705</v>
      </c>
      <c r="CK15" s="19">
        <v>11600000</v>
      </c>
      <c r="CL15" s="19"/>
      <c r="CM15" s="19">
        <v>345740158</v>
      </c>
      <c r="CN15" s="19">
        <v>9616</v>
      </c>
      <c r="CO15" s="19"/>
      <c r="CP15" s="19">
        <v>5300000</v>
      </c>
      <c r="CQ15" s="19" t="s">
        <v>96</v>
      </c>
      <c r="CR15" s="19"/>
      <c r="CS15" s="19">
        <v>152285680</v>
      </c>
      <c r="CT15" s="19"/>
      <c r="CU15" s="19">
        <v>120712402</v>
      </c>
      <c r="CV15" s="19"/>
      <c r="CW15" s="19"/>
      <c r="CX15" s="19"/>
      <c r="CY15" s="19">
        <v>63210124</v>
      </c>
      <c r="CZ15" s="19"/>
      <c r="DA15" s="19"/>
      <c r="DB15" s="19"/>
      <c r="DC15" s="19"/>
      <c r="DD15" s="19"/>
      <c r="DE15" s="19"/>
      <c r="DF15" s="19">
        <v>9000000</v>
      </c>
      <c r="DG15" s="19"/>
      <c r="DH15" s="19"/>
      <c r="DI15" s="19">
        <v>3000000</v>
      </c>
      <c r="DJ15" s="19">
        <v>3000000</v>
      </c>
      <c r="DK15" s="19"/>
      <c r="DL15" s="19">
        <v>8400000</v>
      </c>
      <c r="DM15" s="19"/>
      <c r="DN15" s="19">
        <v>3000000</v>
      </c>
      <c r="DO15" s="19">
        <v>6600000</v>
      </c>
      <c r="DP15" s="19"/>
      <c r="DQ15" s="19"/>
      <c r="DR15" s="19"/>
      <c r="DS15" s="19"/>
      <c r="DT15" s="19"/>
      <c r="DU15" s="19"/>
      <c r="DV15" s="19"/>
      <c r="DW15" s="19">
        <v>35777711</v>
      </c>
      <c r="DX15" s="19"/>
      <c r="DY15" s="19"/>
      <c r="DZ15" s="19">
        <v>50592232</v>
      </c>
      <c r="EA15" s="19"/>
      <c r="EB15" s="19"/>
      <c r="EC15" s="19"/>
      <c r="ED15" s="19"/>
      <c r="EE15" s="19"/>
      <c r="EF15" s="19"/>
      <c r="EG15" s="19">
        <v>201663470</v>
      </c>
      <c r="EH15" s="19"/>
      <c r="EI15" s="19"/>
      <c r="EJ15" s="19"/>
      <c r="EK15" s="19" t="s">
        <v>89</v>
      </c>
      <c r="EL15" s="19"/>
      <c r="EM15" s="19"/>
      <c r="EN15" s="19">
        <v>2500000</v>
      </c>
      <c r="EO15" s="19">
        <v>45100000</v>
      </c>
      <c r="EP15" s="19"/>
      <c r="EQ15" s="19"/>
      <c r="ER15" s="19">
        <v>2984000</v>
      </c>
      <c r="ES15" s="19"/>
      <c r="ET15" s="19"/>
      <c r="EU15" s="19"/>
      <c r="EV15" s="19">
        <v>1500000</v>
      </c>
      <c r="EW15" s="19">
        <v>6300000</v>
      </c>
      <c r="EX15" s="19"/>
      <c r="EY15" s="19">
        <v>51836360</v>
      </c>
      <c r="EZ15" s="19"/>
      <c r="FA15" s="19"/>
      <c r="FB15" s="19"/>
      <c r="FC15" s="19" t="s">
        <v>89</v>
      </c>
      <c r="FD15" s="19"/>
      <c r="FE15" s="19"/>
      <c r="FF15" s="19">
        <v>29500707</v>
      </c>
      <c r="FG15" s="19"/>
      <c r="FH15" s="19"/>
      <c r="FI15" s="19"/>
      <c r="FJ15" s="19"/>
      <c r="FK15" s="19">
        <v>64100</v>
      </c>
      <c r="FL15" s="19"/>
      <c r="FM15" s="19">
        <v>0</v>
      </c>
      <c r="FN15" s="19" t="s">
        <v>89</v>
      </c>
      <c r="FO15" s="19"/>
      <c r="FP15" s="19"/>
      <c r="FQ15" s="19" t="s">
        <v>89</v>
      </c>
      <c r="FR15" s="19"/>
      <c r="FS15" s="19"/>
      <c r="FT15" s="19"/>
      <c r="FU15" s="19" t="s">
        <v>89</v>
      </c>
      <c r="FV15" s="19"/>
      <c r="FW15" s="19"/>
      <c r="FX15" s="19" t="s">
        <v>157</v>
      </c>
      <c r="FY15" s="19"/>
      <c r="FZ15" s="19"/>
      <c r="GA15" s="19" t="s">
        <v>89</v>
      </c>
      <c r="GB15" s="19" t="s">
        <v>89</v>
      </c>
      <c r="GC15" s="19"/>
      <c r="GD15" s="19" t="s">
        <v>89</v>
      </c>
      <c r="GE15" s="19"/>
      <c r="GF15" s="19" t="s">
        <v>89</v>
      </c>
      <c r="GG15" s="19"/>
      <c r="GH15" s="19"/>
    </row>
    <row r="16" spans="1:190" ht="17.55" customHeight="1">
      <c r="A16" s="7" t="s">
        <v>1</v>
      </c>
      <c r="B16" s="11" t="s">
        <v>151</v>
      </c>
      <c r="C16" s="19">
        <v>27172276</v>
      </c>
      <c r="D16" s="19">
        <v>831426526</v>
      </c>
      <c r="E16" s="19">
        <v>444888019</v>
      </c>
      <c r="F16" s="19">
        <v>1112673328</v>
      </c>
      <c r="G16" s="19">
        <v>2600829</v>
      </c>
      <c r="H16" s="19">
        <v>36720733</v>
      </c>
      <c r="I16" s="19">
        <v>1328468993</v>
      </c>
      <c r="J16" s="19" t="s">
        <v>89</v>
      </c>
      <c r="K16" s="19">
        <v>257742639</v>
      </c>
      <c r="L16" s="19">
        <v>49787870</v>
      </c>
      <c r="M16" s="19">
        <v>1260177920</v>
      </c>
      <c r="N16" s="19">
        <v>2796445</v>
      </c>
      <c r="O16" s="19">
        <v>1455324368</v>
      </c>
      <c r="P16" s="19">
        <v>389326642</v>
      </c>
      <c r="Q16" s="19">
        <v>9285791</v>
      </c>
      <c r="R16" s="19">
        <v>67605150</v>
      </c>
      <c r="S16" s="19">
        <v>2847446624</v>
      </c>
      <c r="T16" s="19">
        <v>51127864</v>
      </c>
      <c r="U16" s="19">
        <v>182226746</v>
      </c>
      <c r="V16" s="19">
        <v>17851214</v>
      </c>
      <c r="W16" s="19">
        <v>283828105</v>
      </c>
      <c r="X16" s="19">
        <v>4756740917</v>
      </c>
      <c r="Y16" s="19">
        <v>61754550</v>
      </c>
      <c r="Z16" s="19">
        <v>188409783</v>
      </c>
      <c r="AA16" s="19">
        <v>273536970</v>
      </c>
      <c r="AB16" s="19">
        <v>17757871</v>
      </c>
      <c r="AC16" s="19">
        <v>929707853</v>
      </c>
      <c r="AD16" s="19">
        <v>1097614819</v>
      </c>
      <c r="AE16" s="19">
        <v>26070435</v>
      </c>
      <c r="AF16" s="19">
        <v>69797185</v>
      </c>
      <c r="AG16" s="19">
        <v>69183137</v>
      </c>
      <c r="AH16" s="19">
        <v>125427884</v>
      </c>
      <c r="AI16" s="19">
        <v>254525870</v>
      </c>
      <c r="AJ16" s="19">
        <v>35213833</v>
      </c>
      <c r="AK16" s="19" t="s">
        <v>89</v>
      </c>
      <c r="AL16" s="19">
        <v>65420184</v>
      </c>
      <c r="AM16" s="19">
        <v>176180605</v>
      </c>
      <c r="AN16" s="19">
        <v>14322777</v>
      </c>
      <c r="AO16" s="19">
        <v>37429368</v>
      </c>
      <c r="AP16" s="19">
        <v>24876705</v>
      </c>
      <c r="AQ16" s="19">
        <v>39114744</v>
      </c>
      <c r="AR16" s="19">
        <v>17175449</v>
      </c>
      <c r="AS16" s="19">
        <v>74002874</v>
      </c>
      <c r="AT16" s="19">
        <v>1814454133</v>
      </c>
      <c r="AU16" s="19">
        <v>1072614193</v>
      </c>
      <c r="AV16" s="19">
        <v>31972977</v>
      </c>
      <c r="AW16" s="19">
        <v>649342850</v>
      </c>
      <c r="AX16" s="19" t="s">
        <v>96</v>
      </c>
      <c r="AY16" s="19">
        <v>193074249</v>
      </c>
      <c r="AZ16" s="19">
        <v>193278908</v>
      </c>
      <c r="BA16" s="19">
        <v>739388839</v>
      </c>
      <c r="BB16" s="19"/>
      <c r="BC16" s="19">
        <v>844631168</v>
      </c>
      <c r="BD16" s="19"/>
      <c r="BE16" s="19">
        <v>98682222</v>
      </c>
      <c r="BF16" s="19">
        <v>507226554</v>
      </c>
      <c r="BG16" s="19">
        <v>58153023</v>
      </c>
      <c r="BH16" s="19">
        <v>755841447</v>
      </c>
      <c r="BI16" s="19">
        <v>6750038</v>
      </c>
      <c r="BJ16" s="19">
        <v>6663738</v>
      </c>
      <c r="BK16" s="19">
        <v>164768791</v>
      </c>
      <c r="BL16" s="19">
        <v>8346660</v>
      </c>
      <c r="BM16" s="19">
        <v>62230640</v>
      </c>
      <c r="BN16" s="19">
        <v>29415341</v>
      </c>
      <c r="BO16" s="19">
        <v>10569000</v>
      </c>
      <c r="BP16" s="19">
        <v>13971756</v>
      </c>
      <c r="BQ16" s="19" t="s">
        <v>175</v>
      </c>
      <c r="BR16" s="19">
        <v>31655355</v>
      </c>
      <c r="BS16" s="19">
        <v>24170362</v>
      </c>
      <c r="BT16" s="19">
        <v>21567147</v>
      </c>
      <c r="BU16" s="19">
        <v>24250744</v>
      </c>
      <c r="BV16" s="19">
        <v>15098809</v>
      </c>
      <c r="BW16" s="19">
        <v>17356619</v>
      </c>
      <c r="BX16" s="19">
        <v>13559672</v>
      </c>
      <c r="BY16" s="19">
        <v>134295289</v>
      </c>
      <c r="BZ16" s="19">
        <v>579143</v>
      </c>
      <c r="CA16" s="19">
        <v>151405658</v>
      </c>
      <c r="CB16" s="19">
        <v>71778425</v>
      </c>
      <c r="CC16" s="19"/>
      <c r="CD16" s="19">
        <v>38233473</v>
      </c>
      <c r="CE16" s="19">
        <v>17000</v>
      </c>
      <c r="CF16" s="19">
        <v>6232217</v>
      </c>
      <c r="CG16" s="19">
        <v>48334544</v>
      </c>
      <c r="CH16" s="19">
        <v>9730504</v>
      </c>
      <c r="CI16" s="19">
        <v>533688016</v>
      </c>
      <c r="CJ16" s="19">
        <v>3164876</v>
      </c>
      <c r="CK16" s="19">
        <v>2865084915</v>
      </c>
      <c r="CL16" s="19">
        <v>506017597</v>
      </c>
      <c r="CM16" s="19">
        <v>146621432</v>
      </c>
      <c r="CN16" s="19">
        <v>49634457</v>
      </c>
      <c r="CO16" s="19">
        <v>27806531</v>
      </c>
      <c r="CP16" s="19">
        <v>44064381</v>
      </c>
      <c r="CQ16" s="19" t="s">
        <v>96</v>
      </c>
      <c r="CR16" s="19">
        <v>55376438</v>
      </c>
      <c r="CS16" s="19">
        <v>161202722</v>
      </c>
      <c r="CT16" s="19">
        <v>21675878</v>
      </c>
      <c r="CU16" s="19">
        <v>40022049</v>
      </c>
      <c r="CV16" s="19"/>
      <c r="CW16" s="19">
        <v>281991487</v>
      </c>
      <c r="CX16" s="19">
        <v>48949678</v>
      </c>
      <c r="CY16" s="19">
        <v>267107878</v>
      </c>
      <c r="CZ16" s="19">
        <v>1952886</v>
      </c>
      <c r="DA16" s="19">
        <v>2499678</v>
      </c>
      <c r="DB16" s="19">
        <v>14219149</v>
      </c>
      <c r="DC16" s="19">
        <v>4331055</v>
      </c>
      <c r="DD16" s="19">
        <v>105557874</v>
      </c>
      <c r="DE16" s="19">
        <v>645971312</v>
      </c>
      <c r="DF16" s="19">
        <v>15291818</v>
      </c>
      <c r="DG16" s="19">
        <v>114948199</v>
      </c>
      <c r="DH16" s="19">
        <v>9116314</v>
      </c>
      <c r="DI16" s="19">
        <v>2026912292</v>
      </c>
      <c r="DJ16" s="19">
        <v>2882001</v>
      </c>
      <c r="DK16" s="19">
        <v>202608099</v>
      </c>
      <c r="DL16" s="19">
        <v>6457830</v>
      </c>
      <c r="DM16" s="19">
        <v>42356618</v>
      </c>
      <c r="DN16" s="19">
        <v>5006542</v>
      </c>
      <c r="DO16" s="19">
        <v>19993556</v>
      </c>
      <c r="DP16" s="19">
        <v>175487168</v>
      </c>
      <c r="DQ16" s="19">
        <v>25397986</v>
      </c>
      <c r="DR16" s="19"/>
      <c r="DS16" s="19">
        <v>69486487</v>
      </c>
      <c r="DT16" s="19">
        <v>4373621</v>
      </c>
      <c r="DU16" s="19">
        <v>15225224</v>
      </c>
      <c r="DV16" s="19">
        <v>1147000</v>
      </c>
      <c r="DW16" s="19">
        <v>79838070</v>
      </c>
      <c r="DX16" s="19">
        <v>562976</v>
      </c>
      <c r="DY16" s="19">
        <v>37144867</v>
      </c>
      <c r="DZ16" s="19">
        <v>16692791</v>
      </c>
      <c r="EA16" s="19">
        <v>33571210</v>
      </c>
      <c r="EB16" s="19">
        <v>439969168</v>
      </c>
      <c r="EC16" s="19"/>
      <c r="ED16" s="19">
        <v>15929820</v>
      </c>
      <c r="EE16" s="19">
        <v>145033794</v>
      </c>
      <c r="EF16" s="19">
        <v>3033019963</v>
      </c>
      <c r="EG16" s="19">
        <v>1229695259</v>
      </c>
      <c r="EH16" s="19">
        <v>24092143</v>
      </c>
      <c r="EI16" s="19">
        <v>100530173</v>
      </c>
      <c r="EJ16" s="19">
        <v>23607572</v>
      </c>
      <c r="EK16" s="19" t="s">
        <v>89</v>
      </c>
      <c r="EL16" s="19">
        <v>147639171</v>
      </c>
      <c r="EM16" s="19">
        <v>24926016</v>
      </c>
      <c r="EN16" s="19">
        <v>24280095</v>
      </c>
      <c r="EO16" s="19">
        <v>124506976</v>
      </c>
      <c r="EP16" s="19">
        <v>364880019</v>
      </c>
      <c r="EQ16" s="19">
        <v>165638168</v>
      </c>
      <c r="ER16" s="19">
        <v>1282532111</v>
      </c>
      <c r="ES16" s="19">
        <v>6139626</v>
      </c>
      <c r="ET16" s="19">
        <v>9270000</v>
      </c>
      <c r="EU16" s="19">
        <v>6173357</v>
      </c>
      <c r="EV16" s="19"/>
      <c r="EW16" s="19">
        <v>5189324</v>
      </c>
      <c r="EX16" s="19">
        <v>28765749</v>
      </c>
      <c r="EY16" s="19">
        <v>2710508471</v>
      </c>
      <c r="EZ16" s="19">
        <v>240650548</v>
      </c>
      <c r="FA16" s="19">
        <v>2044697939</v>
      </c>
      <c r="FB16" s="19">
        <v>182243138</v>
      </c>
      <c r="FC16" s="19" t="s">
        <v>89</v>
      </c>
      <c r="FD16" s="19">
        <v>57038851</v>
      </c>
      <c r="FE16" s="19">
        <v>138259688</v>
      </c>
      <c r="FF16" s="19"/>
      <c r="FG16" s="19">
        <v>3897289</v>
      </c>
      <c r="FH16" s="19">
        <v>7005515</v>
      </c>
      <c r="FI16" s="19">
        <v>1831899</v>
      </c>
      <c r="FJ16" s="19">
        <v>23241571</v>
      </c>
      <c r="FK16" s="19">
        <v>86634718</v>
      </c>
      <c r="FL16" s="19">
        <v>1315752</v>
      </c>
      <c r="FM16" s="19">
        <v>0</v>
      </c>
      <c r="FN16" s="19" t="s">
        <v>89</v>
      </c>
      <c r="FO16" s="19"/>
      <c r="FP16" s="19">
        <v>3013645</v>
      </c>
      <c r="FQ16" s="19" t="s">
        <v>89</v>
      </c>
      <c r="FR16" s="19"/>
      <c r="FS16" s="19"/>
      <c r="FT16" s="19"/>
      <c r="FU16" s="19" t="s">
        <v>89</v>
      </c>
      <c r="FV16" s="19">
        <v>3526792</v>
      </c>
      <c r="FW16" s="19">
        <v>2955345</v>
      </c>
      <c r="FX16" s="19" t="s">
        <v>157</v>
      </c>
      <c r="FY16" s="19"/>
      <c r="FZ16" s="19"/>
      <c r="GA16" s="19" t="s">
        <v>89</v>
      </c>
      <c r="GB16" s="19" t="s">
        <v>89</v>
      </c>
      <c r="GC16" s="19">
        <v>2301091</v>
      </c>
      <c r="GD16" s="19" t="s">
        <v>89</v>
      </c>
      <c r="GE16" s="19"/>
      <c r="GF16" s="19" t="s">
        <v>89</v>
      </c>
      <c r="GG16" s="19">
        <v>50229914</v>
      </c>
      <c r="GH16" s="19"/>
    </row>
    <row r="17" spans="1:190" ht="17.55" customHeight="1">
      <c r="A17" s="7" t="s">
        <v>1</v>
      </c>
      <c r="B17" s="11" t="s">
        <v>27</v>
      </c>
      <c r="C17" s="19">
        <v>3000</v>
      </c>
      <c r="D17" s="19">
        <v>0</v>
      </c>
      <c r="E17" s="19">
        <v>0</v>
      </c>
      <c r="F17" s="19">
        <v>42833674</v>
      </c>
      <c r="G17" s="19">
        <v>480000</v>
      </c>
      <c r="H17" s="19">
        <v>80000</v>
      </c>
      <c r="I17" s="19">
        <v>0</v>
      </c>
      <c r="J17" s="19" t="s">
        <v>89</v>
      </c>
      <c r="K17" s="19">
        <v>640800</v>
      </c>
      <c r="L17" s="19">
        <v>0</v>
      </c>
      <c r="M17" s="19">
        <v>10461435</v>
      </c>
      <c r="N17" s="19">
        <v>145702629</v>
      </c>
      <c r="O17" s="19">
        <v>5805000</v>
      </c>
      <c r="P17" s="19">
        <v>24893814</v>
      </c>
      <c r="Q17" s="19">
        <v>17536001</v>
      </c>
      <c r="R17" s="19">
        <v>6300000</v>
      </c>
      <c r="S17" s="19">
        <v>20767997</v>
      </c>
      <c r="T17" s="19">
        <v>0</v>
      </c>
      <c r="U17" s="19">
        <v>0</v>
      </c>
      <c r="V17" s="19">
        <v>60300000</v>
      </c>
      <c r="W17" s="19">
        <v>147487995</v>
      </c>
      <c r="X17" s="19">
        <v>0</v>
      </c>
      <c r="Y17" s="19">
        <v>155102799</v>
      </c>
      <c r="Z17" s="19">
        <v>3750000</v>
      </c>
      <c r="AA17" s="19">
        <v>0</v>
      </c>
      <c r="AB17" s="19">
        <v>142000</v>
      </c>
      <c r="AC17" s="19">
        <v>440240</v>
      </c>
      <c r="AD17" s="19">
        <v>0</v>
      </c>
      <c r="AE17" s="19">
        <v>733940</v>
      </c>
      <c r="AF17" s="19">
        <v>0</v>
      </c>
      <c r="AG17" s="19">
        <v>331051998</v>
      </c>
      <c r="AH17" s="19">
        <v>59761037</v>
      </c>
      <c r="AI17" s="19">
        <v>3191560</v>
      </c>
      <c r="AJ17" s="19">
        <v>50704320</v>
      </c>
      <c r="AK17" s="19" t="s">
        <v>89</v>
      </c>
      <c r="AL17" s="19">
        <v>51733798</v>
      </c>
      <c r="AM17" s="19">
        <v>860224871</v>
      </c>
      <c r="AN17" s="19">
        <v>44657147</v>
      </c>
      <c r="AO17" s="19">
        <v>86890495</v>
      </c>
      <c r="AP17" s="19">
        <v>25408512</v>
      </c>
      <c r="AQ17" s="19">
        <v>0</v>
      </c>
      <c r="AR17" s="19">
        <v>32500000</v>
      </c>
      <c r="AS17" s="19">
        <v>4000</v>
      </c>
      <c r="AT17" s="19">
        <v>74414200</v>
      </c>
      <c r="AU17" s="19">
        <v>1000000</v>
      </c>
      <c r="AV17" s="19">
        <v>0</v>
      </c>
      <c r="AW17" s="19">
        <v>0</v>
      </c>
      <c r="AX17" s="19" t="s">
        <v>96</v>
      </c>
      <c r="AY17" s="19">
        <v>3840000</v>
      </c>
      <c r="AZ17" s="19">
        <v>5500001</v>
      </c>
      <c r="BA17" s="19">
        <v>101014693</v>
      </c>
      <c r="BB17" s="19">
        <v>18751519</v>
      </c>
      <c r="BC17" s="19">
        <v>0</v>
      </c>
      <c r="BD17" s="19">
        <v>21420597</v>
      </c>
      <c r="BE17" s="19">
        <v>406677814</v>
      </c>
      <c r="BF17" s="19">
        <v>693039339</v>
      </c>
      <c r="BG17" s="19">
        <v>22992285</v>
      </c>
      <c r="BH17" s="19">
        <v>2203155</v>
      </c>
      <c r="BI17" s="19">
        <v>16171001</v>
      </c>
      <c r="BJ17" s="19">
        <v>10425001</v>
      </c>
      <c r="BK17" s="19">
        <v>59199583</v>
      </c>
      <c r="BL17" s="19">
        <v>310000</v>
      </c>
      <c r="BM17" s="19">
        <v>4368806</v>
      </c>
      <c r="BN17" s="19">
        <v>6902431</v>
      </c>
      <c r="BO17" s="19">
        <v>72522533</v>
      </c>
      <c r="BP17" s="19">
        <v>7150000</v>
      </c>
      <c r="BQ17" s="19" t="s">
        <v>175</v>
      </c>
      <c r="BR17" s="19">
        <v>1202199</v>
      </c>
      <c r="BS17" s="19">
        <v>0</v>
      </c>
      <c r="BT17" s="19">
        <v>0</v>
      </c>
      <c r="BU17" s="19">
        <v>93187725</v>
      </c>
      <c r="BV17" s="19">
        <v>0</v>
      </c>
      <c r="BW17" s="19">
        <v>0</v>
      </c>
      <c r="BX17" s="19">
        <v>44125000</v>
      </c>
      <c r="BY17" s="19">
        <v>64896277</v>
      </c>
      <c r="BZ17" s="19">
        <v>0</v>
      </c>
      <c r="CA17" s="19">
        <v>0</v>
      </c>
      <c r="CB17" s="19">
        <v>2959312</v>
      </c>
      <c r="CC17" s="19">
        <v>0</v>
      </c>
      <c r="CD17" s="19">
        <v>0</v>
      </c>
      <c r="CE17" s="19">
        <v>30729000</v>
      </c>
      <c r="CF17" s="19">
        <v>0</v>
      </c>
      <c r="CG17" s="19">
        <v>0</v>
      </c>
      <c r="CH17" s="19">
        <v>864240</v>
      </c>
      <c r="CI17" s="19">
        <v>53056043</v>
      </c>
      <c r="CJ17" s="19">
        <v>38400800</v>
      </c>
      <c r="CK17" s="19">
        <v>0</v>
      </c>
      <c r="CL17" s="19">
        <v>28829337</v>
      </c>
      <c r="CM17" s="19">
        <v>0</v>
      </c>
      <c r="CN17" s="19">
        <v>3480000</v>
      </c>
      <c r="CO17" s="19">
        <v>1731734</v>
      </c>
      <c r="CP17" s="19">
        <v>33363636</v>
      </c>
      <c r="CQ17" s="19" t="s">
        <v>96</v>
      </c>
      <c r="CR17" s="19">
        <v>0</v>
      </c>
      <c r="CS17" s="19">
        <v>488051780</v>
      </c>
      <c r="CT17" s="19">
        <v>1433500</v>
      </c>
      <c r="CU17" s="19">
        <v>0</v>
      </c>
      <c r="CV17" s="19">
        <v>0</v>
      </c>
      <c r="CW17" s="19">
        <v>0</v>
      </c>
      <c r="CX17" s="19">
        <v>46800000</v>
      </c>
      <c r="CY17" s="19">
        <v>29368503</v>
      </c>
      <c r="CZ17" s="19">
        <v>0</v>
      </c>
      <c r="DA17" s="19">
        <v>0</v>
      </c>
      <c r="DB17" s="19">
        <v>0</v>
      </c>
      <c r="DC17" s="19">
        <v>0</v>
      </c>
      <c r="DD17" s="19">
        <v>0</v>
      </c>
      <c r="DE17" s="19">
        <v>0</v>
      </c>
      <c r="DF17" s="19">
        <v>0</v>
      </c>
      <c r="DG17" s="19">
        <v>63223335</v>
      </c>
      <c r="DH17" s="19">
        <v>49043148</v>
      </c>
      <c r="DI17" s="19">
        <v>1952240</v>
      </c>
      <c r="DJ17" s="19">
        <v>1818183</v>
      </c>
      <c r="DK17" s="19">
        <v>5168167</v>
      </c>
      <c r="DL17" s="19">
        <v>672192</v>
      </c>
      <c r="DM17" s="19">
        <v>0</v>
      </c>
      <c r="DN17" s="19">
        <v>0</v>
      </c>
      <c r="DO17" s="19">
        <v>312000</v>
      </c>
      <c r="DP17" s="19">
        <v>1323545</v>
      </c>
      <c r="DQ17" s="19">
        <v>0</v>
      </c>
      <c r="DR17" s="19">
        <v>1064120</v>
      </c>
      <c r="DS17" s="19">
        <v>0</v>
      </c>
      <c r="DT17" s="19">
        <v>15793335</v>
      </c>
      <c r="DU17" s="19">
        <v>16680607</v>
      </c>
      <c r="DV17" s="19">
        <v>0</v>
      </c>
      <c r="DW17" s="19">
        <v>0</v>
      </c>
      <c r="DX17" s="19">
        <v>0</v>
      </c>
      <c r="DY17" s="19">
        <v>0</v>
      </c>
      <c r="DZ17" s="19">
        <v>0</v>
      </c>
      <c r="EA17" s="19">
        <v>0</v>
      </c>
      <c r="EB17" s="19">
        <v>0</v>
      </c>
      <c r="EC17" s="19">
        <v>669882</v>
      </c>
      <c r="ED17" s="19">
        <v>0</v>
      </c>
      <c r="EE17" s="19">
        <v>0</v>
      </c>
      <c r="EF17" s="19">
        <v>69650148</v>
      </c>
      <c r="EG17" s="19">
        <v>1622257008</v>
      </c>
      <c r="EH17" s="19">
        <v>7494546</v>
      </c>
      <c r="EI17" s="19">
        <v>582316</v>
      </c>
      <c r="EJ17" s="19">
        <v>666667</v>
      </c>
      <c r="EK17" s="19" t="s">
        <v>89</v>
      </c>
      <c r="EL17" s="19">
        <v>0</v>
      </c>
      <c r="EM17" s="19">
        <v>0</v>
      </c>
      <c r="EN17" s="19">
        <v>2000</v>
      </c>
      <c r="EO17" s="19">
        <v>40766824</v>
      </c>
      <c r="EP17" s="19">
        <v>0</v>
      </c>
      <c r="EQ17" s="19">
        <v>0</v>
      </c>
      <c r="ER17" s="19">
        <v>4401016</v>
      </c>
      <c r="ES17" s="19">
        <v>13317455</v>
      </c>
      <c r="ET17" s="19">
        <v>0</v>
      </c>
      <c r="EU17" s="19">
        <v>36100</v>
      </c>
      <c r="EV17" s="19">
        <v>0</v>
      </c>
      <c r="EW17" s="19">
        <v>0</v>
      </c>
      <c r="EX17" s="19">
        <v>36404667</v>
      </c>
      <c r="EY17" s="19">
        <v>0</v>
      </c>
      <c r="EZ17" s="19">
        <v>35879304</v>
      </c>
      <c r="FA17" s="19">
        <v>22650000</v>
      </c>
      <c r="FB17" s="19">
        <v>8000000</v>
      </c>
      <c r="FC17" s="19" t="s">
        <v>89</v>
      </c>
      <c r="FD17" s="19">
        <v>0</v>
      </c>
      <c r="FE17" s="19">
        <v>103544644</v>
      </c>
      <c r="FF17" s="19">
        <v>0</v>
      </c>
      <c r="FG17" s="19">
        <v>35393034</v>
      </c>
      <c r="FH17" s="19">
        <v>6585000</v>
      </c>
      <c r="FI17" s="19">
        <v>0</v>
      </c>
      <c r="FJ17" s="19">
        <v>0</v>
      </c>
      <c r="FK17" s="19">
        <v>0</v>
      </c>
      <c r="FL17" s="19">
        <v>0</v>
      </c>
      <c r="FM17" s="19">
        <v>0</v>
      </c>
      <c r="FN17" s="19" t="s">
        <v>89</v>
      </c>
      <c r="FO17" s="19">
        <v>0</v>
      </c>
      <c r="FP17" s="19">
        <v>101165670</v>
      </c>
      <c r="FQ17" s="19" t="s">
        <v>89</v>
      </c>
      <c r="FR17" s="19">
        <v>0</v>
      </c>
      <c r="FS17" s="19">
        <v>0</v>
      </c>
      <c r="FT17" s="19">
        <v>0</v>
      </c>
      <c r="FU17" s="19" t="s">
        <v>89</v>
      </c>
      <c r="FV17" s="19">
        <v>559222614</v>
      </c>
      <c r="FW17" s="19">
        <v>0</v>
      </c>
      <c r="FX17" s="19" t="s">
        <v>157</v>
      </c>
      <c r="FY17" s="19">
        <v>95000000</v>
      </c>
      <c r="FZ17" s="19">
        <v>0</v>
      </c>
      <c r="GA17" s="19" t="s">
        <v>89</v>
      </c>
      <c r="GB17" s="19" t="s">
        <v>89</v>
      </c>
      <c r="GC17" s="19">
        <v>33537580</v>
      </c>
      <c r="GD17" s="19" t="s">
        <v>89</v>
      </c>
      <c r="GE17" s="19">
        <v>0</v>
      </c>
      <c r="GF17" s="19" t="s">
        <v>89</v>
      </c>
      <c r="GG17" s="19">
        <v>0</v>
      </c>
      <c r="GH17" s="19">
        <v>0</v>
      </c>
    </row>
    <row r="18" spans="1:190" ht="17.55" customHeight="1">
      <c r="A18" s="7" t="s">
        <v>1</v>
      </c>
      <c r="B18" s="12" t="s">
        <v>54</v>
      </c>
      <c r="C18" s="19">
        <v>3000</v>
      </c>
      <c r="D18" s="19"/>
      <c r="E18" s="19"/>
      <c r="F18" s="19"/>
      <c r="G18" s="19"/>
      <c r="H18" s="19">
        <v>80000</v>
      </c>
      <c r="I18" s="19"/>
      <c r="J18" s="19" t="s">
        <v>89</v>
      </c>
      <c r="K18" s="19"/>
      <c r="L18" s="19"/>
      <c r="M18" s="19">
        <v>10461435</v>
      </c>
      <c r="N18" s="19"/>
      <c r="O18" s="19">
        <v>5805000</v>
      </c>
      <c r="P18" s="19">
        <v>13935469</v>
      </c>
      <c r="Q18" s="19">
        <v>2642152</v>
      </c>
      <c r="R18" s="19"/>
      <c r="S18" s="19">
        <v>19090909</v>
      </c>
      <c r="T18" s="19"/>
      <c r="U18" s="19"/>
      <c r="V18" s="19">
        <v>1800000</v>
      </c>
      <c r="W18" s="19">
        <v>14006771</v>
      </c>
      <c r="X18" s="19"/>
      <c r="Y18" s="19">
        <v>20305789</v>
      </c>
      <c r="Z18" s="19">
        <v>3750000</v>
      </c>
      <c r="AA18" s="19"/>
      <c r="AB18" s="19">
        <v>142000</v>
      </c>
      <c r="AC18" s="19"/>
      <c r="AD18" s="19"/>
      <c r="AE18" s="19"/>
      <c r="AF18" s="19"/>
      <c r="AG18" s="19">
        <v>189949998</v>
      </c>
      <c r="AH18" s="19">
        <v>58243418</v>
      </c>
      <c r="AI18" s="19"/>
      <c r="AJ18" s="19"/>
      <c r="AK18" s="19" t="s">
        <v>89</v>
      </c>
      <c r="AL18" s="19"/>
      <c r="AM18" s="19">
        <v>39357806</v>
      </c>
      <c r="AN18" s="19">
        <v>14339376</v>
      </c>
      <c r="AO18" s="19"/>
      <c r="AP18" s="19">
        <v>408512</v>
      </c>
      <c r="AQ18" s="19"/>
      <c r="AR18" s="19">
        <v>32500000</v>
      </c>
      <c r="AS18" s="19"/>
      <c r="AT18" s="19"/>
      <c r="AU18" s="19"/>
      <c r="AV18" s="19"/>
      <c r="AW18" s="19"/>
      <c r="AX18" s="19" t="s">
        <v>96</v>
      </c>
      <c r="AY18" s="19"/>
      <c r="AZ18" s="19"/>
      <c r="BA18" s="19">
        <v>97014693</v>
      </c>
      <c r="BB18" s="19"/>
      <c r="BC18" s="19"/>
      <c r="BD18" s="19">
        <v>5454545</v>
      </c>
      <c r="BE18" s="19"/>
      <c r="BF18" s="19"/>
      <c r="BG18" s="19">
        <v>12312670</v>
      </c>
      <c r="BH18" s="19">
        <v>1136488</v>
      </c>
      <c r="BI18" s="19">
        <v>1651000</v>
      </c>
      <c r="BJ18" s="19">
        <v>4416667</v>
      </c>
      <c r="BK18" s="19"/>
      <c r="BL18" s="19"/>
      <c r="BM18" s="19"/>
      <c r="BN18" s="19"/>
      <c r="BO18" s="19"/>
      <c r="BP18" s="19">
        <v>7150000</v>
      </c>
      <c r="BQ18" s="19" t="s">
        <v>175</v>
      </c>
      <c r="BR18" s="19"/>
      <c r="BS18" s="19"/>
      <c r="BT18" s="19"/>
      <c r="BU18" s="19"/>
      <c r="BV18" s="19"/>
      <c r="BW18" s="19"/>
      <c r="BX18" s="19">
        <v>44125000</v>
      </c>
      <c r="BY18" s="19">
        <v>63634669</v>
      </c>
      <c r="BZ18" s="19"/>
      <c r="CA18" s="19"/>
      <c r="CB18" s="19"/>
      <c r="CC18" s="19"/>
      <c r="CD18" s="19"/>
      <c r="CE18" s="19"/>
      <c r="CF18" s="19"/>
      <c r="CG18" s="19"/>
      <c r="CH18" s="19"/>
      <c r="CI18" s="19"/>
      <c r="CJ18" s="19"/>
      <c r="CK18" s="19"/>
      <c r="CL18" s="19"/>
      <c r="CM18" s="19"/>
      <c r="CN18" s="19"/>
      <c r="CO18" s="19">
        <v>1731734</v>
      </c>
      <c r="CP18" s="19"/>
      <c r="CQ18" s="19" t="s">
        <v>96</v>
      </c>
      <c r="CR18" s="19"/>
      <c r="CS18" s="19">
        <v>15000000</v>
      </c>
      <c r="CT18" s="19">
        <v>1433500</v>
      </c>
      <c r="CU18" s="19"/>
      <c r="CV18" s="19"/>
      <c r="CW18" s="19"/>
      <c r="CX18" s="19">
        <v>46800000</v>
      </c>
      <c r="CY18" s="19">
        <v>29368503</v>
      </c>
      <c r="CZ18" s="19"/>
      <c r="DA18" s="19"/>
      <c r="DB18" s="19"/>
      <c r="DC18" s="19"/>
      <c r="DD18" s="19"/>
      <c r="DE18" s="19"/>
      <c r="DF18" s="19"/>
      <c r="DG18" s="19"/>
      <c r="DH18" s="19"/>
      <c r="DI18" s="19"/>
      <c r="DJ18" s="19">
        <v>1818183</v>
      </c>
      <c r="DK18" s="19"/>
      <c r="DL18" s="19"/>
      <c r="DM18" s="19"/>
      <c r="DN18" s="19"/>
      <c r="DO18" s="19"/>
      <c r="DP18" s="19"/>
      <c r="DQ18" s="19"/>
      <c r="DR18" s="19"/>
      <c r="DS18" s="19"/>
      <c r="DT18" s="19"/>
      <c r="DU18" s="19"/>
      <c r="DV18" s="19"/>
      <c r="DW18" s="19"/>
      <c r="DX18" s="19"/>
      <c r="DY18" s="19"/>
      <c r="DZ18" s="19"/>
      <c r="EA18" s="19"/>
      <c r="EB18" s="19"/>
      <c r="EC18" s="19"/>
      <c r="ED18" s="19"/>
      <c r="EE18" s="19"/>
      <c r="EF18" s="19"/>
      <c r="EG18" s="19"/>
      <c r="EH18" s="19">
        <v>7494546</v>
      </c>
      <c r="EI18" s="19"/>
      <c r="EJ18" s="19">
        <v>666667</v>
      </c>
      <c r="EK18" s="19" t="s">
        <v>89</v>
      </c>
      <c r="EL18" s="19"/>
      <c r="EM18" s="19"/>
      <c r="EN18" s="19"/>
      <c r="EO18" s="19"/>
      <c r="EP18" s="19"/>
      <c r="EQ18" s="19"/>
      <c r="ER18" s="19">
        <v>4401016</v>
      </c>
      <c r="ES18" s="19">
        <v>12825000</v>
      </c>
      <c r="ET18" s="19"/>
      <c r="EU18" s="19">
        <v>36100</v>
      </c>
      <c r="EV18" s="19"/>
      <c r="EW18" s="19"/>
      <c r="EX18" s="19">
        <v>6404667</v>
      </c>
      <c r="EY18" s="19"/>
      <c r="EZ18" s="19"/>
      <c r="FA18" s="19">
        <v>2250000</v>
      </c>
      <c r="FB18" s="19"/>
      <c r="FC18" s="19" t="s">
        <v>89</v>
      </c>
      <c r="FD18" s="19"/>
      <c r="FE18" s="19">
        <v>17758427</v>
      </c>
      <c r="FF18" s="19"/>
      <c r="FG18" s="19">
        <v>34545834</v>
      </c>
      <c r="FH18" s="19">
        <v>6585000</v>
      </c>
      <c r="FI18" s="19"/>
      <c r="FJ18" s="19"/>
      <c r="FK18" s="19"/>
      <c r="FL18" s="19"/>
      <c r="FM18" s="19"/>
      <c r="FN18" s="19" t="s">
        <v>89</v>
      </c>
      <c r="FO18" s="19"/>
      <c r="FP18" s="19">
        <v>-5644997</v>
      </c>
      <c r="FQ18" s="19" t="s">
        <v>89</v>
      </c>
      <c r="FR18" s="19"/>
      <c r="FS18" s="19"/>
      <c r="FT18" s="19"/>
      <c r="FU18" s="19" t="s">
        <v>89</v>
      </c>
      <c r="FV18" s="19"/>
      <c r="FW18" s="19"/>
      <c r="FX18" s="19" t="s">
        <v>157</v>
      </c>
      <c r="FY18" s="19"/>
      <c r="FZ18" s="19"/>
      <c r="GA18" s="19" t="s">
        <v>89</v>
      </c>
      <c r="GB18" s="19" t="s">
        <v>89</v>
      </c>
      <c r="GC18" s="19"/>
      <c r="GD18" s="19" t="s">
        <v>89</v>
      </c>
      <c r="GE18" s="19"/>
      <c r="GF18" s="19" t="s">
        <v>89</v>
      </c>
      <c r="GG18" s="19"/>
      <c r="GH18" s="19"/>
    </row>
    <row r="19" spans="1:190" ht="17.55" customHeight="1">
      <c r="A19" s="7" t="s">
        <v>1</v>
      </c>
      <c r="B19" s="12" t="s">
        <v>74</v>
      </c>
      <c r="C19" s="19"/>
      <c r="D19" s="19"/>
      <c r="E19" s="19"/>
      <c r="F19" s="19"/>
      <c r="G19" s="19">
        <v>480000</v>
      </c>
      <c r="H19" s="19"/>
      <c r="I19" s="19"/>
      <c r="J19" s="19" t="s">
        <v>89</v>
      </c>
      <c r="K19" s="19">
        <v>640800</v>
      </c>
      <c r="L19" s="19"/>
      <c r="M19" s="19"/>
      <c r="N19" s="19"/>
      <c r="O19" s="19"/>
      <c r="P19" s="19"/>
      <c r="Q19" s="19">
        <v>1223882</v>
      </c>
      <c r="R19" s="19"/>
      <c r="S19" s="19">
        <v>1677088</v>
      </c>
      <c r="T19" s="19"/>
      <c r="U19" s="19"/>
      <c r="V19" s="19"/>
      <c r="W19" s="19">
        <v>3304057</v>
      </c>
      <c r="X19" s="19"/>
      <c r="Y19" s="19"/>
      <c r="Z19" s="19"/>
      <c r="AA19" s="19"/>
      <c r="AB19" s="19"/>
      <c r="AC19" s="19">
        <v>440240</v>
      </c>
      <c r="AD19" s="19"/>
      <c r="AE19" s="19">
        <v>733940</v>
      </c>
      <c r="AF19" s="19"/>
      <c r="AG19" s="19">
        <v>2452000</v>
      </c>
      <c r="AH19" s="19">
        <v>1517619</v>
      </c>
      <c r="AI19" s="19">
        <v>791560</v>
      </c>
      <c r="AJ19" s="19"/>
      <c r="AK19" s="19" t="s">
        <v>89</v>
      </c>
      <c r="AL19" s="19">
        <v>51733798</v>
      </c>
      <c r="AM19" s="19">
        <v>5719682</v>
      </c>
      <c r="AN19" s="19"/>
      <c r="AO19" s="19">
        <v>25757472</v>
      </c>
      <c r="AP19" s="19"/>
      <c r="AQ19" s="19"/>
      <c r="AR19" s="19"/>
      <c r="AS19" s="19"/>
      <c r="AT19" s="19">
        <v>74414200</v>
      </c>
      <c r="AU19" s="19">
        <v>1000000</v>
      </c>
      <c r="AV19" s="19"/>
      <c r="AW19" s="19"/>
      <c r="AX19" s="19" t="s">
        <v>96</v>
      </c>
      <c r="AY19" s="19">
        <v>3840000</v>
      </c>
      <c r="AZ19" s="19">
        <v>5500001</v>
      </c>
      <c r="BA19" s="19">
        <v>4000000</v>
      </c>
      <c r="BB19" s="19"/>
      <c r="BC19" s="19"/>
      <c r="BD19" s="19">
        <v>636718</v>
      </c>
      <c r="BE19" s="19">
        <v>1110050</v>
      </c>
      <c r="BF19" s="19">
        <v>483624</v>
      </c>
      <c r="BG19" s="19">
        <v>10679615</v>
      </c>
      <c r="BH19" s="19"/>
      <c r="BI19" s="19"/>
      <c r="BJ19" s="19"/>
      <c r="BK19" s="19">
        <v>59199583</v>
      </c>
      <c r="BL19" s="19"/>
      <c r="BM19" s="19">
        <v>4368806</v>
      </c>
      <c r="BN19" s="19">
        <v>1214930</v>
      </c>
      <c r="BO19" s="19">
        <v>1879226</v>
      </c>
      <c r="BP19" s="19"/>
      <c r="BQ19" s="19" t="s">
        <v>175</v>
      </c>
      <c r="BR19" s="19">
        <v>1202199</v>
      </c>
      <c r="BS19" s="19"/>
      <c r="BT19" s="19"/>
      <c r="BU19" s="19">
        <v>8705225</v>
      </c>
      <c r="BV19" s="19"/>
      <c r="BW19" s="19"/>
      <c r="BX19" s="19"/>
      <c r="BY19" s="19">
        <v>1261608</v>
      </c>
      <c r="BZ19" s="19"/>
      <c r="CA19" s="19"/>
      <c r="CB19" s="19">
        <v>1096334</v>
      </c>
      <c r="CC19" s="19"/>
      <c r="CD19" s="19"/>
      <c r="CE19" s="19"/>
      <c r="CF19" s="19"/>
      <c r="CG19" s="19"/>
      <c r="CH19" s="19">
        <v>864240</v>
      </c>
      <c r="CI19" s="19">
        <v>53056043</v>
      </c>
      <c r="CJ19" s="19"/>
      <c r="CK19" s="19"/>
      <c r="CL19" s="19">
        <v>1565700</v>
      </c>
      <c r="CM19" s="19"/>
      <c r="CN19" s="19"/>
      <c r="CO19" s="19"/>
      <c r="CP19" s="19">
        <v>33163636</v>
      </c>
      <c r="CQ19" s="19" t="s">
        <v>96</v>
      </c>
      <c r="CR19" s="19"/>
      <c r="CS19" s="19">
        <v>33414746</v>
      </c>
      <c r="CT19" s="19"/>
      <c r="CU19" s="19"/>
      <c r="CV19" s="19"/>
      <c r="CW19" s="19"/>
      <c r="CX19" s="19"/>
      <c r="CY19" s="19"/>
      <c r="CZ19" s="19"/>
      <c r="DA19" s="19"/>
      <c r="DB19" s="19"/>
      <c r="DC19" s="19"/>
      <c r="DD19" s="19"/>
      <c r="DE19" s="19"/>
      <c r="DF19" s="19"/>
      <c r="DG19" s="19"/>
      <c r="DH19" s="19"/>
      <c r="DI19" s="19">
        <v>1952240</v>
      </c>
      <c r="DJ19" s="19"/>
      <c r="DK19" s="19">
        <v>988167</v>
      </c>
      <c r="DL19" s="19">
        <v>672192</v>
      </c>
      <c r="DM19" s="19"/>
      <c r="DN19" s="19"/>
      <c r="DO19" s="19">
        <v>312000</v>
      </c>
      <c r="DP19" s="19">
        <v>1323545</v>
      </c>
      <c r="DQ19" s="19"/>
      <c r="DR19" s="19">
        <v>1064120</v>
      </c>
      <c r="DS19" s="19"/>
      <c r="DT19" s="19"/>
      <c r="DU19" s="19"/>
      <c r="DV19" s="19"/>
      <c r="DW19" s="19"/>
      <c r="DX19" s="19"/>
      <c r="DY19" s="19"/>
      <c r="DZ19" s="19"/>
      <c r="EA19" s="19"/>
      <c r="EB19" s="19"/>
      <c r="EC19" s="19">
        <v>669882</v>
      </c>
      <c r="ED19" s="19"/>
      <c r="EE19" s="19"/>
      <c r="EF19" s="19">
        <v>494000</v>
      </c>
      <c r="EG19" s="19">
        <v>1622257008</v>
      </c>
      <c r="EH19" s="19"/>
      <c r="EI19" s="19">
        <v>582316</v>
      </c>
      <c r="EJ19" s="19"/>
      <c r="EK19" s="19" t="s">
        <v>89</v>
      </c>
      <c r="EL19" s="19"/>
      <c r="EM19" s="19"/>
      <c r="EN19" s="19"/>
      <c r="EO19" s="19">
        <v>40766824</v>
      </c>
      <c r="EP19" s="19"/>
      <c r="EQ19" s="19"/>
      <c r="ER19" s="19"/>
      <c r="ES19" s="19">
        <v>492455</v>
      </c>
      <c r="ET19" s="19"/>
      <c r="EU19" s="19"/>
      <c r="EV19" s="19"/>
      <c r="EW19" s="19"/>
      <c r="EX19" s="19">
        <v>30000000</v>
      </c>
      <c r="EY19" s="19"/>
      <c r="EZ19" s="19">
        <v>35879304</v>
      </c>
      <c r="FA19" s="19">
        <v>20400000</v>
      </c>
      <c r="FB19" s="19">
        <v>8000000</v>
      </c>
      <c r="FC19" s="19" t="s">
        <v>89</v>
      </c>
      <c r="FD19" s="19"/>
      <c r="FE19" s="19">
        <v>85786217</v>
      </c>
      <c r="FF19" s="19"/>
      <c r="FG19" s="19">
        <v>847200</v>
      </c>
      <c r="FH19" s="19"/>
      <c r="FI19" s="19"/>
      <c r="FJ19" s="19"/>
      <c r="FK19" s="19"/>
      <c r="FL19" s="19"/>
      <c r="FM19" s="19"/>
      <c r="FN19" s="19" t="s">
        <v>89</v>
      </c>
      <c r="FO19" s="19"/>
      <c r="FP19" s="19">
        <v>4881667</v>
      </c>
      <c r="FQ19" s="19" t="s">
        <v>89</v>
      </c>
      <c r="FR19" s="19"/>
      <c r="FS19" s="19"/>
      <c r="FT19" s="19"/>
      <c r="FU19" s="19" t="s">
        <v>89</v>
      </c>
      <c r="FV19" s="19">
        <v>7969274</v>
      </c>
      <c r="FW19" s="19"/>
      <c r="FX19" s="19" t="s">
        <v>157</v>
      </c>
      <c r="FY19" s="19">
        <v>95000000</v>
      </c>
      <c r="FZ19" s="19"/>
      <c r="GA19" s="19" t="s">
        <v>89</v>
      </c>
      <c r="GB19" s="19" t="s">
        <v>89</v>
      </c>
      <c r="GC19" s="19">
        <v>534940</v>
      </c>
      <c r="GD19" s="19" t="s">
        <v>89</v>
      </c>
      <c r="GE19" s="19"/>
      <c r="GF19" s="19" t="s">
        <v>89</v>
      </c>
      <c r="GG19" s="19"/>
      <c r="GH19" s="19"/>
    </row>
    <row r="20" spans="1:190" ht="17.55" customHeight="1">
      <c r="A20" s="7" t="s">
        <v>1</v>
      </c>
      <c r="B20" s="12" t="s">
        <v>137</v>
      </c>
      <c r="C20" s="19"/>
      <c r="D20" s="19"/>
      <c r="E20" s="19"/>
      <c r="F20" s="19">
        <v>7801434</v>
      </c>
      <c r="G20" s="19"/>
      <c r="H20" s="19"/>
      <c r="I20" s="19"/>
      <c r="J20" s="19" t="s">
        <v>89</v>
      </c>
      <c r="K20" s="19"/>
      <c r="L20" s="19"/>
      <c r="M20" s="19"/>
      <c r="N20" s="19">
        <v>145702629</v>
      </c>
      <c r="O20" s="19"/>
      <c r="P20" s="19"/>
      <c r="Q20" s="19">
        <v>13669967</v>
      </c>
      <c r="R20" s="19">
        <v>6300000</v>
      </c>
      <c r="S20" s="19"/>
      <c r="T20" s="19"/>
      <c r="U20" s="19"/>
      <c r="V20" s="19">
        <v>58500000</v>
      </c>
      <c r="W20" s="19">
        <v>130177167</v>
      </c>
      <c r="X20" s="19"/>
      <c r="Y20" s="19">
        <v>134797010</v>
      </c>
      <c r="Z20" s="19"/>
      <c r="AA20" s="19"/>
      <c r="AB20" s="19"/>
      <c r="AC20" s="19"/>
      <c r="AD20" s="19"/>
      <c r="AE20" s="19"/>
      <c r="AF20" s="19"/>
      <c r="AG20" s="19">
        <v>88650000</v>
      </c>
      <c r="AH20" s="19"/>
      <c r="AI20" s="19">
        <v>2400000</v>
      </c>
      <c r="AJ20" s="19">
        <v>50704320</v>
      </c>
      <c r="AK20" s="19" t="s">
        <v>89</v>
      </c>
      <c r="AL20" s="19"/>
      <c r="AM20" s="19">
        <v>815147383</v>
      </c>
      <c r="AN20" s="19">
        <v>30317771</v>
      </c>
      <c r="AO20" s="19">
        <v>61133023</v>
      </c>
      <c r="AP20" s="19"/>
      <c r="AQ20" s="19"/>
      <c r="AR20" s="19"/>
      <c r="AS20" s="19"/>
      <c r="AT20" s="19"/>
      <c r="AU20" s="19"/>
      <c r="AV20" s="19"/>
      <c r="AW20" s="19"/>
      <c r="AX20" s="19" t="s">
        <v>96</v>
      </c>
      <c r="AY20" s="19"/>
      <c r="AZ20" s="19"/>
      <c r="BA20" s="19"/>
      <c r="BB20" s="19"/>
      <c r="BC20" s="19"/>
      <c r="BD20" s="19">
        <v>15329334</v>
      </c>
      <c r="BE20" s="19">
        <v>405567764</v>
      </c>
      <c r="BF20" s="19">
        <v>692555715</v>
      </c>
      <c r="BG20" s="19"/>
      <c r="BH20" s="19">
        <v>1066667</v>
      </c>
      <c r="BI20" s="19">
        <v>14520001</v>
      </c>
      <c r="BJ20" s="19">
        <v>6008334</v>
      </c>
      <c r="BK20" s="19"/>
      <c r="BL20" s="19">
        <v>310000</v>
      </c>
      <c r="BM20" s="19"/>
      <c r="BN20" s="19">
        <v>5687501</v>
      </c>
      <c r="BO20" s="19">
        <v>70643307</v>
      </c>
      <c r="BP20" s="19"/>
      <c r="BQ20" s="19" t="s">
        <v>175</v>
      </c>
      <c r="BR20" s="19"/>
      <c r="BS20" s="19"/>
      <c r="BT20" s="19"/>
      <c r="BU20" s="19">
        <v>84482500</v>
      </c>
      <c r="BV20" s="19"/>
      <c r="BW20" s="19"/>
      <c r="BX20" s="19"/>
      <c r="BY20" s="19"/>
      <c r="BZ20" s="19"/>
      <c r="CA20" s="19"/>
      <c r="CB20" s="19">
        <v>1862978</v>
      </c>
      <c r="CC20" s="19"/>
      <c r="CD20" s="19"/>
      <c r="CE20" s="19">
        <v>30729000</v>
      </c>
      <c r="CF20" s="19"/>
      <c r="CG20" s="19"/>
      <c r="CH20" s="19"/>
      <c r="CI20" s="19"/>
      <c r="CJ20" s="19">
        <v>38400800</v>
      </c>
      <c r="CK20" s="19"/>
      <c r="CL20" s="19">
        <v>27263637</v>
      </c>
      <c r="CM20" s="19"/>
      <c r="CN20" s="19"/>
      <c r="CO20" s="19"/>
      <c r="CP20" s="19">
        <v>200000</v>
      </c>
      <c r="CQ20" s="19" t="s">
        <v>96</v>
      </c>
      <c r="CR20" s="19"/>
      <c r="CS20" s="19">
        <v>439637034</v>
      </c>
      <c r="CT20" s="19"/>
      <c r="CU20" s="19"/>
      <c r="CV20" s="19"/>
      <c r="CW20" s="19"/>
      <c r="CX20" s="19"/>
      <c r="CY20" s="19"/>
      <c r="CZ20" s="19"/>
      <c r="DA20" s="19"/>
      <c r="DB20" s="19"/>
      <c r="DC20" s="19"/>
      <c r="DD20" s="19"/>
      <c r="DE20" s="19"/>
      <c r="DF20" s="19"/>
      <c r="DG20" s="19">
        <v>63223335</v>
      </c>
      <c r="DH20" s="19">
        <v>49043148</v>
      </c>
      <c r="DI20" s="19"/>
      <c r="DJ20" s="19"/>
      <c r="DK20" s="19">
        <v>4180000</v>
      </c>
      <c r="DL20" s="19"/>
      <c r="DM20" s="19"/>
      <c r="DN20" s="19"/>
      <c r="DO20" s="19"/>
      <c r="DP20" s="19"/>
      <c r="DQ20" s="19"/>
      <c r="DR20" s="19"/>
      <c r="DS20" s="19"/>
      <c r="DT20" s="19">
        <v>15793335</v>
      </c>
      <c r="DU20" s="19">
        <v>16680607</v>
      </c>
      <c r="DV20" s="19"/>
      <c r="DW20" s="19"/>
      <c r="DX20" s="19"/>
      <c r="DY20" s="19"/>
      <c r="DZ20" s="19"/>
      <c r="EA20" s="19"/>
      <c r="EB20" s="19"/>
      <c r="EC20" s="19"/>
      <c r="ED20" s="19"/>
      <c r="EE20" s="19"/>
      <c r="EF20" s="19">
        <v>69156148</v>
      </c>
      <c r="EG20" s="19"/>
      <c r="EH20" s="19"/>
      <c r="EI20" s="19"/>
      <c r="EJ20" s="19"/>
      <c r="EK20" s="19" t="s">
        <v>89</v>
      </c>
      <c r="EL20" s="19"/>
      <c r="EM20" s="19"/>
      <c r="EN20" s="19">
        <v>2000</v>
      </c>
      <c r="EO20" s="19"/>
      <c r="EP20" s="19"/>
      <c r="EQ20" s="19"/>
      <c r="ER20" s="19"/>
      <c r="ES20" s="19"/>
      <c r="ET20" s="19"/>
      <c r="EU20" s="19"/>
      <c r="EV20" s="19"/>
      <c r="EW20" s="19"/>
      <c r="EX20" s="19"/>
      <c r="EY20" s="19"/>
      <c r="EZ20" s="19"/>
      <c r="FA20" s="19"/>
      <c r="FB20" s="19"/>
      <c r="FC20" s="19" t="s">
        <v>89</v>
      </c>
      <c r="FD20" s="19"/>
      <c r="FE20" s="19"/>
      <c r="FF20" s="19"/>
      <c r="FG20" s="19"/>
      <c r="FH20" s="19"/>
      <c r="FI20" s="19"/>
      <c r="FJ20" s="19"/>
      <c r="FK20" s="19"/>
      <c r="FL20" s="19"/>
      <c r="FM20" s="19"/>
      <c r="FN20" s="19" t="s">
        <v>89</v>
      </c>
      <c r="FO20" s="19"/>
      <c r="FP20" s="19">
        <v>101929000</v>
      </c>
      <c r="FQ20" s="19" t="s">
        <v>89</v>
      </c>
      <c r="FR20" s="19"/>
      <c r="FS20" s="19"/>
      <c r="FT20" s="19"/>
      <c r="FU20" s="19" t="s">
        <v>89</v>
      </c>
      <c r="FV20" s="19">
        <v>551253340</v>
      </c>
      <c r="FW20" s="19"/>
      <c r="FX20" s="19" t="s">
        <v>157</v>
      </c>
      <c r="FY20" s="19"/>
      <c r="FZ20" s="19"/>
      <c r="GA20" s="19" t="s">
        <v>89</v>
      </c>
      <c r="GB20" s="19" t="s">
        <v>89</v>
      </c>
      <c r="GC20" s="19">
        <v>33002640</v>
      </c>
      <c r="GD20" s="19" t="s">
        <v>89</v>
      </c>
      <c r="GE20" s="19"/>
      <c r="GF20" s="19" t="s">
        <v>89</v>
      </c>
      <c r="GG20" s="19"/>
      <c r="GH20" s="19"/>
    </row>
    <row r="21" spans="1:190" ht="17.55" customHeight="1">
      <c r="A21" s="7" t="s">
        <v>1</v>
      </c>
      <c r="B21" s="12" t="s">
        <v>39</v>
      </c>
      <c r="C21" s="19"/>
      <c r="D21" s="19"/>
      <c r="E21" s="19"/>
      <c r="F21" s="19">
        <v>35032240</v>
      </c>
      <c r="G21" s="19"/>
      <c r="H21" s="19"/>
      <c r="I21" s="19"/>
      <c r="J21" s="19" t="s">
        <v>89</v>
      </c>
      <c r="K21" s="19"/>
      <c r="L21" s="19"/>
      <c r="M21" s="19"/>
      <c r="N21" s="19"/>
      <c r="O21" s="19"/>
      <c r="P21" s="19">
        <v>10958345</v>
      </c>
      <c r="Q21" s="19"/>
      <c r="R21" s="19"/>
      <c r="S21" s="19"/>
      <c r="T21" s="19"/>
      <c r="U21" s="19"/>
      <c r="V21" s="19"/>
      <c r="W21" s="19"/>
      <c r="X21" s="19"/>
      <c r="Y21" s="19"/>
      <c r="Z21" s="19"/>
      <c r="AA21" s="19"/>
      <c r="AB21" s="19"/>
      <c r="AC21" s="19"/>
      <c r="AD21" s="19"/>
      <c r="AE21" s="19"/>
      <c r="AF21" s="19"/>
      <c r="AG21" s="19">
        <v>50000000</v>
      </c>
      <c r="AH21" s="19"/>
      <c r="AI21" s="19"/>
      <c r="AJ21" s="19"/>
      <c r="AK21" s="19" t="s">
        <v>89</v>
      </c>
      <c r="AL21" s="19"/>
      <c r="AM21" s="19"/>
      <c r="AN21" s="19"/>
      <c r="AO21" s="19"/>
      <c r="AP21" s="19">
        <v>25000000</v>
      </c>
      <c r="AQ21" s="19"/>
      <c r="AR21" s="19"/>
      <c r="AS21" s="19">
        <v>4000</v>
      </c>
      <c r="AT21" s="19"/>
      <c r="AU21" s="19"/>
      <c r="AV21" s="19"/>
      <c r="AW21" s="19"/>
      <c r="AX21" s="19" t="s">
        <v>96</v>
      </c>
      <c r="AY21" s="19"/>
      <c r="AZ21" s="19"/>
      <c r="BA21" s="19"/>
      <c r="BB21" s="19">
        <v>18751519</v>
      </c>
      <c r="BC21" s="19"/>
      <c r="BD21" s="19"/>
      <c r="BE21" s="19"/>
      <c r="BF21" s="19"/>
      <c r="BG21" s="19"/>
      <c r="BH21" s="19"/>
      <c r="BI21" s="19"/>
      <c r="BJ21" s="19"/>
      <c r="BK21" s="19"/>
      <c r="BL21" s="19"/>
      <c r="BM21" s="19"/>
      <c r="BN21" s="19"/>
      <c r="BO21" s="19"/>
      <c r="BP21" s="19"/>
      <c r="BQ21" s="19" t="s">
        <v>175</v>
      </c>
      <c r="BR21" s="19"/>
      <c r="BS21" s="19"/>
      <c r="BT21" s="19"/>
      <c r="BU21" s="19"/>
      <c r="BV21" s="19"/>
      <c r="BW21" s="19"/>
      <c r="BX21" s="19"/>
      <c r="BY21" s="19"/>
      <c r="BZ21" s="19"/>
      <c r="CA21" s="19"/>
      <c r="CB21" s="19"/>
      <c r="CC21" s="19"/>
      <c r="CD21" s="19"/>
      <c r="CE21" s="19"/>
      <c r="CF21" s="19"/>
      <c r="CG21" s="19"/>
      <c r="CH21" s="19"/>
      <c r="CI21" s="19"/>
      <c r="CJ21" s="19"/>
      <c r="CK21" s="19"/>
      <c r="CL21" s="19"/>
      <c r="CM21" s="19"/>
      <c r="CN21" s="19">
        <v>3480000</v>
      </c>
      <c r="CO21" s="19"/>
      <c r="CP21" s="19"/>
      <c r="CQ21" s="19" t="s">
        <v>96</v>
      </c>
      <c r="CR21" s="19"/>
      <c r="CS21" s="19"/>
      <c r="CT21" s="19"/>
      <c r="CU21" s="19"/>
      <c r="CV21" s="19"/>
      <c r="CW21" s="19"/>
      <c r="CX21" s="19"/>
      <c r="CY21" s="19"/>
      <c r="CZ21" s="19"/>
      <c r="DA21" s="19"/>
      <c r="DB21" s="19"/>
      <c r="DC21" s="19"/>
      <c r="DD21" s="19"/>
      <c r="DE21" s="19"/>
      <c r="DF21" s="19"/>
      <c r="DG21" s="19"/>
      <c r="DH21" s="19"/>
      <c r="DI21" s="19"/>
      <c r="DJ21" s="19"/>
      <c r="DK21" s="19"/>
      <c r="DL21" s="19"/>
      <c r="DM21" s="19"/>
      <c r="DN21" s="19"/>
      <c r="DO21" s="19"/>
      <c r="DP21" s="19"/>
      <c r="DQ21" s="19"/>
      <c r="DR21" s="19"/>
      <c r="DS21" s="19"/>
      <c r="DT21" s="19"/>
      <c r="DU21" s="19"/>
      <c r="DV21" s="19"/>
      <c r="DW21" s="19"/>
      <c r="DX21" s="19"/>
      <c r="DY21" s="19"/>
      <c r="DZ21" s="19"/>
      <c r="EA21" s="19"/>
      <c r="EB21" s="19"/>
      <c r="EC21" s="19"/>
      <c r="ED21" s="19"/>
      <c r="EE21" s="19"/>
      <c r="EF21" s="19"/>
      <c r="EG21" s="19"/>
      <c r="EH21" s="19"/>
      <c r="EI21" s="19"/>
      <c r="EJ21" s="19"/>
      <c r="EK21" s="19" t="s">
        <v>89</v>
      </c>
      <c r="EL21" s="19"/>
      <c r="EM21" s="19"/>
      <c r="EN21" s="19"/>
      <c r="EO21" s="19"/>
      <c r="EP21" s="19"/>
      <c r="EQ21" s="19"/>
      <c r="ER21" s="19"/>
      <c r="ES21" s="19"/>
      <c r="ET21" s="19"/>
      <c r="EU21" s="19"/>
      <c r="EV21" s="19"/>
      <c r="EW21" s="19"/>
      <c r="EX21" s="19"/>
      <c r="EY21" s="19"/>
      <c r="EZ21" s="19"/>
      <c r="FA21" s="19"/>
      <c r="FB21" s="19"/>
      <c r="FC21" s="19" t="s">
        <v>89</v>
      </c>
      <c r="FD21" s="19"/>
      <c r="FE21" s="19"/>
      <c r="FF21" s="19"/>
      <c r="FG21" s="19"/>
      <c r="FH21" s="19"/>
      <c r="FI21" s="19"/>
      <c r="FJ21" s="19"/>
      <c r="FK21" s="19"/>
      <c r="FL21" s="19"/>
      <c r="FM21" s="19"/>
      <c r="FN21" s="19" t="s">
        <v>89</v>
      </c>
      <c r="FO21" s="19"/>
      <c r="FP21" s="19"/>
      <c r="FQ21" s="19" t="s">
        <v>89</v>
      </c>
      <c r="FR21" s="19"/>
      <c r="FS21" s="19"/>
      <c r="FT21" s="19"/>
      <c r="FU21" s="19" t="s">
        <v>89</v>
      </c>
      <c r="FV21" s="19"/>
      <c r="FW21" s="19"/>
      <c r="FX21" s="19" t="s">
        <v>157</v>
      </c>
      <c r="FY21" s="19"/>
      <c r="FZ21" s="19"/>
      <c r="GA21" s="19" t="s">
        <v>89</v>
      </c>
      <c r="GB21" s="19" t="s">
        <v>89</v>
      </c>
      <c r="GC21" s="19"/>
      <c r="GD21" s="19" t="s">
        <v>89</v>
      </c>
      <c r="GE21" s="19"/>
      <c r="GF21" s="19" t="s">
        <v>89</v>
      </c>
      <c r="GG21" s="19"/>
      <c r="GH21" s="19"/>
    </row>
    <row r="22" spans="1:190" ht="17.55" customHeight="1">
      <c r="A22" s="7" t="s">
        <v>1</v>
      </c>
      <c r="B22" s="11" t="s">
        <v>68</v>
      </c>
      <c r="C22" s="19">
        <v>45300000</v>
      </c>
      <c r="D22" s="19"/>
      <c r="E22" s="19"/>
      <c r="F22" s="19">
        <v>18000000</v>
      </c>
      <c r="G22" s="19">
        <v>6150000</v>
      </c>
      <c r="H22" s="19">
        <v>825070000</v>
      </c>
      <c r="I22" s="19">
        <v>96822000</v>
      </c>
      <c r="J22" s="19" t="s">
        <v>89</v>
      </c>
      <c r="K22" s="19">
        <v>3060000</v>
      </c>
      <c r="L22" s="19">
        <v>36585000</v>
      </c>
      <c r="M22" s="19">
        <v>231680000</v>
      </c>
      <c r="N22" s="19">
        <v>44400000</v>
      </c>
      <c r="O22" s="19">
        <v>155473641</v>
      </c>
      <c r="P22" s="19">
        <v>368569930</v>
      </c>
      <c r="Q22" s="19">
        <v>16000000</v>
      </c>
      <c r="R22" s="19">
        <v>119267000</v>
      </c>
      <c r="S22" s="19">
        <v>63799500</v>
      </c>
      <c r="T22" s="19"/>
      <c r="U22" s="19">
        <v>130815242</v>
      </c>
      <c r="V22" s="19">
        <v>80000</v>
      </c>
      <c r="W22" s="19"/>
      <c r="X22" s="19">
        <v>20000000</v>
      </c>
      <c r="Y22" s="19">
        <v>118080000</v>
      </c>
      <c r="Z22" s="19">
        <v>112661000</v>
      </c>
      <c r="AA22" s="19">
        <v>515000000</v>
      </c>
      <c r="AB22" s="19"/>
      <c r="AC22" s="19">
        <v>150090000</v>
      </c>
      <c r="AD22" s="19">
        <v>30000000</v>
      </c>
      <c r="AE22" s="19">
        <v>395000000</v>
      </c>
      <c r="AF22" s="19">
        <v>90230915</v>
      </c>
      <c r="AG22" s="19">
        <v>9100000</v>
      </c>
      <c r="AH22" s="19">
        <v>20702000</v>
      </c>
      <c r="AI22" s="19">
        <v>10000000</v>
      </c>
      <c r="AJ22" s="19">
        <v>130462000</v>
      </c>
      <c r="AK22" s="19" t="s">
        <v>89</v>
      </c>
      <c r="AL22" s="19">
        <v>123533543</v>
      </c>
      <c r="AM22" s="19">
        <v>625410000</v>
      </c>
      <c r="AN22" s="19">
        <v>41794000</v>
      </c>
      <c r="AO22" s="19">
        <v>80000000</v>
      </c>
      <c r="AP22" s="19"/>
      <c r="AQ22" s="19">
        <v>100000</v>
      </c>
      <c r="AR22" s="19">
        <v>52200000</v>
      </c>
      <c r="AS22" s="19">
        <v>45000000</v>
      </c>
      <c r="AT22" s="19">
        <v>300000</v>
      </c>
      <c r="AU22" s="19">
        <v>517696000</v>
      </c>
      <c r="AV22" s="19">
        <v>120000000</v>
      </c>
      <c r="AW22" s="19">
        <v>1000000</v>
      </c>
      <c r="AX22" s="19" t="s">
        <v>96</v>
      </c>
      <c r="AY22" s="19"/>
      <c r="AZ22" s="19">
        <v>50000000</v>
      </c>
      <c r="BA22" s="19">
        <v>372000000</v>
      </c>
      <c r="BB22" s="19">
        <v>10000000</v>
      </c>
      <c r="BC22" s="19">
        <v>276900</v>
      </c>
      <c r="BD22" s="19"/>
      <c r="BE22" s="19">
        <v>10357600</v>
      </c>
      <c r="BF22" s="19">
        <v>52084600</v>
      </c>
      <c r="BG22" s="19">
        <v>369050000</v>
      </c>
      <c r="BH22" s="19"/>
      <c r="BI22" s="19">
        <v>32095000</v>
      </c>
      <c r="BJ22" s="19">
        <v>27050000</v>
      </c>
      <c r="BK22" s="19">
        <v>12000000</v>
      </c>
      <c r="BL22" s="19">
        <v>40000000</v>
      </c>
      <c r="BM22" s="19"/>
      <c r="BN22" s="19"/>
      <c r="BO22" s="19">
        <v>500000</v>
      </c>
      <c r="BP22" s="19">
        <v>270000</v>
      </c>
      <c r="BQ22" s="19" t="s">
        <v>175</v>
      </c>
      <c r="BR22" s="19">
        <v>20680000</v>
      </c>
      <c r="BS22" s="19">
        <v>25100000</v>
      </c>
      <c r="BT22" s="19"/>
      <c r="BU22" s="19">
        <v>21984916</v>
      </c>
      <c r="BV22" s="19"/>
      <c r="BW22" s="19"/>
      <c r="BX22" s="19">
        <v>1200000</v>
      </c>
      <c r="BY22" s="19">
        <v>90000000</v>
      </c>
      <c r="BZ22" s="19">
        <v>13000000</v>
      </c>
      <c r="CA22" s="19">
        <v>143300000</v>
      </c>
      <c r="CB22" s="19">
        <v>40020000</v>
      </c>
      <c r="CC22" s="19"/>
      <c r="CD22" s="19">
        <v>3000000</v>
      </c>
      <c r="CE22" s="19">
        <v>60000000</v>
      </c>
      <c r="CF22" s="19">
        <v>30300000</v>
      </c>
      <c r="CG22" s="19"/>
      <c r="CH22" s="19">
        <v>885610</v>
      </c>
      <c r="CI22" s="19">
        <v>50000000</v>
      </c>
      <c r="CJ22" s="19">
        <v>10000000</v>
      </c>
      <c r="CK22" s="19">
        <v>119515000</v>
      </c>
      <c r="CL22" s="19"/>
      <c r="CM22" s="19">
        <v>180000000</v>
      </c>
      <c r="CN22" s="19">
        <v>5102400</v>
      </c>
      <c r="CO22" s="19">
        <v>30000000</v>
      </c>
      <c r="CP22" s="19">
        <v>67800000</v>
      </c>
      <c r="CQ22" s="19" t="s">
        <v>96</v>
      </c>
      <c r="CR22" s="19">
        <v>109646410</v>
      </c>
      <c r="CS22" s="19">
        <v>18790000</v>
      </c>
      <c r="CT22" s="19">
        <v>48550000</v>
      </c>
      <c r="CU22" s="19">
        <v>280000</v>
      </c>
      <c r="CV22" s="19"/>
      <c r="CW22" s="19">
        <v>343808000</v>
      </c>
      <c r="CX22" s="19">
        <v>100000000</v>
      </c>
      <c r="CY22" s="19">
        <v>69916000</v>
      </c>
      <c r="CZ22" s="19">
        <v>37782000</v>
      </c>
      <c r="DA22" s="19">
        <v>47624610</v>
      </c>
      <c r="DB22" s="19">
        <v>20930000</v>
      </c>
      <c r="DC22" s="19"/>
      <c r="DD22" s="19">
        <v>40000000</v>
      </c>
      <c r="DE22" s="19">
        <v>31880600</v>
      </c>
      <c r="DF22" s="19">
        <v>10000000</v>
      </c>
      <c r="DG22" s="19">
        <v>60000000</v>
      </c>
      <c r="DH22" s="19"/>
      <c r="DI22" s="19"/>
      <c r="DJ22" s="19"/>
      <c r="DK22" s="19">
        <v>65000000</v>
      </c>
      <c r="DL22" s="19">
        <v>2100000</v>
      </c>
      <c r="DM22" s="19"/>
      <c r="DN22" s="19">
        <v>3000000</v>
      </c>
      <c r="DO22" s="19">
        <v>35686748</v>
      </c>
      <c r="DP22" s="19">
        <v>48839800</v>
      </c>
      <c r="DQ22" s="19">
        <v>20000000</v>
      </c>
      <c r="DR22" s="19">
        <v>20000000</v>
      </c>
      <c r="DS22" s="19"/>
      <c r="DT22" s="19">
        <v>32588875</v>
      </c>
      <c r="DU22" s="19">
        <v>10000000</v>
      </c>
      <c r="DV22" s="19">
        <v>14760000</v>
      </c>
      <c r="DW22" s="19">
        <v>50000000</v>
      </c>
      <c r="DX22" s="19">
        <v>21876500</v>
      </c>
      <c r="DY22" s="19">
        <v>122500000</v>
      </c>
      <c r="DZ22" s="19">
        <v>13200000</v>
      </c>
      <c r="EA22" s="19">
        <v>30000000</v>
      </c>
      <c r="EB22" s="19">
        <v>6307000</v>
      </c>
      <c r="EC22" s="19"/>
      <c r="ED22" s="19">
        <v>20000000</v>
      </c>
      <c r="EE22" s="19">
        <v>5005700</v>
      </c>
      <c r="EF22" s="19">
        <v>50000000</v>
      </c>
      <c r="EG22" s="19">
        <v>401201000</v>
      </c>
      <c r="EH22" s="19">
        <v>30300000</v>
      </c>
      <c r="EI22" s="19">
        <v>176150000</v>
      </c>
      <c r="EJ22" s="19">
        <v>10000000</v>
      </c>
      <c r="EK22" s="19" t="s">
        <v>89</v>
      </c>
      <c r="EL22" s="19">
        <v>157990000</v>
      </c>
      <c r="EM22" s="19">
        <v>105000000</v>
      </c>
      <c r="EN22" s="19">
        <v>360000000</v>
      </c>
      <c r="EO22" s="19">
        <v>136704560</v>
      </c>
      <c r="EP22" s="19"/>
      <c r="EQ22" s="19"/>
      <c r="ER22" s="19"/>
      <c r="ES22" s="19">
        <v>20167000</v>
      </c>
      <c r="ET22" s="19"/>
      <c r="EU22" s="19">
        <v>200000</v>
      </c>
      <c r="EV22" s="19">
        <v>138600</v>
      </c>
      <c r="EW22" s="19">
        <v>15200000</v>
      </c>
      <c r="EX22" s="19">
        <v>107638790</v>
      </c>
      <c r="EY22" s="19">
        <v>54885000</v>
      </c>
      <c r="EZ22" s="19">
        <v>128040000</v>
      </c>
      <c r="FA22" s="19">
        <v>78400000</v>
      </c>
      <c r="FB22" s="19"/>
      <c r="FC22" s="19" t="s">
        <v>89</v>
      </c>
      <c r="FD22" s="19">
        <v>20000000</v>
      </c>
      <c r="FE22" s="19">
        <v>227893500</v>
      </c>
      <c r="FF22" s="19"/>
      <c r="FG22" s="19">
        <v>15200000</v>
      </c>
      <c r="FH22" s="19">
        <v>28000000</v>
      </c>
      <c r="FI22" s="19">
        <v>2440000</v>
      </c>
      <c r="FJ22" s="19">
        <v>10590000</v>
      </c>
      <c r="FK22" s="19">
        <v>65786000</v>
      </c>
      <c r="FL22" s="19">
        <v>11060000</v>
      </c>
      <c r="FM22" s="19">
        <v>1680000</v>
      </c>
      <c r="FN22" s="19" t="s">
        <v>89</v>
      </c>
      <c r="FO22" s="19"/>
      <c r="FP22" s="19"/>
      <c r="FQ22" s="19" t="s">
        <v>89</v>
      </c>
      <c r="FR22" s="19">
        <v>1000000</v>
      </c>
      <c r="FS22" s="19"/>
      <c r="FT22" s="19"/>
      <c r="FU22" s="19" t="s">
        <v>89</v>
      </c>
      <c r="FV22" s="19"/>
      <c r="FW22" s="19">
        <v>10000000</v>
      </c>
      <c r="FX22" s="19" t="s">
        <v>157</v>
      </c>
      <c r="FY22" s="19">
        <v>13370000</v>
      </c>
      <c r="FZ22" s="19"/>
      <c r="GA22" s="19" t="s">
        <v>89</v>
      </c>
      <c r="GB22" s="19" t="s">
        <v>89</v>
      </c>
      <c r="GC22" s="19">
        <v>200000</v>
      </c>
      <c r="GD22" s="19" t="s">
        <v>89</v>
      </c>
      <c r="GE22" s="19"/>
      <c r="GF22" s="19" t="s">
        <v>89</v>
      </c>
      <c r="GG22" s="19">
        <v>45340000</v>
      </c>
      <c r="GH22" s="19">
        <v>10000000</v>
      </c>
    </row>
    <row r="23" spans="1:190" ht="17.55" customHeight="1">
      <c r="A23" s="7" t="s">
        <v>1</v>
      </c>
      <c r="B23" s="8" t="s">
        <v>109</v>
      </c>
      <c r="C23" s="19">
        <v>144397932</v>
      </c>
      <c r="D23" s="19">
        <v>553549979</v>
      </c>
      <c r="E23" s="19">
        <v>415556221</v>
      </c>
      <c r="F23" s="19">
        <v>533486234</v>
      </c>
      <c r="G23" s="19">
        <v>221720253</v>
      </c>
      <c r="H23" s="19">
        <v>810000000</v>
      </c>
      <c r="I23" s="19">
        <v>1383855703</v>
      </c>
      <c r="J23" s="19" t="s">
        <v>89</v>
      </c>
      <c r="K23" s="19">
        <v>218905061</v>
      </c>
      <c r="L23" s="19">
        <v>749392683</v>
      </c>
      <c r="M23" s="19">
        <v>1655511016</v>
      </c>
      <c r="N23" s="19">
        <v>252598705</v>
      </c>
      <c r="O23" s="19">
        <v>1502785514</v>
      </c>
      <c r="P23" s="19">
        <v>990469450</v>
      </c>
      <c r="Q23" s="19">
        <v>49241547</v>
      </c>
      <c r="R23" s="19">
        <v>353668697</v>
      </c>
      <c r="S23" s="19">
        <v>3466471448</v>
      </c>
      <c r="T23" s="19">
        <v>335920919</v>
      </c>
      <c r="U23" s="19">
        <v>443246480</v>
      </c>
      <c r="V23" s="19">
        <v>449324706</v>
      </c>
      <c r="W23" s="19">
        <v>1363232056</v>
      </c>
      <c r="X23" s="19">
        <v>3789178172</v>
      </c>
      <c r="Y23" s="19">
        <v>142901086</v>
      </c>
      <c r="Z23" s="19">
        <v>720574535</v>
      </c>
      <c r="AA23" s="19">
        <v>3091143940</v>
      </c>
      <c r="AB23" s="19">
        <v>17291170</v>
      </c>
      <c r="AC23" s="19">
        <v>830818197</v>
      </c>
      <c r="AD23" s="19">
        <v>963275450</v>
      </c>
      <c r="AE23" s="19">
        <v>186799256</v>
      </c>
      <c r="AF23" s="19">
        <v>111499975</v>
      </c>
      <c r="AG23" s="19">
        <v>973587064</v>
      </c>
      <c r="AH23" s="19">
        <v>546751171</v>
      </c>
      <c r="AI23" s="19">
        <v>390393957</v>
      </c>
      <c r="AJ23" s="19">
        <v>342457131</v>
      </c>
      <c r="AK23" s="19" t="s">
        <v>89</v>
      </c>
      <c r="AL23" s="19">
        <v>648364189</v>
      </c>
      <c r="AM23" s="19">
        <v>4178104341</v>
      </c>
      <c r="AN23" s="19">
        <v>26831820</v>
      </c>
      <c r="AO23" s="19">
        <v>393071984</v>
      </c>
      <c r="AP23" s="19">
        <v>349999883</v>
      </c>
      <c r="AQ23" s="19">
        <v>114563343</v>
      </c>
      <c r="AR23" s="19">
        <v>128241488</v>
      </c>
      <c r="AS23" s="19">
        <v>745603924</v>
      </c>
      <c r="AT23" s="19">
        <v>2026555299</v>
      </c>
      <c r="AU23" s="19">
        <v>2282089868</v>
      </c>
      <c r="AV23" s="19">
        <v>255176017</v>
      </c>
      <c r="AW23" s="19">
        <v>740901726</v>
      </c>
      <c r="AX23" s="19" t="s">
        <v>96</v>
      </c>
      <c r="AY23" s="19">
        <v>276649379</v>
      </c>
      <c r="AZ23" s="19">
        <v>91033079</v>
      </c>
      <c r="BA23" s="19">
        <v>2254760546</v>
      </c>
      <c r="BB23" s="19">
        <v>56348138</v>
      </c>
      <c r="BC23" s="19">
        <v>1536100377</v>
      </c>
      <c r="BD23" s="19">
        <v>183813876</v>
      </c>
      <c r="BE23" s="19">
        <v>794198883</v>
      </c>
      <c r="BF23" s="19">
        <v>1504768516</v>
      </c>
      <c r="BG23" s="19">
        <v>671227127</v>
      </c>
      <c r="BH23" s="19">
        <v>728055229</v>
      </c>
      <c r="BI23" s="19">
        <v>62356674</v>
      </c>
      <c r="BJ23" s="19">
        <v>561674238</v>
      </c>
      <c r="BK23" s="19">
        <v>500816432</v>
      </c>
      <c r="BL23" s="19">
        <v>150018658</v>
      </c>
      <c r="BM23" s="19">
        <v>73130405</v>
      </c>
      <c r="BN23" s="19">
        <v>46591295</v>
      </c>
      <c r="BO23" s="19">
        <v>270247387</v>
      </c>
      <c r="BP23" s="19">
        <v>52150482</v>
      </c>
      <c r="BQ23" s="19" t="s">
        <v>175</v>
      </c>
      <c r="BR23" s="19">
        <v>86607791</v>
      </c>
      <c r="BS23" s="19">
        <v>75570130</v>
      </c>
      <c r="BT23" s="19">
        <v>30663674</v>
      </c>
      <c r="BU23" s="19">
        <v>248406759</v>
      </c>
      <c r="BV23" s="19">
        <v>202871663</v>
      </c>
      <c r="BW23" s="19">
        <v>43286703</v>
      </c>
      <c r="BX23" s="19">
        <v>69434022</v>
      </c>
      <c r="BY23" s="19">
        <v>1504368174</v>
      </c>
      <c r="BZ23" s="19">
        <v>201913047</v>
      </c>
      <c r="CA23" s="19">
        <v>234729490</v>
      </c>
      <c r="CB23" s="19">
        <v>285608958</v>
      </c>
      <c r="CC23" s="19">
        <v>121491307</v>
      </c>
      <c r="CD23" s="19">
        <v>148125492</v>
      </c>
      <c r="CE23" s="19">
        <v>144921799</v>
      </c>
      <c r="CF23" s="19">
        <v>992748945</v>
      </c>
      <c r="CG23" s="19">
        <v>13195545</v>
      </c>
      <c r="CH23" s="19">
        <v>112733366</v>
      </c>
      <c r="CI23" s="19">
        <v>1356394593</v>
      </c>
      <c r="CJ23" s="19">
        <v>526811997</v>
      </c>
      <c r="CK23" s="19">
        <v>2835248930</v>
      </c>
      <c r="CL23" s="19">
        <v>422709935</v>
      </c>
      <c r="CM23" s="19">
        <v>388736470</v>
      </c>
      <c r="CN23" s="19">
        <v>124294653</v>
      </c>
      <c r="CO23" s="19">
        <v>35354998</v>
      </c>
      <c r="CP23" s="19">
        <v>800839156</v>
      </c>
      <c r="CQ23" s="19" t="s">
        <v>96</v>
      </c>
      <c r="CR23" s="19">
        <v>76494377</v>
      </c>
      <c r="CS23" s="19">
        <v>410612941</v>
      </c>
      <c r="CT23" s="19">
        <v>240277263</v>
      </c>
      <c r="CU23" s="19">
        <v>60601104</v>
      </c>
      <c r="CV23" s="19">
        <v>273287528</v>
      </c>
      <c r="CW23" s="19">
        <v>44343487</v>
      </c>
      <c r="CX23" s="19">
        <v>1292898771</v>
      </c>
      <c r="CY23" s="19">
        <v>2040866234</v>
      </c>
      <c r="CZ23" s="19">
        <v>198061153</v>
      </c>
      <c r="DA23" s="19">
        <v>69651853</v>
      </c>
      <c r="DB23" s="19">
        <v>212623990</v>
      </c>
      <c r="DC23" s="19">
        <v>36784907</v>
      </c>
      <c r="DD23" s="19">
        <v>184547847</v>
      </c>
      <c r="DE23" s="19">
        <v>289704366</v>
      </c>
      <c r="DF23" s="19">
        <v>51249532</v>
      </c>
      <c r="DG23" s="19">
        <v>222535051</v>
      </c>
      <c r="DH23" s="19">
        <v>239758984</v>
      </c>
      <c r="DI23" s="19">
        <v>2111500378</v>
      </c>
      <c r="DJ23" s="19">
        <v>15804844</v>
      </c>
      <c r="DK23" s="19">
        <v>1033589929</v>
      </c>
      <c r="DL23" s="19">
        <v>165518480</v>
      </c>
      <c r="DM23" s="19">
        <v>1065960878</v>
      </c>
      <c r="DN23" s="19">
        <v>123526383</v>
      </c>
      <c r="DO23" s="19">
        <v>66683327</v>
      </c>
      <c r="DP23" s="19">
        <v>620422898</v>
      </c>
      <c r="DQ23" s="19">
        <v>357342967</v>
      </c>
      <c r="DR23" s="19">
        <v>125881707</v>
      </c>
      <c r="DS23" s="19">
        <v>363673537</v>
      </c>
      <c r="DT23" s="19">
        <v>160058163</v>
      </c>
      <c r="DU23" s="19">
        <v>21657999</v>
      </c>
      <c r="DV23" s="19">
        <v>2668576</v>
      </c>
      <c r="DW23" s="19">
        <v>164369628</v>
      </c>
      <c r="DX23" s="19">
        <v>52221197</v>
      </c>
      <c r="DY23" s="19">
        <v>208252820</v>
      </c>
      <c r="DZ23" s="19">
        <v>133780989</v>
      </c>
      <c r="EA23" s="19">
        <v>54589758</v>
      </c>
      <c r="EB23" s="19">
        <v>625208111</v>
      </c>
      <c r="EC23" s="19">
        <v>99004865</v>
      </c>
      <c r="ED23" s="19">
        <v>61259895</v>
      </c>
      <c r="EE23" s="19">
        <v>156741524</v>
      </c>
      <c r="EF23" s="19">
        <v>2851886941</v>
      </c>
      <c r="EG23" s="19">
        <v>1477027946</v>
      </c>
      <c r="EH23" s="19">
        <v>40910767</v>
      </c>
      <c r="EI23" s="19">
        <v>382587732</v>
      </c>
      <c r="EJ23" s="19">
        <v>22570627</v>
      </c>
      <c r="EK23" s="19" t="s">
        <v>89</v>
      </c>
      <c r="EL23" s="19">
        <v>1217187130</v>
      </c>
      <c r="EM23" s="19">
        <v>209763467</v>
      </c>
      <c r="EN23" s="19">
        <v>907672642</v>
      </c>
      <c r="EO23" s="19">
        <v>327324145</v>
      </c>
      <c r="EP23" s="19">
        <v>14444026</v>
      </c>
      <c r="EQ23" s="19">
        <v>179593913</v>
      </c>
      <c r="ER23" s="19">
        <v>1316530782</v>
      </c>
      <c r="ES23" s="19">
        <v>378702130</v>
      </c>
      <c r="ET23" s="19">
        <v>41615397</v>
      </c>
      <c r="EU23" s="19">
        <v>490402421</v>
      </c>
      <c r="EV23" s="19">
        <v>84938935</v>
      </c>
      <c r="EW23" s="19">
        <v>96185715</v>
      </c>
      <c r="EX23" s="19">
        <v>162153490</v>
      </c>
      <c r="EY23" s="19">
        <v>2477298017</v>
      </c>
      <c r="EZ23" s="19">
        <v>514433249</v>
      </c>
      <c r="FA23" s="19">
        <v>2005204352</v>
      </c>
      <c r="FB23" s="19">
        <v>279152074</v>
      </c>
      <c r="FC23" s="19" t="s">
        <v>89</v>
      </c>
      <c r="FD23" s="19">
        <v>62438340</v>
      </c>
      <c r="FE23" s="19">
        <v>2489155481</v>
      </c>
      <c r="FF23" s="19">
        <v>19278592</v>
      </c>
      <c r="FG23" s="19">
        <v>351428974</v>
      </c>
      <c r="FH23" s="19">
        <v>57629973</v>
      </c>
      <c r="FI23" s="19">
        <v>33693051</v>
      </c>
      <c r="FJ23" s="19">
        <v>16465737</v>
      </c>
      <c r="FK23" s="19">
        <v>321227752</v>
      </c>
      <c r="FL23" s="19">
        <v>9413040</v>
      </c>
      <c r="FM23" s="19">
        <v>8664737</v>
      </c>
      <c r="FN23" s="19" t="s">
        <v>89</v>
      </c>
      <c r="FO23" s="19">
        <v>45830673</v>
      </c>
      <c r="FP23" s="19">
        <v>207193387</v>
      </c>
      <c r="FQ23" s="19" t="s">
        <v>89</v>
      </c>
      <c r="FR23" s="19">
        <v>16359470</v>
      </c>
      <c r="FS23" s="19">
        <v>11054530</v>
      </c>
      <c r="FT23" s="19">
        <v>23772600</v>
      </c>
      <c r="FU23" s="19" t="s">
        <v>89</v>
      </c>
      <c r="FV23" s="19">
        <v>247669414</v>
      </c>
      <c r="FW23" s="19">
        <v>177165949</v>
      </c>
      <c r="FX23" s="19" t="s">
        <v>157</v>
      </c>
      <c r="FY23" s="19">
        <v>169038587</v>
      </c>
      <c r="FZ23" s="19">
        <v>173876809</v>
      </c>
      <c r="GA23" s="19" t="s">
        <v>89</v>
      </c>
      <c r="GB23" s="19" t="s">
        <v>89</v>
      </c>
      <c r="GC23" s="19">
        <v>267955019</v>
      </c>
      <c r="GD23" s="19" t="s">
        <v>89</v>
      </c>
      <c r="GE23" s="19">
        <v>10018400</v>
      </c>
      <c r="GF23" s="19" t="s">
        <v>89</v>
      </c>
      <c r="GG23" s="19">
        <v>370680512</v>
      </c>
      <c r="GH23" s="19">
        <v>43835022</v>
      </c>
    </row>
    <row r="24" spans="1:190" ht="17.55" customHeight="1">
      <c r="A24" s="7" t="s">
        <v>1</v>
      </c>
      <c r="B24" s="8" t="s">
        <v>99</v>
      </c>
      <c r="C24" s="19">
        <v>144397932</v>
      </c>
      <c r="D24" s="19">
        <v>552945409</v>
      </c>
      <c r="E24" s="19">
        <v>126056221</v>
      </c>
      <c r="F24" s="19">
        <v>51772283</v>
      </c>
      <c r="G24" s="19">
        <v>31080253</v>
      </c>
      <c r="H24" s="19">
        <v>0</v>
      </c>
      <c r="I24" s="19">
        <v>253615703</v>
      </c>
      <c r="J24" s="19" t="s">
        <v>89</v>
      </c>
      <c r="K24" s="19">
        <v>218905061</v>
      </c>
      <c r="L24" s="19">
        <v>549051397</v>
      </c>
      <c r="M24" s="19">
        <v>1507460074</v>
      </c>
      <c r="N24" s="19">
        <v>252598705</v>
      </c>
      <c r="O24" s="19">
        <v>386564151</v>
      </c>
      <c r="P24" s="19">
        <v>218029722</v>
      </c>
      <c r="Q24" s="19">
        <v>38441547</v>
      </c>
      <c r="R24" s="19">
        <v>68543697</v>
      </c>
      <c r="S24" s="19">
        <v>858137599</v>
      </c>
      <c r="T24" s="19">
        <v>335920919</v>
      </c>
      <c r="U24" s="19">
        <v>66465010</v>
      </c>
      <c r="V24" s="19">
        <v>32948225</v>
      </c>
      <c r="W24" s="19">
        <v>622708789</v>
      </c>
      <c r="X24" s="19">
        <v>184178172</v>
      </c>
      <c r="Y24" s="19">
        <v>57026086</v>
      </c>
      <c r="Z24" s="19">
        <v>400440914</v>
      </c>
      <c r="AA24" s="19">
        <v>2520503940</v>
      </c>
      <c r="AB24" s="19">
        <v>17291170</v>
      </c>
      <c r="AC24" s="19">
        <v>570818197</v>
      </c>
      <c r="AD24" s="19">
        <v>103160049</v>
      </c>
      <c r="AE24" s="19">
        <v>58674256</v>
      </c>
      <c r="AF24" s="19">
        <v>1499975</v>
      </c>
      <c r="AG24" s="19">
        <v>637637247</v>
      </c>
      <c r="AH24" s="19">
        <v>426751171</v>
      </c>
      <c r="AI24" s="19">
        <v>190393957</v>
      </c>
      <c r="AJ24" s="19">
        <v>121063631</v>
      </c>
      <c r="AK24" s="19" t="s">
        <v>89</v>
      </c>
      <c r="AL24" s="19">
        <v>445030837</v>
      </c>
      <c r="AM24" s="19">
        <v>3317786408</v>
      </c>
      <c r="AN24" s="19">
        <v>26831820</v>
      </c>
      <c r="AO24" s="19">
        <v>372371984</v>
      </c>
      <c r="AP24" s="19">
        <v>290357445</v>
      </c>
      <c r="AQ24" s="19">
        <v>72410071</v>
      </c>
      <c r="AR24" s="19">
        <v>128241488</v>
      </c>
      <c r="AS24" s="19">
        <v>745603924</v>
      </c>
      <c r="AT24" s="19">
        <v>120905191</v>
      </c>
      <c r="AU24" s="19">
        <v>502211061</v>
      </c>
      <c r="AV24" s="19">
        <v>151829630</v>
      </c>
      <c r="AW24" s="19">
        <v>440901726</v>
      </c>
      <c r="AX24" s="19" t="s">
        <v>96</v>
      </c>
      <c r="AY24" s="19">
        <v>17249379</v>
      </c>
      <c r="AZ24" s="19">
        <v>91033079</v>
      </c>
      <c r="BA24" s="19">
        <v>1728873607</v>
      </c>
      <c r="BB24" s="19">
        <v>56348138</v>
      </c>
      <c r="BC24" s="19">
        <v>285215254</v>
      </c>
      <c r="BD24" s="19">
        <v>28813876</v>
      </c>
      <c r="BE24" s="19">
        <v>293728399</v>
      </c>
      <c r="BF24" s="19">
        <v>1210768516</v>
      </c>
      <c r="BG24" s="19">
        <v>449957563</v>
      </c>
      <c r="BH24" s="19">
        <v>228055229</v>
      </c>
      <c r="BI24" s="19">
        <v>62356674</v>
      </c>
      <c r="BJ24" s="19">
        <v>245015738</v>
      </c>
      <c r="BK24" s="19">
        <v>317846432</v>
      </c>
      <c r="BL24" s="19">
        <v>96221364</v>
      </c>
      <c r="BM24" s="19">
        <v>73130405</v>
      </c>
      <c r="BN24" s="19">
        <v>46591295</v>
      </c>
      <c r="BO24" s="19">
        <v>161609380</v>
      </c>
      <c r="BP24" s="19">
        <v>52150482</v>
      </c>
      <c r="BQ24" s="19" t="s">
        <v>175</v>
      </c>
      <c r="BR24" s="19">
        <v>21607791</v>
      </c>
      <c r="BS24" s="19">
        <v>75570130</v>
      </c>
      <c r="BT24" s="19">
        <v>30663674</v>
      </c>
      <c r="BU24" s="19">
        <v>226828604</v>
      </c>
      <c r="BV24" s="19">
        <v>202871663</v>
      </c>
      <c r="BW24" s="19">
        <v>43286703</v>
      </c>
      <c r="BX24" s="19">
        <v>69434022</v>
      </c>
      <c r="BY24" s="19">
        <v>902474454</v>
      </c>
      <c r="BZ24" s="19">
        <v>201913047</v>
      </c>
      <c r="CA24" s="19">
        <v>67444495</v>
      </c>
      <c r="CB24" s="19">
        <v>81431798</v>
      </c>
      <c r="CC24" s="19">
        <v>96482499</v>
      </c>
      <c r="CD24" s="19">
        <v>142631665</v>
      </c>
      <c r="CE24" s="19">
        <v>65767799</v>
      </c>
      <c r="CF24" s="19">
        <v>992748945</v>
      </c>
      <c r="CG24" s="19">
        <v>8719330</v>
      </c>
      <c r="CH24" s="19">
        <v>112733366</v>
      </c>
      <c r="CI24" s="19">
        <v>112594593</v>
      </c>
      <c r="CJ24" s="19">
        <v>432611997</v>
      </c>
      <c r="CK24" s="19">
        <v>1178966506</v>
      </c>
      <c r="CL24" s="19">
        <v>20566434</v>
      </c>
      <c r="CM24" s="19">
        <v>388736470</v>
      </c>
      <c r="CN24" s="19">
        <v>61416888</v>
      </c>
      <c r="CO24" s="19">
        <v>13040205</v>
      </c>
      <c r="CP24" s="19">
        <v>88606656</v>
      </c>
      <c r="CQ24" s="19" t="s">
        <v>96</v>
      </c>
      <c r="CR24" s="19">
        <v>76494377</v>
      </c>
      <c r="CS24" s="19">
        <v>61703329</v>
      </c>
      <c r="CT24" s="19">
        <v>50277263</v>
      </c>
      <c r="CU24" s="19">
        <v>198128</v>
      </c>
      <c r="CV24" s="19">
        <v>171853151</v>
      </c>
      <c r="CW24" s="19">
        <v>39508220</v>
      </c>
      <c r="CX24" s="19">
        <v>1189964263</v>
      </c>
      <c r="CY24" s="19">
        <v>1038896592</v>
      </c>
      <c r="CZ24" s="19">
        <v>105667061</v>
      </c>
      <c r="DA24" s="19">
        <v>69651853</v>
      </c>
      <c r="DB24" s="19">
        <v>21640830</v>
      </c>
      <c r="DC24" s="19">
        <v>6784907</v>
      </c>
      <c r="DD24" s="19">
        <v>11547847</v>
      </c>
      <c r="DE24" s="19">
        <v>194297316</v>
      </c>
      <c r="DF24" s="19">
        <v>28889532</v>
      </c>
      <c r="DG24" s="19">
        <v>96285051</v>
      </c>
      <c r="DH24" s="19">
        <v>99012438</v>
      </c>
      <c r="DI24" s="19">
        <v>180619378</v>
      </c>
      <c r="DJ24" s="19">
        <v>15804844</v>
      </c>
      <c r="DK24" s="19">
        <v>883589929</v>
      </c>
      <c r="DL24" s="19">
        <v>165518480</v>
      </c>
      <c r="DM24" s="19">
        <v>1065960878</v>
      </c>
      <c r="DN24" s="19">
        <v>123526383</v>
      </c>
      <c r="DO24" s="19">
        <v>66683327</v>
      </c>
      <c r="DP24" s="19">
        <v>620422898</v>
      </c>
      <c r="DQ24" s="19">
        <v>87342967</v>
      </c>
      <c r="DR24" s="19">
        <v>125881707</v>
      </c>
      <c r="DS24" s="19">
        <v>343173537</v>
      </c>
      <c r="DT24" s="19">
        <v>160058163</v>
      </c>
      <c r="DU24" s="19">
        <v>16657999</v>
      </c>
      <c r="DV24" s="19">
        <v>0</v>
      </c>
      <c r="DW24" s="19">
        <v>164369628</v>
      </c>
      <c r="DX24" s="19">
        <v>52221197</v>
      </c>
      <c r="DY24" s="19">
        <v>84919495</v>
      </c>
      <c r="DZ24" s="19">
        <v>105731118</v>
      </c>
      <c r="EA24" s="19">
        <v>4589758</v>
      </c>
      <c r="EB24" s="19">
        <v>171888111</v>
      </c>
      <c r="EC24" s="19">
        <v>99004865</v>
      </c>
      <c r="ED24" s="19">
        <v>61259895</v>
      </c>
      <c r="EE24" s="19">
        <v>111544593</v>
      </c>
      <c r="EF24" s="19">
        <v>534001641</v>
      </c>
      <c r="EG24" s="19">
        <v>734474523</v>
      </c>
      <c r="EH24" s="19">
        <v>40910767</v>
      </c>
      <c r="EI24" s="19">
        <v>166587732</v>
      </c>
      <c r="EJ24" s="19">
        <v>8849614</v>
      </c>
      <c r="EK24" s="19" t="s">
        <v>89</v>
      </c>
      <c r="EL24" s="19">
        <v>703127873</v>
      </c>
      <c r="EM24" s="19">
        <v>72578980</v>
      </c>
      <c r="EN24" s="19">
        <v>653031248</v>
      </c>
      <c r="EO24" s="19">
        <v>95824145</v>
      </c>
      <c r="EP24" s="19">
        <v>14444026</v>
      </c>
      <c r="EQ24" s="19">
        <v>179593913</v>
      </c>
      <c r="ER24" s="19">
        <v>273785640</v>
      </c>
      <c r="ES24" s="19">
        <v>115742389</v>
      </c>
      <c r="ET24" s="19">
        <v>19455109</v>
      </c>
      <c r="EU24" s="19">
        <v>426257522</v>
      </c>
      <c r="EV24" s="19">
        <v>84938935</v>
      </c>
      <c r="EW24" s="19">
        <v>86185715</v>
      </c>
      <c r="EX24" s="19">
        <v>162153490</v>
      </c>
      <c r="EY24" s="19">
        <v>2477298017</v>
      </c>
      <c r="EZ24" s="19">
        <v>279127536</v>
      </c>
      <c r="FA24" s="19">
        <v>97276154</v>
      </c>
      <c r="FB24" s="19">
        <v>279152074</v>
      </c>
      <c r="FC24" s="19" t="s">
        <v>89</v>
      </c>
      <c r="FD24" s="19">
        <v>62438340</v>
      </c>
      <c r="FE24" s="19">
        <v>1222433889</v>
      </c>
      <c r="FF24" s="19">
        <v>19278592</v>
      </c>
      <c r="FG24" s="19">
        <v>107267728</v>
      </c>
      <c r="FH24" s="19">
        <v>57629973</v>
      </c>
      <c r="FI24" s="19">
        <v>33693051</v>
      </c>
      <c r="FJ24" s="19">
        <v>16465737</v>
      </c>
      <c r="FK24" s="19">
        <v>171227752</v>
      </c>
      <c r="FL24" s="19">
        <v>9413040</v>
      </c>
      <c r="FM24" s="19">
        <v>8664737</v>
      </c>
      <c r="FN24" s="19" t="s">
        <v>89</v>
      </c>
      <c r="FO24" s="19">
        <v>12850673</v>
      </c>
      <c r="FP24" s="19">
        <v>7193387</v>
      </c>
      <c r="FQ24" s="19" t="s">
        <v>89</v>
      </c>
      <c r="FR24" s="19">
        <v>16359470</v>
      </c>
      <c r="FS24" s="19">
        <v>11054530</v>
      </c>
      <c r="FT24" s="19">
        <v>23772600</v>
      </c>
      <c r="FU24" s="19" t="s">
        <v>89</v>
      </c>
      <c r="FV24" s="19">
        <v>131669414</v>
      </c>
      <c r="FW24" s="19">
        <v>177165949</v>
      </c>
      <c r="FX24" s="19" t="s">
        <v>157</v>
      </c>
      <c r="FY24" s="19">
        <v>109038587</v>
      </c>
      <c r="FZ24" s="19">
        <v>173876809</v>
      </c>
      <c r="GA24" s="19" t="s">
        <v>89</v>
      </c>
      <c r="GB24" s="19" t="s">
        <v>89</v>
      </c>
      <c r="GC24" s="19">
        <v>267955019</v>
      </c>
      <c r="GD24" s="19" t="s">
        <v>89</v>
      </c>
      <c r="GE24" s="19">
        <v>10018400</v>
      </c>
      <c r="GF24" s="19" t="s">
        <v>89</v>
      </c>
      <c r="GG24" s="19">
        <v>348180512</v>
      </c>
      <c r="GH24" s="19">
        <v>43835022</v>
      </c>
    </row>
    <row r="25" spans="1:190" ht="17.55" customHeight="1">
      <c r="A25" s="7" t="s">
        <v>1</v>
      </c>
      <c r="B25" s="11" t="s">
        <v>21</v>
      </c>
      <c r="C25" s="19"/>
      <c r="D25" s="19">
        <v>431262119</v>
      </c>
      <c r="E25" s="19">
        <v>73946356</v>
      </c>
      <c r="F25" s="19"/>
      <c r="G25" s="19"/>
      <c r="H25" s="19"/>
      <c r="I25" s="19">
        <v>239044000</v>
      </c>
      <c r="J25" s="19" t="s">
        <v>89</v>
      </c>
      <c r="K25" s="19">
        <v>194155284</v>
      </c>
      <c r="L25" s="19">
        <v>69138641</v>
      </c>
      <c r="M25" s="19">
        <v>21653520</v>
      </c>
      <c r="N25" s="19"/>
      <c r="O25" s="19">
        <v>51774053</v>
      </c>
      <c r="P25" s="19">
        <v>63685200</v>
      </c>
      <c r="Q25" s="19">
        <v>45100</v>
      </c>
      <c r="R25" s="19">
        <v>7815157</v>
      </c>
      <c r="S25" s="19">
        <v>354039712</v>
      </c>
      <c r="T25" s="19"/>
      <c r="U25" s="19"/>
      <c r="V25" s="19">
        <v>6951765</v>
      </c>
      <c r="W25" s="19">
        <v>232676885</v>
      </c>
      <c r="X25" s="19"/>
      <c r="Y25" s="19"/>
      <c r="Z25" s="19">
        <v>7105084</v>
      </c>
      <c r="AA25" s="19">
        <v>124054566</v>
      </c>
      <c r="AB25" s="19"/>
      <c r="AC25" s="19">
        <v>35751635</v>
      </c>
      <c r="AD25" s="19">
        <v>12412489</v>
      </c>
      <c r="AE25" s="19">
        <v>1779801</v>
      </c>
      <c r="AF25" s="19"/>
      <c r="AG25" s="19">
        <v>362672182</v>
      </c>
      <c r="AH25" s="19"/>
      <c r="AI25" s="19">
        <v>43506916</v>
      </c>
      <c r="AJ25" s="19">
        <v>52350820</v>
      </c>
      <c r="AK25" s="19" t="s">
        <v>89</v>
      </c>
      <c r="AL25" s="19">
        <v>2492285</v>
      </c>
      <c r="AM25" s="19">
        <v>9572782</v>
      </c>
      <c r="AN25" s="19"/>
      <c r="AO25" s="19">
        <v>23904395</v>
      </c>
      <c r="AP25" s="19"/>
      <c r="AQ25" s="19"/>
      <c r="AR25" s="19">
        <v>638960</v>
      </c>
      <c r="AS25" s="19"/>
      <c r="AT25" s="19"/>
      <c r="AU25" s="19">
        <v>10986750</v>
      </c>
      <c r="AV25" s="19"/>
      <c r="AW25" s="19">
        <v>1149900</v>
      </c>
      <c r="AX25" s="19" t="s">
        <v>96</v>
      </c>
      <c r="AY25" s="19"/>
      <c r="AZ25" s="19">
        <v>9134901</v>
      </c>
      <c r="BA25" s="19">
        <v>734129185</v>
      </c>
      <c r="BB25" s="19"/>
      <c r="BC25" s="19">
        <v>74115687</v>
      </c>
      <c r="BD25" s="19"/>
      <c r="BE25" s="19">
        <v>3777620</v>
      </c>
      <c r="BF25" s="19">
        <v>171614657</v>
      </c>
      <c r="BG25" s="19">
        <v>104714026</v>
      </c>
      <c r="BH25" s="19">
        <v>17594680</v>
      </c>
      <c r="BI25" s="19">
        <v>3771730</v>
      </c>
      <c r="BJ25" s="19">
        <v>76684465</v>
      </c>
      <c r="BK25" s="19">
        <v>10282385</v>
      </c>
      <c r="BL25" s="19">
        <v>7193004</v>
      </c>
      <c r="BM25" s="19">
        <v>461600</v>
      </c>
      <c r="BN25" s="19">
        <v>23614865</v>
      </c>
      <c r="BO25" s="19">
        <v>60854920</v>
      </c>
      <c r="BP25" s="19">
        <v>174033</v>
      </c>
      <c r="BQ25" s="19" t="s">
        <v>175</v>
      </c>
      <c r="BR25" s="19"/>
      <c r="BS25" s="19">
        <v>195200</v>
      </c>
      <c r="BT25" s="19">
        <v>582182</v>
      </c>
      <c r="BU25" s="19"/>
      <c r="BV25" s="19"/>
      <c r="BW25" s="19">
        <v>51000</v>
      </c>
      <c r="BX25" s="19"/>
      <c r="BY25" s="19">
        <v>519741827</v>
      </c>
      <c r="BZ25" s="19">
        <v>105817310</v>
      </c>
      <c r="CA25" s="19"/>
      <c r="CB25" s="19"/>
      <c r="CC25" s="19"/>
      <c r="CD25" s="19"/>
      <c r="CE25" s="19">
        <v>4438768</v>
      </c>
      <c r="CF25" s="19"/>
      <c r="CG25" s="19"/>
      <c r="CH25" s="19">
        <v>189500</v>
      </c>
      <c r="CI25" s="19">
        <v>92162305</v>
      </c>
      <c r="CJ25" s="19">
        <v>105799190</v>
      </c>
      <c r="CK25" s="19">
        <v>45506315</v>
      </c>
      <c r="CL25" s="19">
        <v>10865024</v>
      </c>
      <c r="CM25" s="19"/>
      <c r="CN25" s="19"/>
      <c r="CO25" s="19">
        <v>11656895</v>
      </c>
      <c r="CP25" s="19"/>
      <c r="CQ25" s="19" t="s">
        <v>96</v>
      </c>
      <c r="CR25" s="19"/>
      <c r="CS25" s="19">
        <v>9625689</v>
      </c>
      <c r="CT25" s="19"/>
      <c r="CU25" s="19"/>
      <c r="CV25" s="19"/>
      <c r="CW25" s="19"/>
      <c r="CX25" s="19"/>
      <c r="CY25" s="19">
        <v>515620615</v>
      </c>
      <c r="CZ25" s="19">
        <v>3500000</v>
      </c>
      <c r="DA25" s="19">
        <v>34896048</v>
      </c>
      <c r="DB25" s="19">
        <v>2516860</v>
      </c>
      <c r="DC25" s="19"/>
      <c r="DD25" s="19"/>
      <c r="DE25" s="19"/>
      <c r="DF25" s="19">
        <v>273350</v>
      </c>
      <c r="DG25" s="19"/>
      <c r="DH25" s="19"/>
      <c r="DI25" s="19">
        <v>60148297</v>
      </c>
      <c r="DJ25" s="19"/>
      <c r="DK25" s="19">
        <v>298887965</v>
      </c>
      <c r="DL25" s="19">
        <v>1775000</v>
      </c>
      <c r="DM25" s="19">
        <v>144312600</v>
      </c>
      <c r="DN25" s="19">
        <v>9514555</v>
      </c>
      <c r="DO25" s="19"/>
      <c r="DP25" s="19">
        <v>51669772</v>
      </c>
      <c r="DQ25" s="19">
        <v>30242937</v>
      </c>
      <c r="DR25" s="19"/>
      <c r="DS25" s="19">
        <v>20996123</v>
      </c>
      <c r="DT25" s="19">
        <v>13382996</v>
      </c>
      <c r="DU25" s="19"/>
      <c r="DV25" s="19"/>
      <c r="DW25" s="19">
        <v>54660478</v>
      </c>
      <c r="DX25" s="19">
        <v>709860</v>
      </c>
      <c r="DY25" s="19">
        <v>9816563</v>
      </c>
      <c r="DZ25" s="19">
        <v>33390500</v>
      </c>
      <c r="EA25" s="19"/>
      <c r="EB25" s="19">
        <v>421899</v>
      </c>
      <c r="EC25" s="19"/>
      <c r="ED25" s="19"/>
      <c r="EE25" s="19"/>
      <c r="EF25" s="19">
        <v>317022452</v>
      </c>
      <c r="EG25" s="19">
        <v>157282618</v>
      </c>
      <c r="EH25" s="19"/>
      <c r="EI25" s="19"/>
      <c r="EJ25" s="19"/>
      <c r="EK25" s="19" t="s">
        <v>89</v>
      </c>
      <c r="EL25" s="19">
        <v>440564075</v>
      </c>
      <c r="EM25" s="19">
        <v>9619830</v>
      </c>
      <c r="EN25" s="19">
        <v>17030</v>
      </c>
      <c r="EO25" s="19"/>
      <c r="EP25" s="19"/>
      <c r="EQ25" s="19"/>
      <c r="ER25" s="19"/>
      <c r="ES25" s="19">
        <v>8509710</v>
      </c>
      <c r="ET25" s="19"/>
      <c r="EU25" s="19"/>
      <c r="EV25" s="19"/>
      <c r="EW25" s="19">
        <v>613200</v>
      </c>
      <c r="EX25" s="19">
        <v>2062370</v>
      </c>
      <c r="EY25" s="19"/>
      <c r="EZ25" s="19">
        <v>4168184</v>
      </c>
      <c r="FA25" s="19"/>
      <c r="FB25" s="19">
        <v>28847384</v>
      </c>
      <c r="FC25" s="19" t="s">
        <v>89</v>
      </c>
      <c r="FD25" s="19">
        <v>7700000</v>
      </c>
      <c r="FE25" s="19">
        <v>909900466</v>
      </c>
      <c r="FF25" s="19"/>
      <c r="FG25" s="19">
        <v>840720</v>
      </c>
      <c r="FH25" s="19">
        <v>360163</v>
      </c>
      <c r="FI25" s="19"/>
      <c r="FJ25" s="19"/>
      <c r="FK25" s="19">
        <v>33721290</v>
      </c>
      <c r="FL25" s="19"/>
      <c r="FM25" s="19"/>
      <c r="FN25" s="19" t="s">
        <v>89</v>
      </c>
      <c r="FO25" s="19"/>
      <c r="FP25" s="19"/>
      <c r="FQ25" s="19" t="s">
        <v>89</v>
      </c>
      <c r="FR25" s="19">
        <v>3440000</v>
      </c>
      <c r="FS25" s="19"/>
      <c r="FT25" s="19"/>
      <c r="FU25" s="19" t="s">
        <v>89</v>
      </c>
      <c r="FV25" s="19"/>
      <c r="FW25" s="19">
        <v>31812895</v>
      </c>
      <c r="FX25" s="19" t="s">
        <v>157</v>
      </c>
      <c r="FY25" s="19">
        <v>4161977</v>
      </c>
      <c r="FZ25" s="19">
        <v>19826433</v>
      </c>
      <c r="GA25" s="19" t="s">
        <v>89</v>
      </c>
      <c r="GB25" s="19" t="s">
        <v>89</v>
      </c>
      <c r="GC25" s="19"/>
      <c r="GD25" s="19" t="s">
        <v>89</v>
      </c>
      <c r="GE25" s="19"/>
      <c r="GF25" s="19" t="s">
        <v>89</v>
      </c>
      <c r="GG25" s="19"/>
      <c r="GH25" s="19">
        <v>2095990</v>
      </c>
    </row>
    <row r="26" spans="1:190" ht="17.55" customHeight="1">
      <c r="A26" s="7" t="s">
        <v>1</v>
      </c>
      <c r="B26" s="11" t="s">
        <v>6</v>
      </c>
      <c r="C26" s="19"/>
      <c r="D26" s="19"/>
      <c r="E26" s="19">
        <v>15000000</v>
      </c>
      <c r="F26" s="19"/>
      <c r="G26" s="19"/>
      <c r="H26" s="19"/>
      <c r="I26" s="19"/>
      <c r="J26" s="19" t="s">
        <v>89</v>
      </c>
      <c r="K26" s="19"/>
      <c r="L26" s="19">
        <v>418121851</v>
      </c>
      <c r="M26" s="19">
        <v>1247813613</v>
      </c>
      <c r="N26" s="19"/>
      <c r="O26" s="19"/>
      <c r="P26" s="19"/>
      <c r="Q26" s="19">
        <v>28060713</v>
      </c>
      <c r="R26" s="19">
        <v>1430320</v>
      </c>
      <c r="S26" s="19">
        <v>300000000</v>
      </c>
      <c r="T26" s="19">
        <v>298466965</v>
      </c>
      <c r="U26" s="19"/>
      <c r="V26" s="19"/>
      <c r="W26" s="19"/>
      <c r="X26" s="19"/>
      <c r="Y26" s="19">
        <v>53808515</v>
      </c>
      <c r="Z26" s="19">
        <v>249600000</v>
      </c>
      <c r="AA26" s="19">
        <v>1880000000</v>
      </c>
      <c r="AB26" s="19"/>
      <c r="AC26" s="19">
        <v>319890000</v>
      </c>
      <c r="AD26" s="19"/>
      <c r="AE26" s="19"/>
      <c r="AF26" s="19"/>
      <c r="AG26" s="19">
        <v>109000000</v>
      </c>
      <c r="AH26" s="19"/>
      <c r="AI26" s="19">
        <v>130200000</v>
      </c>
      <c r="AJ26" s="19">
        <v>10000000</v>
      </c>
      <c r="AK26" s="19" t="s">
        <v>89</v>
      </c>
      <c r="AL26" s="19">
        <v>250000000</v>
      </c>
      <c r="AM26" s="19">
        <v>1182209720</v>
      </c>
      <c r="AN26" s="19"/>
      <c r="AO26" s="19">
        <v>145329254</v>
      </c>
      <c r="AP26" s="19">
        <v>10000000</v>
      </c>
      <c r="AQ26" s="19"/>
      <c r="AR26" s="19">
        <v>111200000</v>
      </c>
      <c r="AS26" s="19">
        <v>446084622</v>
      </c>
      <c r="AT26" s="19">
        <v>8464259</v>
      </c>
      <c r="AU26" s="19">
        <v>106964417</v>
      </c>
      <c r="AV26" s="19">
        <v>140020200</v>
      </c>
      <c r="AW26" s="19">
        <v>100379428</v>
      </c>
      <c r="AX26" s="19" t="s">
        <v>96</v>
      </c>
      <c r="AY26" s="19"/>
      <c r="AZ26" s="19">
        <v>27426484</v>
      </c>
      <c r="BA26" s="19">
        <v>801696267</v>
      </c>
      <c r="BB26" s="19"/>
      <c r="BC26" s="19"/>
      <c r="BD26" s="19"/>
      <c r="BE26" s="19"/>
      <c r="BF26" s="19">
        <v>980000000</v>
      </c>
      <c r="BG26" s="19">
        <v>76000000</v>
      </c>
      <c r="BH26" s="19">
        <v>200000000</v>
      </c>
      <c r="BI26" s="19">
        <v>28526146</v>
      </c>
      <c r="BJ26" s="19">
        <v>38000000</v>
      </c>
      <c r="BK26" s="19">
        <v>250000000</v>
      </c>
      <c r="BL26" s="19"/>
      <c r="BM26" s="19"/>
      <c r="BN26" s="19"/>
      <c r="BO26" s="19">
        <v>90000000</v>
      </c>
      <c r="BP26" s="19">
        <v>49450000</v>
      </c>
      <c r="BQ26" s="19" t="s">
        <v>175</v>
      </c>
      <c r="BR26" s="19"/>
      <c r="BS26" s="19">
        <v>29500000</v>
      </c>
      <c r="BT26" s="19"/>
      <c r="BU26" s="19">
        <v>200000000</v>
      </c>
      <c r="BV26" s="19">
        <v>160697109</v>
      </c>
      <c r="BW26" s="19"/>
      <c r="BX26" s="19">
        <v>31284814</v>
      </c>
      <c r="BY26" s="19">
        <v>108000000</v>
      </c>
      <c r="BZ26" s="19"/>
      <c r="CA26" s="19">
        <v>23600000</v>
      </c>
      <c r="CB26" s="19"/>
      <c r="CC26" s="19"/>
      <c r="CD26" s="19"/>
      <c r="CE26" s="19">
        <v>21875011</v>
      </c>
      <c r="CF26" s="19">
        <v>850000000</v>
      </c>
      <c r="CG26" s="19"/>
      <c r="CH26" s="19">
        <v>70000000</v>
      </c>
      <c r="CI26" s="19"/>
      <c r="CJ26" s="19">
        <v>209646118</v>
      </c>
      <c r="CK26" s="19">
        <v>750952600</v>
      </c>
      <c r="CL26" s="19">
        <v>4000000</v>
      </c>
      <c r="CM26" s="19">
        <v>10000000</v>
      </c>
      <c r="CN26" s="19"/>
      <c r="CO26" s="19"/>
      <c r="CP26" s="19">
        <v>22421945</v>
      </c>
      <c r="CQ26" s="19" t="s">
        <v>96</v>
      </c>
      <c r="CR26" s="19">
        <v>6731136</v>
      </c>
      <c r="CS26" s="19"/>
      <c r="CT26" s="19"/>
      <c r="CU26" s="19"/>
      <c r="CV26" s="19"/>
      <c r="CW26" s="19"/>
      <c r="CX26" s="19"/>
      <c r="CY26" s="19">
        <v>2972611</v>
      </c>
      <c r="CZ26" s="19"/>
      <c r="DA26" s="19"/>
      <c r="DB26" s="19">
        <v>365450</v>
      </c>
      <c r="DC26" s="19"/>
      <c r="DD26" s="19"/>
      <c r="DE26" s="19">
        <v>86345377</v>
      </c>
      <c r="DF26" s="19">
        <v>18690000</v>
      </c>
      <c r="DG26" s="19">
        <v>30000000</v>
      </c>
      <c r="DH26" s="19"/>
      <c r="DI26" s="19">
        <v>35929806</v>
      </c>
      <c r="DJ26" s="19">
        <v>7253094</v>
      </c>
      <c r="DK26" s="19">
        <v>412000000</v>
      </c>
      <c r="DL26" s="19">
        <v>147741514</v>
      </c>
      <c r="DM26" s="19">
        <v>894960000</v>
      </c>
      <c r="DN26" s="19">
        <v>50000000</v>
      </c>
      <c r="DO26" s="19">
        <v>49613699</v>
      </c>
      <c r="DP26" s="19">
        <v>68750000</v>
      </c>
      <c r="DQ26" s="19"/>
      <c r="DR26" s="19">
        <v>115398000</v>
      </c>
      <c r="DS26" s="19">
        <v>65046223</v>
      </c>
      <c r="DT26" s="19">
        <v>100000000</v>
      </c>
      <c r="DU26" s="19"/>
      <c r="DV26" s="19"/>
      <c r="DW26" s="19"/>
      <c r="DX26" s="19"/>
      <c r="DY26" s="19"/>
      <c r="DZ26" s="19">
        <v>30000000</v>
      </c>
      <c r="EA26" s="19"/>
      <c r="EB26" s="19"/>
      <c r="EC26" s="19">
        <v>7508696</v>
      </c>
      <c r="ED26" s="19"/>
      <c r="EE26" s="19">
        <v>92425187</v>
      </c>
      <c r="EF26" s="19">
        <v>33320000</v>
      </c>
      <c r="EG26" s="19">
        <v>340000000</v>
      </c>
      <c r="EH26" s="19">
        <v>23560000</v>
      </c>
      <c r="EI26" s="19">
        <v>70000000</v>
      </c>
      <c r="EJ26" s="19"/>
      <c r="EK26" s="19" t="s">
        <v>89</v>
      </c>
      <c r="EL26" s="19"/>
      <c r="EM26" s="19"/>
      <c r="EN26" s="19"/>
      <c r="EO26" s="19"/>
      <c r="EP26" s="19"/>
      <c r="EQ26" s="19">
        <v>179593913</v>
      </c>
      <c r="ER26" s="19">
        <v>4699084</v>
      </c>
      <c r="ES26" s="19">
        <v>83000000</v>
      </c>
      <c r="ET26" s="19"/>
      <c r="EU26" s="19"/>
      <c r="EV26" s="19">
        <v>77765245</v>
      </c>
      <c r="EW26" s="19">
        <v>72273561</v>
      </c>
      <c r="EX26" s="19"/>
      <c r="EY26" s="19">
        <v>2200000000</v>
      </c>
      <c r="EZ26" s="19">
        <v>170000000</v>
      </c>
      <c r="FA26" s="19"/>
      <c r="FB26" s="19">
        <v>220000000</v>
      </c>
      <c r="FC26" s="19" t="s">
        <v>89</v>
      </c>
      <c r="FD26" s="19"/>
      <c r="FE26" s="19"/>
      <c r="FF26" s="19"/>
      <c r="FG26" s="19">
        <v>30000000</v>
      </c>
      <c r="FH26" s="19"/>
      <c r="FI26" s="19">
        <v>21777940</v>
      </c>
      <c r="FJ26" s="19"/>
      <c r="FK26" s="19">
        <v>30000000</v>
      </c>
      <c r="FL26" s="19"/>
      <c r="FM26" s="19">
        <v>6904440</v>
      </c>
      <c r="FN26" s="19" t="s">
        <v>89</v>
      </c>
      <c r="FO26" s="19"/>
      <c r="FP26" s="19"/>
      <c r="FQ26" s="19" t="s">
        <v>89</v>
      </c>
      <c r="FR26" s="19"/>
      <c r="FS26" s="19"/>
      <c r="FT26" s="19">
        <v>23772600</v>
      </c>
      <c r="FU26" s="19" t="s">
        <v>89</v>
      </c>
      <c r="FV26" s="19">
        <v>110000000</v>
      </c>
      <c r="FW26" s="19">
        <v>100000000</v>
      </c>
      <c r="FX26" s="19" t="s">
        <v>157</v>
      </c>
      <c r="FY26" s="19">
        <v>86825193</v>
      </c>
      <c r="FZ26" s="19">
        <v>100000000</v>
      </c>
      <c r="GA26" s="19" t="s">
        <v>89</v>
      </c>
      <c r="GB26" s="19" t="s">
        <v>89</v>
      </c>
      <c r="GC26" s="19">
        <v>215400000</v>
      </c>
      <c r="GD26" s="19" t="s">
        <v>89</v>
      </c>
      <c r="GE26" s="19"/>
      <c r="GF26" s="19" t="s">
        <v>89</v>
      </c>
      <c r="GG26" s="19">
        <v>339462783</v>
      </c>
      <c r="GH26" s="19">
        <v>30000000</v>
      </c>
    </row>
    <row r="27" spans="1:190" ht="17.55" customHeight="1">
      <c r="A27" s="7" t="s">
        <v>1</v>
      </c>
      <c r="B27" s="11" t="s">
        <v>147</v>
      </c>
      <c r="C27" s="19">
        <v>82298219</v>
      </c>
      <c r="D27" s="19">
        <v>108434378</v>
      </c>
      <c r="E27" s="19">
        <v>27598344</v>
      </c>
      <c r="F27" s="19"/>
      <c r="G27" s="19">
        <v>30330033</v>
      </c>
      <c r="H27" s="19"/>
      <c r="I27" s="19">
        <v>14571703</v>
      </c>
      <c r="J27" s="19" t="s">
        <v>89</v>
      </c>
      <c r="K27" s="19"/>
      <c r="L27" s="19">
        <v>38944807</v>
      </c>
      <c r="M27" s="19">
        <v>166491811</v>
      </c>
      <c r="N27" s="19">
        <v>74699437</v>
      </c>
      <c r="O27" s="19">
        <v>139776278</v>
      </c>
      <c r="P27" s="19">
        <v>121701879</v>
      </c>
      <c r="Q27" s="19">
        <v>8701889</v>
      </c>
      <c r="R27" s="19">
        <v>30592605</v>
      </c>
      <c r="S27" s="19">
        <v>195415797</v>
      </c>
      <c r="T27" s="19">
        <v>2720683</v>
      </c>
      <c r="U27" s="19">
        <v>27328644</v>
      </c>
      <c r="V27" s="19">
        <v>16418150</v>
      </c>
      <c r="W27" s="19">
        <v>355904773</v>
      </c>
      <c r="X27" s="19">
        <v>116867842</v>
      </c>
      <c r="Y27" s="19">
        <v>502951</v>
      </c>
      <c r="Z27" s="19">
        <v>125163030</v>
      </c>
      <c r="AA27" s="19">
        <v>192453495</v>
      </c>
      <c r="AB27" s="19">
        <v>14829960</v>
      </c>
      <c r="AC27" s="19">
        <v>15002680</v>
      </c>
      <c r="AD27" s="19">
        <v>70818540</v>
      </c>
      <c r="AE27" s="19">
        <v>10822950</v>
      </c>
      <c r="AF27" s="19"/>
      <c r="AG27" s="19">
        <v>79815566</v>
      </c>
      <c r="AH27" s="19">
        <v>64286073</v>
      </c>
      <c r="AI27" s="19">
        <v>11776568</v>
      </c>
      <c r="AJ27" s="19">
        <v>27505351</v>
      </c>
      <c r="AK27" s="19" t="s">
        <v>89</v>
      </c>
      <c r="AL27" s="19">
        <v>21058913</v>
      </c>
      <c r="AM27" s="19">
        <v>1281390511</v>
      </c>
      <c r="AN27" s="19">
        <v>20734430</v>
      </c>
      <c r="AO27" s="19">
        <v>47421417</v>
      </c>
      <c r="AP27" s="19">
        <v>35555109</v>
      </c>
      <c r="AQ27" s="19">
        <v>69493587</v>
      </c>
      <c r="AR27" s="19">
        <v>2509663</v>
      </c>
      <c r="AS27" s="19">
        <v>133968108</v>
      </c>
      <c r="AT27" s="19">
        <v>55514302</v>
      </c>
      <c r="AU27" s="19">
        <v>339000264</v>
      </c>
      <c r="AV27" s="19">
        <v>8686810</v>
      </c>
      <c r="AW27" s="19">
        <v>67048248</v>
      </c>
      <c r="AX27" s="19" t="s">
        <v>96</v>
      </c>
      <c r="AY27" s="19">
        <v>12591659</v>
      </c>
      <c r="AZ27" s="19">
        <v>47392531</v>
      </c>
      <c r="BA27" s="19">
        <v>182106167</v>
      </c>
      <c r="BB27" s="19">
        <v>1017749</v>
      </c>
      <c r="BC27" s="19">
        <v>129532916</v>
      </c>
      <c r="BD27" s="19">
        <v>11134784</v>
      </c>
      <c r="BE27" s="19">
        <v>66788550</v>
      </c>
      <c r="BF27" s="19">
        <v>35556311</v>
      </c>
      <c r="BG27" s="19">
        <v>174211003</v>
      </c>
      <c r="BH27" s="19">
        <v>9104959</v>
      </c>
      <c r="BI27" s="19">
        <v>19669708</v>
      </c>
      <c r="BJ27" s="19">
        <v>48681383</v>
      </c>
      <c r="BK27" s="19">
        <v>56729227</v>
      </c>
      <c r="BL27" s="19">
        <v>85749810</v>
      </c>
      <c r="BM27" s="19">
        <v>54911152</v>
      </c>
      <c r="BN27" s="19">
        <v>12338130</v>
      </c>
      <c r="BO27" s="19">
        <v>5244868</v>
      </c>
      <c r="BP27" s="19">
        <v>1450195</v>
      </c>
      <c r="BQ27" s="19" t="s">
        <v>175</v>
      </c>
      <c r="BR27" s="19">
        <v>11464621</v>
      </c>
      <c r="BS27" s="19">
        <v>8661765</v>
      </c>
      <c r="BT27" s="19">
        <v>4282320</v>
      </c>
      <c r="BU27" s="19">
        <v>25034984</v>
      </c>
      <c r="BV27" s="19">
        <v>27992344</v>
      </c>
      <c r="BW27" s="19">
        <v>41149623</v>
      </c>
      <c r="BX27" s="19">
        <v>36752168</v>
      </c>
      <c r="BY27" s="19">
        <v>97986395</v>
      </c>
      <c r="BZ27" s="19">
        <v>89949807</v>
      </c>
      <c r="CA27" s="19">
        <v>14803455</v>
      </c>
      <c r="CB27" s="19">
        <v>29505048</v>
      </c>
      <c r="CC27" s="19">
        <v>39382820</v>
      </c>
      <c r="CD27" s="19">
        <v>89214385</v>
      </c>
      <c r="CE27" s="19">
        <v>11414335</v>
      </c>
      <c r="CF27" s="19">
        <v>32150871</v>
      </c>
      <c r="CG27" s="19">
        <v>816550</v>
      </c>
      <c r="CH27" s="19">
        <v>16704698</v>
      </c>
      <c r="CI27" s="19">
        <v>15411508</v>
      </c>
      <c r="CJ27" s="19">
        <v>106924070</v>
      </c>
      <c r="CK27" s="19">
        <v>356566056</v>
      </c>
      <c r="CL27" s="19">
        <v>3708980</v>
      </c>
      <c r="CM27" s="19">
        <v>322251810</v>
      </c>
      <c r="CN27" s="19">
        <v>59929828</v>
      </c>
      <c r="CO27" s="19">
        <v>118820</v>
      </c>
      <c r="CP27" s="19">
        <v>57467271</v>
      </c>
      <c r="CQ27" s="19" t="s">
        <v>96</v>
      </c>
      <c r="CR27" s="19">
        <v>59843308</v>
      </c>
      <c r="CS27" s="19">
        <v>4128400</v>
      </c>
      <c r="CT27" s="19">
        <v>15709582</v>
      </c>
      <c r="CU27" s="19"/>
      <c r="CV27" s="19">
        <v>82844921</v>
      </c>
      <c r="CW27" s="19">
        <v>19189820</v>
      </c>
      <c r="CX27" s="19">
        <v>285863876</v>
      </c>
      <c r="CY27" s="19">
        <v>479692926</v>
      </c>
      <c r="CZ27" s="19">
        <v>86846976</v>
      </c>
      <c r="DA27" s="19">
        <v>30444910</v>
      </c>
      <c r="DB27" s="19">
        <v>2675020</v>
      </c>
      <c r="DC27" s="19">
        <v>6430847</v>
      </c>
      <c r="DD27" s="19">
        <v>10761097</v>
      </c>
      <c r="DE27" s="19">
        <v>103202879</v>
      </c>
      <c r="DF27" s="19">
        <v>9367612</v>
      </c>
      <c r="DG27" s="19">
        <v>64313148</v>
      </c>
      <c r="DH27" s="19">
        <v>72540534</v>
      </c>
      <c r="DI27" s="19">
        <v>47915742</v>
      </c>
      <c r="DJ27" s="19">
        <v>8036500</v>
      </c>
      <c r="DK27" s="19">
        <v>166409084</v>
      </c>
      <c r="DL27" s="19">
        <v>6452216</v>
      </c>
      <c r="DM27" s="19">
        <v>18683858</v>
      </c>
      <c r="DN27" s="19">
        <v>27483960</v>
      </c>
      <c r="DO27" s="19">
        <v>16853388</v>
      </c>
      <c r="DP27" s="19">
        <v>438244401</v>
      </c>
      <c r="DQ27" s="19">
        <v>53271779</v>
      </c>
      <c r="DR27" s="19">
        <v>6536321</v>
      </c>
      <c r="DS27" s="19">
        <v>63841816</v>
      </c>
      <c r="DT27" s="19">
        <v>1068336</v>
      </c>
      <c r="DU27" s="19"/>
      <c r="DV27" s="19"/>
      <c r="DW27" s="19">
        <v>55175800</v>
      </c>
      <c r="DX27" s="19">
        <v>44625267</v>
      </c>
      <c r="DY27" s="19">
        <v>16853427</v>
      </c>
      <c r="DZ27" s="19">
        <v>39445488</v>
      </c>
      <c r="EA27" s="19">
        <v>2812311</v>
      </c>
      <c r="EB27" s="19">
        <v>158135102</v>
      </c>
      <c r="EC27" s="19">
        <v>91225249</v>
      </c>
      <c r="ED27" s="19">
        <v>4259550</v>
      </c>
      <c r="EE27" s="19">
        <v>14185960</v>
      </c>
      <c r="EF27" s="19">
        <v>28046847</v>
      </c>
      <c r="EG27" s="19">
        <v>166629345</v>
      </c>
      <c r="EH27" s="19">
        <v>16241217</v>
      </c>
      <c r="EI27" s="19">
        <v>91674571</v>
      </c>
      <c r="EJ27" s="19">
        <v>7860384</v>
      </c>
      <c r="EK27" s="19" t="s">
        <v>89</v>
      </c>
      <c r="EL27" s="19">
        <v>162296738</v>
      </c>
      <c r="EM27" s="19">
        <v>50098737</v>
      </c>
      <c r="EN27" s="19">
        <v>517456253</v>
      </c>
      <c r="EO27" s="19">
        <v>86105665</v>
      </c>
      <c r="EP27" s="19"/>
      <c r="EQ27" s="19"/>
      <c r="ER27" s="19">
        <v>223804369</v>
      </c>
      <c r="ES27" s="19">
        <v>2251452</v>
      </c>
      <c r="ET27" s="19">
        <v>13518640</v>
      </c>
      <c r="EU27" s="19">
        <v>27910769</v>
      </c>
      <c r="EV27" s="19">
        <v>6608800</v>
      </c>
      <c r="EW27" s="19">
        <v>12233034</v>
      </c>
      <c r="EX27" s="19">
        <v>36560934</v>
      </c>
      <c r="EY27" s="19">
        <v>272632759</v>
      </c>
      <c r="EZ27" s="19">
        <v>32066283</v>
      </c>
      <c r="FA27" s="19">
        <v>76578377</v>
      </c>
      <c r="FB27" s="19">
        <v>5746230</v>
      </c>
      <c r="FC27" s="19" t="s">
        <v>89</v>
      </c>
      <c r="FD27" s="19">
        <v>33974774</v>
      </c>
      <c r="FE27" s="19">
        <v>291507456</v>
      </c>
      <c r="FF27" s="19">
        <v>12701420</v>
      </c>
      <c r="FG27" s="19">
        <v>66907328</v>
      </c>
      <c r="FH27" s="19">
        <v>12426175</v>
      </c>
      <c r="FI27" s="19">
        <v>11621121</v>
      </c>
      <c r="FJ27" s="19">
        <v>213470</v>
      </c>
      <c r="FK27" s="19">
        <v>99272832</v>
      </c>
      <c r="FL27" s="19">
        <v>9266950</v>
      </c>
      <c r="FM27" s="19">
        <v>1442577</v>
      </c>
      <c r="FN27" s="19" t="s">
        <v>89</v>
      </c>
      <c r="FO27" s="19"/>
      <c r="FP27" s="19">
        <v>6652687</v>
      </c>
      <c r="FQ27" s="19" t="s">
        <v>89</v>
      </c>
      <c r="FR27" s="19">
        <v>2288110</v>
      </c>
      <c r="FS27" s="19">
        <v>532930</v>
      </c>
      <c r="FT27" s="19"/>
      <c r="FU27" s="19" t="s">
        <v>89</v>
      </c>
      <c r="FV27" s="19">
        <v>220000</v>
      </c>
      <c r="FW27" s="19">
        <v>4850273</v>
      </c>
      <c r="FX27" s="19" t="s">
        <v>157</v>
      </c>
      <c r="FY27" s="19">
        <v>15741147</v>
      </c>
      <c r="FZ27" s="19">
        <v>20663077</v>
      </c>
      <c r="GA27" s="19" t="s">
        <v>89</v>
      </c>
      <c r="GB27" s="19" t="s">
        <v>89</v>
      </c>
      <c r="GC27" s="19">
        <v>47619659</v>
      </c>
      <c r="GD27" s="19" t="s">
        <v>89</v>
      </c>
      <c r="GE27" s="19">
        <v>18400</v>
      </c>
      <c r="GF27" s="19" t="s">
        <v>89</v>
      </c>
      <c r="GG27" s="19">
        <v>5154289</v>
      </c>
      <c r="GH27" s="19">
        <v>3673319</v>
      </c>
    </row>
    <row r="28" spans="1:190" ht="17.55" customHeight="1">
      <c r="A28" s="7" t="s">
        <v>1</v>
      </c>
      <c r="B28" s="11" t="s">
        <v>150</v>
      </c>
      <c r="C28" s="19">
        <v>5935561</v>
      </c>
      <c r="D28" s="19">
        <v>13052612</v>
      </c>
      <c r="E28" s="19">
        <v>4511521</v>
      </c>
      <c r="F28" s="19">
        <v>51772283</v>
      </c>
      <c r="G28" s="19">
        <v>709970</v>
      </c>
      <c r="H28" s="19"/>
      <c r="I28" s="19"/>
      <c r="J28" s="19" t="s">
        <v>89</v>
      </c>
      <c r="K28" s="19">
        <v>24749777</v>
      </c>
      <c r="L28" s="19">
        <v>4426161</v>
      </c>
      <c r="M28" s="19">
        <v>71447510</v>
      </c>
      <c r="N28" s="19">
        <v>109805908</v>
      </c>
      <c r="O28" s="19">
        <v>31332346</v>
      </c>
      <c r="P28" s="19">
        <v>32321643</v>
      </c>
      <c r="Q28" s="19">
        <v>1633845</v>
      </c>
      <c r="R28" s="19">
        <v>28705615</v>
      </c>
      <c r="S28" s="19">
        <v>8682090</v>
      </c>
      <c r="T28" s="19">
        <v>34733271</v>
      </c>
      <c r="U28" s="19">
        <v>30871276</v>
      </c>
      <c r="V28" s="19">
        <v>1628310</v>
      </c>
      <c r="W28" s="19">
        <v>13313300</v>
      </c>
      <c r="X28" s="19">
        <v>66056330</v>
      </c>
      <c r="Y28" s="19">
        <v>2714620</v>
      </c>
      <c r="Z28" s="19"/>
      <c r="AA28" s="19">
        <v>68312450</v>
      </c>
      <c r="AB28" s="19">
        <v>2461210</v>
      </c>
      <c r="AC28" s="19">
        <v>17945778</v>
      </c>
      <c r="AD28" s="19">
        <v>4579820</v>
      </c>
      <c r="AE28" s="19">
        <v>5826599</v>
      </c>
      <c r="AF28" s="19">
        <v>1499975</v>
      </c>
      <c r="AG28" s="19">
        <v>86149499</v>
      </c>
      <c r="AH28" s="19">
        <v>955730</v>
      </c>
      <c r="AI28" s="19">
        <v>3910473</v>
      </c>
      <c r="AJ28" s="19">
        <v>7581815</v>
      </c>
      <c r="AK28" s="19" t="s">
        <v>89</v>
      </c>
      <c r="AL28" s="19">
        <v>145558157</v>
      </c>
      <c r="AM28" s="19">
        <v>82012575</v>
      </c>
      <c r="AN28" s="19">
        <v>2779860</v>
      </c>
      <c r="AO28" s="19">
        <v>37135890</v>
      </c>
      <c r="AP28" s="19">
        <v>199770510</v>
      </c>
      <c r="AQ28" s="19">
        <v>1191142</v>
      </c>
      <c r="AR28" s="19">
        <v>13892865</v>
      </c>
      <c r="AS28" s="19">
        <v>123277413</v>
      </c>
      <c r="AT28" s="19">
        <v>49618530</v>
      </c>
      <c r="AU28" s="19">
        <v>7109630</v>
      </c>
      <c r="AV28" s="19">
        <v>122620</v>
      </c>
      <c r="AW28" s="19">
        <v>4734650</v>
      </c>
      <c r="AX28" s="19" t="s">
        <v>96</v>
      </c>
      <c r="AY28" s="19">
        <v>4657720</v>
      </c>
      <c r="AZ28" s="19">
        <v>5558696</v>
      </c>
      <c r="BA28" s="19">
        <v>10647638</v>
      </c>
      <c r="BB28" s="19">
        <v>5550389</v>
      </c>
      <c r="BC28" s="19">
        <v>61566651</v>
      </c>
      <c r="BD28" s="19">
        <v>17679092</v>
      </c>
      <c r="BE28" s="19">
        <v>2796000</v>
      </c>
      <c r="BF28" s="19">
        <v>23597548</v>
      </c>
      <c r="BG28" s="19">
        <v>32917161</v>
      </c>
      <c r="BH28" s="19">
        <v>1355590</v>
      </c>
      <c r="BI28" s="19">
        <v>10389090</v>
      </c>
      <c r="BJ28" s="19">
        <v>12249890</v>
      </c>
      <c r="BK28" s="19">
        <v>834820</v>
      </c>
      <c r="BL28" s="19">
        <v>3278550</v>
      </c>
      <c r="BM28" s="19">
        <v>1192953</v>
      </c>
      <c r="BN28" s="19">
        <v>10638300</v>
      </c>
      <c r="BO28" s="19">
        <v>309592</v>
      </c>
      <c r="BP28" s="19">
        <v>1076254</v>
      </c>
      <c r="BQ28" s="19" t="s">
        <v>175</v>
      </c>
      <c r="BR28" s="19">
        <v>10143170</v>
      </c>
      <c r="BS28" s="19">
        <v>1747930</v>
      </c>
      <c r="BT28" s="19">
        <v>2570070</v>
      </c>
      <c r="BU28" s="19">
        <v>1793620</v>
      </c>
      <c r="BV28" s="19">
        <v>706930</v>
      </c>
      <c r="BW28" s="19">
        <v>2086080</v>
      </c>
      <c r="BX28" s="19">
        <v>1232040</v>
      </c>
      <c r="BY28" s="19">
        <v>26617007</v>
      </c>
      <c r="BZ28" s="19">
        <v>6145930</v>
      </c>
      <c r="CA28" s="19">
        <v>8051040</v>
      </c>
      <c r="CB28" s="19">
        <v>961840</v>
      </c>
      <c r="CC28" s="19">
        <v>1146379</v>
      </c>
      <c r="CD28" s="19">
        <v>53417280</v>
      </c>
      <c r="CE28" s="19">
        <v>1354710</v>
      </c>
      <c r="CF28" s="19">
        <v>1988880</v>
      </c>
      <c r="CG28" s="19">
        <v>6623923</v>
      </c>
      <c r="CH28" s="19">
        <v>14111583</v>
      </c>
      <c r="CI28" s="19">
        <v>1640780</v>
      </c>
      <c r="CJ28" s="19">
        <v>7917502</v>
      </c>
      <c r="CK28" s="19">
        <v>19184875</v>
      </c>
      <c r="CL28" s="19">
        <v>1992430</v>
      </c>
      <c r="CM28" s="19">
        <v>25644660</v>
      </c>
      <c r="CN28" s="19">
        <v>1487060</v>
      </c>
      <c r="CO28" s="19">
        <v>1264490</v>
      </c>
      <c r="CP28" s="19">
        <v>8717440</v>
      </c>
      <c r="CQ28" s="19" t="s">
        <v>96</v>
      </c>
      <c r="CR28" s="19">
        <v>7544990</v>
      </c>
      <c r="CS28" s="19">
        <v>7949240</v>
      </c>
      <c r="CT28" s="19">
        <v>34567681</v>
      </c>
      <c r="CU28" s="19">
        <v>198128</v>
      </c>
      <c r="CV28" s="19">
        <v>89008230</v>
      </c>
      <c r="CW28" s="19">
        <v>10048400</v>
      </c>
      <c r="CX28" s="19">
        <v>883420387</v>
      </c>
      <c r="CY28" s="19">
        <v>40110440</v>
      </c>
      <c r="CZ28" s="19">
        <v>14740085</v>
      </c>
      <c r="DA28" s="19">
        <v>4310895</v>
      </c>
      <c r="DB28" s="19">
        <v>16083500</v>
      </c>
      <c r="DC28" s="19">
        <v>354060</v>
      </c>
      <c r="DD28" s="19">
        <v>786750</v>
      </c>
      <c r="DE28" s="19">
        <v>4749060</v>
      </c>
      <c r="DF28" s="19">
        <v>558570</v>
      </c>
      <c r="DG28" s="19">
        <v>1392920</v>
      </c>
      <c r="DH28" s="19">
        <v>24996475</v>
      </c>
      <c r="DI28" s="19">
        <v>35345533</v>
      </c>
      <c r="DJ28" s="19">
        <v>515250</v>
      </c>
      <c r="DK28" s="19">
        <v>6292880</v>
      </c>
      <c r="DL28" s="19">
        <v>3239750</v>
      </c>
      <c r="DM28" s="19">
        <v>3404420</v>
      </c>
      <c r="DN28" s="19">
        <v>7527868</v>
      </c>
      <c r="DO28" s="19">
        <v>216240</v>
      </c>
      <c r="DP28" s="19">
        <v>41393060</v>
      </c>
      <c r="DQ28" s="19">
        <v>3175151</v>
      </c>
      <c r="DR28" s="19">
        <v>3947386</v>
      </c>
      <c r="DS28" s="19">
        <v>1192200</v>
      </c>
      <c r="DT28" s="19">
        <v>45606831</v>
      </c>
      <c r="DU28" s="19">
        <v>7057999</v>
      </c>
      <c r="DV28" s="19"/>
      <c r="DW28" s="19">
        <v>25959350</v>
      </c>
      <c r="DX28" s="19">
        <v>6216070</v>
      </c>
      <c r="DY28" s="19">
        <v>24030342</v>
      </c>
      <c r="DZ28" s="19">
        <v>2895130</v>
      </c>
      <c r="EA28" s="19">
        <v>1777447</v>
      </c>
      <c r="EB28" s="19">
        <v>13331110</v>
      </c>
      <c r="EC28" s="19">
        <v>270920</v>
      </c>
      <c r="ED28" s="19">
        <v>1339060</v>
      </c>
      <c r="EE28" s="19">
        <v>4933446</v>
      </c>
      <c r="EF28" s="19">
        <v>19609219</v>
      </c>
      <c r="EG28" s="19">
        <v>9176560</v>
      </c>
      <c r="EH28" s="19">
        <v>899550</v>
      </c>
      <c r="EI28" s="19">
        <v>4913161</v>
      </c>
      <c r="EJ28" s="19">
        <v>989230</v>
      </c>
      <c r="EK28" s="19" t="s">
        <v>89</v>
      </c>
      <c r="EL28" s="19">
        <v>97912260</v>
      </c>
      <c r="EM28" s="19">
        <v>12457413</v>
      </c>
      <c r="EN28" s="19">
        <v>51237965</v>
      </c>
      <c r="EO28" s="19">
        <v>9498480</v>
      </c>
      <c r="EP28" s="19">
        <v>14444026</v>
      </c>
      <c r="EQ28" s="19"/>
      <c r="ER28" s="19">
        <v>44180037</v>
      </c>
      <c r="ES28" s="19">
        <v>10702220</v>
      </c>
      <c r="ET28" s="19">
        <v>5936469</v>
      </c>
      <c r="EU28" s="19">
        <v>2974651</v>
      </c>
      <c r="EV28" s="19">
        <v>532640</v>
      </c>
      <c r="EW28" s="19">
        <v>1065920</v>
      </c>
      <c r="EX28" s="19">
        <v>63639070</v>
      </c>
      <c r="EY28" s="19">
        <v>4665258</v>
      </c>
      <c r="EZ28" s="19">
        <v>3767724</v>
      </c>
      <c r="FA28" s="19">
        <v>20697777</v>
      </c>
      <c r="FB28" s="19">
        <v>13678460</v>
      </c>
      <c r="FC28" s="19" t="s">
        <v>89</v>
      </c>
      <c r="FD28" s="19">
        <v>7118700</v>
      </c>
      <c r="FE28" s="19">
        <v>12636245</v>
      </c>
      <c r="FF28" s="19">
        <v>6577172</v>
      </c>
      <c r="FG28" s="19">
        <v>9519680</v>
      </c>
      <c r="FH28" s="19">
        <v>2959386</v>
      </c>
      <c r="FI28" s="19">
        <v>293990</v>
      </c>
      <c r="FJ28" s="19">
        <v>16252267</v>
      </c>
      <c r="FK28" s="19">
        <v>8074130</v>
      </c>
      <c r="FL28" s="19">
        <v>146090</v>
      </c>
      <c r="FM28" s="19">
        <v>153920</v>
      </c>
      <c r="FN28" s="19" t="s">
        <v>89</v>
      </c>
      <c r="FO28" s="19">
        <v>5650673</v>
      </c>
      <c r="FP28" s="19">
        <v>540700</v>
      </c>
      <c r="FQ28" s="19" t="s">
        <v>89</v>
      </c>
      <c r="FR28" s="19">
        <v>143970</v>
      </c>
      <c r="FS28" s="19">
        <v>521600</v>
      </c>
      <c r="FT28" s="19"/>
      <c r="FU28" s="19" t="s">
        <v>89</v>
      </c>
      <c r="FV28" s="19">
        <v>21449414</v>
      </c>
      <c r="FW28" s="19">
        <v>1301024</v>
      </c>
      <c r="FX28" s="19" t="s">
        <v>157</v>
      </c>
      <c r="FY28" s="19">
        <v>2310270</v>
      </c>
      <c r="FZ28" s="19">
        <v>3387299</v>
      </c>
      <c r="GA28" s="19" t="s">
        <v>89</v>
      </c>
      <c r="GB28" s="19" t="s">
        <v>89</v>
      </c>
      <c r="GC28" s="19">
        <v>4935360</v>
      </c>
      <c r="GD28" s="19" t="s">
        <v>89</v>
      </c>
      <c r="GE28" s="19"/>
      <c r="GF28" s="19" t="s">
        <v>89</v>
      </c>
      <c r="GG28" s="19">
        <v>3563440</v>
      </c>
      <c r="GH28" s="19">
        <v>227978</v>
      </c>
    </row>
    <row r="29" spans="1:190" ht="17.55" customHeight="1">
      <c r="A29" s="7" t="s">
        <v>1</v>
      </c>
      <c r="B29" s="11" t="s">
        <v>13</v>
      </c>
      <c r="C29" s="19">
        <v>55966152</v>
      </c>
      <c r="D29" s="19"/>
      <c r="E29" s="19">
        <v>5000000</v>
      </c>
      <c r="F29" s="19"/>
      <c r="G29" s="19">
        <v>40250</v>
      </c>
      <c r="H29" s="19"/>
      <c r="I29" s="19"/>
      <c r="J29" s="19" t="s">
        <v>89</v>
      </c>
      <c r="K29" s="19"/>
      <c r="L29" s="19">
        <v>18419937</v>
      </c>
      <c r="M29" s="19">
        <v>53620</v>
      </c>
      <c r="N29" s="19">
        <v>68093360</v>
      </c>
      <c r="O29" s="19">
        <v>163681474</v>
      </c>
      <c r="P29" s="19">
        <v>321000</v>
      </c>
      <c r="Q29" s="19"/>
      <c r="R29" s="19"/>
      <c r="S29" s="19"/>
      <c r="T29" s="19"/>
      <c r="U29" s="19">
        <v>8265090</v>
      </c>
      <c r="V29" s="19">
        <v>7950000</v>
      </c>
      <c r="W29" s="19">
        <v>20813831</v>
      </c>
      <c r="X29" s="19">
        <v>1254000</v>
      </c>
      <c r="Y29" s="19"/>
      <c r="Z29" s="19">
        <v>18572800</v>
      </c>
      <c r="AA29" s="19">
        <v>2210000</v>
      </c>
      <c r="AB29" s="19"/>
      <c r="AC29" s="19">
        <v>182228104</v>
      </c>
      <c r="AD29" s="19">
        <v>15349200</v>
      </c>
      <c r="AE29" s="19">
        <v>40244906</v>
      </c>
      <c r="AF29" s="19"/>
      <c r="AG29" s="19"/>
      <c r="AH29" s="19">
        <v>361509368</v>
      </c>
      <c r="AI29" s="19">
        <v>1000000</v>
      </c>
      <c r="AJ29" s="19">
        <v>23625645</v>
      </c>
      <c r="AK29" s="19" t="s">
        <v>89</v>
      </c>
      <c r="AL29" s="19">
        <v>25921482</v>
      </c>
      <c r="AM29" s="19">
        <v>266344928</v>
      </c>
      <c r="AN29" s="19">
        <v>3317530</v>
      </c>
      <c r="AO29" s="19">
        <v>102021028</v>
      </c>
      <c r="AP29" s="19">
        <v>237300</v>
      </c>
      <c r="AQ29" s="19"/>
      <c r="AR29" s="19"/>
      <c r="AS29" s="19">
        <v>42273781</v>
      </c>
      <c r="AT29" s="19">
        <v>7308100</v>
      </c>
      <c r="AU29" s="19">
        <v>38150000</v>
      </c>
      <c r="AV29" s="19"/>
      <c r="AW29" s="19">
        <v>267589500</v>
      </c>
      <c r="AX29" s="19" t="s">
        <v>96</v>
      </c>
      <c r="AY29" s="19"/>
      <c r="AZ29" s="19">
        <v>1520467</v>
      </c>
      <c r="BA29" s="19">
        <v>294350</v>
      </c>
      <c r="BB29" s="19">
        <v>49780000</v>
      </c>
      <c r="BC29" s="19">
        <v>20000000</v>
      </c>
      <c r="BD29" s="19"/>
      <c r="BE29" s="19">
        <v>25390229</v>
      </c>
      <c r="BF29" s="19"/>
      <c r="BG29" s="19">
        <v>12115369</v>
      </c>
      <c r="BH29" s="19"/>
      <c r="BI29" s="19"/>
      <c r="BJ29" s="19">
        <v>69400000</v>
      </c>
      <c r="BK29" s="19"/>
      <c r="BL29" s="19"/>
      <c r="BM29" s="19">
        <v>16564700</v>
      </c>
      <c r="BN29" s="19"/>
      <c r="BO29" s="19">
        <v>5200000</v>
      </c>
      <c r="BP29" s="19"/>
      <c r="BQ29" s="19" t="s">
        <v>175</v>
      </c>
      <c r="BR29" s="19"/>
      <c r="BS29" s="19">
        <v>35465235</v>
      </c>
      <c r="BT29" s="19">
        <v>23229102</v>
      </c>
      <c r="BU29" s="19"/>
      <c r="BV29" s="19">
        <v>13475280</v>
      </c>
      <c r="BW29" s="19"/>
      <c r="BX29" s="19">
        <v>165000</v>
      </c>
      <c r="BY29" s="19">
        <v>1463512</v>
      </c>
      <c r="BZ29" s="19"/>
      <c r="CA29" s="19">
        <v>20990000</v>
      </c>
      <c r="CB29" s="19">
        <v>50964910</v>
      </c>
      <c r="CC29" s="19">
        <v>55953300</v>
      </c>
      <c r="CD29" s="19"/>
      <c r="CE29" s="19">
        <v>26684975</v>
      </c>
      <c r="CF29" s="19">
        <v>108609194</v>
      </c>
      <c r="CG29" s="19">
        <v>1278857</v>
      </c>
      <c r="CH29" s="19">
        <v>11727585</v>
      </c>
      <c r="CI29" s="19">
        <v>3380000</v>
      </c>
      <c r="CJ29" s="19">
        <v>2325117</v>
      </c>
      <c r="CK29" s="19">
        <v>6756660</v>
      </c>
      <c r="CL29" s="19"/>
      <c r="CM29" s="19">
        <v>840000</v>
      </c>
      <c r="CN29" s="19"/>
      <c r="CO29" s="19"/>
      <c r="CP29" s="19"/>
      <c r="CQ29" s="19" t="s">
        <v>96</v>
      </c>
      <c r="CR29" s="19">
        <v>2374943</v>
      </c>
      <c r="CS29" s="19">
        <v>40000000</v>
      </c>
      <c r="CT29" s="19"/>
      <c r="CU29" s="19"/>
      <c r="CV29" s="19"/>
      <c r="CW29" s="19">
        <v>10270000</v>
      </c>
      <c r="CX29" s="19">
        <v>20680000</v>
      </c>
      <c r="CY29" s="19">
        <v>500000</v>
      </c>
      <c r="CZ29" s="19">
        <v>580000</v>
      </c>
      <c r="DA29" s="19"/>
      <c r="DB29" s="19"/>
      <c r="DC29" s="19"/>
      <c r="DD29" s="19"/>
      <c r="DE29" s="19"/>
      <c r="DF29" s="19"/>
      <c r="DG29" s="19"/>
      <c r="DH29" s="19">
        <v>1475429</v>
      </c>
      <c r="DI29" s="19">
        <v>1280000</v>
      </c>
      <c r="DJ29" s="19"/>
      <c r="DK29" s="19"/>
      <c r="DL29" s="19">
        <v>6310000</v>
      </c>
      <c r="DM29" s="19">
        <v>4600000</v>
      </c>
      <c r="DN29" s="19">
        <v>29000000</v>
      </c>
      <c r="DO29" s="19"/>
      <c r="DP29" s="19">
        <v>20365665</v>
      </c>
      <c r="DQ29" s="19">
        <v>653100</v>
      </c>
      <c r="DR29" s="19"/>
      <c r="DS29" s="19">
        <v>192097175</v>
      </c>
      <c r="DT29" s="19"/>
      <c r="DU29" s="19">
        <v>9600000</v>
      </c>
      <c r="DV29" s="19"/>
      <c r="DW29" s="19">
        <v>28574000</v>
      </c>
      <c r="DX29" s="19">
        <v>670000</v>
      </c>
      <c r="DY29" s="19">
        <v>34219163</v>
      </c>
      <c r="DZ29" s="19"/>
      <c r="EA29" s="19"/>
      <c r="EB29" s="19"/>
      <c r="EC29" s="19"/>
      <c r="ED29" s="19">
        <v>55661285</v>
      </c>
      <c r="EE29" s="19"/>
      <c r="EF29" s="19"/>
      <c r="EG29" s="19"/>
      <c r="EH29" s="19"/>
      <c r="EI29" s="19"/>
      <c r="EJ29" s="19"/>
      <c r="EK29" s="19" t="s">
        <v>89</v>
      </c>
      <c r="EL29" s="19"/>
      <c r="EM29" s="19"/>
      <c r="EN29" s="19">
        <v>35000000</v>
      </c>
      <c r="EO29" s="19"/>
      <c r="EP29" s="19"/>
      <c r="EQ29" s="19"/>
      <c r="ER29" s="19"/>
      <c r="ES29" s="19"/>
      <c r="ET29" s="19"/>
      <c r="EU29" s="19"/>
      <c r="EV29" s="19"/>
      <c r="EW29" s="19"/>
      <c r="EX29" s="19">
        <v>59891116</v>
      </c>
      <c r="EY29" s="19"/>
      <c r="EZ29" s="19">
        <v>18940655</v>
      </c>
      <c r="FA29" s="19"/>
      <c r="FB29" s="19">
        <v>10880000</v>
      </c>
      <c r="FC29" s="19" t="s">
        <v>89</v>
      </c>
      <c r="FD29" s="19">
        <v>13644866</v>
      </c>
      <c r="FE29" s="19">
        <v>8389722</v>
      </c>
      <c r="FF29" s="19"/>
      <c r="FG29" s="19"/>
      <c r="FH29" s="19">
        <v>41884249</v>
      </c>
      <c r="FI29" s="19"/>
      <c r="FJ29" s="19"/>
      <c r="FK29" s="19">
        <v>159500</v>
      </c>
      <c r="FL29" s="19"/>
      <c r="FM29" s="19"/>
      <c r="FN29" s="19" t="s">
        <v>89</v>
      </c>
      <c r="FO29" s="19">
        <v>7200000</v>
      </c>
      <c r="FP29" s="19"/>
      <c r="FQ29" s="19" t="s">
        <v>89</v>
      </c>
      <c r="FR29" s="19">
        <v>10487390</v>
      </c>
      <c r="FS29" s="19">
        <v>10000000</v>
      </c>
      <c r="FT29" s="19"/>
      <c r="FU29" s="19" t="s">
        <v>89</v>
      </c>
      <c r="FV29" s="19"/>
      <c r="FW29" s="19">
        <v>39201757</v>
      </c>
      <c r="FX29" s="19" t="s">
        <v>157</v>
      </c>
      <c r="FY29" s="19"/>
      <c r="FZ29" s="19">
        <v>30000000</v>
      </c>
      <c r="GA29" s="19" t="s">
        <v>89</v>
      </c>
      <c r="GB29" s="19" t="s">
        <v>89</v>
      </c>
      <c r="GC29" s="19"/>
      <c r="GD29" s="19" t="s">
        <v>89</v>
      </c>
      <c r="GE29" s="19">
        <v>10000000</v>
      </c>
      <c r="GF29" s="19" t="s">
        <v>89</v>
      </c>
      <c r="GG29" s="19"/>
      <c r="GH29" s="19">
        <v>7837735</v>
      </c>
    </row>
    <row r="30" spans="1:190" ht="17.55" customHeight="1">
      <c r="A30" s="7" t="s">
        <v>1</v>
      </c>
      <c r="B30" s="11" t="s">
        <v>59</v>
      </c>
      <c r="C30" s="19">
        <v>198000</v>
      </c>
      <c r="D30" s="19">
        <v>196300</v>
      </c>
      <c r="E30" s="19"/>
      <c r="F30" s="19"/>
      <c r="G30" s="19"/>
      <c r="H30" s="19"/>
      <c r="I30" s="19"/>
      <c r="J30" s="19" t="s">
        <v>89</v>
      </c>
      <c r="K30" s="19"/>
      <c r="L30" s="19"/>
      <c r="M30" s="19"/>
      <c r="N30" s="19"/>
      <c r="O30" s="19"/>
      <c r="P30" s="19"/>
      <c r="Q30" s="19"/>
      <c r="R30" s="19"/>
      <c r="S30" s="19"/>
      <c r="T30" s="19"/>
      <c r="U30" s="19"/>
      <c r="V30" s="19"/>
      <c r="W30" s="19"/>
      <c r="X30" s="19"/>
      <c r="Y30" s="19"/>
      <c r="Z30" s="19"/>
      <c r="AA30" s="19">
        <v>253473429</v>
      </c>
      <c r="AB30" s="19"/>
      <c r="AC30" s="19"/>
      <c r="AD30" s="19"/>
      <c r="AE30" s="19"/>
      <c r="AF30" s="19"/>
      <c r="AG30" s="19"/>
      <c r="AH30" s="19"/>
      <c r="AI30" s="19"/>
      <c r="AJ30" s="19"/>
      <c r="AK30" s="19" t="s">
        <v>89</v>
      </c>
      <c r="AL30" s="19"/>
      <c r="AM30" s="19">
        <v>496255892</v>
      </c>
      <c r="AN30" s="19"/>
      <c r="AO30" s="19">
        <v>16560000</v>
      </c>
      <c r="AP30" s="19">
        <v>44794526</v>
      </c>
      <c r="AQ30" s="19">
        <v>1725342</v>
      </c>
      <c r="AR30" s="19"/>
      <c r="AS30" s="19"/>
      <c r="AT30" s="19"/>
      <c r="AU30" s="19"/>
      <c r="AV30" s="19">
        <v>3000000</v>
      </c>
      <c r="AW30" s="19"/>
      <c r="AX30" s="19" t="s">
        <v>96</v>
      </c>
      <c r="AY30" s="19"/>
      <c r="AZ30" s="19"/>
      <c r="BA30" s="19"/>
      <c r="BB30" s="19"/>
      <c r="BC30" s="19"/>
      <c r="BD30" s="19"/>
      <c r="BE30" s="19">
        <v>194976000</v>
      </c>
      <c r="BF30" s="19"/>
      <c r="BG30" s="19">
        <v>50000004</v>
      </c>
      <c r="BH30" s="19"/>
      <c r="BI30" s="19"/>
      <c r="BJ30" s="19"/>
      <c r="BK30" s="19"/>
      <c r="BL30" s="19"/>
      <c r="BM30" s="19"/>
      <c r="BN30" s="19"/>
      <c r="BO30" s="19"/>
      <c r="BP30" s="19"/>
      <c r="BQ30" s="19" t="s">
        <v>175</v>
      </c>
      <c r="BR30" s="19"/>
      <c r="BS30" s="19"/>
      <c r="BT30" s="19"/>
      <c r="BU30" s="19"/>
      <c r="BV30" s="19"/>
      <c r="BW30" s="19"/>
      <c r="BX30" s="19"/>
      <c r="BY30" s="19">
        <v>148665713</v>
      </c>
      <c r="BZ30" s="19"/>
      <c r="CA30" s="19"/>
      <c r="CB30" s="19"/>
      <c r="CC30" s="19"/>
      <c r="CD30" s="19"/>
      <c r="CE30" s="19"/>
      <c r="CF30" s="19"/>
      <c r="CG30" s="19"/>
      <c r="CH30" s="19"/>
      <c r="CI30" s="19"/>
      <c r="CJ30" s="19"/>
      <c r="CK30" s="19"/>
      <c r="CL30" s="19"/>
      <c r="CM30" s="19">
        <v>30000000</v>
      </c>
      <c r="CN30" s="19"/>
      <c r="CO30" s="19"/>
      <c r="CP30" s="19"/>
      <c r="CQ30" s="19" t="s">
        <v>96</v>
      </c>
      <c r="CR30" s="19"/>
      <c r="CS30" s="19"/>
      <c r="CT30" s="19"/>
      <c r="CU30" s="19"/>
      <c r="CV30" s="19"/>
      <c r="CW30" s="19"/>
      <c r="CX30" s="19"/>
      <c r="CY30" s="19"/>
      <c r="CZ30" s="19"/>
      <c r="DA30" s="19"/>
      <c r="DB30" s="19"/>
      <c r="DC30" s="19"/>
      <c r="DD30" s="19"/>
      <c r="DE30" s="19"/>
      <c r="DF30" s="19"/>
      <c r="DG30" s="19">
        <v>578983</v>
      </c>
      <c r="DH30" s="19"/>
      <c r="DI30" s="19"/>
      <c r="DJ30" s="19"/>
      <c r="DK30" s="19"/>
      <c r="DL30" s="19"/>
      <c r="DM30" s="19"/>
      <c r="DN30" s="19"/>
      <c r="DO30" s="19"/>
      <c r="DP30" s="19"/>
      <c r="DQ30" s="19"/>
      <c r="DR30" s="19"/>
      <c r="DS30" s="19"/>
      <c r="DT30" s="19"/>
      <c r="DU30" s="19"/>
      <c r="DV30" s="19"/>
      <c r="DW30" s="19"/>
      <c r="DX30" s="19"/>
      <c r="DY30" s="19"/>
      <c r="DZ30" s="19"/>
      <c r="EA30" s="19"/>
      <c r="EB30" s="19"/>
      <c r="EC30" s="19"/>
      <c r="ED30" s="19"/>
      <c r="EE30" s="19"/>
      <c r="EF30" s="19">
        <v>136003123</v>
      </c>
      <c r="EG30" s="19">
        <v>61386000</v>
      </c>
      <c r="EH30" s="19">
        <v>210000</v>
      </c>
      <c r="EI30" s="19"/>
      <c r="EJ30" s="19"/>
      <c r="EK30" s="19" t="s">
        <v>89</v>
      </c>
      <c r="EL30" s="19">
        <v>2354800</v>
      </c>
      <c r="EM30" s="19">
        <v>403000</v>
      </c>
      <c r="EN30" s="19">
        <v>49320000</v>
      </c>
      <c r="EO30" s="19">
        <v>220000</v>
      </c>
      <c r="EP30" s="19"/>
      <c r="EQ30" s="19"/>
      <c r="ER30" s="19">
        <v>1102150</v>
      </c>
      <c r="ES30" s="19">
        <v>11279007</v>
      </c>
      <c r="ET30" s="19"/>
      <c r="EU30" s="19">
        <v>395372102</v>
      </c>
      <c r="EV30" s="19">
        <v>32250</v>
      </c>
      <c r="EW30" s="19"/>
      <c r="EX30" s="19"/>
      <c r="EY30" s="19"/>
      <c r="EZ30" s="19">
        <v>50184690</v>
      </c>
      <c r="FA30" s="19"/>
      <c r="FB30" s="19"/>
      <c r="FC30" s="19" t="s">
        <v>89</v>
      </c>
      <c r="FD30" s="19"/>
      <c r="FE30" s="19"/>
      <c r="FF30" s="19"/>
      <c r="FG30" s="19"/>
      <c r="FH30" s="19"/>
      <c r="FI30" s="19"/>
      <c r="FJ30" s="19"/>
      <c r="FK30" s="19"/>
      <c r="FL30" s="19"/>
      <c r="FM30" s="19">
        <v>163800</v>
      </c>
      <c r="FN30" s="19" t="s">
        <v>89</v>
      </c>
      <c r="FO30" s="19"/>
      <c r="FP30" s="19"/>
      <c r="FQ30" s="19" t="s">
        <v>89</v>
      </c>
      <c r="FR30" s="19"/>
      <c r="FS30" s="19"/>
      <c r="FT30" s="19"/>
      <c r="FU30" s="19" t="s">
        <v>89</v>
      </c>
      <c r="FV30" s="19"/>
      <c r="FW30" s="19"/>
      <c r="FX30" s="19" t="s">
        <v>157</v>
      </c>
      <c r="FY30" s="19"/>
      <c r="FZ30" s="19"/>
      <c r="GA30" s="19" t="s">
        <v>89</v>
      </c>
      <c r="GB30" s="19" t="s">
        <v>89</v>
      </c>
      <c r="GC30" s="19"/>
      <c r="GD30" s="19" t="s">
        <v>89</v>
      </c>
      <c r="GE30" s="19"/>
      <c r="GF30" s="19" t="s">
        <v>89</v>
      </c>
      <c r="GG30" s="19"/>
      <c r="GH30" s="19"/>
    </row>
    <row r="31" spans="1:190" ht="17.55" customHeight="1">
      <c r="A31" s="7" t="s">
        <v>1</v>
      </c>
      <c r="B31" s="8" t="s">
        <v>18</v>
      </c>
      <c r="C31" s="19">
        <v>0</v>
      </c>
      <c r="D31" s="19">
        <v>604570</v>
      </c>
      <c r="E31" s="19">
        <v>289500000</v>
      </c>
      <c r="F31" s="19">
        <v>481713951</v>
      </c>
      <c r="G31" s="19">
        <v>190640000</v>
      </c>
      <c r="H31" s="19">
        <v>810000000</v>
      </c>
      <c r="I31" s="19">
        <v>1130240000</v>
      </c>
      <c r="J31" s="19" t="s">
        <v>89</v>
      </c>
      <c r="K31" s="19">
        <v>0</v>
      </c>
      <c r="L31" s="19">
        <v>200341286</v>
      </c>
      <c r="M31" s="19">
        <v>148050942</v>
      </c>
      <c r="N31" s="19">
        <v>0</v>
      </c>
      <c r="O31" s="19">
        <v>1116221363</v>
      </c>
      <c r="P31" s="19">
        <v>772439728</v>
      </c>
      <c r="Q31" s="19">
        <v>10800000</v>
      </c>
      <c r="R31" s="19">
        <v>285125000</v>
      </c>
      <c r="S31" s="19">
        <v>2608333849</v>
      </c>
      <c r="T31" s="19">
        <v>0</v>
      </c>
      <c r="U31" s="19">
        <v>376781470</v>
      </c>
      <c r="V31" s="19">
        <v>416376481</v>
      </c>
      <c r="W31" s="19">
        <v>740523267</v>
      </c>
      <c r="X31" s="19">
        <v>3605000000</v>
      </c>
      <c r="Y31" s="19">
        <v>85875000</v>
      </c>
      <c r="Z31" s="19">
        <v>320133621</v>
      </c>
      <c r="AA31" s="19">
        <v>570640000</v>
      </c>
      <c r="AB31" s="19">
        <v>0</v>
      </c>
      <c r="AC31" s="19">
        <v>260000000</v>
      </c>
      <c r="AD31" s="19">
        <v>860115401</v>
      </c>
      <c r="AE31" s="19">
        <v>128125000</v>
      </c>
      <c r="AF31" s="19">
        <v>110000000</v>
      </c>
      <c r="AG31" s="19">
        <v>335949817</v>
      </c>
      <c r="AH31" s="19">
        <v>120000000</v>
      </c>
      <c r="AI31" s="19">
        <v>200000000</v>
      </c>
      <c r="AJ31" s="19">
        <v>221393500</v>
      </c>
      <c r="AK31" s="19" t="s">
        <v>89</v>
      </c>
      <c r="AL31" s="19">
        <v>203333352</v>
      </c>
      <c r="AM31" s="19">
        <v>860317933</v>
      </c>
      <c r="AN31" s="19">
        <v>0</v>
      </c>
      <c r="AO31" s="19">
        <v>20700000</v>
      </c>
      <c r="AP31" s="19">
        <v>59642438</v>
      </c>
      <c r="AQ31" s="19">
        <v>42153272</v>
      </c>
      <c r="AR31" s="19">
        <v>0</v>
      </c>
      <c r="AS31" s="19">
        <v>0</v>
      </c>
      <c r="AT31" s="19">
        <v>1905650108</v>
      </c>
      <c r="AU31" s="19">
        <v>1779878807</v>
      </c>
      <c r="AV31" s="19">
        <v>103346387</v>
      </c>
      <c r="AW31" s="19">
        <v>300000000</v>
      </c>
      <c r="AX31" s="19" t="s">
        <v>96</v>
      </c>
      <c r="AY31" s="19">
        <v>259400000</v>
      </c>
      <c r="AZ31" s="19">
        <v>0</v>
      </c>
      <c r="BA31" s="19">
        <v>525886939</v>
      </c>
      <c r="BB31" s="19">
        <v>0</v>
      </c>
      <c r="BC31" s="19">
        <v>1250885123</v>
      </c>
      <c r="BD31" s="19">
        <v>155000000</v>
      </c>
      <c r="BE31" s="19">
        <v>500470484</v>
      </c>
      <c r="BF31" s="19">
        <v>294000000</v>
      </c>
      <c r="BG31" s="19">
        <v>221269564</v>
      </c>
      <c r="BH31" s="19">
        <v>500000000</v>
      </c>
      <c r="BI31" s="19">
        <v>0</v>
      </c>
      <c r="BJ31" s="19">
        <v>316658500</v>
      </c>
      <c r="BK31" s="19">
        <v>182970000</v>
      </c>
      <c r="BL31" s="19">
        <v>53797294</v>
      </c>
      <c r="BM31" s="19">
        <v>0</v>
      </c>
      <c r="BN31" s="19">
        <v>0</v>
      </c>
      <c r="BO31" s="19">
        <v>108638007</v>
      </c>
      <c r="BP31" s="19">
        <v>0</v>
      </c>
      <c r="BQ31" s="19" t="s">
        <v>175</v>
      </c>
      <c r="BR31" s="19">
        <v>65000000</v>
      </c>
      <c r="BS31" s="19">
        <v>0</v>
      </c>
      <c r="BT31" s="19">
        <v>0</v>
      </c>
      <c r="BU31" s="19">
        <v>21578155</v>
      </c>
      <c r="BV31" s="19">
        <v>0</v>
      </c>
      <c r="BW31" s="19">
        <v>0</v>
      </c>
      <c r="BX31" s="19">
        <v>0</v>
      </c>
      <c r="BY31" s="19">
        <v>601893720</v>
      </c>
      <c r="BZ31" s="19">
        <v>0</v>
      </c>
      <c r="CA31" s="19">
        <v>167284995</v>
      </c>
      <c r="CB31" s="19">
        <v>204177160</v>
      </c>
      <c r="CC31" s="19">
        <v>25008808</v>
      </c>
      <c r="CD31" s="19">
        <v>5493827</v>
      </c>
      <c r="CE31" s="19">
        <v>79154000</v>
      </c>
      <c r="CF31" s="19">
        <v>0</v>
      </c>
      <c r="CG31" s="19">
        <v>4476215</v>
      </c>
      <c r="CH31" s="19">
        <v>0</v>
      </c>
      <c r="CI31" s="19">
        <v>1243800000</v>
      </c>
      <c r="CJ31" s="19">
        <v>94200000</v>
      </c>
      <c r="CK31" s="19">
        <v>1656282424</v>
      </c>
      <c r="CL31" s="19">
        <v>402143501</v>
      </c>
      <c r="CM31" s="19">
        <v>0</v>
      </c>
      <c r="CN31" s="19">
        <v>62877765</v>
      </c>
      <c r="CO31" s="19">
        <v>22314793</v>
      </c>
      <c r="CP31" s="19">
        <v>712232500</v>
      </c>
      <c r="CQ31" s="19" t="s">
        <v>96</v>
      </c>
      <c r="CR31" s="19">
        <v>0</v>
      </c>
      <c r="CS31" s="19">
        <v>348909612</v>
      </c>
      <c r="CT31" s="19">
        <v>190000000</v>
      </c>
      <c r="CU31" s="19">
        <v>60402976</v>
      </c>
      <c r="CV31" s="19">
        <v>101434377</v>
      </c>
      <c r="CW31" s="19">
        <v>4835267</v>
      </c>
      <c r="CX31" s="19">
        <v>102934508</v>
      </c>
      <c r="CY31" s="19">
        <v>1001969642</v>
      </c>
      <c r="CZ31" s="19">
        <v>92394092</v>
      </c>
      <c r="DA31" s="19">
        <v>0</v>
      </c>
      <c r="DB31" s="19">
        <v>190983160</v>
      </c>
      <c r="DC31" s="19">
        <v>30000000</v>
      </c>
      <c r="DD31" s="19">
        <v>173000000</v>
      </c>
      <c r="DE31" s="19">
        <v>95407050</v>
      </c>
      <c r="DF31" s="19">
        <v>22360000</v>
      </c>
      <c r="DG31" s="19">
        <v>126250000</v>
      </c>
      <c r="DH31" s="19">
        <v>140746546</v>
      </c>
      <c r="DI31" s="19">
        <v>1930881000</v>
      </c>
      <c r="DJ31" s="19">
        <v>0</v>
      </c>
      <c r="DK31" s="19">
        <v>150000000</v>
      </c>
      <c r="DL31" s="19">
        <v>0</v>
      </c>
      <c r="DM31" s="19">
        <v>0</v>
      </c>
      <c r="DN31" s="19">
        <v>0</v>
      </c>
      <c r="DO31" s="19">
        <v>0</v>
      </c>
      <c r="DP31" s="19">
        <v>0</v>
      </c>
      <c r="DQ31" s="19">
        <v>270000000</v>
      </c>
      <c r="DR31" s="19">
        <v>0</v>
      </c>
      <c r="DS31" s="19">
        <v>20500000</v>
      </c>
      <c r="DT31" s="19">
        <v>0</v>
      </c>
      <c r="DU31" s="19">
        <v>5000000</v>
      </c>
      <c r="DV31" s="19">
        <v>0</v>
      </c>
      <c r="DW31" s="19">
        <v>0</v>
      </c>
      <c r="DX31" s="19">
        <v>0</v>
      </c>
      <c r="DY31" s="19">
        <v>123333325</v>
      </c>
      <c r="DZ31" s="19">
        <v>28049871</v>
      </c>
      <c r="EA31" s="19">
        <v>50000000</v>
      </c>
      <c r="EB31" s="19">
        <v>453320000</v>
      </c>
      <c r="EC31" s="19">
        <v>0</v>
      </c>
      <c r="ED31" s="19">
        <v>0</v>
      </c>
      <c r="EE31" s="19">
        <v>45196931</v>
      </c>
      <c r="EF31" s="19">
        <v>2317885300</v>
      </c>
      <c r="EG31" s="19">
        <v>742553423</v>
      </c>
      <c r="EH31" s="19">
        <v>0</v>
      </c>
      <c r="EI31" s="19">
        <v>216000000</v>
      </c>
      <c r="EJ31" s="19">
        <v>13721013</v>
      </c>
      <c r="EK31" s="19" t="s">
        <v>89</v>
      </c>
      <c r="EL31" s="19">
        <v>514059257</v>
      </c>
      <c r="EM31" s="19">
        <v>137184487</v>
      </c>
      <c r="EN31" s="19">
        <v>254641394</v>
      </c>
      <c r="EO31" s="19">
        <v>231500000</v>
      </c>
      <c r="EP31" s="19">
        <v>0</v>
      </c>
      <c r="EQ31" s="19">
        <v>0</v>
      </c>
      <c r="ER31" s="19">
        <v>1042745142</v>
      </c>
      <c r="ES31" s="19">
        <v>262959741</v>
      </c>
      <c r="ET31" s="19">
        <v>22160288</v>
      </c>
      <c r="EU31" s="19">
        <v>64144899</v>
      </c>
      <c r="EV31" s="19">
        <v>0</v>
      </c>
      <c r="EW31" s="19">
        <v>10000000</v>
      </c>
      <c r="EX31" s="19">
        <v>0</v>
      </c>
      <c r="EY31" s="19">
        <v>0</v>
      </c>
      <c r="EZ31" s="19">
        <v>235305713</v>
      </c>
      <c r="FA31" s="19">
        <v>1907928198</v>
      </c>
      <c r="FB31" s="19">
        <v>0</v>
      </c>
      <c r="FC31" s="19" t="s">
        <v>89</v>
      </c>
      <c r="FD31" s="19">
        <v>0</v>
      </c>
      <c r="FE31" s="19">
        <v>1266721592</v>
      </c>
      <c r="FF31" s="19">
        <v>0</v>
      </c>
      <c r="FG31" s="19">
        <v>244161246</v>
      </c>
      <c r="FH31" s="19">
        <v>0</v>
      </c>
      <c r="FI31" s="19">
        <v>0</v>
      </c>
      <c r="FJ31" s="19">
        <v>0</v>
      </c>
      <c r="FK31" s="19">
        <v>150000000</v>
      </c>
      <c r="FL31" s="19">
        <v>0</v>
      </c>
      <c r="FM31" s="19">
        <v>0</v>
      </c>
      <c r="FN31" s="19" t="s">
        <v>89</v>
      </c>
      <c r="FO31" s="19">
        <v>32980000</v>
      </c>
      <c r="FP31" s="19">
        <v>200000000</v>
      </c>
      <c r="FQ31" s="19" t="s">
        <v>89</v>
      </c>
      <c r="FR31" s="19">
        <v>0</v>
      </c>
      <c r="FS31" s="19">
        <v>0</v>
      </c>
      <c r="FT31" s="19">
        <v>0</v>
      </c>
      <c r="FU31" s="19" t="s">
        <v>89</v>
      </c>
      <c r="FV31" s="19">
        <v>116000000</v>
      </c>
      <c r="FW31" s="19">
        <v>0</v>
      </c>
      <c r="FX31" s="19" t="s">
        <v>157</v>
      </c>
      <c r="FY31" s="19">
        <v>60000000</v>
      </c>
      <c r="FZ31" s="19">
        <v>0</v>
      </c>
      <c r="GA31" s="19" t="s">
        <v>89</v>
      </c>
      <c r="GB31" s="19" t="s">
        <v>89</v>
      </c>
      <c r="GC31" s="19">
        <v>0</v>
      </c>
      <c r="GD31" s="19" t="s">
        <v>89</v>
      </c>
      <c r="GE31" s="19">
        <v>0</v>
      </c>
      <c r="GF31" s="19" t="s">
        <v>89</v>
      </c>
      <c r="GG31" s="19">
        <v>22500000</v>
      </c>
      <c r="GH31" s="19">
        <v>0</v>
      </c>
    </row>
    <row r="32" spans="1:190" ht="17.55" customHeight="1">
      <c r="A32" s="7" t="s">
        <v>1</v>
      </c>
      <c r="B32" s="11" t="s">
        <v>15</v>
      </c>
      <c r="C32" s="19"/>
      <c r="D32" s="19"/>
      <c r="E32" s="19">
        <v>264500000</v>
      </c>
      <c r="F32" s="19">
        <v>456713951</v>
      </c>
      <c r="G32" s="19">
        <v>188640000</v>
      </c>
      <c r="H32" s="19">
        <v>660000000</v>
      </c>
      <c r="I32" s="19">
        <v>630240000</v>
      </c>
      <c r="J32" s="19" t="s">
        <v>89</v>
      </c>
      <c r="K32" s="19"/>
      <c r="L32" s="19">
        <v>200341286</v>
      </c>
      <c r="M32" s="19">
        <v>148050942</v>
      </c>
      <c r="N32" s="19"/>
      <c r="O32" s="19">
        <v>970975402</v>
      </c>
      <c r="P32" s="19"/>
      <c r="Q32" s="19">
        <v>10800000</v>
      </c>
      <c r="R32" s="19">
        <v>185125000</v>
      </c>
      <c r="S32" s="19">
        <v>1455950000</v>
      </c>
      <c r="T32" s="19"/>
      <c r="U32" s="19"/>
      <c r="V32" s="19">
        <v>166376481</v>
      </c>
      <c r="W32" s="19">
        <v>692523747</v>
      </c>
      <c r="X32" s="19">
        <v>3350000000</v>
      </c>
      <c r="Y32" s="19"/>
      <c r="Z32" s="19">
        <v>320133621</v>
      </c>
      <c r="AA32" s="19">
        <v>570640000</v>
      </c>
      <c r="AB32" s="19"/>
      <c r="AC32" s="19">
        <v>260000000</v>
      </c>
      <c r="AD32" s="19">
        <v>856660000</v>
      </c>
      <c r="AE32" s="19">
        <v>128125000</v>
      </c>
      <c r="AF32" s="19">
        <v>110000000</v>
      </c>
      <c r="AG32" s="19">
        <v>185949817</v>
      </c>
      <c r="AH32" s="19">
        <v>120000000</v>
      </c>
      <c r="AI32" s="19">
        <v>100000000</v>
      </c>
      <c r="AJ32" s="19">
        <v>203393500</v>
      </c>
      <c r="AK32" s="19" t="s">
        <v>89</v>
      </c>
      <c r="AL32" s="19">
        <v>203333352</v>
      </c>
      <c r="AM32" s="19">
        <v>469884867</v>
      </c>
      <c r="AN32" s="19"/>
      <c r="AO32" s="19">
        <v>20700000</v>
      </c>
      <c r="AP32" s="19"/>
      <c r="AQ32" s="19">
        <v>42153272</v>
      </c>
      <c r="AR32" s="19"/>
      <c r="AS32" s="19"/>
      <c r="AT32" s="19">
        <v>1701964038</v>
      </c>
      <c r="AU32" s="19">
        <v>1627378807</v>
      </c>
      <c r="AV32" s="19">
        <v>100000000</v>
      </c>
      <c r="AW32" s="19">
        <v>300000000</v>
      </c>
      <c r="AX32" s="19" t="s">
        <v>96</v>
      </c>
      <c r="AY32" s="19">
        <v>259400000</v>
      </c>
      <c r="AZ32" s="19"/>
      <c r="BA32" s="19">
        <v>525886939</v>
      </c>
      <c r="BB32" s="19"/>
      <c r="BC32" s="19">
        <v>1240885123</v>
      </c>
      <c r="BD32" s="19">
        <v>155000000</v>
      </c>
      <c r="BE32" s="19">
        <v>244172000</v>
      </c>
      <c r="BF32" s="19">
        <v>294000000</v>
      </c>
      <c r="BG32" s="19">
        <v>91666658</v>
      </c>
      <c r="BH32" s="19">
        <v>500000000</v>
      </c>
      <c r="BI32" s="19"/>
      <c r="BJ32" s="19">
        <v>7887616</v>
      </c>
      <c r="BK32" s="19">
        <v>182970000</v>
      </c>
      <c r="BL32" s="19">
        <v>46656260</v>
      </c>
      <c r="BM32" s="19"/>
      <c r="BN32" s="19"/>
      <c r="BO32" s="19">
        <v>108638007</v>
      </c>
      <c r="BP32" s="19"/>
      <c r="BQ32" s="19" t="s">
        <v>175</v>
      </c>
      <c r="BR32" s="19">
        <v>65000000</v>
      </c>
      <c r="BS32" s="19"/>
      <c r="BT32" s="19"/>
      <c r="BU32" s="19">
        <v>21578155</v>
      </c>
      <c r="BV32" s="19"/>
      <c r="BW32" s="19"/>
      <c r="BX32" s="19"/>
      <c r="BY32" s="19">
        <v>320478803</v>
      </c>
      <c r="BZ32" s="19"/>
      <c r="CA32" s="19">
        <v>167284995</v>
      </c>
      <c r="CB32" s="19">
        <v>204177160</v>
      </c>
      <c r="CC32" s="19"/>
      <c r="CD32" s="19"/>
      <c r="CE32" s="19">
        <v>79154000</v>
      </c>
      <c r="CF32" s="19"/>
      <c r="CG32" s="19"/>
      <c r="CH32" s="19"/>
      <c r="CI32" s="19">
        <v>1243800000</v>
      </c>
      <c r="CJ32" s="19">
        <v>94200000</v>
      </c>
      <c r="CK32" s="19">
        <v>1195833333</v>
      </c>
      <c r="CL32" s="19">
        <v>402143501</v>
      </c>
      <c r="CM32" s="19"/>
      <c r="CN32" s="19">
        <v>62877765</v>
      </c>
      <c r="CO32" s="19"/>
      <c r="CP32" s="19">
        <v>712232500</v>
      </c>
      <c r="CQ32" s="19" t="s">
        <v>96</v>
      </c>
      <c r="CR32" s="19"/>
      <c r="CS32" s="19">
        <v>348909612</v>
      </c>
      <c r="CT32" s="19">
        <v>190000000</v>
      </c>
      <c r="CU32" s="19"/>
      <c r="CV32" s="19">
        <v>100000000</v>
      </c>
      <c r="CW32" s="19"/>
      <c r="CX32" s="19"/>
      <c r="CY32" s="19">
        <v>1001969642</v>
      </c>
      <c r="CZ32" s="19">
        <v>92394092</v>
      </c>
      <c r="DA32" s="19"/>
      <c r="DB32" s="19">
        <v>190983160</v>
      </c>
      <c r="DC32" s="19">
        <v>30000000</v>
      </c>
      <c r="DD32" s="19">
        <v>173000000</v>
      </c>
      <c r="DE32" s="19">
        <v>95407050</v>
      </c>
      <c r="DF32" s="19">
        <v>22360000</v>
      </c>
      <c r="DG32" s="19">
        <v>26250000</v>
      </c>
      <c r="DH32" s="19">
        <v>117000000</v>
      </c>
      <c r="DI32" s="19">
        <v>1812881000</v>
      </c>
      <c r="DJ32" s="19"/>
      <c r="DK32" s="19">
        <v>100000000</v>
      </c>
      <c r="DL32" s="19"/>
      <c r="DM32" s="19"/>
      <c r="DN32" s="19"/>
      <c r="DO32" s="19"/>
      <c r="DP32" s="19"/>
      <c r="DQ32" s="19"/>
      <c r="DR32" s="19"/>
      <c r="DS32" s="19">
        <v>20500000</v>
      </c>
      <c r="DT32" s="19"/>
      <c r="DU32" s="19"/>
      <c r="DV32" s="19"/>
      <c r="DW32" s="19"/>
      <c r="DX32" s="19"/>
      <c r="DY32" s="19">
        <v>123333325</v>
      </c>
      <c r="DZ32" s="19">
        <v>28049871</v>
      </c>
      <c r="EA32" s="19">
        <v>50000000</v>
      </c>
      <c r="EB32" s="19">
        <v>453320000</v>
      </c>
      <c r="EC32" s="19"/>
      <c r="ED32" s="19"/>
      <c r="EE32" s="19">
        <v>30000000</v>
      </c>
      <c r="EF32" s="19">
        <v>2312885300</v>
      </c>
      <c r="EG32" s="19">
        <v>600000000</v>
      </c>
      <c r="EH32" s="19"/>
      <c r="EI32" s="19">
        <v>200000000</v>
      </c>
      <c r="EJ32" s="19"/>
      <c r="EK32" s="19" t="s">
        <v>89</v>
      </c>
      <c r="EL32" s="19"/>
      <c r="EM32" s="19">
        <v>100000000</v>
      </c>
      <c r="EN32" s="19"/>
      <c r="EO32" s="19">
        <v>30000000</v>
      </c>
      <c r="EP32" s="19"/>
      <c r="EQ32" s="19"/>
      <c r="ER32" s="19">
        <v>1042745142</v>
      </c>
      <c r="ES32" s="19">
        <v>262959741</v>
      </c>
      <c r="ET32" s="19"/>
      <c r="EU32" s="19"/>
      <c r="EV32" s="19"/>
      <c r="EW32" s="19"/>
      <c r="EX32" s="19"/>
      <c r="EY32" s="19"/>
      <c r="EZ32" s="19">
        <v>230305713</v>
      </c>
      <c r="FA32" s="19">
        <v>1294078198</v>
      </c>
      <c r="FB32" s="19"/>
      <c r="FC32" s="19" t="s">
        <v>89</v>
      </c>
      <c r="FD32" s="19"/>
      <c r="FE32" s="19">
        <v>1200000000</v>
      </c>
      <c r="FF32" s="19"/>
      <c r="FG32" s="19">
        <v>244161246</v>
      </c>
      <c r="FH32" s="19"/>
      <c r="FI32" s="19"/>
      <c r="FJ32" s="19"/>
      <c r="FK32" s="19">
        <v>150000000</v>
      </c>
      <c r="FL32" s="19"/>
      <c r="FM32" s="19"/>
      <c r="FN32" s="19" t="s">
        <v>89</v>
      </c>
      <c r="FO32" s="19">
        <v>32980000</v>
      </c>
      <c r="FP32" s="19">
        <v>200000000</v>
      </c>
      <c r="FQ32" s="19" t="s">
        <v>89</v>
      </c>
      <c r="FR32" s="19"/>
      <c r="FS32" s="19"/>
      <c r="FT32" s="19"/>
      <c r="FU32" s="19" t="s">
        <v>89</v>
      </c>
      <c r="FV32" s="19">
        <v>116000000</v>
      </c>
      <c r="FW32" s="19"/>
      <c r="FX32" s="19" t="s">
        <v>157</v>
      </c>
      <c r="FY32" s="19"/>
      <c r="FZ32" s="19"/>
      <c r="GA32" s="19" t="s">
        <v>89</v>
      </c>
      <c r="GB32" s="19" t="s">
        <v>89</v>
      </c>
      <c r="GC32" s="19"/>
      <c r="GD32" s="19" t="s">
        <v>89</v>
      </c>
      <c r="GE32" s="19"/>
      <c r="GF32" s="19" t="s">
        <v>89</v>
      </c>
      <c r="GG32" s="19">
        <v>22500000</v>
      </c>
      <c r="GH32" s="19"/>
    </row>
    <row r="33" spans="1:190" ht="17.55" customHeight="1">
      <c r="A33" s="7" t="s">
        <v>1</v>
      </c>
      <c r="B33" s="11" t="s">
        <v>45</v>
      </c>
      <c r="C33" s="19"/>
      <c r="D33" s="19">
        <v>604570</v>
      </c>
      <c r="E33" s="19">
        <v>25000000</v>
      </c>
      <c r="F33" s="19">
        <v>25000000</v>
      </c>
      <c r="G33" s="19">
        <v>2000000</v>
      </c>
      <c r="H33" s="19">
        <v>150000000</v>
      </c>
      <c r="I33" s="19">
        <v>500000000</v>
      </c>
      <c r="J33" s="19" t="s">
        <v>89</v>
      </c>
      <c r="K33" s="19"/>
      <c r="L33" s="19"/>
      <c r="M33" s="19"/>
      <c r="N33" s="19"/>
      <c r="O33" s="19">
        <v>145245961</v>
      </c>
      <c r="P33" s="19">
        <v>772439728</v>
      </c>
      <c r="Q33" s="19"/>
      <c r="R33" s="19">
        <v>100000000</v>
      </c>
      <c r="S33" s="19">
        <v>1152383849</v>
      </c>
      <c r="T33" s="19"/>
      <c r="U33" s="19">
        <v>376781470</v>
      </c>
      <c r="V33" s="19">
        <v>250000000</v>
      </c>
      <c r="W33" s="19">
        <v>47999520</v>
      </c>
      <c r="X33" s="19">
        <v>255000000</v>
      </c>
      <c r="Y33" s="19">
        <v>85875000</v>
      </c>
      <c r="Z33" s="19"/>
      <c r="AA33" s="19"/>
      <c r="AB33" s="19"/>
      <c r="AC33" s="19"/>
      <c r="AD33" s="19">
        <v>3455401</v>
      </c>
      <c r="AE33" s="19"/>
      <c r="AF33" s="19"/>
      <c r="AG33" s="19">
        <v>150000000</v>
      </c>
      <c r="AH33" s="19"/>
      <c r="AI33" s="19">
        <v>100000000</v>
      </c>
      <c r="AJ33" s="19">
        <v>18000000</v>
      </c>
      <c r="AK33" s="19" t="s">
        <v>89</v>
      </c>
      <c r="AL33" s="19"/>
      <c r="AM33" s="19">
        <v>390433066</v>
      </c>
      <c r="AN33" s="19"/>
      <c r="AO33" s="19"/>
      <c r="AP33" s="19">
        <v>59642438</v>
      </c>
      <c r="AQ33" s="19"/>
      <c r="AR33" s="19"/>
      <c r="AS33" s="19"/>
      <c r="AT33" s="19">
        <v>203686070</v>
      </c>
      <c r="AU33" s="19">
        <v>152500000</v>
      </c>
      <c r="AV33" s="19">
        <v>3346387</v>
      </c>
      <c r="AW33" s="19"/>
      <c r="AX33" s="19" t="s">
        <v>96</v>
      </c>
      <c r="AY33" s="19"/>
      <c r="AZ33" s="19"/>
      <c r="BA33" s="19"/>
      <c r="BB33" s="19"/>
      <c r="BC33" s="19">
        <v>10000000</v>
      </c>
      <c r="BD33" s="19"/>
      <c r="BE33" s="19">
        <v>256298484</v>
      </c>
      <c r="BF33" s="19"/>
      <c r="BG33" s="19">
        <v>129602906</v>
      </c>
      <c r="BH33" s="19"/>
      <c r="BI33" s="19"/>
      <c r="BJ33" s="19">
        <v>308770884</v>
      </c>
      <c r="BK33" s="19"/>
      <c r="BL33" s="19">
        <v>7141034</v>
      </c>
      <c r="BM33" s="19"/>
      <c r="BN33" s="19"/>
      <c r="BO33" s="19"/>
      <c r="BP33" s="19"/>
      <c r="BQ33" s="19" t="s">
        <v>175</v>
      </c>
      <c r="BR33" s="19"/>
      <c r="BS33" s="19"/>
      <c r="BT33" s="19"/>
      <c r="BU33" s="19"/>
      <c r="BV33" s="19"/>
      <c r="BW33" s="19"/>
      <c r="BX33" s="19"/>
      <c r="BY33" s="19">
        <v>281414917</v>
      </c>
      <c r="BZ33" s="19"/>
      <c r="CA33" s="19"/>
      <c r="CB33" s="19"/>
      <c r="CC33" s="19">
        <v>25008808</v>
      </c>
      <c r="CD33" s="19">
        <v>5493827</v>
      </c>
      <c r="CE33" s="19"/>
      <c r="CF33" s="19"/>
      <c r="CG33" s="19">
        <v>4476215</v>
      </c>
      <c r="CH33" s="19"/>
      <c r="CI33" s="19"/>
      <c r="CJ33" s="19"/>
      <c r="CK33" s="19">
        <v>460449091</v>
      </c>
      <c r="CL33" s="19"/>
      <c r="CM33" s="19"/>
      <c r="CN33" s="19"/>
      <c r="CO33" s="19">
        <v>22314793</v>
      </c>
      <c r="CP33" s="19"/>
      <c r="CQ33" s="19" t="s">
        <v>96</v>
      </c>
      <c r="CR33" s="19"/>
      <c r="CS33" s="19"/>
      <c r="CT33" s="19"/>
      <c r="CU33" s="19">
        <v>60402976</v>
      </c>
      <c r="CV33" s="19">
        <v>1434377</v>
      </c>
      <c r="CW33" s="19">
        <v>4835267</v>
      </c>
      <c r="CX33" s="19">
        <v>102934508</v>
      </c>
      <c r="CY33" s="19"/>
      <c r="CZ33" s="19"/>
      <c r="DA33" s="19"/>
      <c r="DB33" s="19"/>
      <c r="DC33" s="19"/>
      <c r="DD33" s="19"/>
      <c r="DE33" s="19"/>
      <c r="DF33" s="19"/>
      <c r="DG33" s="19">
        <v>100000000</v>
      </c>
      <c r="DH33" s="19">
        <v>23746546</v>
      </c>
      <c r="DI33" s="19">
        <v>118000000</v>
      </c>
      <c r="DJ33" s="19"/>
      <c r="DK33" s="19">
        <v>50000000</v>
      </c>
      <c r="DL33" s="19"/>
      <c r="DM33" s="19"/>
      <c r="DN33" s="19"/>
      <c r="DO33" s="19"/>
      <c r="DP33" s="19"/>
      <c r="DQ33" s="19">
        <v>270000000</v>
      </c>
      <c r="DR33" s="19"/>
      <c r="DS33" s="19"/>
      <c r="DT33" s="19"/>
      <c r="DU33" s="19">
        <v>5000000</v>
      </c>
      <c r="DV33" s="19"/>
      <c r="DW33" s="19"/>
      <c r="DX33" s="19"/>
      <c r="DY33" s="19"/>
      <c r="DZ33" s="19"/>
      <c r="EA33" s="19"/>
      <c r="EB33" s="19"/>
      <c r="EC33" s="19"/>
      <c r="ED33" s="19"/>
      <c r="EE33" s="19">
        <v>15196931</v>
      </c>
      <c r="EF33" s="19">
        <v>5000000</v>
      </c>
      <c r="EG33" s="19">
        <v>142553423</v>
      </c>
      <c r="EH33" s="19"/>
      <c r="EI33" s="19">
        <v>16000000</v>
      </c>
      <c r="EJ33" s="19">
        <v>13721013</v>
      </c>
      <c r="EK33" s="19" t="s">
        <v>89</v>
      </c>
      <c r="EL33" s="19">
        <v>514059257</v>
      </c>
      <c r="EM33" s="19">
        <v>37184487</v>
      </c>
      <c r="EN33" s="19">
        <v>254641394</v>
      </c>
      <c r="EO33" s="19">
        <v>201500000</v>
      </c>
      <c r="EP33" s="19"/>
      <c r="EQ33" s="19"/>
      <c r="ER33" s="19"/>
      <c r="ES33" s="19"/>
      <c r="ET33" s="19">
        <v>22160288</v>
      </c>
      <c r="EU33" s="19">
        <v>64144899</v>
      </c>
      <c r="EV33" s="19"/>
      <c r="EW33" s="19">
        <v>10000000</v>
      </c>
      <c r="EX33" s="19"/>
      <c r="EY33" s="19"/>
      <c r="EZ33" s="19">
        <v>5000000</v>
      </c>
      <c r="FA33" s="19">
        <v>613850000</v>
      </c>
      <c r="FB33" s="19"/>
      <c r="FC33" s="19" t="s">
        <v>89</v>
      </c>
      <c r="FD33" s="19"/>
      <c r="FE33" s="19">
        <v>66721592</v>
      </c>
      <c r="FF33" s="19"/>
      <c r="FG33" s="19"/>
      <c r="FH33" s="19"/>
      <c r="FI33" s="19"/>
      <c r="FJ33" s="19"/>
      <c r="FK33" s="19"/>
      <c r="FL33" s="19"/>
      <c r="FM33" s="19"/>
      <c r="FN33" s="19" t="s">
        <v>89</v>
      </c>
      <c r="FO33" s="19"/>
      <c r="FP33" s="19"/>
      <c r="FQ33" s="19" t="s">
        <v>89</v>
      </c>
      <c r="FR33" s="19"/>
      <c r="FS33" s="19"/>
      <c r="FT33" s="19"/>
      <c r="FU33" s="19" t="s">
        <v>89</v>
      </c>
      <c r="FV33" s="19"/>
      <c r="FW33" s="19"/>
      <c r="FX33" s="19" t="s">
        <v>157</v>
      </c>
      <c r="FY33" s="19">
        <v>60000000</v>
      </c>
      <c r="FZ33" s="19"/>
      <c r="GA33" s="19" t="s">
        <v>89</v>
      </c>
      <c r="GB33" s="19" t="s">
        <v>89</v>
      </c>
      <c r="GC33" s="19"/>
      <c r="GD33" s="19" t="s">
        <v>89</v>
      </c>
      <c r="GE33" s="19"/>
      <c r="GF33" s="19" t="s">
        <v>89</v>
      </c>
      <c r="GG33" s="19"/>
      <c r="GH33" s="19"/>
    </row>
    <row r="34" spans="1:190" ht="17.55" customHeight="1">
      <c r="A34" s="7" t="s">
        <v>1</v>
      </c>
      <c r="B34" s="8" t="s">
        <v>110</v>
      </c>
      <c r="C34" s="19">
        <v>249458122</v>
      </c>
      <c r="D34" s="19">
        <v>1356326602</v>
      </c>
      <c r="E34" s="19">
        <v>273649855</v>
      </c>
      <c r="F34" s="19">
        <v>965387211</v>
      </c>
      <c r="G34" s="19">
        <v>28140260</v>
      </c>
      <c r="H34" s="19">
        <v>231205842</v>
      </c>
      <c r="I34" s="19">
        <v>677243208</v>
      </c>
      <c r="J34" s="19" t="s">
        <v>89</v>
      </c>
      <c r="K34" s="19">
        <v>451174920</v>
      </c>
      <c r="L34" s="19">
        <v>162293803</v>
      </c>
      <c r="M34" s="19">
        <v>381892767</v>
      </c>
      <c r="N34" s="19">
        <v>221718186</v>
      </c>
      <c r="O34" s="19">
        <v>1165067517</v>
      </c>
      <c r="P34" s="19">
        <v>1379431309</v>
      </c>
      <c r="Q34" s="19">
        <v>105726471</v>
      </c>
      <c r="R34" s="19">
        <v>95406271</v>
      </c>
      <c r="S34" s="19">
        <v>1445664894</v>
      </c>
      <c r="T34" s="19">
        <v>-276512051</v>
      </c>
      <c r="U34" s="19">
        <v>2061914000</v>
      </c>
      <c r="V34" s="19">
        <v>-236152450</v>
      </c>
      <c r="W34" s="19">
        <v>-219056432</v>
      </c>
      <c r="X34" s="19">
        <v>2194029785</v>
      </c>
      <c r="Y34" s="19">
        <v>425988037</v>
      </c>
      <c r="Z34" s="19">
        <v>69750672</v>
      </c>
      <c r="AA34" s="19">
        <v>1237507150</v>
      </c>
      <c r="AB34" s="19">
        <v>196423088</v>
      </c>
      <c r="AC34" s="19">
        <v>443009704</v>
      </c>
      <c r="AD34" s="19">
        <v>649601641</v>
      </c>
      <c r="AE34" s="19">
        <v>664595474</v>
      </c>
      <c r="AF34" s="19">
        <v>207212159</v>
      </c>
      <c r="AG34" s="19">
        <v>-142021463</v>
      </c>
      <c r="AH34" s="19">
        <v>901956087</v>
      </c>
      <c r="AI34" s="19">
        <v>6693664</v>
      </c>
      <c r="AJ34" s="19">
        <v>553896136</v>
      </c>
      <c r="AK34" s="19" t="s">
        <v>89</v>
      </c>
      <c r="AL34" s="19">
        <v>49312456</v>
      </c>
      <c r="AM34" s="19">
        <v>-965818203</v>
      </c>
      <c r="AN34" s="19">
        <v>184324155</v>
      </c>
      <c r="AO34" s="19">
        <v>-9778779</v>
      </c>
      <c r="AP34" s="19">
        <v>485981144</v>
      </c>
      <c r="AQ34" s="19">
        <v>-61825982</v>
      </c>
      <c r="AR34" s="19">
        <v>86269537</v>
      </c>
      <c r="AS34" s="19">
        <v>472323843</v>
      </c>
      <c r="AT34" s="19">
        <v>414285626</v>
      </c>
      <c r="AU34" s="19">
        <v>-510758147</v>
      </c>
      <c r="AV34" s="19">
        <v>137293003</v>
      </c>
      <c r="AW34" s="19">
        <v>-19656395</v>
      </c>
      <c r="AX34" s="19" t="s">
        <v>96</v>
      </c>
      <c r="AY34" s="19">
        <v>301174883</v>
      </c>
      <c r="AZ34" s="19">
        <v>343211351</v>
      </c>
      <c r="BA34" s="19">
        <v>-139880415</v>
      </c>
      <c r="BB34" s="19">
        <v>37330312</v>
      </c>
      <c r="BC34" s="19">
        <v>638072515</v>
      </c>
      <c r="BD34" s="19">
        <v>-29288614</v>
      </c>
      <c r="BE34" s="19">
        <v>255355643</v>
      </c>
      <c r="BF34" s="19">
        <v>906119376</v>
      </c>
      <c r="BG34" s="19">
        <v>908672089</v>
      </c>
      <c r="BH34" s="19">
        <v>194864587</v>
      </c>
      <c r="BI34" s="19">
        <v>455360654</v>
      </c>
      <c r="BJ34" s="19">
        <v>150038017</v>
      </c>
      <c r="BK34" s="19">
        <v>154798217</v>
      </c>
      <c r="BL34" s="19">
        <v>271551259</v>
      </c>
      <c r="BM34" s="19">
        <v>137242618</v>
      </c>
      <c r="BN34" s="19">
        <v>111651641</v>
      </c>
      <c r="BO34" s="19">
        <v>91369634</v>
      </c>
      <c r="BP34" s="19">
        <v>7446694</v>
      </c>
      <c r="BQ34" s="19" t="s">
        <v>175</v>
      </c>
      <c r="BR34" s="19">
        <v>179352575</v>
      </c>
      <c r="BS34" s="19">
        <v>12327737</v>
      </c>
      <c r="BT34" s="19">
        <v>24225014</v>
      </c>
      <c r="BU34" s="19">
        <v>55541457</v>
      </c>
      <c r="BV34" s="19">
        <v>309811765</v>
      </c>
      <c r="BW34" s="19">
        <v>37072490</v>
      </c>
      <c r="BX34" s="19">
        <v>158590101</v>
      </c>
      <c r="BY34" s="19">
        <v>-399746308</v>
      </c>
      <c r="BZ34" s="19">
        <v>398837003</v>
      </c>
      <c r="CA34" s="19">
        <v>160076903</v>
      </c>
      <c r="CB34" s="19">
        <v>43496513</v>
      </c>
      <c r="CC34" s="19">
        <v>-26567163</v>
      </c>
      <c r="CD34" s="19">
        <v>196237712</v>
      </c>
      <c r="CE34" s="19">
        <v>380502804</v>
      </c>
      <c r="CF34" s="19">
        <v>-443681684</v>
      </c>
      <c r="CG34" s="19">
        <v>279868174</v>
      </c>
      <c r="CH34" s="19">
        <v>19299895</v>
      </c>
      <c r="CI34" s="19">
        <v>-322834809</v>
      </c>
      <c r="CJ34" s="19">
        <v>64877625</v>
      </c>
      <c r="CK34" s="19">
        <v>807233396</v>
      </c>
      <c r="CL34" s="19">
        <v>229359257</v>
      </c>
      <c r="CM34" s="19">
        <v>1077806517</v>
      </c>
      <c r="CN34" s="19">
        <v>39044785</v>
      </c>
      <c r="CO34" s="19">
        <v>288372742</v>
      </c>
      <c r="CP34" s="19">
        <v>198422201</v>
      </c>
      <c r="CQ34" s="19" t="s">
        <v>96</v>
      </c>
      <c r="CR34" s="19">
        <v>529785779</v>
      </c>
      <c r="CS34" s="19">
        <v>1018616740</v>
      </c>
      <c r="CT34" s="19">
        <v>1097285606</v>
      </c>
      <c r="CU34" s="19">
        <v>406913842</v>
      </c>
      <c r="CV34" s="19">
        <v>-266200825</v>
      </c>
      <c r="CW34" s="19">
        <v>1342697253</v>
      </c>
      <c r="CX34" s="19">
        <v>34829825</v>
      </c>
      <c r="CY34" s="19">
        <v>801348320</v>
      </c>
      <c r="CZ34" s="19">
        <v>83199290</v>
      </c>
      <c r="DA34" s="19">
        <v>46958830</v>
      </c>
      <c r="DB34" s="19">
        <v>345108134</v>
      </c>
      <c r="DC34" s="19">
        <v>2057592</v>
      </c>
      <c r="DD34" s="19">
        <v>15440938</v>
      </c>
      <c r="DE34" s="19">
        <v>425637652</v>
      </c>
      <c r="DF34" s="19">
        <v>26643207</v>
      </c>
      <c r="DG34" s="19">
        <v>228789195</v>
      </c>
      <c r="DH34" s="19">
        <v>-62507796</v>
      </c>
      <c r="DI34" s="19">
        <v>599994356</v>
      </c>
      <c r="DJ34" s="19">
        <v>24336172</v>
      </c>
      <c r="DK34" s="19">
        <v>271018488</v>
      </c>
      <c r="DL34" s="19">
        <v>-97613149</v>
      </c>
      <c r="DM34" s="19">
        <v>380029378</v>
      </c>
      <c r="DN34" s="19">
        <v>10637631</v>
      </c>
      <c r="DO34" s="19">
        <v>65770760</v>
      </c>
      <c r="DP34" s="19">
        <v>227764257</v>
      </c>
      <c r="DQ34" s="19">
        <v>113883219</v>
      </c>
      <c r="DR34" s="19">
        <v>168558201</v>
      </c>
      <c r="DS34" s="19">
        <v>-256915168</v>
      </c>
      <c r="DT34" s="19">
        <v>300158455</v>
      </c>
      <c r="DU34" s="19">
        <v>90990774</v>
      </c>
      <c r="DV34" s="19">
        <v>688283054</v>
      </c>
      <c r="DW34" s="19">
        <v>470885620</v>
      </c>
      <c r="DX34" s="19">
        <v>244590111</v>
      </c>
      <c r="DY34" s="19">
        <v>100119418</v>
      </c>
      <c r="DZ34" s="19">
        <v>553149089</v>
      </c>
      <c r="EA34" s="19">
        <v>20017451</v>
      </c>
      <c r="EB34" s="19">
        <v>177212160</v>
      </c>
      <c r="EC34" s="19">
        <v>20829508</v>
      </c>
      <c r="ED34" s="19">
        <v>1743907</v>
      </c>
      <c r="EE34" s="19">
        <v>55619403</v>
      </c>
      <c r="EF34" s="19">
        <v>1304738568</v>
      </c>
      <c r="EG34" s="19">
        <v>4366805577</v>
      </c>
      <c r="EH34" s="19">
        <v>42850811</v>
      </c>
      <c r="EI34" s="19">
        <v>202947267</v>
      </c>
      <c r="EJ34" s="19">
        <v>145980957</v>
      </c>
      <c r="EK34" s="19" t="s">
        <v>89</v>
      </c>
      <c r="EL34" s="19">
        <v>1192184836</v>
      </c>
      <c r="EM34" s="19">
        <v>262919088</v>
      </c>
      <c r="EN34" s="19">
        <v>1378988684</v>
      </c>
      <c r="EO34" s="19">
        <v>240959618</v>
      </c>
      <c r="EP34" s="19">
        <v>501544576</v>
      </c>
      <c r="EQ34" s="19">
        <v>209925975</v>
      </c>
      <c r="ER34" s="19">
        <v>816476896</v>
      </c>
      <c r="ES34" s="19">
        <v>383158772</v>
      </c>
      <c r="ET34" s="19">
        <v>122055923</v>
      </c>
      <c r="EU34" s="19">
        <v>567474085</v>
      </c>
      <c r="EV34" s="19">
        <v>10054355</v>
      </c>
      <c r="EW34" s="19">
        <v>13012674</v>
      </c>
      <c r="EX34" s="19">
        <v>653540241</v>
      </c>
      <c r="EY34" s="19">
        <v>1066542377</v>
      </c>
      <c r="EZ34" s="19">
        <v>-66735138</v>
      </c>
      <c r="FA34" s="19">
        <v>346996108</v>
      </c>
      <c r="FB34" s="19">
        <v>27489212</v>
      </c>
      <c r="FC34" s="19" t="s">
        <v>89</v>
      </c>
      <c r="FD34" s="19">
        <v>53275200</v>
      </c>
      <c r="FE34" s="19">
        <v>429888075</v>
      </c>
      <c r="FF34" s="19">
        <v>50672130</v>
      </c>
      <c r="FG34" s="19">
        <v>94927648</v>
      </c>
      <c r="FH34" s="19">
        <v>1726660</v>
      </c>
      <c r="FI34" s="19">
        <v>2032591</v>
      </c>
      <c r="FJ34" s="19">
        <v>74912048</v>
      </c>
      <c r="FK34" s="19">
        <v>69397119</v>
      </c>
      <c r="FL34" s="19">
        <v>26896405</v>
      </c>
      <c r="FM34" s="19">
        <v>2111162</v>
      </c>
      <c r="FN34" s="19" t="s">
        <v>89</v>
      </c>
      <c r="FO34" s="19">
        <v>-5271254</v>
      </c>
      <c r="FP34" s="19">
        <v>27217874</v>
      </c>
      <c r="FQ34" s="19" t="s">
        <v>89</v>
      </c>
      <c r="FR34" s="19">
        <v>-9341244</v>
      </c>
      <c r="FS34" s="19">
        <v>3017589</v>
      </c>
      <c r="FT34" s="19">
        <v>88244544</v>
      </c>
      <c r="FU34" s="19" t="s">
        <v>89</v>
      </c>
      <c r="FV34" s="19">
        <v>451383884</v>
      </c>
      <c r="FW34" s="19">
        <v>28823818</v>
      </c>
      <c r="FX34" s="19" t="s">
        <v>157</v>
      </c>
      <c r="FY34" s="19">
        <v>183921519</v>
      </c>
      <c r="FZ34" s="19">
        <v>-68071648</v>
      </c>
      <c r="GA34" s="19" t="s">
        <v>89</v>
      </c>
      <c r="GB34" s="19" t="s">
        <v>89</v>
      </c>
      <c r="GC34" s="19">
        <v>59014803</v>
      </c>
      <c r="GD34" s="19" t="s">
        <v>89</v>
      </c>
      <c r="GE34" s="19">
        <v>1429139</v>
      </c>
      <c r="GF34" s="19" t="s">
        <v>89</v>
      </c>
      <c r="GG34" s="19">
        <v>-204960129</v>
      </c>
      <c r="GH34" s="19">
        <v>-17925237</v>
      </c>
    </row>
    <row r="35" spans="1:190" ht="17.55" customHeight="1">
      <c r="A35" s="7" t="s">
        <v>1</v>
      </c>
      <c r="B35" s="8" t="s">
        <v>81</v>
      </c>
      <c r="C35" s="19">
        <v>150000000</v>
      </c>
      <c r="D35" s="19">
        <v>688602600</v>
      </c>
      <c r="E35" s="19">
        <v>117000000</v>
      </c>
      <c r="F35" s="19">
        <v>200000000</v>
      </c>
      <c r="G35" s="19">
        <v>30000000</v>
      </c>
      <c r="H35" s="19">
        <v>137069996</v>
      </c>
      <c r="I35" s="19">
        <v>439970000</v>
      </c>
      <c r="J35" s="19" t="s">
        <v>89</v>
      </c>
      <c r="K35" s="19">
        <v>1425749693</v>
      </c>
      <c r="L35" s="19">
        <v>90000000</v>
      </c>
      <c r="M35" s="19">
        <v>1299503241</v>
      </c>
      <c r="N35" s="19">
        <v>50000000</v>
      </c>
      <c r="O35" s="19">
        <v>1164009396</v>
      </c>
      <c r="P35" s="19">
        <v>1019114323</v>
      </c>
      <c r="Q35" s="19">
        <v>10000000</v>
      </c>
      <c r="R35" s="19">
        <v>60000000</v>
      </c>
      <c r="S35" s="19">
        <v>538889000</v>
      </c>
      <c r="T35" s="19">
        <v>90000000</v>
      </c>
      <c r="U35" s="19">
        <v>370000000</v>
      </c>
      <c r="V35" s="19">
        <v>110000000</v>
      </c>
      <c r="W35" s="19">
        <v>216190000</v>
      </c>
      <c r="X35" s="19">
        <v>100000000</v>
      </c>
      <c r="Y35" s="19">
        <v>110975000</v>
      </c>
      <c r="Z35" s="19">
        <v>200000000</v>
      </c>
      <c r="AA35" s="19">
        <v>250000000</v>
      </c>
      <c r="AB35" s="19">
        <v>89000000</v>
      </c>
      <c r="AC35" s="19">
        <v>30000000</v>
      </c>
      <c r="AD35" s="19">
        <v>170000000</v>
      </c>
      <c r="AE35" s="19">
        <v>100000000</v>
      </c>
      <c r="AF35" s="19">
        <v>10000000</v>
      </c>
      <c r="AG35" s="19">
        <v>341580000</v>
      </c>
      <c r="AH35" s="19">
        <v>55320000</v>
      </c>
      <c r="AI35" s="19">
        <v>9100000</v>
      </c>
      <c r="AJ35" s="19">
        <v>328820000</v>
      </c>
      <c r="AK35" s="19" t="s">
        <v>89</v>
      </c>
      <c r="AL35" s="19">
        <v>120000000</v>
      </c>
      <c r="AM35" s="19">
        <v>1018970000</v>
      </c>
      <c r="AN35" s="19">
        <v>50000000</v>
      </c>
      <c r="AO35" s="19">
        <v>257280000</v>
      </c>
      <c r="AP35" s="19">
        <v>830000000</v>
      </c>
      <c r="AQ35" s="19">
        <v>62000000</v>
      </c>
      <c r="AR35" s="19">
        <v>50000000</v>
      </c>
      <c r="AS35" s="19">
        <v>50000000</v>
      </c>
      <c r="AT35" s="19">
        <v>200000000</v>
      </c>
      <c r="AU35" s="19">
        <v>250000000</v>
      </c>
      <c r="AV35" s="19">
        <v>168200000</v>
      </c>
      <c r="AW35" s="19">
        <v>5000000</v>
      </c>
      <c r="AX35" s="19" t="s">
        <v>96</v>
      </c>
      <c r="AY35" s="19">
        <v>244194647</v>
      </c>
      <c r="AZ35" s="19">
        <v>231950000</v>
      </c>
      <c r="BA35" s="19">
        <v>221700000</v>
      </c>
      <c r="BB35" s="19">
        <v>100000000</v>
      </c>
      <c r="BC35" s="19">
        <v>200000000</v>
      </c>
      <c r="BD35" s="19">
        <v>14290000</v>
      </c>
      <c r="BE35" s="19">
        <v>101000000</v>
      </c>
      <c r="BF35" s="19">
        <v>200000000</v>
      </c>
      <c r="BG35" s="19">
        <v>2200000000</v>
      </c>
      <c r="BH35" s="19">
        <v>141000000</v>
      </c>
      <c r="BI35" s="19">
        <v>25000000</v>
      </c>
      <c r="BJ35" s="19">
        <v>5000000</v>
      </c>
      <c r="BK35" s="19">
        <v>150265000</v>
      </c>
      <c r="BL35" s="19">
        <v>120000000</v>
      </c>
      <c r="BM35" s="19">
        <v>2450000</v>
      </c>
      <c r="BN35" s="19">
        <v>11250000</v>
      </c>
      <c r="BO35" s="19">
        <v>100000000</v>
      </c>
      <c r="BP35" s="19">
        <v>5000000</v>
      </c>
      <c r="BQ35" s="19" t="s">
        <v>175</v>
      </c>
      <c r="BR35" s="19">
        <v>1188000</v>
      </c>
      <c r="BS35" s="19">
        <v>41240000</v>
      </c>
      <c r="BT35" s="19">
        <v>27204662</v>
      </c>
      <c r="BU35" s="19">
        <v>102715000</v>
      </c>
      <c r="BV35" s="19">
        <v>50000000</v>
      </c>
      <c r="BW35" s="19">
        <v>270000</v>
      </c>
      <c r="BX35" s="19">
        <v>10000000</v>
      </c>
      <c r="BY35" s="19">
        <v>70000000</v>
      </c>
      <c r="BZ35" s="19">
        <v>10000000</v>
      </c>
      <c r="CA35" s="19">
        <v>150000000</v>
      </c>
      <c r="CB35" s="19">
        <v>10000000</v>
      </c>
      <c r="CC35" s="19">
        <v>12800000</v>
      </c>
      <c r="CD35" s="19">
        <v>105215000</v>
      </c>
      <c r="CE35" s="19">
        <v>50000000</v>
      </c>
      <c r="CF35" s="19">
        <v>38460000</v>
      </c>
      <c r="CG35" s="19">
        <v>79554170</v>
      </c>
      <c r="CH35" s="19">
        <v>5000000</v>
      </c>
      <c r="CI35" s="19">
        <v>186000000</v>
      </c>
      <c r="CJ35" s="19">
        <v>30000000</v>
      </c>
      <c r="CK35" s="19">
        <v>400000000</v>
      </c>
      <c r="CL35" s="19">
        <v>164000000</v>
      </c>
      <c r="CM35" s="19">
        <v>150000000</v>
      </c>
      <c r="CN35" s="19">
        <v>2000000</v>
      </c>
      <c r="CO35" s="19">
        <v>201460000</v>
      </c>
      <c r="CP35" s="19">
        <v>300000000</v>
      </c>
      <c r="CQ35" s="19" t="s">
        <v>96</v>
      </c>
      <c r="CR35" s="19">
        <v>210000000</v>
      </c>
      <c r="CS35" s="19">
        <v>134491000</v>
      </c>
      <c r="CT35" s="19">
        <v>327339000</v>
      </c>
      <c r="CU35" s="19">
        <v>34116217</v>
      </c>
      <c r="CV35" s="19">
        <v>4400000</v>
      </c>
      <c r="CW35" s="19">
        <v>1151275000</v>
      </c>
      <c r="CX35" s="19">
        <v>263430000</v>
      </c>
      <c r="CY35" s="19">
        <v>260000000</v>
      </c>
      <c r="CZ35" s="19">
        <v>50000000</v>
      </c>
      <c r="DA35" s="19">
        <v>10000000</v>
      </c>
      <c r="DB35" s="19">
        <v>50000000</v>
      </c>
      <c r="DC35" s="19">
        <v>5000000</v>
      </c>
      <c r="DD35" s="19">
        <v>50000000</v>
      </c>
      <c r="DE35" s="19">
        <v>238000000</v>
      </c>
      <c r="DF35" s="19">
        <v>40000000</v>
      </c>
      <c r="DG35" s="19">
        <v>150000000</v>
      </c>
      <c r="DH35" s="19">
        <v>272000000</v>
      </c>
      <c r="DI35" s="19">
        <v>500000000</v>
      </c>
      <c r="DJ35" s="19">
        <v>13800000</v>
      </c>
      <c r="DK35" s="19">
        <v>150500000</v>
      </c>
      <c r="DL35" s="19">
        <v>11050000</v>
      </c>
      <c r="DM35" s="19">
        <v>300000000</v>
      </c>
      <c r="DN35" s="19">
        <v>25350000</v>
      </c>
      <c r="DO35" s="19">
        <v>10000000</v>
      </c>
      <c r="DP35" s="19">
        <v>50000000</v>
      </c>
      <c r="DQ35" s="19">
        <v>50000000</v>
      </c>
      <c r="DR35" s="19">
        <v>165870000</v>
      </c>
      <c r="DS35" s="19">
        <v>3000000</v>
      </c>
      <c r="DT35" s="19">
        <v>50000000</v>
      </c>
      <c r="DU35" s="19">
        <v>18550000</v>
      </c>
      <c r="DV35" s="19"/>
      <c r="DW35" s="19">
        <v>32000000</v>
      </c>
      <c r="DX35" s="19">
        <v>100000000</v>
      </c>
      <c r="DY35" s="19">
        <v>60000000</v>
      </c>
      <c r="DZ35" s="19">
        <v>200000000</v>
      </c>
      <c r="EA35" s="19">
        <v>5000000</v>
      </c>
      <c r="EB35" s="19">
        <v>55000000</v>
      </c>
      <c r="EC35" s="19">
        <v>3000000</v>
      </c>
      <c r="ED35" s="19">
        <v>1000000</v>
      </c>
      <c r="EE35" s="19">
        <v>50000000</v>
      </c>
      <c r="EF35" s="19">
        <v>500000000</v>
      </c>
      <c r="EG35" s="19">
        <v>20070700</v>
      </c>
      <c r="EH35" s="19">
        <v>26000000</v>
      </c>
      <c r="EI35" s="19">
        <v>7390000</v>
      </c>
      <c r="EJ35" s="19">
        <v>22600000</v>
      </c>
      <c r="EK35" s="19" t="s">
        <v>89</v>
      </c>
      <c r="EL35" s="19">
        <v>390962457</v>
      </c>
      <c r="EM35" s="19">
        <v>12500000</v>
      </c>
      <c r="EN35" s="19">
        <v>50000000</v>
      </c>
      <c r="EO35" s="19">
        <v>50000000</v>
      </c>
      <c r="EP35" s="19">
        <v>484863589</v>
      </c>
      <c r="EQ35" s="19">
        <v>10000000</v>
      </c>
      <c r="ER35" s="19">
        <v>1207669508</v>
      </c>
      <c r="ES35" s="19">
        <v>800000000</v>
      </c>
      <c r="ET35" s="19">
        <v>156121600</v>
      </c>
      <c r="EU35" s="19">
        <v>19625000</v>
      </c>
      <c r="EV35" s="19">
        <v>40000000</v>
      </c>
      <c r="EW35" s="19">
        <v>90000000</v>
      </c>
      <c r="EX35" s="19">
        <v>100000000</v>
      </c>
      <c r="EY35" s="19">
        <v>120000000</v>
      </c>
      <c r="EZ35" s="19">
        <v>231047290</v>
      </c>
      <c r="FA35" s="19">
        <v>75000000</v>
      </c>
      <c r="FB35" s="19"/>
      <c r="FC35" s="19" t="s">
        <v>89</v>
      </c>
      <c r="FD35" s="19">
        <v>1000000</v>
      </c>
      <c r="FE35" s="19">
        <v>100000000</v>
      </c>
      <c r="FF35" s="19">
        <v>1400000</v>
      </c>
      <c r="FG35" s="19">
        <v>50000000</v>
      </c>
      <c r="FH35" s="19">
        <v>2000000</v>
      </c>
      <c r="FI35" s="19">
        <v>10000000</v>
      </c>
      <c r="FJ35" s="19">
        <v>50000000</v>
      </c>
      <c r="FK35" s="19">
        <v>111000000</v>
      </c>
      <c r="FL35" s="19">
        <v>10000000</v>
      </c>
      <c r="FM35" s="19">
        <v>10000000</v>
      </c>
      <c r="FN35" s="19" t="s">
        <v>89</v>
      </c>
      <c r="FO35" s="19">
        <v>100000</v>
      </c>
      <c r="FP35" s="19">
        <v>20000000</v>
      </c>
      <c r="FQ35" s="19" t="s">
        <v>89</v>
      </c>
      <c r="FR35" s="19">
        <v>1000000</v>
      </c>
      <c r="FS35" s="19">
        <v>1000000</v>
      </c>
      <c r="FT35" s="19">
        <v>110000000</v>
      </c>
      <c r="FU35" s="19" t="s">
        <v>89</v>
      </c>
      <c r="FV35" s="19">
        <v>1481700</v>
      </c>
      <c r="FW35" s="19">
        <v>50000000</v>
      </c>
      <c r="FX35" s="19" t="s">
        <v>157</v>
      </c>
      <c r="FY35" s="19">
        <v>6333500</v>
      </c>
      <c r="FZ35" s="19">
        <v>30000000</v>
      </c>
      <c r="GA35" s="19" t="s">
        <v>89</v>
      </c>
      <c r="GB35" s="19" t="s">
        <v>89</v>
      </c>
      <c r="GC35" s="19">
        <v>10000000</v>
      </c>
      <c r="GD35" s="19" t="s">
        <v>89</v>
      </c>
      <c r="GE35" s="19">
        <v>10000000</v>
      </c>
      <c r="GF35" s="19" t="s">
        <v>89</v>
      </c>
      <c r="GG35" s="19">
        <v>48000000</v>
      </c>
      <c r="GH35" s="19">
        <v>30000000</v>
      </c>
    </row>
    <row r="36" spans="1:190" ht="17.55" customHeight="1">
      <c r="A36" s="7" t="s">
        <v>1</v>
      </c>
      <c r="B36" s="8" t="s">
        <v>11</v>
      </c>
      <c r="C36" s="19"/>
      <c r="D36" s="19">
        <v>0</v>
      </c>
      <c r="E36" s="19">
        <v>0</v>
      </c>
      <c r="F36" s="19">
        <v>0</v>
      </c>
      <c r="G36" s="19">
        <v>0</v>
      </c>
      <c r="H36" s="19">
        <v>0</v>
      </c>
      <c r="I36" s="19"/>
      <c r="J36" s="19" t="s">
        <v>89</v>
      </c>
      <c r="K36" s="19"/>
      <c r="L36" s="19">
        <v>64083618</v>
      </c>
      <c r="M36" s="19"/>
      <c r="N36" s="19"/>
      <c r="O36" s="19"/>
      <c r="P36" s="19"/>
      <c r="Q36" s="19">
        <v>0</v>
      </c>
      <c r="R36" s="19">
        <v>0</v>
      </c>
      <c r="S36" s="19">
        <v>551681239</v>
      </c>
      <c r="T36" s="19">
        <v>0</v>
      </c>
      <c r="U36" s="19">
        <v>1530000000</v>
      </c>
      <c r="V36" s="19">
        <v>190000000</v>
      </c>
      <c r="W36" s="19">
        <v>354830100</v>
      </c>
      <c r="X36" s="19"/>
      <c r="Y36" s="19">
        <v>153650000</v>
      </c>
      <c r="Z36" s="19">
        <v>0</v>
      </c>
      <c r="AA36" s="19"/>
      <c r="AB36" s="19"/>
      <c r="AC36" s="19"/>
      <c r="AD36" s="19">
        <v>99580870</v>
      </c>
      <c r="AE36" s="19"/>
      <c r="AF36" s="19">
        <v>0</v>
      </c>
      <c r="AG36" s="19">
        <v>167006000</v>
      </c>
      <c r="AH36" s="19">
        <v>790076520</v>
      </c>
      <c r="AI36" s="19">
        <v>158400000</v>
      </c>
      <c r="AJ36" s="19">
        <v>0</v>
      </c>
      <c r="AK36" s="19" t="s">
        <v>89</v>
      </c>
      <c r="AL36" s="19">
        <v>0</v>
      </c>
      <c r="AM36" s="19">
        <v>1841412692</v>
      </c>
      <c r="AN36" s="19"/>
      <c r="AO36" s="19">
        <v>1088778740</v>
      </c>
      <c r="AP36" s="19"/>
      <c r="AQ36" s="19"/>
      <c r="AR36" s="19">
        <v>0</v>
      </c>
      <c r="AS36" s="19"/>
      <c r="AT36" s="19">
        <v>0</v>
      </c>
      <c r="AU36" s="19">
        <v>0</v>
      </c>
      <c r="AV36" s="19">
        <v>0</v>
      </c>
      <c r="AW36" s="19">
        <v>0</v>
      </c>
      <c r="AX36" s="19" t="s">
        <v>96</v>
      </c>
      <c r="AY36" s="19">
        <v>0</v>
      </c>
      <c r="AZ36" s="19">
        <v>23050000</v>
      </c>
      <c r="BA36" s="19">
        <v>0</v>
      </c>
      <c r="BB36" s="19">
        <v>0</v>
      </c>
      <c r="BC36" s="19">
        <v>0</v>
      </c>
      <c r="BD36" s="19">
        <v>45709950</v>
      </c>
      <c r="BE36" s="19">
        <v>91298797</v>
      </c>
      <c r="BF36" s="19">
        <v>0</v>
      </c>
      <c r="BG36" s="19"/>
      <c r="BH36" s="19">
        <v>0</v>
      </c>
      <c r="BI36" s="19">
        <v>0</v>
      </c>
      <c r="BJ36" s="19">
        <v>0</v>
      </c>
      <c r="BK36" s="19"/>
      <c r="BL36" s="19"/>
      <c r="BM36" s="19"/>
      <c r="BN36" s="19">
        <v>0</v>
      </c>
      <c r="BO36" s="19">
        <v>0</v>
      </c>
      <c r="BP36" s="19"/>
      <c r="BQ36" s="19" t="s">
        <v>175</v>
      </c>
      <c r="BR36" s="19">
        <v>39981396</v>
      </c>
      <c r="BS36" s="19">
        <v>0</v>
      </c>
      <c r="BT36" s="19"/>
      <c r="BU36" s="19">
        <v>0</v>
      </c>
      <c r="BV36" s="19">
        <v>0</v>
      </c>
      <c r="BW36" s="19">
        <v>0</v>
      </c>
      <c r="BX36" s="19">
        <v>0</v>
      </c>
      <c r="BY36" s="19">
        <v>57898253</v>
      </c>
      <c r="BZ36" s="19"/>
      <c r="CA36" s="19"/>
      <c r="CB36" s="19">
        <v>0</v>
      </c>
      <c r="CC36" s="19"/>
      <c r="CD36" s="19">
        <v>84647444</v>
      </c>
      <c r="CE36" s="19">
        <v>0</v>
      </c>
      <c r="CF36" s="19">
        <v>491540642</v>
      </c>
      <c r="CG36" s="19">
        <v>0</v>
      </c>
      <c r="CH36" s="19">
        <v>0</v>
      </c>
      <c r="CI36" s="19"/>
      <c r="CJ36" s="19"/>
      <c r="CK36" s="19">
        <v>0</v>
      </c>
      <c r="CL36" s="19">
        <v>0</v>
      </c>
      <c r="CM36" s="19"/>
      <c r="CN36" s="19"/>
      <c r="CO36" s="19">
        <v>0</v>
      </c>
      <c r="CP36" s="19">
        <v>0</v>
      </c>
      <c r="CQ36" s="19" t="s">
        <v>96</v>
      </c>
      <c r="CR36" s="19">
        <v>0</v>
      </c>
      <c r="CS36" s="19">
        <v>622431000</v>
      </c>
      <c r="CT36" s="19">
        <v>2973342044</v>
      </c>
      <c r="CU36" s="19"/>
      <c r="CV36" s="19"/>
      <c r="CW36" s="19"/>
      <c r="CX36" s="19">
        <v>947070000</v>
      </c>
      <c r="CY36" s="19"/>
      <c r="CZ36" s="19"/>
      <c r="DA36" s="19"/>
      <c r="DB36" s="19"/>
      <c r="DC36" s="19"/>
      <c r="DD36" s="19"/>
      <c r="DE36" s="19"/>
      <c r="DF36" s="19"/>
      <c r="DG36" s="19"/>
      <c r="DH36" s="19"/>
      <c r="DI36" s="19"/>
      <c r="DJ36" s="19"/>
      <c r="DK36" s="19"/>
      <c r="DL36" s="19">
        <v>70083000</v>
      </c>
      <c r="DM36" s="19"/>
      <c r="DN36" s="19"/>
      <c r="DO36" s="19"/>
      <c r="DP36" s="19"/>
      <c r="DQ36" s="19"/>
      <c r="DR36" s="19"/>
      <c r="DS36" s="19"/>
      <c r="DT36" s="19"/>
      <c r="DU36" s="19"/>
      <c r="DV36" s="19"/>
      <c r="DW36" s="19"/>
      <c r="DX36" s="19"/>
      <c r="DY36" s="19"/>
      <c r="DZ36" s="19"/>
      <c r="EA36" s="19"/>
      <c r="EB36" s="19"/>
      <c r="EC36" s="19">
        <v>0</v>
      </c>
      <c r="ED36" s="19">
        <v>0</v>
      </c>
      <c r="EE36" s="19">
        <v>0</v>
      </c>
      <c r="EF36" s="19">
        <v>0</v>
      </c>
      <c r="EG36" s="19">
        <v>8506912949</v>
      </c>
      <c r="EH36" s="19">
        <v>0</v>
      </c>
      <c r="EI36" s="19">
        <v>443441870</v>
      </c>
      <c r="EJ36" s="19">
        <v>0</v>
      </c>
      <c r="EK36" s="19" t="s">
        <v>89</v>
      </c>
      <c r="EL36" s="19">
        <v>0</v>
      </c>
      <c r="EM36" s="19">
        <v>0</v>
      </c>
      <c r="EN36" s="19">
        <v>306835961</v>
      </c>
      <c r="EO36" s="19">
        <v>0</v>
      </c>
      <c r="EP36" s="19">
        <v>0</v>
      </c>
      <c r="EQ36" s="19">
        <v>0</v>
      </c>
      <c r="ER36" s="19">
        <v>0</v>
      </c>
      <c r="ES36" s="19">
        <v>0</v>
      </c>
      <c r="ET36" s="19">
        <v>123878092</v>
      </c>
      <c r="EU36" s="19">
        <v>1420380500</v>
      </c>
      <c r="EV36" s="19">
        <v>0</v>
      </c>
      <c r="EW36" s="19">
        <v>0</v>
      </c>
      <c r="EX36" s="19">
        <v>0</v>
      </c>
      <c r="EY36" s="19">
        <v>0</v>
      </c>
      <c r="EZ36" s="19">
        <v>0</v>
      </c>
      <c r="FA36" s="19">
        <v>0</v>
      </c>
      <c r="FB36" s="19">
        <v>53040000</v>
      </c>
      <c r="FC36" s="19" t="s">
        <v>89</v>
      </c>
      <c r="FD36" s="19">
        <v>0</v>
      </c>
      <c r="FE36" s="19">
        <v>0</v>
      </c>
      <c r="FF36" s="19">
        <v>0</v>
      </c>
      <c r="FG36" s="19">
        <v>0</v>
      </c>
      <c r="FH36" s="19">
        <v>0</v>
      </c>
      <c r="FI36" s="19">
        <v>0</v>
      </c>
      <c r="FJ36" s="19">
        <v>0</v>
      </c>
      <c r="FK36" s="19">
        <v>0</v>
      </c>
      <c r="FL36" s="19">
        <v>0</v>
      </c>
      <c r="FM36" s="19">
        <v>0</v>
      </c>
      <c r="FN36" s="19" t="s">
        <v>89</v>
      </c>
      <c r="FO36" s="19">
        <v>0</v>
      </c>
      <c r="FP36" s="19">
        <v>0</v>
      </c>
      <c r="FQ36" s="19" t="s">
        <v>89</v>
      </c>
      <c r="FR36" s="19">
        <v>0</v>
      </c>
      <c r="FS36" s="19">
        <v>0</v>
      </c>
      <c r="FT36" s="19">
        <v>0</v>
      </c>
      <c r="FU36" s="19" t="s">
        <v>89</v>
      </c>
      <c r="FV36" s="19">
        <v>855187937</v>
      </c>
      <c r="FW36" s="19">
        <v>0</v>
      </c>
      <c r="FX36" s="19" t="s">
        <v>157</v>
      </c>
      <c r="FY36" s="19">
        <v>178457519</v>
      </c>
      <c r="FZ36" s="19">
        <v>0</v>
      </c>
      <c r="GA36" s="19" t="s">
        <v>89</v>
      </c>
      <c r="GB36" s="19" t="s">
        <v>89</v>
      </c>
      <c r="GC36" s="19">
        <v>0</v>
      </c>
      <c r="GD36" s="19" t="s">
        <v>89</v>
      </c>
      <c r="GE36" s="19">
        <v>0</v>
      </c>
      <c r="GF36" s="19" t="s">
        <v>89</v>
      </c>
      <c r="GG36" s="19">
        <v>0</v>
      </c>
      <c r="GH36" s="19">
        <v>0</v>
      </c>
    </row>
    <row r="37" spans="1:190" ht="17.55" customHeight="1">
      <c r="A37" s="7" t="s">
        <v>1</v>
      </c>
      <c r="B37" s="8" t="s">
        <v>31</v>
      </c>
      <c r="C37" s="19"/>
      <c r="D37" s="19">
        <v>0</v>
      </c>
      <c r="E37" s="19">
        <v>0</v>
      </c>
      <c r="F37" s="19">
        <v>0</v>
      </c>
      <c r="G37" s="19">
        <v>0</v>
      </c>
      <c r="H37" s="19">
        <v>0</v>
      </c>
      <c r="I37" s="19"/>
      <c r="J37" s="19" t="s">
        <v>89</v>
      </c>
      <c r="K37" s="19"/>
      <c r="L37" s="19">
        <v>-630240</v>
      </c>
      <c r="M37" s="19"/>
      <c r="N37" s="19"/>
      <c r="O37" s="19"/>
      <c r="P37" s="19"/>
      <c r="Q37" s="19">
        <v>0</v>
      </c>
      <c r="R37" s="19">
        <v>0</v>
      </c>
      <c r="S37" s="19">
        <v>0</v>
      </c>
      <c r="T37" s="19">
        <v>0</v>
      </c>
      <c r="U37" s="19">
        <v>3400000</v>
      </c>
      <c r="V37" s="19">
        <v>0</v>
      </c>
      <c r="W37" s="19">
        <v>0</v>
      </c>
      <c r="X37" s="19"/>
      <c r="Y37" s="19"/>
      <c r="Z37" s="19">
        <v>0</v>
      </c>
      <c r="AA37" s="19"/>
      <c r="AB37" s="19"/>
      <c r="AC37" s="19"/>
      <c r="AD37" s="19">
        <v>-816900</v>
      </c>
      <c r="AE37" s="19"/>
      <c r="AF37" s="19">
        <v>0</v>
      </c>
      <c r="AG37" s="19"/>
      <c r="AH37" s="19"/>
      <c r="AI37" s="19"/>
      <c r="AJ37" s="19">
        <v>0</v>
      </c>
      <c r="AK37" s="19" t="s">
        <v>89</v>
      </c>
      <c r="AL37" s="19">
        <v>0</v>
      </c>
      <c r="AM37" s="19"/>
      <c r="AN37" s="19"/>
      <c r="AO37" s="19"/>
      <c r="AP37" s="19"/>
      <c r="AQ37" s="19"/>
      <c r="AR37" s="19">
        <v>0</v>
      </c>
      <c r="AS37" s="19"/>
      <c r="AT37" s="19">
        <v>0</v>
      </c>
      <c r="AU37" s="19">
        <v>-3680980</v>
      </c>
      <c r="AV37" s="19">
        <v>0</v>
      </c>
      <c r="AW37" s="19">
        <v>0</v>
      </c>
      <c r="AX37" s="19" t="s">
        <v>96</v>
      </c>
      <c r="AY37" s="19">
        <v>0</v>
      </c>
      <c r="AZ37" s="19">
        <v>0</v>
      </c>
      <c r="BA37" s="19">
        <v>0</v>
      </c>
      <c r="BB37" s="19">
        <v>0</v>
      </c>
      <c r="BC37" s="19">
        <v>0</v>
      </c>
      <c r="BD37" s="19">
        <v>0</v>
      </c>
      <c r="BE37" s="19">
        <v>0</v>
      </c>
      <c r="BF37" s="19">
        <v>0</v>
      </c>
      <c r="BG37" s="19"/>
      <c r="BH37" s="19">
        <v>1803690</v>
      </c>
      <c r="BI37" s="19">
        <v>0</v>
      </c>
      <c r="BJ37" s="19">
        <v>0</v>
      </c>
      <c r="BK37" s="19">
        <v>-1242900</v>
      </c>
      <c r="BL37" s="19"/>
      <c r="BM37" s="19"/>
      <c r="BN37" s="19">
        <v>0</v>
      </c>
      <c r="BO37" s="19">
        <v>0</v>
      </c>
      <c r="BP37" s="19"/>
      <c r="BQ37" s="19" t="s">
        <v>175</v>
      </c>
      <c r="BR37" s="19">
        <v>0</v>
      </c>
      <c r="BS37" s="19">
        <v>0</v>
      </c>
      <c r="BT37" s="19"/>
      <c r="BU37" s="19">
        <v>0</v>
      </c>
      <c r="BV37" s="19">
        <v>9102000</v>
      </c>
      <c r="BW37" s="19">
        <v>0</v>
      </c>
      <c r="BX37" s="19">
        <v>0</v>
      </c>
      <c r="BY37" s="19">
        <v>0</v>
      </c>
      <c r="BZ37" s="19"/>
      <c r="CA37" s="19"/>
      <c r="CB37" s="19">
        <v>0</v>
      </c>
      <c r="CC37" s="19"/>
      <c r="CD37" s="19">
        <v>0</v>
      </c>
      <c r="CE37" s="19">
        <v>0</v>
      </c>
      <c r="CF37" s="19">
        <v>0</v>
      </c>
      <c r="CG37" s="19">
        <v>196998114</v>
      </c>
      <c r="CH37" s="19">
        <v>0</v>
      </c>
      <c r="CI37" s="19"/>
      <c r="CJ37" s="19"/>
      <c r="CK37" s="19">
        <v>0</v>
      </c>
      <c r="CL37" s="19">
        <v>0</v>
      </c>
      <c r="CM37" s="19"/>
      <c r="CN37" s="19"/>
      <c r="CO37" s="19">
        <v>0</v>
      </c>
      <c r="CP37" s="19">
        <v>-1756240</v>
      </c>
      <c r="CQ37" s="19" t="s">
        <v>96</v>
      </c>
      <c r="CR37" s="19">
        <v>0</v>
      </c>
      <c r="CS37" s="19"/>
      <c r="CT37" s="19">
        <v>-2658720</v>
      </c>
      <c r="CU37" s="19"/>
      <c r="CV37" s="19"/>
      <c r="CW37" s="19"/>
      <c r="CX37" s="19"/>
      <c r="CY37" s="19"/>
      <c r="CZ37" s="19"/>
      <c r="DA37" s="19"/>
      <c r="DB37" s="19"/>
      <c r="DC37" s="19"/>
      <c r="DD37" s="19"/>
      <c r="DE37" s="19"/>
      <c r="DF37" s="19"/>
      <c r="DG37" s="19"/>
      <c r="DH37" s="19"/>
      <c r="DI37" s="19"/>
      <c r="DJ37" s="19"/>
      <c r="DK37" s="19"/>
      <c r="DL37" s="19"/>
      <c r="DM37" s="19"/>
      <c r="DN37" s="19"/>
      <c r="DO37" s="19"/>
      <c r="DP37" s="19"/>
      <c r="DQ37" s="19"/>
      <c r="DR37" s="19">
        <v>-1027200</v>
      </c>
      <c r="DS37" s="19"/>
      <c r="DT37" s="19"/>
      <c r="DU37" s="19"/>
      <c r="DV37" s="19"/>
      <c r="DW37" s="19">
        <v>-353000</v>
      </c>
      <c r="DX37" s="19"/>
      <c r="DY37" s="19"/>
      <c r="DZ37" s="19"/>
      <c r="EA37" s="19"/>
      <c r="EB37" s="19"/>
      <c r="EC37" s="19">
        <v>0</v>
      </c>
      <c r="ED37" s="19">
        <v>0</v>
      </c>
      <c r="EE37" s="19">
        <v>0</v>
      </c>
      <c r="EF37" s="19">
        <v>0</v>
      </c>
      <c r="EG37" s="19">
        <v>0</v>
      </c>
      <c r="EH37" s="19">
        <v>0</v>
      </c>
      <c r="EI37" s="19">
        <v>0</v>
      </c>
      <c r="EJ37" s="19">
        <v>0</v>
      </c>
      <c r="EK37" s="19" t="s">
        <v>89</v>
      </c>
      <c r="EL37" s="19">
        <v>0</v>
      </c>
      <c r="EM37" s="19">
        <v>0</v>
      </c>
      <c r="EN37" s="19">
        <v>0</v>
      </c>
      <c r="EO37" s="19">
        <v>0</v>
      </c>
      <c r="EP37" s="19">
        <v>0</v>
      </c>
      <c r="EQ37" s="19">
        <v>0</v>
      </c>
      <c r="ER37" s="19">
        <v>0</v>
      </c>
      <c r="ES37" s="19">
        <v>-8724240</v>
      </c>
      <c r="ET37" s="19">
        <v>12098591</v>
      </c>
      <c r="EU37" s="19">
        <v>0</v>
      </c>
      <c r="EV37" s="19">
        <v>0</v>
      </c>
      <c r="EW37" s="19">
        <v>0</v>
      </c>
      <c r="EX37" s="19">
        <v>0</v>
      </c>
      <c r="EY37" s="19">
        <v>0</v>
      </c>
      <c r="EZ37" s="19">
        <v>0</v>
      </c>
      <c r="FA37" s="19">
        <v>0</v>
      </c>
      <c r="FB37" s="19">
        <v>0</v>
      </c>
      <c r="FC37" s="19" t="s">
        <v>89</v>
      </c>
      <c r="FD37" s="19">
        <v>0</v>
      </c>
      <c r="FE37" s="19">
        <v>0</v>
      </c>
      <c r="FF37" s="19">
        <v>0</v>
      </c>
      <c r="FG37" s="19">
        <v>0</v>
      </c>
      <c r="FH37" s="19">
        <v>0</v>
      </c>
      <c r="FI37" s="19">
        <v>0</v>
      </c>
      <c r="FJ37" s="19">
        <v>0</v>
      </c>
      <c r="FK37" s="19">
        <v>0</v>
      </c>
      <c r="FL37" s="19">
        <v>0</v>
      </c>
      <c r="FM37" s="19">
        <v>0</v>
      </c>
      <c r="FN37" s="19" t="s">
        <v>89</v>
      </c>
      <c r="FO37" s="19">
        <v>0</v>
      </c>
      <c r="FP37" s="19">
        <v>0</v>
      </c>
      <c r="FQ37" s="19" t="s">
        <v>89</v>
      </c>
      <c r="FR37" s="19">
        <v>0</v>
      </c>
      <c r="FS37" s="19">
        <v>0</v>
      </c>
      <c r="FT37" s="19">
        <v>0</v>
      </c>
      <c r="FU37" s="19" t="s">
        <v>89</v>
      </c>
      <c r="FV37" s="19">
        <v>0</v>
      </c>
      <c r="FW37" s="19">
        <v>0</v>
      </c>
      <c r="FX37" s="19" t="s">
        <v>157</v>
      </c>
      <c r="FY37" s="19">
        <v>-869500</v>
      </c>
      <c r="FZ37" s="19">
        <v>0</v>
      </c>
      <c r="GA37" s="19" t="s">
        <v>89</v>
      </c>
      <c r="GB37" s="19" t="s">
        <v>89</v>
      </c>
      <c r="GC37" s="19">
        <v>0</v>
      </c>
      <c r="GD37" s="19" t="s">
        <v>89</v>
      </c>
      <c r="GE37" s="19">
        <v>0</v>
      </c>
      <c r="GF37" s="19" t="s">
        <v>89</v>
      </c>
      <c r="GG37" s="19">
        <v>118948870</v>
      </c>
      <c r="GH37" s="19">
        <v>0</v>
      </c>
    </row>
    <row r="38" spans="1:190" ht="17.55" customHeight="1">
      <c r="A38" s="7" t="s">
        <v>1</v>
      </c>
      <c r="B38" s="8" t="s">
        <v>56</v>
      </c>
      <c r="C38" s="19"/>
      <c r="D38" s="19">
        <v>0</v>
      </c>
      <c r="E38" s="19">
        <v>0</v>
      </c>
      <c r="F38" s="19">
        <v>0</v>
      </c>
      <c r="G38" s="19">
        <v>0</v>
      </c>
      <c r="H38" s="19">
        <v>0</v>
      </c>
      <c r="I38" s="19"/>
      <c r="J38" s="19" t="s">
        <v>89</v>
      </c>
      <c r="K38" s="19"/>
      <c r="L38" s="19"/>
      <c r="M38" s="19"/>
      <c r="N38" s="19"/>
      <c r="O38" s="19"/>
      <c r="P38" s="19"/>
      <c r="Q38" s="19">
        <v>0</v>
      </c>
      <c r="R38" s="19">
        <v>0</v>
      </c>
      <c r="S38" s="19">
        <v>0</v>
      </c>
      <c r="T38" s="19">
        <v>0</v>
      </c>
      <c r="U38" s="19"/>
      <c r="V38" s="19">
        <v>0</v>
      </c>
      <c r="W38" s="19">
        <v>0</v>
      </c>
      <c r="X38" s="19"/>
      <c r="Y38" s="19"/>
      <c r="Z38" s="19">
        <v>0</v>
      </c>
      <c r="AA38" s="19"/>
      <c r="AB38" s="19"/>
      <c r="AC38" s="19"/>
      <c r="AD38" s="19"/>
      <c r="AE38" s="19"/>
      <c r="AF38" s="19">
        <v>0</v>
      </c>
      <c r="AG38" s="19"/>
      <c r="AH38" s="19"/>
      <c r="AI38" s="19"/>
      <c r="AJ38" s="19">
        <v>0</v>
      </c>
      <c r="AK38" s="19" t="s">
        <v>89</v>
      </c>
      <c r="AL38" s="19">
        <v>0</v>
      </c>
      <c r="AM38" s="19"/>
      <c r="AN38" s="19"/>
      <c r="AO38" s="19"/>
      <c r="AP38" s="19"/>
      <c r="AQ38" s="19"/>
      <c r="AR38" s="19">
        <v>0</v>
      </c>
      <c r="AS38" s="19"/>
      <c r="AT38" s="19">
        <v>0</v>
      </c>
      <c r="AU38" s="19">
        <v>0</v>
      </c>
      <c r="AV38" s="19">
        <v>0</v>
      </c>
      <c r="AW38" s="19">
        <v>0</v>
      </c>
      <c r="AX38" s="19" t="s">
        <v>96</v>
      </c>
      <c r="AY38" s="19">
        <v>0</v>
      </c>
      <c r="AZ38" s="19">
        <v>0</v>
      </c>
      <c r="BA38" s="19">
        <v>0</v>
      </c>
      <c r="BB38" s="19">
        <v>0</v>
      </c>
      <c r="BC38" s="19">
        <v>0</v>
      </c>
      <c r="BD38" s="19">
        <v>0</v>
      </c>
      <c r="BE38" s="19">
        <v>0</v>
      </c>
      <c r="BF38" s="19">
        <v>0</v>
      </c>
      <c r="BG38" s="19"/>
      <c r="BH38" s="19">
        <v>0</v>
      </c>
      <c r="BI38" s="19">
        <v>0</v>
      </c>
      <c r="BJ38" s="19">
        <v>0</v>
      </c>
      <c r="BK38" s="19">
        <v>0</v>
      </c>
      <c r="BL38" s="19"/>
      <c r="BM38" s="19"/>
      <c r="BN38" s="19">
        <v>0</v>
      </c>
      <c r="BO38" s="19">
        <v>0</v>
      </c>
      <c r="BP38" s="19"/>
      <c r="BQ38" s="19" t="s">
        <v>175</v>
      </c>
      <c r="BR38" s="19">
        <v>0</v>
      </c>
      <c r="BS38" s="19">
        <v>0</v>
      </c>
      <c r="BT38" s="19"/>
      <c r="BU38" s="19">
        <v>0</v>
      </c>
      <c r="BV38" s="19">
        <v>0</v>
      </c>
      <c r="BW38" s="19">
        <v>0</v>
      </c>
      <c r="BX38" s="19"/>
      <c r="BY38" s="19">
        <v>0</v>
      </c>
      <c r="BZ38" s="19"/>
      <c r="CA38" s="19"/>
      <c r="CB38" s="19">
        <v>0</v>
      </c>
      <c r="CC38" s="19"/>
      <c r="CD38" s="19">
        <v>0</v>
      </c>
      <c r="CE38" s="19">
        <v>0</v>
      </c>
      <c r="CF38" s="19">
        <v>0</v>
      </c>
      <c r="CG38" s="19">
        <v>0</v>
      </c>
      <c r="CH38" s="19">
        <v>0</v>
      </c>
      <c r="CI38" s="19"/>
      <c r="CJ38" s="19"/>
      <c r="CK38" s="19">
        <v>371966060</v>
      </c>
      <c r="CL38" s="19">
        <v>0</v>
      </c>
      <c r="CM38" s="19"/>
      <c r="CN38" s="19"/>
      <c r="CO38" s="19">
        <v>0</v>
      </c>
      <c r="CP38" s="19">
        <v>0</v>
      </c>
      <c r="CQ38" s="19" t="s">
        <v>96</v>
      </c>
      <c r="CR38" s="19">
        <v>0</v>
      </c>
      <c r="CS38" s="19"/>
      <c r="CT38" s="19"/>
      <c r="CU38" s="19">
        <v>1099481</v>
      </c>
      <c r="CV38" s="19"/>
      <c r="CW38" s="19"/>
      <c r="CX38" s="19"/>
      <c r="CY38" s="19"/>
      <c r="CZ38" s="19"/>
      <c r="DA38" s="19"/>
      <c r="DB38" s="19"/>
      <c r="DC38" s="19"/>
      <c r="DD38" s="19"/>
      <c r="DE38" s="19"/>
      <c r="DF38" s="19"/>
      <c r="DG38" s="19"/>
      <c r="DH38" s="19"/>
      <c r="DI38" s="19"/>
      <c r="DJ38" s="19"/>
      <c r="DK38" s="19"/>
      <c r="DL38" s="19"/>
      <c r="DM38" s="19"/>
      <c r="DN38" s="19"/>
      <c r="DO38" s="19"/>
      <c r="DP38" s="19"/>
      <c r="DQ38" s="19"/>
      <c r="DR38" s="19"/>
      <c r="DS38" s="19"/>
      <c r="DT38" s="19"/>
      <c r="DU38" s="19"/>
      <c r="DV38" s="19"/>
      <c r="DW38" s="19"/>
      <c r="DX38" s="19"/>
      <c r="DY38" s="19"/>
      <c r="DZ38" s="19"/>
      <c r="EA38" s="19"/>
      <c r="EB38" s="19"/>
      <c r="EC38" s="19">
        <v>0</v>
      </c>
      <c r="ED38" s="19">
        <v>0</v>
      </c>
      <c r="EE38" s="19">
        <v>0</v>
      </c>
      <c r="EF38" s="19">
        <v>0</v>
      </c>
      <c r="EG38" s="19">
        <v>0</v>
      </c>
      <c r="EH38" s="19">
        <v>0</v>
      </c>
      <c r="EI38" s="19">
        <v>0</v>
      </c>
      <c r="EJ38" s="19">
        <v>0</v>
      </c>
      <c r="EK38" s="19" t="s">
        <v>89</v>
      </c>
      <c r="EL38" s="19">
        <v>0</v>
      </c>
      <c r="EM38" s="19">
        <v>0</v>
      </c>
      <c r="EN38" s="19">
        <v>0</v>
      </c>
      <c r="EO38" s="19">
        <v>0</v>
      </c>
      <c r="EP38" s="19">
        <v>0</v>
      </c>
      <c r="EQ38" s="19">
        <v>0</v>
      </c>
      <c r="ER38" s="19">
        <v>0</v>
      </c>
      <c r="ES38" s="19">
        <v>0</v>
      </c>
      <c r="ET38" s="19">
        <v>0</v>
      </c>
      <c r="EU38" s="19">
        <v>0</v>
      </c>
      <c r="EV38" s="19">
        <v>0</v>
      </c>
      <c r="EW38" s="19">
        <v>0</v>
      </c>
      <c r="EX38" s="19">
        <v>0</v>
      </c>
      <c r="EY38" s="19">
        <v>0</v>
      </c>
      <c r="EZ38" s="19">
        <v>0</v>
      </c>
      <c r="FA38" s="19">
        <v>0</v>
      </c>
      <c r="FB38" s="19">
        <v>0</v>
      </c>
      <c r="FC38" s="19" t="s">
        <v>89</v>
      </c>
      <c r="FD38" s="19">
        <v>0</v>
      </c>
      <c r="FE38" s="19">
        <v>0</v>
      </c>
      <c r="FF38" s="19">
        <v>0</v>
      </c>
      <c r="FG38" s="19">
        <v>0</v>
      </c>
      <c r="FH38" s="19">
        <v>0</v>
      </c>
      <c r="FI38" s="19">
        <v>0</v>
      </c>
      <c r="FJ38" s="19">
        <v>0</v>
      </c>
      <c r="FK38" s="19">
        <v>0</v>
      </c>
      <c r="FL38" s="19">
        <v>0</v>
      </c>
      <c r="FM38" s="19">
        <v>0</v>
      </c>
      <c r="FN38" s="19" t="s">
        <v>89</v>
      </c>
      <c r="FO38" s="19">
        <v>0</v>
      </c>
      <c r="FP38" s="19">
        <v>0</v>
      </c>
      <c r="FQ38" s="19" t="s">
        <v>89</v>
      </c>
      <c r="FR38" s="19">
        <v>0</v>
      </c>
      <c r="FS38" s="19">
        <v>0</v>
      </c>
      <c r="FT38" s="19">
        <v>0</v>
      </c>
      <c r="FU38" s="19" t="s">
        <v>89</v>
      </c>
      <c r="FV38" s="19">
        <v>0</v>
      </c>
      <c r="FW38" s="19">
        <v>0</v>
      </c>
      <c r="FX38" s="19" t="s">
        <v>157</v>
      </c>
      <c r="FY38" s="19">
        <v>0</v>
      </c>
      <c r="FZ38" s="19">
        <v>0</v>
      </c>
      <c r="GA38" s="19" t="s">
        <v>89</v>
      </c>
      <c r="GB38" s="19" t="s">
        <v>89</v>
      </c>
      <c r="GC38" s="19">
        <v>0</v>
      </c>
      <c r="GD38" s="19" t="s">
        <v>89</v>
      </c>
      <c r="GE38" s="19">
        <v>0</v>
      </c>
      <c r="GF38" s="19" t="s">
        <v>89</v>
      </c>
      <c r="GG38" s="19">
        <v>0</v>
      </c>
      <c r="GH38" s="19">
        <v>0</v>
      </c>
    </row>
    <row r="39" spans="1:190" ht="17.55" customHeight="1">
      <c r="A39" s="7" t="s">
        <v>1</v>
      </c>
      <c r="B39" s="8" t="s">
        <v>82</v>
      </c>
      <c r="C39" s="19">
        <v>99458122</v>
      </c>
      <c r="D39" s="19">
        <v>667724002</v>
      </c>
      <c r="E39" s="19">
        <v>156649855</v>
      </c>
      <c r="F39" s="19">
        <v>765387211</v>
      </c>
      <c r="G39" s="19">
        <v>-1859740</v>
      </c>
      <c r="H39" s="19">
        <v>94135846</v>
      </c>
      <c r="I39" s="19">
        <v>237273208</v>
      </c>
      <c r="J39" s="19" t="s">
        <v>89</v>
      </c>
      <c r="K39" s="19">
        <v>-974574773</v>
      </c>
      <c r="L39" s="19">
        <v>8840425</v>
      </c>
      <c r="M39" s="19">
        <v>-917610474</v>
      </c>
      <c r="N39" s="19">
        <v>171718186</v>
      </c>
      <c r="O39" s="19">
        <v>1058121</v>
      </c>
      <c r="P39" s="19">
        <v>360316986</v>
      </c>
      <c r="Q39" s="19">
        <v>95726471</v>
      </c>
      <c r="R39" s="19">
        <v>35406271</v>
      </c>
      <c r="S39" s="19">
        <v>355094655</v>
      </c>
      <c r="T39" s="19">
        <v>-366512051</v>
      </c>
      <c r="U39" s="19">
        <v>158514000</v>
      </c>
      <c r="V39" s="19">
        <v>-536152450</v>
      </c>
      <c r="W39" s="19">
        <v>-790076532</v>
      </c>
      <c r="X39" s="19">
        <v>2094029785</v>
      </c>
      <c r="Y39" s="19">
        <v>161363037</v>
      </c>
      <c r="Z39" s="19">
        <v>-130249328</v>
      </c>
      <c r="AA39" s="19">
        <v>987507150</v>
      </c>
      <c r="AB39" s="19">
        <v>107423088</v>
      </c>
      <c r="AC39" s="19">
        <v>413009704</v>
      </c>
      <c r="AD39" s="19">
        <v>380837671</v>
      </c>
      <c r="AE39" s="19">
        <v>564595474</v>
      </c>
      <c r="AF39" s="19">
        <v>197212159</v>
      </c>
      <c r="AG39" s="19">
        <v>-650607463</v>
      </c>
      <c r="AH39" s="19">
        <v>56559567</v>
      </c>
      <c r="AI39" s="19">
        <v>-160806336</v>
      </c>
      <c r="AJ39" s="19">
        <v>225076136</v>
      </c>
      <c r="AK39" s="19" t="s">
        <v>89</v>
      </c>
      <c r="AL39" s="19">
        <v>-70687544</v>
      </c>
      <c r="AM39" s="19">
        <v>-3826200895</v>
      </c>
      <c r="AN39" s="19">
        <v>134324155</v>
      </c>
      <c r="AO39" s="19">
        <v>-1355837519</v>
      </c>
      <c r="AP39" s="19">
        <v>-344018856</v>
      </c>
      <c r="AQ39" s="19">
        <v>-123825982</v>
      </c>
      <c r="AR39" s="19">
        <v>36269537</v>
      </c>
      <c r="AS39" s="19">
        <v>422323843</v>
      </c>
      <c r="AT39" s="19">
        <v>214285626</v>
      </c>
      <c r="AU39" s="19">
        <v>-757077167</v>
      </c>
      <c r="AV39" s="19">
        <v>-30906997</v>
      </c>
      <c r="AW39" s="19">
        <v>-24656395</v>
      </c>
      <c r="AX39" s="19" t="s">
        <v>96</v>
      </c>
      <c r="AY39" s="19">
        <v>56980236</v>
      </c>
      <c r="AZ39" s="19">
        <v>88211351</v>
      </c>
      <c r="BA39" s="19">
        <v>-361580415</v>
      </c>
      <c r="BB39" s="19">
        <v>-62669688</v>
      </c>
      <c r="BC39" s="19">
        <v>438072515</v>
      </c>
      <c r="BD39" s="19">
        <v>-89288564</v>
      </c>
      <c r="BE39" s="19">
        <v>63056846</v>
      </c>
      <c r="BF39" s="19">
        <v>706119376</v>
      </c>
      <c r="BG39" s="19">
        <v>-1291327911</v>
      </c>
      <c r="BH39" s="19">
        <v>52060897</v>
      </c>
      <c r="BI39" s="19">
        <v>430360654</v>
      </c>
      <c r="BJ39" s="19">
        <v>145038017</v>
      </c>
      <c r="BK39" s="19">
        <v>5776117</v>
      </c>
      <c r="BL39" s="19">
        <v>151551259</v>
      </c>
      <c r="BM39" s="19">
        <v>134792618</v>
      </c>
      <c r="BN39" s="19">
        <v>100401641</v>
      </c>
      <c r="BO39" s="19">
        <v>-8630366</v>
      </c>
      <c r="BP39" s="19">
        <v>2446694</v>
      </c>
      <c r="BQ39" s="19" t="s">
        <v>175</v>
      </c>
      <c r="BR39" s="19">
        <v>138183179</v>
      </c>
      <c r="BS39" s="19">
        <v>-28912263</v>
      </c>
      <c r="BT39" s="19">
        <v>-2979648</v>
      </c>
      <c r="BU39" s="19">
        <v>-47173543</v>
      </c>
      <c r="BV39" s="19">
        <v>250709765</v>
      </c>
      <c r="BW39" s="19">
        <v>36802490</v>
      </c>
      <c r="BX39" s="19">
        <v>148590101</v>
      </c>
      <c r="BY39" s="19">
        <v>-527644561</v>
      </c>
      <c r="BZ39" s="19">
        <v>388837003</v>
      </c>
      <c r="CA39" s="19">
        <v>10076903</v>
      </c>
      <c r="CB39" s="19">
        <v>33496513</v>
      </c>
      <c r="CC39" s="19">
        <v>-39367163</v>
      </c>
      <c r="CD39" s="19">
        <v>6375268</v>
      </c>
      <c r="CE39" s="19">
        <v>330502804</v>
      </c>
      <c r="CF39" s="19">
        <v>-973682326</v>
      </c>
      <c r="CG39" s="19">
        <v>3315890</v>
      </c>
      <c r="CH39" s="19">
        <v>14299895</v>
      </c>
      <c r="CI39" s="19">
        <v>-508834809</v>
      </c>
      <c r="CJ39" s="19">
        <v>34877625</v>
      </c>
      <c r="CK39" s="19">
        <v>35267336</v>
      </c>
      <c r="CL39" s="19">
        <v>65359257</v>
      </c>
      <c r="CM39" s="19">
        <v>927806517</v>
      </c>
      <c r="CN39" s="19">
        <v>37044785</v>
      </c>
      <c r="CO39" s="19">
        <v>86912742</v>
      </c>
      <c r="CP39" s="19">
        <v>-99821559</v>
      </c>
      <c r="CQ39" s="19" t="s">
        <v>96</v>
      </c>
      <c r="CR39" s="19">
        <v>319785779</v>
      </c>
      <c r="CS39" s="19">
        <v>261694740</v>
      </c>
      <c r="CT39" s="19">
        <v>-2200736718</v>
      </c>
      <c r="CU39" s="19">
        <v>371698144</v>
      </c>
      <c r="CV39" s="19">
        <v>-270600825</v>
      </c>
      <c r="CW39" s="19">
        <v>191422253</v>
      </c>
      <c r="CX39" s="19">
        <v>-1175670175</v>
      </c>
      <c r="CY39" s="19">
        <v>541348320</v>
      </c>
      <c r="CZ39" s="19">
        <v>33199290</v>
      </c>
      <c r="DA39" s="19">
        <v>36958830</v>
      </c>
      <c r="DB39" s="19">
        <v>295108134</v>
      </c>
      <c r="DC39" s="19">
        <v>-2942408</v>
      </c>
      <c r="DD39" s="19">
        <v>-34559062</v>
      </c>
      <c r="DE39" s="19">
        <v>187637652</v>
      </c>
      <c r="DF39" s="19">
        <v>-13356793</v>
      </c>
      <c r="DG39" s="19">
        <v>78789195</v>
      </c>
      <c r="DH39" s="19">
        <v>-334507796</v>
      </c>
      <c r="DI39" s="19">
        <v>99994356</v>
      </c>
      <c r="DJ39" s="19">
        <v>10536172</v>
      </c>
      <c r="DK39" s="19">
        <v>120518488</v>
      </c>
      <c r="DL39" s="19">
        <v>-178746149</v>
      </c>
      <c r="DM39" s="19">
        <v>80029378</v>
      </c>
      <c r="DN39" s="19">
        <v>-14712369</v>
      </c>
      <c r="DO39" s="19">
        <v>55770760</v>
      </c>
      <c r="DP39" s="19">
        <v>177764257</v>
      </c>
      <c r="DQ39" s="19">
        <v>63883219</v>
      </c>
      <c r="DR39" s="19">
        <v>3715401</v>
      </c>
      <c r="DS39" s="19">
        <v>-259915168</v>
      </c>
      <c r="DT39" s="19">
        <v>250158455</v>
      </c>
      <c r="DU39" s="19">
        <v>72440774</v>
      </c>
      <c r="DV39" s="19">
        <v>688283054</v>
      </c>
      <c r="DW39" s="19">
        <v>439238620</v>
      </c>
      <c r="DX39" s="19">
        <v>144590111</v>
      </c>
      <c r="DY39" s="19">
        <v>40119418</v>
      </c>
      <c r="DZ39" s="19">
        <v>353149089</v>
      </c>
      <c r="EA39" s="19">
        <v>15017451</v>
      </c>
      <c r="EB39" s="19">
        <v>122212160</v>
      </c>
      <c r="EC39" s="19">
        <v>17829508</v>
      </c>
      <c r="ED39" s="19">
        <v>743907</v>
      </c>
      <c r="EE39" s="19">
        <v>5619403</v>
      </c>
      <c r="EF39" s="19">
        <v>804738568</v>
      </c>
      <c r="EG39" s="19">
        <v>-4160178072</v>
      </c>
      <c r="EH39" s="19">
        <v>16850811</v>
      </c>
      <c r="EI39" s="19">
        <v>-247884603</v>
      </c>
      <c r="EJ39" s="19">
        <v>123380957</v>
      </c>
      <c r="EK39" s="19" t="s">
        <v>89</v>
      </c>
      <c r="EL39" s="19">
        <v>801222379</v>
      </c>
      <c r="EM39" s="19">
        <v>250419088</v>
      </c>
      <c r="EN39" s="19">
        <v>1022152723</v>
      </c>
      <c r="EO39" s="19">
        <v>190959618</v>
      </c>
      <c r="EP39" s="19">
        <v>16680987</v>
      </c>
      <c r="EQ39" s="19">
        <v>199925975</v>
      </c>
      <c r="ER39" s="19">
        <v>-391192612</v>
      </c>
      <c r="ES39" s="19">
        <v>-408116988</v>
      </c>
      <c r="ET39" s="19">
        <v>-170042360</v>
      </c>
      <c r="EU39" s="19">
        <v>-872531415</v>
      </c>
      <c r="EV39" s="19">
        <v>-29945645</v>
      </c>
      <c r="EW39" s="19">
        <v>-76987326</v>
      </c>
      <c r="EX39" s="19">
        <v>553540241</v>
      </c>
      <c r="EY39" s="19">
        <v>946542377</v>
      </c>
      <c r="EZ39" s="19">
        <v>-297782428</v>
      </c>
      <c r="FA39" s="19">
        <v>271996108</v>
      </c>
      <c r="FB39" s="19">
        <v>-25550788</v>
      </c>
      <c r="FC39" s="19" t="s">
        <v>89</v>
      </c>
      <c r="FD39" s="19">
        <v>52275200</v>
      </c>
      <c r="FE39" s="19">
        <v>329888075</v>
      </c>
      <c r="FF39" s="19">
        <v>49272130</v>
      </c>
      <c r="FG39" s="19">
        <v>44927648</v>
      </c>
      <c r="FH39" s="19">
        <v>-273340</v>
      </c>
      <c r="FI39" s="19">
        <v>-7967409</v>
      </c>
      <c r="FJ39" s="19">
        <v>24912048</v>
      </c>
      <c r="FK39" s="19">
        <v>-41602881</v>
      </c>
      <c r="FL39" s="19">
        <v>16896405</v>
      </c>
      <c r="FM39" s="19">
        <v>-7888838</v>
      </c>
      <c r="FN39" s="19" t="s">
        <v>89</v>
      </c>
      <c r="FO39" s="19">
        <v>-5371254</v>
      </c>
      <c r="FP39" s="19">
        <v>7217874</v>
      </c>
      <c r="FQ39" s="19" t="s">
        <v>89</v>
      </c>
      <c r="FR39" s="19">
        <v>-10341244</v>
      </c>
      <c r="FS39" s="19">
        <v>2017589</v>
      </c>
      <c r="FT39" s="19">
        <v>-21755456</v>
      </c>
      <c r="FU39" s="19" t="s">
        <v>89</v>
      </c>
      <c r="FV39" s="19">
        <v>-405285753</v>
      </c>
      <c r="FW39" s="19">
        <v>-21176182</v>
      </c>
      <c r="FX39" s="19" t="s">
        <v>157</v>
      </c>
      <c r="FY39" s="19">
        <v>0</v>
      </c>
      <c r="FZ39" s="19">
        <v>-98071648</v>
      </c>
      <c r="GA39" s="19" t="s">
        <v>89</v>
      </c>
      <c r="GB39" s="19" t="s">
        <v>89</v>
      </c>
      <c r="GC39" s="19">
        <v>49014803</v>
      </c>
      <c r="GD39" s="19" t="s">
        <v>89</v>
      </c>
      <c r="GE39" s="19">
        <v>-8570861</v>
      </c>
      <c r="GF39" s="19" t="s">
        <v>89</v>
      </c>
      <c r="GG39" s="19">
        <v>-371908999</v>
      </c>
      <c r="GH39" s="19">
        <v>-47925237</v>
      </c>
    </row>
    <row r="40" spans="1:190" ht="17.55" customHeight="1">
      <c r="A40" s="9" t="s">
        <v>0</v>
      </c>
      <c r="B40" s="10" t="s">
        <v>85</v>
      </c>
      <c r="C40" s="19">
        <v>1144886890</v>
      </c>
      <c r="D40" s="19">
        <v>2735549296</v>
      </c>
      <c r="E40" s="19">
        <v>980329430</v>
      </c>
      <c r="F40" s="19">
        <v>2150744521</v>
      </c>
      <c r="G40" s="19">
        <v>254946526</v>
      </c>
      <c r="H40" s="19">
        <v>4008898602</v>
      </c>
      <c r="I40" s="19">
        <v>5076772228</v>
      </c>
      <c r="J40" s="19" t="s">
        <v>89</v>
      </c>
      <c r="K40" s="19">
        <v>2330521091</v>
      </c>
      <c r="L40" s="19">
        <v>1101608303</v>
      </c>
      <c r="M40" s="19">
        <v>2625435788</v>
      </c>
      <c r="N40" s="19">
        <v>810780459</v>
      </c>
      <c r="O40" s="19">
        <v>4356248750</v>
      </c>
      <c r="P40" s="19">
        <v>5535619899</v>
      </c>
      <c r="Q40" s="19">
        <v>328542382</v>
      </c>
      <c r="R40" s="19">
        <v>1224713025</v>
      </c>
      <c r="S40" s="19">
        <v>5513357818</v>
      </c>
      <c r="T40" s="19">
        <v>75322795</v>
      </c>
      <c r="U40" s="19">
        <v>1490435093</v>
      </c>
      <c r="V40" s="19">
        <v>310000233</v>
      </c>
      <c r="W40" s="19">
        <v>2829735818</v>
      </c>
      <c r="X40" s="19">
        <v>2005538881</v>
      </c>
      <c r="Y40" s="19">
        <v>727337659</v>
      </c>
      <c r="Z40" s="19">
        <v>915563774</v>
      </c>
      <c r="AA40" s="19">
        <v>5332689886</v>
      </c>
      <c r="AB40" s="19">
        <v>965251914</v>
      </c>
      <c r="AC40" s="19">
        <v>1404260000</v>
      </c>
      <c r="AD40" s="19">
        <v>2084019627</v>
      </c>
      <c r="AE40" s="19">
        <v>910228160</v>
      </c>
      <c r="AF40" s="19">
        <v>270050070</v>
      </c>
      <c r="AG40" s="19">
        <v>2083281328</v>
      </c>
      <c r="AH40" s="19">
        <v>837381325</v>
      </c>
      <c r="AI40" s="19">
        <v>463069399</v>
      </c>
      <c r="AJ40" s="19">
        <v>1212786619</v>
      </c>
      <c r="AK40" s="19" t="s">
        <v>89</v>
      </c>
      <c r="AL40" s="19">
        <v>1129783178</v>
      </c>
      <c r="AM40" s="19">
        <v>6385077697</v>
      </c>
      <c r="AN40" s="19">
        <v>399470893</v>
      </c>
      <c r="AO40" s="19">
        <v>1329705766</v>
      </c>
      <c r="AP40" s="19">
        <v>747903042</v>
      </c>
      <c r="AQ40" s="19">
        <v>92265876</v>
      </c>
      <c r="AR40" s="19">
        <v>374894692</v>
      </c>
      <c r="AS40" s="19">
        <v>1224948558</v>
      </c>
      <c r="AT40" s="19">
        <v>3098273474</v>
      </c>
      <c r="AU40" s="19">
        <v>832108578</v>
      </c>
      <c r="AV40" s="19">
        <v>86789896</v>
      </c>
      <c r="AW40" s="19">
        <v>234738184</v>
      </c>
      <c r="AX40" s="19" t="s">
        <v>96</v>
      </c>
      <c r="AY40" s="19">
        <v>827936316</v>
      </c>
      <c r="AZ40" s="19">
        <v>994740509</v>
      </c>
      <c r="BA40" s="19">
        <v>5959105001</v>
      </c>
      <c r="BB40" s="19">
        <v>80313645</v>
      </c>
      <c r="BC40" s="19">
        <v>3985871022</v>
      </c>
      <c r="BD40" s="19">
        <v>176791015</v>
      </c>
      <c r="BE40" s="19">
        <v>1029684708</v>
      </c>
      <c r="BF40" s="19">
        <v>2008012405</v>
      </c>
      <c r="BG40" s="19">
        <v>2944266923</v>
      </c>
      <c r="BH40" s="19">
        <v>650086040</v>
      </c>
      <c r="BI40" s="19">
        <v>493282895</v>
      </c>
      <c r="BJ40" s="19">
        <v>635188154</v>
      </c>
      <c r="BK40" s="19">
        <v>754048986</v>
      </c>
      <c r="BL40" s="19">
        <v>1194746332</v>
      </c>
      <c r="BM40" s="19">
        <v>507012524</v>
      </c>
      <c r="BN40" s="19">
        <v>553490206</v>
      </c>
      <c r="BO40" s="19">
        <v>1295058413</v>
      </c>
      <c r="BP40" s="19">
        <v>62512015</v>
      </c>
      <c r="BQ40" s="19" t="s">
        <v>175</v>
      </c>
      <c r="BR40" s="19">
        <v>606348894</v>
      </c>
      <c r="BS40" s="19">
        <v>102639428</v>
      </c>
      <c r="BT40" s="19">
        <v>161094173</v>
      </c>
      <c r="BU40" s="19">
        <v>99350956</v>
      </c>
      <c r="BV40" s="19">
        <v>260830921</v>
      </c>
      <c r="BW40" s="19">
        <v>416026084</v>
      </c>
      <c r="BX40" s="19">
        <v>839045127</v>
      </c>
      <c r="BY40" s="19">
        <v>4938778078</v>
      </c>
      <c r="BZ40" s="19">
        <v>1262599394</v>
      </c>
      <c r="CA40" s="19">
        <v>414445410</v>
      </c>
      <c r="CB40" s="19">
        <v>390171506</v>
      </c>
      <c r="CC40" s="19">
        <v>1342648552</v>
      </c>
      <c r="CD40" s="19">
        <v>1409608932</v>
      </c>
      <c r="CE40" s="19">
        <v>427401926</v>
      </c>
      <c r="CF40" s="19">
        <v>33190844</v>
      </c>
      <c r="CG40" s="19">
        <v>1287017871</v>
      </c>
      <c r="CH40" s="19">
        <v>103652366</v>
      </c>
      <c r="CI40" s="19">
        <v>336822994</v>
      </c>
      <c r="CJ40" s="19">
        <v>239505921</v>
      </c>
      <c r="CK40" s="19">
        <v>2412169501</v>
      </c>
      <c r="CL40" s="19">
        <v>379665065</v>
      </c>
      <c r="CM40" s="19">
        <v>4898782537</v>
      </c>
      <c r="CN40" s="19">
        <v>288849108</v>
      </c>
      <c r="CO40" s="19">
        <v>224895850</v>
      </c>
      <c r="CP40" s="19">
        <v>1223056934</v>
      </c>
      <c r="CQ40" s="19" t="s">
        <v>96</v>
      </c>
      <c r="CR40" s="19">
        <v>1342212943</v>
      </c>
      <c r="CS40" s="19">
        <v>378219999</v>
      </c>
      <c r="CT40" s="19">
        <v>354504089</v>
      </c>
      <c r="CU40" s="19">
        <v>1208108933</v>
      </c>
      <c r="CV40" s="19">
        <v>9801549</v>
      </c>
      <c r="CW40" s="19">
        <v>1612909196</v>
      </c>
      <c r="CX40" s="19">
        <v>686243384</v>
      </c>
      <c r="CY40" s="19">
        <v>10736527535</v>
      </c>
      <c r="CZ40" s="19">
        <v>862235146</v>
      </c>
      <c r="DA40" s="19">
        <v>219638490</v>
      </c>
      <c r="DB40" s="19">
        <v>863262647</v>
      </c>
      <c r="DC40" s="19">
        <v>197025007</v>
      </c>
      <c r="DD40" s="19">
        <v>207547072</v>
      </c>
      <c r="DE40" s="19">
        <v>1186972267</v>
      </c>
      <c r="DF40" s="19">
        <v>123717031</v>
      </c>
      <c r="DG40" s="19">
        <v>882257806</v>
      </c>
      <c r="DH40" s="19">
        <v>610626273</v>
      </c>
      <c r="DI40" s="19">
        <v>2324682272</v>
      </c>
      <c r="DJ40" s="19">
        <v>167972843</v>
      </c>
      <c r="DK40" s="19">
        <v>1813076278</v>
      </c>
      <c r="DL40" s="19">
        <v>91928752</v>
      </c>
      <c r="DM40" s="19">
        <v>2299049031</v>
      </c>
      <c r="DN40" s="19">
        <v>477426520</v>
      </c>
      <c r="DO40" s="19">
        <v>353918631</v>
      </c>
      <c r="DP40" s="19">
        <v>1600358148</v>
      </c>
      <c r="DQ40" s="19">
        <v>447547244</v>
      </c>
      <c r="DR40" s="19">
        <v>257160141</v>
      </c>
      <c r="DS40" s="19">
        <v>484580536</v>
      </c>
      <c r="DT40" s="19">
        <v>966576898</v>
      </c>
      <c r="DU40" s="19">
        <v>226271160</v>
      </c>
      <c r="DV40" s="19">
        <v>0</v>
      </c>
      <c r="DW40" s="19">
        <v>1464500422</v>
      </c>
      <c r="DX40" s="19">
        <v>610576101</v>
      </c>
      <c r="DY40" s="19">
        <v>506062473</v>
      </c>
      <c r="DZ40" s="19">
        <v>1604609967</v>
      </c>
      <c r="EA40" s="19">
        <v>130581338</v>
      </c>
      <c r="EB40" s="19">
        <v>2890311907</v>
      </c>
      <c r="EC40" s="19">
        <v>441671726</v>
      </c>
      <c r="ED40" s="19">
        <v>71087640</v>
      </c>
      <c r="EE40" s="19">
        <v>333063334</v>
      </c>
      <c r="EF40" s="19">
        <v>1654198745</v>
      </c>
      <c r="EG40" s="19">
        <v>402059587</v>
      </c>
      <c r="EH40" s="19">
        <v>244955358</v>
      </c>
      <c r="EI40" s="19">
        <v>1753648604</v>
      </c>
      <c r="EJ40" s="19">
        <v>89770327</v>
      </c>
      <c r="EK40" s="19" t="s">
        <v>89</v>
      </c>
      <c r="EL40" s="19">
        <v>4855925484</v>
      </c>
      <c r="EM40" s="19">
        <v>926526291</v>
      </c>
      <c r="EN40" s="19">
        <v>6477759792</v>
      </c>
      <c r="EO40" s="19">
        <v>1993694824</v>
      </c>
      <c r="EP40" s="19">
        <v>383652217</v>
      </c>
      <c r="EQ40" s="19">
        <v>2556674849</v>
      </c>
      <c r="ER40" s="19">
        <v>2898817143</v>
      </c>
      <c r="ES40" s="19">
        <v>762992295</v>
      </c>
      <c r="ET40" s="19">
        <v>105908048</v>
      </c>
      <c r="EU40" s="19">
        <v>352091993</v>
      </c>
      <c r="EV40" s="19">
        <v>195207150</v>
      </c>
      <c r="EW40" s="19">
        <v>171910742</v>
      </c>
      <c r="EX40" s="19">
        <v>1950542336</v>
      </c>
      <c r="EY40" s="19">
        <v>3832346112</v>
      </c>
      <c r="EZ40" s="19">
        <v>329705585</v>
      </c>
      <c r="FA40" s="19">
        <v>1318084575</v>
      </c>
      <c r="FB40" s="19">
        <v>1092098346</v>
      </c>
      <c r="FC40" s="19" t="s">
        <v>89</v>
      </c>
      <c r="FD40" s="19">
        <v>324270207</v>
      </c>
      <c r="FE40" s="19">
        <v>13588637977</v>
      </c>
      <c r="FF40" s="19">
        <v>244884645</v>
      </c>
      <c r="FG40" s="19">
        <v>366269955</v>
      </c>
      <c r="FH40" s="19">
        <v>151297850</v>
      </c>
      <c r="FI40" s="19">
        <v>175100624</v>
      </c>
      <c r="FJ40" s="19">
        <v>621674458</v>
      </c>
      <c r="FK40" s="19">
        <v>1409060946</v>
      </c>
      <c r="FL40" s="19">
        <v>11836363</v>
      </c>
      <c r="FM40" s="19">
        <v>45075912</v>
      </c>
      <c r="FN40" s="19" t="s">
        <v>89</v>
      </c>
      <c r="FO40" s="19">
        <v>178795312</v>
      </c>
      <c r="FP40" s="19">
        <v>25826362</v>
      </c>
      <c r="FQ40" s="19" t="s">
        <v>89</v>
      </c>
      <c r="FR40" s="19">
        <v>11796371</v>
      </c>
      <c r="FS40" s="19">
        <v>3872100</v>
      </c>
      <c r="FT40" s="19">
        <v>0</v>
      </c>
      <c r="FU40" s="19" t="s">
        <v>89</v>
      </c>
      <c r="FV40" s="19">
        <v>1051945722</v>
      </c>
      <c r="FW40" s="19">
        <v>457052683</v>
      </c>
      <c r="FX40" s="19" t="s">
        <v>157</v>
      </c>
      <c r="FY40" s="19">
        <v>103337992</v>
      </c>
      <c r="FZ40" s="19">
        <v>5295455</v>
      </c>
      <c r="GA40" s="19" t="s">
        <v>89</v>
      </c>
      <c r="GB40" s="19" t="s">
        <v>89</v>
      </c>
      <c r="GC40" s="19">
        <v>199358794</v>
      </c>
      <c r="GD40" s="19" t="s">
        <v>89</v>
      </c>
      <c r="GE40" s="19">
        <v>0</v>
      </c>
      <c r="GF40" s="19" t="s">
        <v>89</v>
      </c>
      <c r="GG40" s="19">
        <v>268761441</v>
      </c>
      <c r="GH40" s="19">
        <v>60444452</v>
      </c>
    </row>
    <row r="41" spans="1:190" ht="17.55" customHeight="1">
      <c r="A41" s="9" t="s">
        <v>0</v>
      </c>
      <c r="B41" s="15" t="s">
        <v>12</v>
      </c>
      <c r="C41" s="19"/>
      <c r="D41" s="19"/>
      <c r="E41" s="19"/>
      <c r="F41" s="19">
        <v>139497316</v>
      </c>
      <c r="G41" s="19"/>
      <c r="H41" s="19"/>
      <c r="I41" s="19"/>
      <c r="J41" s="19" t="s">
        <v>89</v>
      </c>
      <c r="K41" s="19"/>
      <c r="L41" s="19"/>
      <c r="M41" s="19"/>
      <c r="N41" s="19">
        <v>62640908</v>
      </c>
      <c r="O41" s="19"/>
      <c r="P41" s="19"/>
      <c r="Q41" s="19"/>
      <c r="R41" s="19">
        <v>36431401</v>
      </c>
      <c r="S41" s="19">
        <v>326055101</v>
      </c>
      <c r="T41" s="19"/>
      <c r="U41" s="19">
        <v>10094272</v>
      </c>
      <c r="V41" s="19"/>
      <c r="W41" s="19"/>
      <c r="X41" s="19"/>
      <c r="Y41" s="19"/>
      <c r="Z41" s="19"/>
      <c r="AA41" s="19"/>
      <c r="AB41" s="19"/>
      <c r="AC41" s="19"/>
      <c r="AD41" s="19"/>
      <c r="AE41" s="19"/>
      <c r="AF41" s="19">
        <v>30358749</v>
      </c>
      <c r="AG41" s="19"/>
      <c r="AH41" s="19"/>
      <c r="AI41" s="19">
        <v>433032925</v>
      </c>
      <c r="AJ41" s="19">
        <v>1212786619</v>
      </c>
      <c r="AK41" s="19" t="s">
        <v>89</v>
      </c>
      <c r="AL41" s="19">
        <v>223451254</v>
      </c>
      <c r="AM41" s="19">
        <v>176334678</v>
      </c>
      <c r="AN41" s="19"/>
      <c r="AO41" s="19"/>
      <c r="AP41" s="19">
        <v>80769690</v>
      </c>
      <c r="AQ41" s="19"/>
      <c r="AR41" s="19">
        <v>374894692</v>
      </c>
      <c r="AS41" s="19"/>
      <c r="AT41" s="19"/>
      <c r="AU41" s="19"/>
      <c r="AV41" s="19"/>
      <c r="AW41" s="19"/>
      <c r="AX41" s="19" t="s">
        <v>96</v>
      </c>
      <c r="AY41" s="19"/>
      <c r="AZ41" s="19">
        <v>1757600</v>
      </c>
      <c r="BA41" s="19">
        <v>5959105001</v>
      </c>
      <c r="BB41" s="19"/>
      <c r="BC41" s="19">
        <v>333877096</v>
      </c>
      <c r="BD41" s="19">
        <v>92314263</v>
      </c>
      <c r="BE41" s="19"/>
      <c r="BF41" s="19">
        <v>572073082</v>
      </c>
      <c r="BG41" s="19">
        <v>391062436</v>
      </c>
      <c r="BH41" s="19">
        <v>126535032</v>
      </c>
      <c r="BI41" s="19">
        <v>493282895</v>
      </c>
      <c r="BJ41" s="19">
        <v>30182294</v>
      </c>
      <c r="BK41" s="19"/>
      <c r="BL41" s="19">
        <v>1194746332</v>
      </c>
      <c r="BM41" s="19"/>
      <c r="BN41" s="19"/>
      <c r="BO41" s="19">
        <v>1087440126</v>
      </c>
      <c r="BP41" s="19"/>
      <c r="BQ41" s="19" t="s">
        <v>175</v>
      </c>
      <c r="BR41" s="19"/>
      <c r="BS41" s="19">
        <v>102639428</v>
      </c>
      <c r="BT41" s="19">
        <v>67603015</v>
      </c>
      <c r="BU41" s="19"/>
      <c r="BV41" s="19"/>
      <c r="BW41" s="19"/>
      <c r="BX41" s="19"/>
      <c r="BY41" s="19">
        <v>4309700826</v>
      </c>
      <c r="BZ41" s="19">
        <v>1262599394</v>
      </c>
      <c r="CA41" s="19"/>
      <c r="CB41" s="19">
        <v>18828151</v>
      </c>
      <c r="CC41" s="19">
        <v>1336428552</v>
      </c>
      <c r="CD41" s="19"/>
      <c r="CE41" s="19"/>
      <c r="CF41" s="19"/>
      <c r="CG41" s="19"/>
      <c r="CH41" s="19">
        <v>103652366</v>
      </c>
      <c r="CI41" s="19"/>
      <c r="CJ41" s="19">
        <v>69546286</v>
      </c>
      <c r="CK41" s="19"/>
      <c r="CL41" s="19"/>
      <c r="CM41" s="19"/>
      <c r="CN41" s="19"/>
      <c r="CO41" s="19"/>
      <c r="CP41" s="19">
        <v>99262664</v>
      </c>
      <c r="CQ41" s="19" t="s">
        <v>96</v>
      </c>
      <c r="CR41" s="19"/>
      <c r="CS41" s="19"/>
      <c r="CT41" s="19"/>
      <c r="CU41" s="19"/>
      <c r="CV41" s="19">
        <v>9801549</v>
      </c>
      <c r="CW41" s="19"/>
      <c r="CX41" s="19"/>
      <c r="CY41" s="19">
        <v>3249852227</v>
      </c>
      <c r="CZ41" s="19"/>
      <c r="DA41" s="19"/>
      <c r="DB41" s="19"/>
      <c r="DC41" s="19"/>
      <c r="DD41" s="19">
        <v>21006059</v>
      </c>
      <c r="DE41" s="19">
        <v>3188677</v>
      </c>
      <c r="DF41" s="19">
        <v>40990281</v>
      </c>
      <c r="DG41" s="19"/>
      <c r="DH41" s="19">
        <v>59766051</v>
      </c>
      <c r="DI41" s="19">
        <v>69794596</v>
      </c>
      <c r="DJ41" s="19"/>
      <c r="DK41" s="19">
        <v>128884056</v>
      </c>
      <c r="DL41" s="19"/>
      <c r="DM41" s="19">
        <v>2246988403</v>
      </c>
      <c r="DN41" s="19"/>
      <c r="DO41" s="19"/>
      <c r="DP41" s="19"/>
      <c r="DQ41" s="19"/>
      <c r="DR41" s="19"/>
      <c r="DS41" s="19"/>
      <c r="DT41" s="19">
        <v>149744913</v>
      </c>
      <c r="DU41" s="19"/>
      <c r="DV41" s="19"/>
      <c r="DW41" s="19">
        <v>382243296</v>
      </c>
      <c r="DX41" s="19"/>
      <c r="DY41" s="19"/>
      <c r="DZ41" s="19"/>
      <c r="EA41" s="19"/>
      <c r="EB41" s="19"/>
      <c r="EC41" s="19"/>
      <c r="ED41" s="19">
        <v>71087640</v>
      </c>
      <c r="EE41" s="19"/>
      <c r="EF41" s="19"/>
      <c r="EG41" s="19"/>
      <c r="EH41" s="19"/>
      <c r="EI41" s="19"/>
      <c r="EJ41" s="19"/>
      <c r="EK41" s="19" t="s">
        <v>89</v>
      </c>
      <c r="EL41" s="19"/>
      <c r="EM41" s="19"/>
      <c r="EN41" s="19"/>
      <c r="EO41" s="19">
        <v>2923727</v>
      </c>
      <c r="EP41" s="19"/>
      <c r="EQ41" s="19"/>
      <c r="ER41" s="19"/>
      <c r="ES41" s="19">
        <v>762992295</v>
      </c>
      <c r="ET41" s="19"/>
      <c r="EU41" s="19"/>
      <c r="EV41" s="19">
        <v>195207150</v>
      </c>
      <c r="EW41" s="19">
        <v>81929651</v>
      </c>
      <c r="EX41" s="19">
        <v>63492504</v>
      </c>
      <c r="EY41" s="19"/>
      <c r="EZ41" s="19">
        <v>15718292</v>
      </c>
      <c r="FA41" s="19">
        <v>23775885</v>
      </c>
      <c r="FB41" s="19">
        <v>730286462</v>
      </c>
      <c r="FC41" s="19" t="s">
        <v>89</v>
      </c>
      <c r="FD41" s="19"/>
      <c r="FE41" s="19">
        <v>13588637977</v>
      </c>
      <c r="FF41" s="19"/>
      <c r="FG41" s="19">
        <v>268532182</v>
      </c>
      <c r="FH41" s="19">
        <v>68794651</v>
      </c>
      <c r="FI41" s="19">
        <v>175100624</v>
      </c>
      <c r="FJ41" s="19">
        <v>28580612</v>
      </c>
      <c r="FK41" s="19">
        <v>617314009</v>
      </c>
      <c r="FL41" s="19"/>
      <c r="FM41" s="19"/>
      <c r="FN41" s="19" t="s">
        <v>89</v>
      </c>
      <c r="FO41" s="19"/>
      <c r="FP41" s="19"/>
      <c r="FQ41" s="19" t="s">
        <v>89</v>
      </c>
      <c r="FR41" s="19">
        <v>11796371</v>
      </c>
      <c r="FS41" s="19"/>
      <c r="FT41" s="19"/>
      <c r="FU41" s="19" t="s">
        <v>89</v>
      </c>
      <c r="FV41" s="19"/>
      <c r="FW41" s="19">
        <v>416039047</v>
      </c>
      <c r="FX41" s="19" t="s">
        <v>157</v>
      </c>
      <c r="FY41" s="19">
        <v>73337992</v>
      </c>
      <c r="FZ41" s="19"/>
      <c r="GA41" s="19" t="s">
        <v>89</v>
      </c>
      <c r="GB41" s="19" t="s">
        <v>89</v>
      </c>
      <c r="GC41" s="19"/>
      <c r="GD41" s="19" t="s">
        <v>89</v>
      </c>
      <c r="GE41" s="19"/>
      <c r="GF41" s="19" t="s">
        <v>89</v>
      </c>
      <c r="GG41" s="19"/>
      <c r="GH41" s="19"/>
    </row>
    <row r="42" spans="1:190" ht="17.55" customHeight="1">
      <c r="A42" s="9" t="s">
        <v>0</v>
      </c>
      <c r="B42" s="15" t="s">
        <v>22</v>
      </c>
      <c r="C42" s="19"/>
      <c r="D42" s="19"/>
      <c r="E42" s="19">
        <v>65647372</v>
      </c>
      <c r="F42" s="19"/>
      <c r="G42" s="19">
        <v>197910625</v>
      </c>
      <c r="H42" s="19"/>
      <c r="I42" s="19"/>
      <c r="J42" s="19" t="s">
        <v>89</v>
      </c>
      <c r="K42" s="19">
        <v>2330521091</v>
      </c>
      <c r="L42" s="19">
        <v>1101608303</v>
      </c>
      <c r="M42" s="19"/>
      <c r="N42" s="19">
        <v>706600687</v>
      </c>
      <c r="O42" s="19"/>
      <c r="P42" s="19"/>
      <c r="Q42" s="19">
        <v>97194880</v>
      </c>
      <c r="R42" s="19"/>
      <c r="S42" s="19">
        <v>5187302717</v>
      </c>
      <c r="T42" s="19"/>
      <c r="U42" s="19"/>
      <c r="V42" s="19">
        <v>310000233</v>
      </c>
      <c r="W42" s="19">
        <v>574207240</v>
      </c>
      <c r="X42" s="19"/>
      <c r="Y42" s="19">
        <v>6176024</v>
      </c>
      <c r="Z42" s="19"/>
      <c r="AA42" s="19">
        <v>5332689886</v>
      </c>
      <c r="AB42" s="19"/>
      <c r="AC42" s="19">
        <v>1384285547</v>
      </c>
      <c r="AD42" s="19">
        <v>2084019627</v>
      </c>
      <c r="AE42" s="19">
        <v>470436601</v>
      </c>
      <c r="AF42" s="19"/>
      <c r="AG42" s="19"/>
      <c r="AH42" s="19"/>
      <c r="AI42" s="19"/>
      <c r="AJ42" s="19"/>
      <c r="AK42" s="19" t="s">
        <v>89</v>
      </c>
      <c r="AL42" s="19">
        <v>341848758</v>
      </c>
      <c r="AM42" s="19"/>
      <c r="AN42" s="19">
        <v>16083872</v>
      </c>
      <c r="AO42" s="19"/>
      <c r="AP42" s="19"/>
      <c r="AQ42" s="19"/>
      <c r="AR42" s="19"/>
      <c r="AS42" s="19"/>
      <c r="AT42" s="19"/>
      <c r="AU42" s="19">
        <v>119622764</v>
      </c>
      <c r="AV42" s="19"/>
      <c r="AW42" s="19">
        <v>234738184</v>
      </c>
      <c r="AX42" s="19" t="s">
        <v>96</v>
      </c>
      <c r="AY42" s="19">
        <v>137490233</v>
      </c>
      <c r="AZ42" s="19">
        <v>992982909</v>
      </c>
      <c r="BA42" s="19"/>
      <c r="BB42" s="19"/>
      <c r="BC42" s="19">
        <v>404661315</v>
      </c>
      <c r="BD42" s="19"/>
      <c r="BE42" s="19">
        <v>1029684708</v>
      </c>
      <c r="BF42" s="19">
        <v>1435939323</v>
      </c>
      <c r="BG42" s="19">
        <v>1884518362</v>
      </c>
      <c r="BH42" s="19">
        <v>523551008</v>
      </c>
      <c r="BI42" s="19"/>
      <c r="BJ42" s="19">
        <v>542252280</v>
      </c>
      <c r="BK42" s="19">
        <v>284597464</v>
      </c>
      <c r="BL42" s="19"/>
      <c r="BM42" s="19">
        <v>507012524</v>
      </c>
      <c r="BN42" s="19">
        <v>553490206</v>
      </c>
      <c r="BO42" s="19">
        <v>156409049</v>
      </c>
      <c r="BP42" s="19"/>
      <c r="BQ42" s="19" t="s">
        <v>175</v>
      </c>
      <c r="BR42" s="19">
        <v>534953076</v>
      </c>
      <c r="BS42" s="19"/>
      <c r="BT42" s="19">
        <v>31363634</v>
      </c>
      <c r="BU42" s="19">
        <v>99350956</v>
      </c>
      <c r="BV42" s="19"/>
      <c r="BW42" s="19"/>
      <c r="BX42" s="19"/>
      <c r="BY42" s="19">
        <v>377260184</v>
      </c>
      <c r="BZ42" s="19"/>
      <c r="CA42" s="19"/>
      <c r="CB42" s="19"/>
      <c r="CC42" s="19"/>
      <c r="CD42" s="19">
        <v>1409608932</v>
      </c>
      <c r="CE42" s="19">
        <v>427401926</v>
      </c>
      <c r="CF42" s="19">
        <v>33190844</v>
      </c>
      <c r="CG42" s="19"/>
      <c r="CH42" s="19"/>
      <c r="CI42" s="19">
        <v>336822994</v>
      </c>
      <c r="CJ42" s="19">
        <v>169959635</v>
      </c>
      <c r="CK42" s="19">
        <v>2412169501</v>
      </c>
      <c r="CL42" s="19">
        <v>379665065</v>
      </c>
      <c r="CM42" s="19"/>
      <c r="CN42" s="19"/>
      <c r="CO42" s="19"/>
      <c r="CP42" s="19"/>
      <c r="CQ42" s="19" t="s">
        <v>96</v>
      </c>
      <c r="CR42" s="19">
        <v>1342212943</v>
      </c>
      <c r="CS42" s="19">
        <v>378219999</v>
      </c>
      <c r="CT42" s="19"/>
      <c r="CU42" s="19"/>
      <c r="CV42" s="19"/>
      <c r="CW42" s="19"/>
      <c r="CX42" s="19"/>
      <c r="CY42" s="19">
        <v>7201447990</v>
      </c>
      <c r="CZ42" s="19"/>
      <c r="DA42" s="19"/>
      <c r="DB42" s="19">
        <v>758466520</v>
      </c>
      <c r="DC42" s="19"/>
      <c r="DD42" s="19"/>
      <c r="DE42" s="19"/>
      <c r="DF42" s="19"/>
      <c r="DG42" s="19"/>
      <c r="DH42" s="19">
        <v>21268544</v>
      </c>
      <c r="DI42" s="19">
        <v>2162858676</v>
      </c>
      <c r="DJ42" s="19"/>
      <c r="DK42" s="19">
        <v>917609599</v>
      </c>
      <c r="DL42" s="19"/>
      <c r="DM42" s="19"/>
      <c r="DN42" s="19">
        <v>411097166</v>
      </c>
      <c r="DO42" s="19"/>
      <c r="DP42" s="19">
        <v>1600358148</v>
      </c>
      <c r="DQ42" s="19">
        <v>447547244</v>
      </c>
      <c r="DR42" s="19">
        <v>257160141</v>
      </c>
      <c r="DS42" s="19"/>
      <c r="DT42" s="19"/>
      <c r="DU42" s="19"/>
      <c r="DV42" s="19"/>
      <c r="DW42" s="19">
        <v>1082257126</v>
      </c>
      <c r="DX42" s="19"/>
      <c r="DY42" s="19">
        <v>506062473</v>
      </c>
      <c r="DZ42" s="19"/>
      <c r="EA42" s="19"/>
      <c r="EB42" s="19"/>
      <c r="EC42" s="19">
        <v>417817254</v>
      </c>
      <c r="ED42" s="19"/>
      <c r="EE42" s="19">
        <v>292547218</v>
      </c>
      <c r="EF42" s="19">
        <v>1654198745</v>
      </c>
      <c r="EG42" s="19">
        <v>76617977</v>
      </c>
      <c r="EH42" s="19"/>
      <c r="EI42" s="19"/>
      <c r="EJ42" s="19"/>
      <c r="EK42" s="19" t="s">
        <v>89</v>
      </c>
      <c r="EL42" s="19">
        <v>4855925484</v>
      </c>
      <c r="EM42" s="19">
        <v>536446252</v>
      </c>
      <c r="EN42" s="19"/>
      <c r="EO42" s="19"/>
      <c r="EP42" s="19">
        <v>323373527</v>
      </c>
      <c r="EQ42" s="19"/>
      <c r="ER42" s="19"/>
      <c r="ES42" s="19"/>
      <c r="ET42" s="19"/>
      <c r="EU42" s="19"/>
      <c r="EV42" s="19"/>
      <c r="EW42" s="19"/>
      <c r="EX42" s="19"/>
      <c r="EY42" s="19"/>
      <c r="EZ42" s="19"/>
      <c r="FA42" s="19"/>
      <c r="FB42" s="19">
        <v>361811884</v>
      </c>
      <c r="FC42" s="19" t="s">
        <v>89</v>
      </c>
      <c r="FD42" s="19">
        <v>324270207</v>
      </c>
      <c r="FE42" s="19"/>
      <c r="FF42" s="19"/>
      <c r="FG42" s="19"/>
      <c r="FH42" s="19"/>
      <c r="FI42" s="19"/>
      <c r="FJ42" s="19"/>
      <c r="FK42" s="19">
        <v>284550660</v>
      </c>
      <c r="FL42" s="19">
        <v>11836363</v>
      </c>
      <c r="FM42" s="19"/>
      <c r="FN42" s="19" t="s">
        <v>89</v>
      </c>
      <c r="FO42" s="19"/>
      <c r="FP42" s="19"/>
      <c r="FQ42" s="19" t="s">
        <v>89</v>
      </c>
      <c r="FR42" s="19"/>
      <c r="FS42" s="19"/>
      <c r="FT42" s="19"/>
      <c r="FU42" s="19" t="s">
        <v>89</v>
      </c>
      <c r="FV42" s="19"/>
      <c r="FW42" s="19"/>
      <c r="FX42" s="19" t="s">
        <v>157</v>
      </c>
      <c r="FY42" s="19"/>
      <c r="FZ42" s="19"/>
      <c r="GA42" s="19" t="s">
        <v>89</v>
      </c>
      <c r="GB42" s="19" t="s">
        <v>89</v>
      </c>
      <c r="GC42" s="19"/>
      <c r="GD42" s="19" t="s">
        <v>89</v>
      </c>
      <c r="GE42" s="19"/>
      <c r="GF42" s="19" t="s">
        <v>89</v>
      </c>
      <c r="GG42" s="19">
        <v>133670548</v>
      </c>
      <c r="GH42" s="19">
        <v>60444452</v>
      </c>
    </row>
    <row r="43" spans="1:190" ht="17.55" customHeight="1">
      <c r="A43" s="9" t="s">
        <v>0</v>
      </c>
      <c r="B43" s="15" t="s">
        <v>28</v>
      </c>
      <c r="C43" s="19">
        <v>1142330890</v>
      </c>
      <c r="D43" s="19">
        <v>2735549296</v>
      </c>
      <c r="E43" s="19">
        <v>903772954</v>
      </c>
      <c r="F43" s="19">
        <v>2002650495</v>
      </c>
      <c r="G43" s="19">
        <v>57035901</v>
      </c>
      <c r="H43" s="19"/>
      <c r="I43" s="19">
        <v>5076772228</v>
      </c>
      <c r="J43" s="19" t="s">
        <v>89</v>
      </c>
      <c r="K43" s="19"/>
      <c r="L43" s="19"/>
      <c r="M43" s="19">
        <v>2625435788</v>
      </c>
      <c r="N43" s="19">
        <v>36538864</v>
      </c>
      <c r="O43" s="19">
        <v>4271632359</v>
      </c>
      <c r="P43" s="19">
        <v>5415118879</v>
      </c>
      <c r="Q43" s="19">
        <v>231347502</v>
      </c>
      <c r="R43" s="19">
        <v>1188281624</v>
      </c>
      <c r="S43" s="19"/>
      <c r="T43" s="19">
        <v>47556144</v>
      </c>
      <c r="U43" s="19">
        <v>1478315821</v>
      </c>
      <c r="V43" s="19"/>
      <c r="W43" s="19">
        <v>204648462</v>
      </c>
      <c r="X43" s="19">
        <v>1803006948</v>
      </c>
      <c r="Y43" s="19">
        <v>721161635</v>
      </c>
      <c r="Z43" s="19">
        <v>817527314</v>
      </c>
      <c r="AA43" s="19"/>
      <c r="AB43" s="19">
        <v>965251914</v>
      </c>
      <c r="AC43" s="19">
        <v>19974453</v>
      </c>
      <c r="AD43" s="19"/>
      <c r="AE43" s="19">
        <v>439791559</v>
      </c>
      <c r="AF43" s="19">
        <v>239691321</v>
      </c>
      <c r="AG43" s="19">
        <v>2083281328</v>
      </c>
      <c r="AH43" s="19">
        <v>827381325</v>
      </c>
      <c r="AI43" s="19"/>
      <c r="AJ43" s="19"/>
      <c r="AK43" s="19" t="s">
        <v>89</v>
      </c>
      <c r="AL43" s="19">
        <v>547290049</v>
      </c>
      <c r="AM43" s="19"/>
      <c r="AN43" s="19">
        <v>383387021</v>
      </c>
      <c r="AO43" s="19">
        <v>1329705766</v>
      </c>
      <c r="AP43" s="19">
        <v>622141755</v>
      </c>
      <c r="AQ43" s="19">
        <v>86539859</v>
      </c>
      <c r="AR43" s="19"/>
      <c r="AS43" s="19">
        <v>319794539</v>
      </c>
      <c r="AT43" s="19">
        <v>3037564219</v>
      </c>
      <c r="AU43" s="19">
        <v>494638180</v>
      </c>
      <c r="AV43" s="19">
        <v>86789896</v>
      </c>
      <c r="AW43" s="19"/>
      <c r="AX43" s="19" t="s">
        <v>96</v>
      </c>
      <c r="AY43" s="19">
        <v>690446083</v>
      </c>
      <c r="AZ43" s="19"/>
      <c r="BA43" s="19"/>
      <c r="BB43" s="19">
        <v>80313645</v>
      </c>
      <c r="BC43" s="19">
        <v>3177436312</v>
      </c>
      <c r="BD43" s="19">
        <v>84476752</v>
      </c>
      <c r="BE43" s="19"/>
      <c r="BF43" s="19"/>
      <c r="BG43" s="19"/>
      <c r="BH43" s="19"/>
      <c r="BI43" s="19"/>
      <c r="BJ43" s="19">
        <v>62753580</v>
      </c>
      <c r="BK43" s="19"/>
      <c r="BL43" s="19"/>
      <c r="BM43" s="19"/>
      <c r="BN43" s="19"/>
      <c r="BO43" s="19"/>
      <c r="BP43" s="19">
        <v>62512015</v>
      </c>
      <c r="BQ43" s="19" t="s">
        <v>175</v>
      </c>
      <c r="BR43" s="19">
        <v>71395818</v>
      </c>
      <c r="BS43" s="19"/>
      <c r="BT43" s="19">
        <v>6056265</v>
      </c>
      <c r="BU43" s="19"/>
      <c r="BV43" s="19">
        <v>61008193</v>
      </c>
      <c r="BW43" s="19">
        <v>394204077</v>
      </c>
      <c r="BX43" s="19">
        <v>233045761</v>
      </c>
      <c r="BY43" s="19"/>
      <c r="BZ43" s="19"/>
      <c r="CA43" s="19">
        <v>367464425</v>
      </c>
      <c r="CB43" s="19">
        <v>371343355</v>
      </c>
      <c r="CC43" s="19"/>
      <c r="CD43" s="19"/>
      <c r="CE43" s="19"/>
      <c r="CF43" s="19"/>
      <c r="CG43" s="19">
        <v>1287017871</v>
      </c>
      <c r="CH43" s="19"/>
      <c r="CI43" s="19"/>
      <c r="CJ43" s="19"/>
      <c r="CK43" s="19"/>
      <c r="CL43" s="19"/>
      <c r="CM43" s="19">
        <v>4898782537</v>
      </c>
      <c r="CN43" s="19">
        <v>288849108</v>
      </c>
      <c r="CO43" s="19">
        <v>224895850</v>
      </c>
      <c r="CP43" s="19">
        <v>1123794270</v>
      </c>
      <c r="CQ43" s="19" t="s">
        <v>96</v>
      </c>
      <c r="CR43" s="19"/>
      <c r="CS43" s="19"/>
      <c r="CT43" s="19">
        <v>354504089</v>
      </c>
      <c r="CU43" s="19">
        <v>1208108933</v>
      </c>
      <c r="CV43" s="19"/>
      <c r="CW43" s="19">
        <v>855981446</v>
      </c>
      <c r="CX43" s="19">
        <v>686243384</v>
      </c>
      <c r="CY43" s="19">
        <v>283227318</v>
      </c>
      <c r="CZ43" s="19">
        <v>862235146</v>
      </c>
      <c r="DA43" s="19">
        <v>219638490</v>
      </c>
      <c r="DB43" s="19"/>
      <c r="DC43" s="19">
        <v>197025007</v>
      </c>
      <c r="DD43" s="19">
        <v>186541013</v>
      </c>
      <c r="DE43" s="19">
        <v>1183783590</v>
      </c>
      <c r="DF43" s="19">
        <v>82726750</v>
      </c>
      <c r="DG43" s="19">
        <v>870829551</v>
      </c>
      <c r="DH43" s="19">
        <v>529591678</v>
      </c>
      <c r="DI43" s="19"/>
      <c r="DJ43" s="19">
        <v>98629843</v>
      </c>
      <c r="DK43" s="19">
        <v>733765836</v>
      </c>
      <c r="DL43" s="19">
        <v>91928752</v>
      </c>
      <c r="DM43" s="19">
        <v>52060628</v>
      </c>
      <c r="DN43" s="19">
        <v>14789545</v>
      </c>
      <c r="DO43" s="19">
        <v>353918631</v>
      </c>
      <c r="DP43" s="19"/>
      <c r="DQ43" s="19"/>
      <c r="DR43" s="19"/>
      <c r="DS43" s="19">
        <v>484580536</v>
      </c>
      <c r="DT43" s="19">
        <v>816831985</v>
      </c>
      <c r="DU43" s="19">
        <v>224127571</v>
      </c>
      <c r="DV43" s="19"/>
      <c r="DW43" s="19"/>
      <c r="DX43" s="19">
        <v>610576101</v>
      </c>
      <c r="DY43" s="19"/>
      <c r="DZ43" s="19">
        <v>1604609967</v>
      </c>
      <c r="EA43" s="19">
        <v>130581338</v>
      </c>
      <c r="EB43" s="19">
        <v>2479648989</v>
      </c>
      <c r="EC43" s="19">
        <v>23854472</v>
      </c>
      <c r="ED43" s="19"/>
      <c r="EE43" s="19">
        <v>40516116</v>
      </c>
      <c r="EF43" s="19"/>
      <c r="EG43" s="19">
        <v>325441610</v>
      </c>
      <c r="EH43" s="19">
        <v>71537303</v>
      </c>
      <c r="EI43" s="19">
        <v>1753648604</v>
      </c>
      <c r="EJ43" s="19">
        <v>86952142</v>
      </c>
      <c r="EK43" s="19" t="s">
        <v>89</v>
      </c>
      <c r="EL43" s="19"/>
      <c r="EM43" s="19"/>
      <c r="EN43" s="19">
        <v>6477759792</v>
      </c>
      <c r="EO43" s="19">
        <v>1990771097</v>
      </c>
      <c r="EP43" s="19">
        <v>60278690</v>
      </c>
      <c r="EQ43" s="19">
        <v>2538733359</v>
      </c>
      <c r="ER43" s="19">
        <v>2841675230</v>
      </c>
      <c r="ES43" s="19"/>
      <c r="ET43" s="19">
        <v>105908048</v>
      </c>
      <c r="EU43" s="19">
        <v>352091993</v>
      </c>
      <c r="EV43" s="19"/>
      <c r="EW43" s="19">
        <v>6269500</v>
      </c>
      <c r="EX43" s="19">
        <v>1887049832</v>
      </c>
      <c r="EY43" s="19">
        <v>3832346112</v>
      </c>
      <c r="EZ43" s="19">
        <v>313987293</v>
      </c>
      <c r="FA43" s="19">
        <v>1279591358</v>
      </c>
      <c r="FB43" s="19"/>
      <c r="FC43" s="19" t="s">
        <v>89</v>
      </c>
      <c r="FD43" s="19"/>
      <c r="FE43" s="19"/>
      <c r="FF43" s="19">
        <v>244884645</v>
      </c>
      <c r="FG43" s="19">
        <v>97737773</v>
      </c>
      <c r="FH43" s="19">
        <v>82503199</v>
      </c>
      <c r="FI43" s="19"/>
      <c r="FJ43" s="19"/>
      <c r="FK43" s="19">
        <v>441773534</v>
      </c>
      <c r="FL43" s="19"/>
      <c r="FM43" s="19">
        <v>33479790</v>
      </c>
      <c r="FN43" s="19" t="s">
        <v>89</v>
      </c>
      <c r="FO43" s="19"/>
      <c r="FP43" s="19">
        <v>25826362</v>
      </c>
      <c r="FQ43" s="19" t="s">
        <v>89</v>
      </c>
      <c r="FR43" s="19"/>
      <c r="FS43" s="19">
        <v>3872100</v>
      </c>
      <c r="FT43" s="19"/>
      <c r="FU43" s="19" t="s">
        <v>89</v>
      </c>
      <c r="FV43" s="19">
        <v>1051945722</v>
      </c>
      <c r="FW43" s="19">
        <v>41013636</v>
      </c>
      <c r="FX43" s="19" t="s">
        <v>157</v>
      </c>
      <c r="FY43" s="19">
        <v>30000000</v>
      </c>
      <c r="FZ43" s="19">
        <v>5295455</v>
      </c>
      <c r="GA43" s="19" t="s">
        <v>89</v>
      </c>
      <c r="GB43" s="19" t="s">
        <v>89</v>
      </c>
      <c r="GC43" s="19">
        <v>199358794</v>
      </c>
      <c r="GD43" s="19" t="s">
        <v>89</v>
      </c>
      <c r="GE43" s="19"/>
      <c r="GF43" s="19" t="s">
        <v>89</v>
      </c>
      <c r="GG43" s="19"/>
      <c r="GH43" s="19"/>
    </row>
    <row r="44" spans="1:190" ht="17.55" customHeight="1">
      <c r="A44" s="9" t="s">
        <v>0</v>
      </c>
      <c r="B44" s="15" t="s">
        <v>24</v>
      </c>
      <c r="C44" s="19">
        <v>2556000</v>
      </c>
      <c r="D44" s="19"/>
      <c r="E44" s="19">
        <v>10909104</v>
      </c>
      <c r="F44" s="19">
        <v>8596710</v>
      </c>
      <c r="G44" s="19"/>
      <c r="H44" s="19">
        <v>4008898602</v>
      </c>
      <c r="I44" s="19"/>
      <c r="J44" s="19" t="s">
        <v>89</v>
      </c>
      <c r="K44" s="19"/>
      <c r="L44" s="19"/>
      <c r="M44" s="19"/>
      <c r="N44" s="19">
        <v>5000000</v>
      </c>
      <c r="O44" s="19">
        <v>84616391</v>
      </c>
      <c r="P44" s="19">
        <v>120501020</v>
      </c>
      <c r="Q44" s="19"/>
      <c r="R44" s="19"/>
      <c r="S44" s="19"/>
      <c r="T44" s="19">
        <v>27766651</v>
      </c>
      <c r="U44" s="19">
        <v>2025000</v>
      </c>
      <c r="V44" s="19"/>
      <c r="W44" s="19">
        <v>2050880116</v>
      </c>
      <c r="X44" s="19">
        <v>202531933</v>
      </c>
      <c r="Y44" s="19"/>
      <c r="Z44" s="19">
        <v>98036460</v>
      </c>
      <c r="AA44" s="19"/>
      <c r="AB44" s="19"/>
      <c r="AC44" s="19"/>
      <c r="AD44" s="19"/>
      <c r="AE44" s="19"/>
      <c r="AF44" s="19"/>
      <c r="AG44" s="19"/>
      <c r="AH44" s="19">
        <v>10000000</v>
      </c>
      <c r="AI44" s="19">
        <v>30036474</v>
      </c>
      <c r="AJ44" s="19"/>
      <c r="AK44" s="19" t="s">
        <v>89</v>
      </c>
      <c r="AL44" s="19">
        <v>17193117</v>
      </c>
      <c r="AM44" s="19">
        <v>6208743019</v>
      </c>
      <c r="AN44" s="19"/>
      <c r="AO44" s="19"/>
      <c r="AP44" s="19">
        <v>44991597</v>
      </c>
      <c r="AQ44" s="19">
        <v>5726017</v>
      </c>
      <c r="AR44" s="19"/>
      <c r="AS44" s="19">
        <v>905154019</v>
      </c>
      <c r="AT44" s="19">
        <v>60709255</v>
      </c>
      <c r="AU44" s="19">
        <v>217847634</v>
      </c>
      <c r="AV44" s="19"/>
      <c r="AW44" s="19"/>
      <c r="AX44" s="19" t="s">
        <v>96</v>
      </c>
      <c r="AY44" s="19"/>
      <c r="AZ44" s="19"/>
      <c r="BA44" s="19"/>
      <c r="BB44" s="19"/>
      <c r="BC44" s="19">
        <v>69896299</v>
      </c>
      <c r="BD44" s="19"/>
      <c r="BE44" s="19"/>
      <c r="BF44" s="19"/>
      <c r="BG44" s="19">
        <v>668686125</v>
      </c>
      <c r="BH44" s="19"/>
      <c r="BI44" s="19"/>
      <c r="BJ44" s="19"/>
      <c r="BK44" s="19">
        <v>469451522</v>
      </c>
      <c r="BL44" s="19"/>
      <c r="BM44" s="19"/>
      <c r="BN44" s="19"/>
      <c r="BO44" s="19">
        <v>51209238</v>
      </c>
      <c r="BP44" s="19"/>
      <c r="BQ44" s="19" t="s">
        <v>175</v>
      </c>
      <c r="BR44" s="19"/>
      <c r="BS44" s="19"/>
      <c r="BT44" s="19">
        <v>56071259</v>
      </c>
      <c r="BU44" s="19"/>
      <c r="BV44" s="19">
        <v>199822728</v>
      </c>
      <c r="BW44" s="19">
        <v>21822007</v>
      </c>
      <c r="BX44" s="19">
        <v>605999366</v>
      </c>
      <c r="BY44" s="19">
        <v>251817068</v>
      </c>
      <c r="BZ44" s="19"/>
      <c r="CA44" s="19">
        <v>46980985</v>
      </c>
      <c r="CB44" s="19"/>
      <c r="CC44" s="19">
        <v>6220000</v>
      </c>
      <c r="CD44" s="19"/>
      <c r="CE44" s="19"/>
      <c r="CF44" s="19"/>
      <c r="CG44" s="19"/>
      <c r="CH44" s="19"/>
      <c r="CI44" s="19"/>
      <c r="CJ44" s="19"/>
      <c r="CK44" s="19"/>
      <c r="CL44" s="19"/>
      <c r="CM44" s="19"/>
      <c r="CN44" s="19"/>
      <c r="CO44" s="19"/>
      <c r="CP44" s="19"/>
      <c r="CQ44" s="19" t="s">
        <v>96</v>
      </c>
      <c r="CR44" s="19"/>
      <c r="CS44" s="19"/>
      <c r="CT44" s="19"/>
      <c r="CU44" s="19"/>
      <c r="CV44" s="19"/>
      <c r="CW44" s="19">
        <v>756927750</v>
      </c>
      <c r="CX44" s="19"/>
      <c r="CY44" s="19">
        <v>2000000</v>
      </c>
      <c r="CZ44" s="19"/>
      <c r="DA44" s="19"/>
      <c r="DB44" s="19">
        <v>104796127</v>
      </c>
      <c r="DC44" s="19"/>
      <c r="DD44" s="19"/>
      <c r="DE44" s="19"/>
      <c r="DF44" s="19"/>
      <c r="DG44" s="19">
        <v>11428255</v>
      </c>
      <c r="DH44" s="19"/>
      <c r="DI44" s="19">
        <v>92029000</v>
      </c>
      <c r="DJ44" s="19">
        <v>69343000</v>
      </c>
      <c r="DK44" s="19">
        <v>32816787</v>
      </c>
      <c r="DL44" s="19"/>
      <c r="DM44" s="19"/>
      <c r="DN44" s="19">
        <v>51539809</v>
      </c>
      <c r="DO44" s="19"/>
      <c r="DP44" s="19"/>
      <c r="DQ44" s="19"/>
      <c r="DR44" s="19"/>
      <c r="DS44" s="19"/>
      <c r="DT44" s="19"/>
      <c r="DU44" s="19">
        <v>2143589</v>
      </c>
      <c r="DV44" s="19"/>
      <c r="DW44" s="19"/>
      <c r="DX44" s="19"/>
      <c r="DY44" s="19"/>
      <c r="DZ44" s="19"/>
      <c r="EA44" s="19"/>
      <c r="EB44" s="19">
        <v>410662918</v>
      </c>
      <c r="EC44" s="19"/>
      <c r="ED44" s="19"/>
      <c r="EE44" s="19"/>
      <c r="EF44" s="19"/>
      <c r="EG44" s="19"/>
      <c r="EH44" s="19">
        <v>173418055</v>
      </c>
      <c r="EI44" s="19"/>
      <c r="EJ44" s="19">
        <v>2818185</v>
      </c>
      <c r="EK44" s="19" t="s">
        <v>89</v>
      </c>
      <c r="EL44" s="19"/>
      <c r="EM44" s="19">
        <v>390080039</v>
      </c>
      <c r="EN44" s="19"/>
      <c r="EO44" s="19"/>
      <c r="EP44" s="19"/>
      <c r="EQ44" s="19">
        <v>17941490</v>
      </c>
      <c r="ER44" s="19">
        <v>57141913</v>
      </c>
      <c r="ES44" s="19"/>
      <c r="ET44" s="19"/>
      <c r="EU44" s="19"/>
      <c r="EV44" s="19"/>
      <c r="EW44" s="19">
        <v>83711591</v>
      </c>
      <c r="EX44" s="19"/>
      <c r="EY44" s="19"/>
      <c r="EZ44" s="19"/>
      <c r="FA44" s="19">
        <v>14717332</v>
      </c>
      <c r="FB44" s="19"/>
      <c r="FC44" s="19" t="s">
        <v>89</v>
      </c>
      <c r="FD44" s="19"/>
      <c r="FE44" s="19"/>
      <c r="FF44" s="19"/>
      <c r="FG44" s="19"/>
      <c r="FH44" s="19"/>
      <c r="FI44" s="19"/>
      <c r="FJ44" s="19">
        <v>593093846</v>
      </c>
      <c r="FK44" s="19">
        <v>65422743</v>
      </c>
      <c r="FL44" s="19"/>
      <c r="FM44" s="19">
        <v>11596122</v>
      </c>
      <c r="FN44" s="19" t="s">
        <v>89</v>
      </c>
      <c r="FO44" s="19">
        <v>178795312</v>
      </c>
      <c r="FP44" s="19"/>
      <c r="FQ44" s="19" t="s">
        <v>89</v>
      </c>
      <c r="FR44" s="19"/>
      <c r="FS44" s="19"/>
      <c r="FT44" s="19"/>
      <c r="FU44" s="19" t="s">
        <v>89</v>
      </c>
      <c r="FV44" s="19"/>
      <c r="FW44" s="19"/>
      <c r="FX44" s="19" t="s">
        <v>157</v>
      </c>
      <c r="FY44" s="19"/>
      <c r="FZ44" s="19"/>
      <c r="GA44" s="19" t="s">
        <v>89</v>
      </c>
      <c r="GB44" s="19" t="s">
        <v>89</v>
      </c>
      <c r="GC44" s="19"/>
      <c r="GD44" s="19" t="s">
        <v>89</v>
      </c>
      <c r="GE44" s="19"/>
      <c r="GF44" s="19" t="s">
        <v>89</v>
      </c>
      <c r="GG44" s="19">
        <v>135090893</v>
      </c>
      <c r="GH44" s="19"/>
    </row>
    <row r="45" spans="1:190" ht="17.55" customHeight="1">
      <c r="A45" s="9" t="s">
        <v>0</v>
      </c>
      <c r="B45" s="10" t="s">
        <v>144</v>
      </c>
      <c r="C45" s="19">
        <v>0</v>
      </c>
      <c r="D45" s="19">
        <v>2877653340</v>
      </c>
      <c r="E45" s="19">
        <v>712413704</v>
      </c>
      <c r="F45" s="19">
        <v>121231540</v>
      </c>
      <c r="G45" s="19">
        <v>108059208</v>
      </c>
      <c r="H45" s="19">
        <v>0</v>
      </c>
      <c r="I45" s="19">
        <v>0</v>
      </c>
      <c r="J45" s="19" t="s">
        <v>89</v>
      </c>
      <c r="K45" s="19">
        <v>2316323416</v>
      </c>
      <c r="L45" s="19">
        <v>957863660</v>
      </c>
      <c r="M45" s="19">
        <v>293696120</v>
      </c>
      <c r="N45" s="19">
        <v>485407664</v>
      </c>
      <c r="O45" s="19">
        <v>415833445</v>
      </c>
      <c r="P45" s="19">
        <v>620936224</v>
      </c>
      <c r="Q45" s="19">
        <v>168756380</v>
      </c>
      <c r="R45" s="19">
        <v>19955165</v>
      </c>
      <c r="S45" s="19">
        <v>3709937124</v>
      </c>
      <c r="T45" s="19">
        <v>0</v>
      </c>
      <c r="U45" s="19">
        <v>5885067</v>
      </c>
      <c r="V45" s="19">
        <v>202252634</v>
      </c>
      <c r="W45" s="19">
        <v>981840047</v>
      </c>
      <c r="X45" s="19">
        <v>927306096</v>
      </c>
      <c r="Y45" s="19">
        <v>0</v>
      </c>
      <c r="Z45" s="19">
        <v>280737726</v>
      </c>
      <c r="AA45" s="19">
        <v>4928994000</v>
      </c>
      <c r="AB45" s="19">
        <v>0</v>
      </c>
      <c r="AC45" s="19">
        <v>1207168780</v>
      </c>
      <c r="AD45" s="19">
        <v>1758584503</v>
      </c>
      <c r="AE45" s="19">
        <v>382470108</v>
      </c>
      <c r="AF45" s="19">
        <v>0</v>
      </c>
      <c r="AG45" s="19">
        <v>0</v>
      </c>
      <c r="AH45" s="19">
        <v>0</v>
      </c>
      <c r="AI45" s="19">
        <v>251314804</v>
      </c>
      <c r="AJ45" s="19">
        <v>472126114</v>
      </c>
      <c r="AK45" s="19" t="s">
        <v>89</v>
      </c>
      <c r="AL45" s="19">
        <v>19637859</v>
      </c>
      <c r="AM45" s="19">
        <v>5097935816</v>
      </c>
      <c r="AN45" s="19">
        <v>12453392</v>
      </c>
      <c r="AO45" s="19">
        <v>373464144</v>
      </c>
      <c r="AP45" s="19">
        <v>64106445</v>
      </c>
      <c r="AQ45" s="19">
        <v>47677630</v>
      </c>
      <c r="AR45" s="19">
        <v>68911611</v>
      </c>
      <c r="AS45" s="19">
        <v>0</v>
      </c>
      <c r="AT45" s="19">
        <v>2402735856</v>
      </c>
      <c r="AU45" s="19">
        <v>102368650</v>
      </c>
      <c r="AV45" s="19">
        <v>0</v>
      </c>
      <c r="AW45" s="19">
        <v>261174963</v>
      </c>
      <c r="AX45" s="19" t="s">
        <v>96</v>
      </c>
      <c r="AY45" s="19">
        <v>179595570</v>
      </c>
      <c r="AZ45" s="19">
        <v>638259278</v>
      </c>
      <c r="BA45" s="19">
        <v>4136723643</v>
      </c>
      <c r="BB45" s="19">
        <v>0</v>
      </c>
      <c r="BC45" s="19">
        <v>3042686304</v>
      </c>
      <c r="BD45" s="19">
        <v>81250956</v>
      </c>
      <c r="BE45" s="19">
        <v>735821486</v>
      </c>
      <c r="BF45" s="19">
        <v>1504580876</v>
      </c>
      <c r="BG45" s="19">
        <v>1482159596</v>
      </c>
      <c r="BH45" s="19">
        <v>511263125</v>
      </c>
      <c r="BI45" s="19">
        <v>198969027</v>
      </c>
      <c r="BJ45" s="19">
        <v>318503312</v>
      </c>
      <c r="BK45" s="19">
        <v>398403606</v>
      </c>
      <c r="BL45" s="19">
        <v>242263141</v>
      </c>
      <c r="BM45" s="19">
        <v>237705108</v>
      </c>
      <c r="BN45" s="19">
        <v>413590520</v>
      </c>
      <c r="BO45" s="19">
        <v>1146597831</v>
      </c>
      <c r="BP45" s="19">
        <v>0</v>
      </c>
      <c r="BQ45" s="19" t="s">
        <v>175</v>
      </c>
      <c r="BR45" s="19">
        <v>492145737</v>
      </c>
      <c r="BS45" s="19">
        <v>17101587</v>
      </c>
      <c r="BT45" s="19">
        <v>38880227</v>
      </c>
      <c r="BU45" s="19">
        <v>93225543</v>
      </c>
      <c r="BV45" s="19">
        <v>0</v>
      </c>
      <c r="BW45" s="19">
        <v>0</v>
      </c>
      <c r="BX45" s="19">
        <v>0</v>
      </c>
      <c r="BY45" s="19">
        <v>3612791116</v>
      </c>
      <c r="BZ45" s="19">
        <v>536784564</v>
      </c>
      <c r="CA45" s="19">
        <v>0</v>
      </c>
      <c r="CB45" s="19">
        <v>7388553</v>
      </c>
      <c r="CC45" s="19">
        <v>1192992484</v>
      </c>
      <c r="CD45" s="19">
        <v>1014825825</v>
      </c>
      <c r="CE45" s="19">
        <v>347672647</v>
      </c>
      <c r="CF45" s="19">
        <v>28364895</v>
      </c>
      <c r="CG45" s="19">
        <v>8421550</v>
      </c>
      <c r="CH45" s="19">
        <v>52987349</v>
      </c>
      <c r="CI45" s="19">
        <v>808265973</v>
      </c>
      <c r="CJ45" s="19">
        <v>193168584</v>
      </c>
      <c r="CK45" s="19">
        <v>1793866418</v>
      </c>
      <c r="CL45" s="19">
        <v>283188295</v>
      </c>
      <c r="CM45" s="19">
        <v>0</v>
      </c>
      <c r="CN45" s="19">
        <v>0</v>
      </c>
      <c r="CO45" s="19">
        <v>0</v>
      </c>
      <c r="CP45" s="19">
        <v>60609211</v>
      </c>
      <c r="CQ45" s="19" t="s">
        <v>96</v>
      </c>
      <c r="CR45" s="19">
        <v>824679713</v>
      </c>
      <c r="CS45" s="19">
        <v>50400615</v>
      </c>
      <c r="CT45" s="19">
        <v>0</v>
      </c>
      <c r="CU45" s="19">
        <v>0</v>
      </c>
      <c r="CV45" s="19">
        <v>1449321</v>
      </c>
      <c r="CW45" s="19">
        <v>241703416</v>
      </c>
      <c r="CX45" s="19">
        <v>0</v>
      </c>
      <c r="CY45" s="19">
        <v>4878095997</v>
      </c>
      <c r="CZ45" s="19">
        <v>0</v>
      </c>
      <c r="DA45" s="19">
        <v>0</v>
      </c>
      <c r="DB45" s="19">
        <v>464115744</v>
      </c>
      <c r="DC45" s="19">
        <v>0</v>
      </c>
      <c r="DD45" s="19">
        <v>13139795</v>
      </c>
      <c r="DE45" s="19">
        <v>0</v>
      </c>
      <c r="DF45" s="19">
        <v>28751088</v>
      </c>
      <c r="DG45" s="19">
        <v>0</v>
      </c>
      <c r="DH45" s="19">
        <v>376625555</v>
      </c>
      <c r="DI45" s="19">
        <v>1769423511</v>
      </c>
      <c r="DJ45" s="19">
        <v>0</v>
      </c>
      <c r="DK45" s="19">
        <v>1253211896</v>
      </c>
      <c r="DL45" s="19">
        <v>0</v>
      </c>
      <c r="DM45" s="19">
        <v>1608669929</v>
      </c>
      <c r="DN45" s="19">
        <v>339976883</v>
      </c>
      <c r="DO45" s="19">
        <v>0</v>
      </c>
      <c r="DP45" s="19">
        <v>1304887838</v>
      </c>
      <c r="DQ45" s="19">
        <v>341969491</v>
      </c>
      <c r="DR45" s="19">
        <v>111921180</v>
      </c>
      <c r="DS45" s="19">
        <v>0</v>
      </c>
      <c r="DT45" s="19">
        <v>8142658</v>
      </c>
      <c r="DU45" s="19">
        <v>0</v>
      </c>
      <c r="DV45" s="19">
        <v>0</v>
      </c>
      <c r="DW45" s="19">
        <v>939088586</v>
      </c>
      <c r="DX45" s="19">
        <v>0</v>
      </c>
      <c r="DY45" s="19">
        <v>110686857</v>
      </c>
      <c r="DZ45" s="19">
        <v>1189375213</v>
      </c>
      <c r="EA45" s="19">
        <v>0</v>
      </c>
      <c r="EB45" s="19">
        <v>0</v>
      </c>
      <c r="EC45" s="19">
        <v>315316825</v>
      </c>
      <c r="ED45" s="19">
        <v>0</v>
      </c>
      <c r="EE45" s="19">
        <v>250900107</v>
      </c>
      <c r="EF45" s="19">
        <v>1353308654</v>
      </c>
      <c r="EG45" s="19">
        <v>438688419</v>
      </c>
      <c r="EH45" s="19">
        <v>160053140</v>
      </c>
      <c r="EI45" s="19">
        <v>1111268376</v>
      </c>
      <c r="EJ45" s="19">
        <v>0</v>
      </c>
      <c r="EK45" s="19" t="s">
        <v>89</v>
      </c>
      <c r="EL45" s="19">
        <v>4407154277</v>
      </c>
      <c r="EM45" s="19">
        <v>669881866</v>
      </c>
      <c r="EN45" s="19">
        <v>0</v>
      </c>
      <c r="EO45" s="19">
        <v>567368789</v>
      </c>
      <c r="EP45" s="19">
        <v>192640937</v>
      </c>
      <c r="EQ45" s="19">
        <v>0</v>
      </c>
      <c r="ER45" s="19">
        <v>168450300</v>
      </c>
      <c r="ES45" s="19">
        <v>390599723</v>
      </c>
      <c r="ET45" s="19">
        <v>0</v>
      </c>
      <c r="EU45" s="19">
        <v>0</v>
      </c>
      <c r="EV45" s="19">
        <v>84136472</v>
      </c>
      <c r="EW45" s="19">
        <v>13365478</v>
      </c>
      <c r="EX45" s="19">
        <v>13096692</v>
      </c>
      <c r="EY45" s="19">
        <v>0</v>
      </c>
      <c r="EZ45" s="19">
        <v>69276245</v>
      </c>
      <c r="FA45" s="19">
        <v>792120760</v>
      </c>
      <c r="FB45" s="19">
        <v>839269324</v>
      </c>
      <c r="FC45" s="19" t="s">
        <v>89</v>
      </c>
      <c r="FD45" s="19">
        <v>213290165</v>
      </c>
      <c r="FE45" s="19">
        <v>10003318657</v>
      </c>
      <c r="FF45" s="19">
        <v>0</v>
      </c>
      <c r="FG45" s="19">
        <v>147257928</v>
      </c>
      <c r="FH45" s="19">
        <v>51181530</v>
      </c>
      <c r="FI45" s="19">
        <v>50759772</v>
      </c>
      <c r="FJ45" s="19">
        <v>21256373</v>
      </c>
      <c r="FK45" s="19">
        <v>317475797</v>
      </c>
      <c r="FL45" s="19">
        <v>0</v>
      </c>
      <c r="FM45" s="19">
        <v>6540000</v>
      </c>
      <c r="FN45" s="19" t="s">
        <v>89</v>
      </c>
      <c r="FO45" s="19">
        <v>0</v>
      </c>
      <c r="FP45" s="19">
        <v>0</v>
      </c>
      <c r="FQ45" s="19" t="s">
        <v>89</v>
      </c>
      <c r="FR45" s="19">
        <v>1290635</v>
      </c>
      <c r="FS45" s="19">
        <v>0</v>
      </c>
      <c r="FT45" s="19">
        <v>0</v>
      </c>
      <c r="FU45" s="19" t="s">
        <v>89</v>
      </c>
      <c r="FV45" s="19">
        <v>592522601</v>
      </c>
      <c r="FW45" s="19">
        <v>213079081</v>
      </c>
      <c r="FX45" s="19" t="s">
        <v>157</v>
      </c>
      <c r="FY45" s="19">
        <v>41355467</v>
      </c>
      <c r="FZ45" s="19">
        <v>0</v>
      </c>
      <c r="GA45" s="19" t="s">
        <v>89</v>
      </c>
      <c r="GB45" s="19" t="s">
        <v>89</v>
      </c>
      <c r="GC45" s="19">
        <v>0</v>
      </c>
      <c r="GD45" s="19" t="s">
        <v>89</v>
      </c>
      <c r="GE45" s="19">
        <v>0</v>
      </c>
      <c r="GF45" s="19" t="s">
        <v>89</v>
      </c>
      <c r="GG45" s="19">
        <v>131966322</v>
      </c>
      <c r="GH45" s="19">
        <v>37956146</v>
      </c>
    </row>
    <row r="46" spans="1:190" ht="17.55" customHeight="1">
      <c r="A46" s="9" t="s">
        <v>0</v>
      </c>
      <c r="B46" s="15" t="s">
        <v>67</v>
      </c>
      <c r="C46" s="19"/>
      <c r="D46" s="19"/>
      <c r="E46" s="19"/>
      <c r="F46" s="19">
        <v>121231540</v>
      </c>
      <c r="G46" s="19"/>
      <c r="H46" s="19"/>
      <c r="I46" s="19"/>
      <c r="J46" s="19" t="s">
        <v>89</v>
      </c>
      <c r="K46" s="19"/>
      <c r="L46" s="19"/>
      <c r="M46" s="19">
        <v>114902640</v>
      </c>
      <c r="N46" s="19"/>
      <c r="O46" s="19">
        <v>217507941</v>
      </c>
      <c r="P46" s="19"/>
      <c r="Q46" s="19"/>
      <c r="R46" s="19">
        <v>19955165</v>
      </c>
      <c r="S46" s="19">
        <v>294857275</v>
      </c>
      <c r="T46" s="19"/>
      <c r="U46" s="19">
        <v>5885067</v>
      </c>
      <c r="V46" s="19"/>
      <c r="W46" s="19"/>
      <c r="X46" s="19"/>
      <c r="Y46" s="19"/>
      <c r="Z46" s="19">
        <v>280737726</v>
      </c>
      <c r="AA46" s="19"/>
      <c r="AB46" s="19"/>
      <c r="AC46" s="19"/>
      <c r="AD46" s="19"/>
      <c r="AE46" s="19"/>
      <c r="AF46" s="19"/>
      <c r="AG46" s="19"/>
      <c r="AH46" s="19"/>
      <c r="AI46" s="19">
        <v>232164016</v>
      </c>
      <c r="AJ46" s="19">
        <v>472126114</v>
      </c>
      <c r="AK46" s="19" t="s">
        <v>89</v>
      </c>
      <c r="AL46" s="19"/>
      <c r="AM46" s="19">
        <v>90793149</v>
      </c>
      <c r="AN46" s="19"/>
      <c r="AO46" s="19"/>
      <c r="AP46" s="19">
        <v>64106445</v>
      </c>
      <c r="AQ46" s="19"/>
      <c r="AR46" s="19">
        <v>68911611</v>
      </c>
      <c r="AS46" s="19"/>
      <c r="AT46" s="19"/>
      <c r="AU46" s="19"/>
      <c r="AV46" s="19"/>
      <c r="AW46" s="19"/>
      <c r="AX46" s="19" t="s">
        <v>96</v>
      </c>
      <c r="AY46" s="19"/>
      <c r="AZ46" s="19">
        <v>778600</v>
      </c>
      <c r="BA46" s="19">
        <v>4134197735</v>
      </c>
      <c r="BB46" s="19"/>
      <c r="BC46" s="19">
        <v>2743149839</v>
      </c>
      <c r="BD46" s="19">
        <v>81250956</v>
      </c>
      <c r="BE46" s="19"/>
      <c r="BF46" s="19">
        <v>416096180</v>
      </c>
      <c r="BG46" s="19">
        <v>263315560</v>
      </c>
      <c r="BH46" s="19">
        <v>124219553</v>
      </c>
      <c r="BI46" s="19">
        <v>198969027</v>
      </c>
      <c r="BJ46" s="19">
        <v>12297379</v>
      </c>
      <c r="BK46" s="19"/>
      <c r="BL46" s="19">
        <v>242263141</v>
      </c>
      <c r="BM46" s="19"/>
      <c r="BN46" s="19"/>
      <c r="BO46" s="19">
        <v>1039146957</v>
      </c>
      <c r="BP46" s="19"/>
      <c r="BQ46" s="19" t="s">
        <v>175</v>
      </c>
      <c r="BR46" s="19"/>
      <c r="BS46" s="19">
        <v>17101587</v>
      </c>
      <c r="BT46" s="19">
        <v>38880227</v>
      </c>
      <c r="BU46" s="19"/>
      <c r="BV46" s="19"/>
      <c r="BW46" s="19"/>
      <c r="BX46" s="19"/>
      <c r="BY46" s="19">
        <v>3350954591</v>
      </c>
      <c r="BZ46" s="19">
        <v>536784564</v>
      </c>
      <c r="CA46" s="19"/>
      <c r="CB46" s="19">
        <v>7388553</v>
      </c>
      <c r="CC46" s="19">
        <v>1192992484</v>
      </c>
      <c r="CD46" s="19"/>
      <c r="CE46" s="19"/>
      <c r="CF46" s="19"/>
      <c r="CG46" s="19"/>
      <c r="CH46" s="19">
        <v>52987349</v>
      </c>
      <c r="CI46" s="19"/>
      <c r="CJ46" s="19">
        <v>62089344</v>
      </c>
      <c r="CK46" s="19"/>
      <c r="CL46" s="19"/>
      <c r="CM46" s="19"/>
      <c r="CN46" s="19"/>
      <c r="CO46" s="19"/>
      <c r="CP46" s="19">
        <v>60609211</v>
      </c>
      <c r="CQ46" s="19" t="s">
        <v>96</v>
      </c>
      <c r="CR46" s="19"/>
      <c r="CS46" s="19"/>
      <c r="CT46" s="19"/>
      <c r="CU46" s="19"/>
      <c r="CV46" s="19">
        <v>1449321</v>
      </c>
      <c r="CW46" s="19"/>
      <c r="CX46" s="19"/>
      <c r="CY46" s="19">
        <v>969037661</v>
      </c>
      <c r="CZ46" s="19"/>
      <c r="DA46" s="19"/>
      <c r="DB46" s="19">
        <v>95207830</v>
      </c>
      <c r="DC46" s="19"/>
      <c r="DD46" s="19">
        <v>13139795</v>
      </c>
      <c r="DE46" s="19"/>
      <c r="DF46" s="19">
        <v>28751088</v>
      </c>
      <c r="DG46" s="19"/>
      <c r="DH46" s="19">
        <v>44413363</v>
      </c>
      <c r="DI46" s="19">
        <v>63846312</v>
      </c>
      <c r="DJ46" s="19"/>
      <c r="DK46" s="19">
        <v>85131348</v>
      </c>
      <c r="DL46" s="19"/>
      <c r="DM46" s="19">
        <v>1608669929</v>
      </c>
      <c r="DN46" s="19"/>
      <c r="DO46" s="19"/>
      <c r="DP46" s="19"/>
      <c r="DQ46" s="19"/>
      <c r="DR46" s="19"/>
      <c r="DS46" s="19"/>
      <c r="DT46" s="19">
        <v>8142658</v>
      </c>
      <c r="DU46" s="19"/>
      <c r="DV46" s="19"/>
      <c r="DW46" s="19">
        <v>279647515</v>
      </c>
      <c r="DX46" s="19"/>
      <c r="DY46" s="19"/>
      <c r="DZ46" s="19"/>
      <c r="EA46" s="19"/>
      <c r="EB46" s="19"/>
      <c r="EC46" s="19"/>
      <c r="ED46" s="19"/>
      <c r="EE46" s="19"/>
      <c r="EF46" s="19"/>
      <c r="EG46" s="19"/>
      <c r="EH46" s="19"/>
      <c r="EI46" s="19">
        <v>37252771</v>
      </c>
      <c r="EJ46" s="19"/>
      <c r="EK46" s="19" t="s">
        <v>89</v>
      </c>
      <c r="EL46" s="19"/>
      <c r="EM46" s="19"/>
      <c r="EN46" s="19"/>
      <c r="EO46" s="19">
        <v>2031060</v>
      </c>
      <c r="EP46" s="19"/>
      <c r="EQ46" s="19"/>
      <c r="ER46" s="19"/>
      <c r="ES46" s="19">
        <v>390599723</v>
      </c>
      <c r="ET46" s="19"/>
      <c r="EU46" s="19"/>
      <c r="EV46" s="19">
        <v>84136472</v>
      </c>
      <c r="EW46" s="19">
        <v>13365478</v>
      </c>
      <c r="EX46" s="19">
        <v>13096692</v>
      </c>
      <c r="EY46" s="19"/>
      <c r="EZ46" s="19">
        <v>17056707</v>
      </c>
      <c r="FA46" s="19">
        <v>28379276</v>
      </c>
      <c r="FB46" s="19">
        <v>499635380</v>
      </c>
      <c r="FC46" s="19" t="s">
        <v>89</v>
      </c>
      <c r="FD46" s="19"/>
      <c r="FE46" s="19">
        <v>10003318657</v>
      </c>
      <c r="FF46" s="19"/>
      <c r="FG46" s="19">
        <v>147257928</v>
      </c>
      <c r="FH46" s="19">
        <v>51181530</v>
      </c>
      <c r="FI46" s="19">
        <v>50759772</v>
      </c>
      <c r="FJ46" s="19">
        <v>21256373</v>
      </c>
      <c r="FK46" s="19">
        <v>317475797</v>
      </c>
      <c r="FL46" s="19"/>
      <c r="FM46" s="19">
        <v>6540000</v>
      </c>
      <c r="FN46" s="19" t="s">
        <v>89</v>
      </c>
      <c r="FO46" s="19"/>
      <c r="FP46" s="19"/>
      <c r="FQ46" s="19" t="s">
        <v>89</v>
      </c>
      <c r="FR46" s="19">
        <v>1290635</v>
      </c>
      <c r="FS46" s="19"/>
      <c r="FT46" s="19"/>
      <c r="FU46" s="19" t="s">
        <v>89</v>
      </c>
      <c r="FV46" s="19"/>
      <c r="FW46" s="19">
        <v>213079081</v>
      </c>
      <c r="FX46" s="19" t="s">
        <v>157</v>
      </c>
      <c r="FY46" s="19">
        <v>41355467</v>
      </c>
      <c r="FZ46" s="19"/>
      <c r="GA46" s="19" t="s">
        <v>89</v>
      </c>
      <c r="GB46" s="19" t="s">
        <v>89</v>
      </c>
      <c r="GC46" s="19"/>
      <c r="GD46" s="19" t="s">
        <v>89</v>
      </c>
      <c r="GE46" s="19"/>
      <c r="GF46" s="19" t="s">
        <v>89</v>
      </c>
      <c r="GG46" s="19"/>
      <c r="GH46" s="19"/>
    </row>
    <row r="47" spans="1:190" ht="17.55" customHeight="1">
      <c r="A47" s="9" t="s">
        <v>0</v>
      </c>
      <c r="B47" s="15" t="s">
        <v>72</v>
      </c>
      <c r="C47" s="19"/>
      <c r="D47" s="19">
        <v>2877653340</v>
      </c>
      <c r="E47" s="19">
        <v>712413704</v>
      </c>
      <c r="F47" s="19"/>
      <c r="G47" s="19">
        <v>108059208</v>
      </c>
      <c r="H47" s="19"/>
      <c r="I47" s="19"/>
      <c r="J47" s="19" t="s">
        <v>89</v>
      </c>
      <c r="K47" s="19">
        <v>2316323416</v>
      </c>
      <c r="L47" s="19">
        <v>957863660</v>
      </c>
      <c r="M47" s="19">
        <v>178793480</v>
      </c>
      <c r="N47" s="19">
        <v>485407664</v>
      </c>
      <c r="O47" s="19">
        <v>198325504</v>
      </c>
      <c r="P47" s="19"/>
      <c r="Q47" s="19">
        <v>168756380</v>
      </c>
      <c r="R47" s="19"/>
      <c r="S47" s="19">
        <v>3415079849</v>
      </c>
      <c r="T47" s="19"/>
      <c r="U47" s="19"/>
      <c r="V47" s="19">
        <v>202252634</v>
      </c>
      <c r="W47" s="19">
        <v>217760396</v>
      </c>
      <c r="X47" s="19"/>
      <c r="Y47" s="19"/>
      <c r="Z47" s="19"/>
      <c r="AA47" s="19">
        <v>4928994000</v>
      </c>
      <c r="AB47" s="19"/>
      <c r="AC47" s="19">
        <v>1207168780</v>
      </c>
      <c r="AD47" s="19">
        <v>1758584503</v>
      </c>
      <c r="AE47" s="19">
        <v>382470108</v>
      </c>
      <c r="AF47" s="19"/>
      <c r="AG47" s="19"/>
      <c r="AH47" s="19"/>
      <c r="AI47" s="19"/>
      <c r="AJ47" s="19"/>
      <c r="AK47" s="19" t="s">
        <v>89</v>
      </c>
      <c r="AL47" s="19">
        <v>19637859</v>
      </c>
      <c r="AM47" s="19"/>
      <c r="AN47" s="19">
        <v>12453392</v>
      </c>
      <c r="AO47" s="19"/>
      <c r="AP47" s="19"/>
      <c r="AQ47" s="19"/>
      <c r="AR47" s="19"/>
      <c r="AS47" s="19"/>
      <c r="AT47" s="19">
        <v>2402735856</v>
      </c>
      <c r="AU47" s="19">
        <v>102368650</v>
      </c>
      <c r="AV47" s="19"/>
      <c r="AW47" s="19">
        <v>261174963</v>
      </c>
      <c r="AX47" s="19" t="s">
        <v>96</v>
      </c>
      <c r="AY47" s="19">
        <v>179595570</v>
      </c>
      <c r="AZ47" s="19">
        <v>637480678</v>
      </c>
      <c r="BA47" s="19">
        <v>2525908</v>
      </c>
      <c r="BB47" s="19"/>
      <c r="BC47" s="19">
        <v>299536465</v>
      </c>
      <c r="BD47" s="19"/>
      <c r="BE47" s="19">
        <v>735821486</v>
      </c>
      <c r="BF47" s="19">
        <v>1088484696</v>
      </c>
      <c r="BG47" s="19">
        <v>1218844036</v>
      </c>
      <c r="BH47" s="19">
        <v>387043572</v>
      </c>
      <c r="BI47" s="19"/>
      <c r="BJ47" s="19">
        <v>306205933</v>
      </c>
      <c r="BK47" s="19">
        <v>398403606</v>
      </c>
      <c r="BL47" s="19"/>
      <c r="BM47" s="19">
        <v>237705108</v>
      </c>
      <c r="BN47" s="19">
        <v>413590520</v>
      </c>
      <c r="BO47" s="19">
        <v>107450874</v>
      </c>
      <c r="BP47" s="19"/>
      <c r="BQ47" s="19" t="s">
        <v>175</v>
      </c>
      <c r="BR47" s="19">
        <v>492145737</v>
      </c>
      <c r="BS47" s="19"/>
      <c r="BT47" s="19"/>
      <c r="BU47" s="19">
        <v>93225543</v>
      </c>
      <c r="BV47" s="19"/>
      <c r="BW47" s="19"/>
      <c r="BX47" s="19"/>
      <c r="BY47" s="19">
        <v>261836525</v>
      </c>
      <c r="BZ47" s="19"/>
      <c r="CA47" s="19"/>
      <c r="CB47" s="19"/>
      <c r="CC47" s="19"/>
      <c r="CD47" s="19">
        <v>1014825825</v>
      </c>
      <c r="CE47" s="19">
        <v>347672647</v>
      </c>
      <c r="CF47" s="19">
        <v>28364895</v>
      </c>
      <c r="CG47" s="19"/>
      <c r="CH47" s="19"/>
      <c r="CI47" s="19">
        <v>808265973</v>
      </c>
      <c r="CJ47" s="19">
        <v>131079240</v>
      </c>
      <c r="CK47" s="19">
        <v>1793866418</v>
      </c>
      <c r="CL47" s="19">
        <v>283188295</v>
      </c>
      <c r="CM47" s="19"/>
      <c r="CN47" s="19"/>
      <c r="CO47" s="19"/>
      <c r="CP47" s="19"/>
      <c r="CQ47" s="19" t="s">
        <v>96</v>
      </c>
      <c r="CR47" s="19">
        <v>824679713</v>
      </c>
      <c r="CS47" s="19">
        <v>50400615</v>
      </c>
      <c r="CT47" s="19"/>
      <c r="CU47" s="19"/>
      <c r="CV47" s="19"/>
      <c r="CW47" s="19"/>
      <c r="CX47" s="19"/>
      <c r="CY47" s="19">
        <v>3909058336</v>
      </c>
      <c r="CZ47" s="19"/>
      <c r="DA47" s="19"/>
      <c r="DB47" s="19">
        <v>368907914</v>
      </c>
      <c r="DC47" s="19"/>
      <c r="DD47" s="19"/>
      <c r="DE47" s="19"/>
      <c r="DF47" s="19"/>
      <c r="DG47" s="19"/>
      <c r="DH47" s="19">
        <v>7101330</v>
      </c>
      <c r="DI47" s="19">
        <v>1705577199</v>
      </c>
      <c r="DJ47" s="19"/>
      <c r="DK47" s="19">
        <v>762264952</v>
      </c>
      <c r="DL47" s="19"/>
      <c r="DM47" s="19"/>
      <c r="DN47" s="19">
        <v>326982883</v>
      </c>
      <c r="DO47" s="19"/>
      <c r="DP47" s="19">
        <v>1304887838</v>
      </c>
      <c r="DQ47" s="19">
        <v>341969491</v>
      </c>
      <c r="DR47" s="19">
        <v>111921180</v>
      </c>
      <c r="DS47" s="19"/>
      <c r="DT47" s="19"/>
      <c r="DU47" s="19"/>
      <c r="DV47" s="19"/>
      <c r="DW47" s="19">
        <v>659441071</v>
      </c>
      <c r="DX47" s="19"/>
      <c r="DY47" s="19">
        <v>110686857</v>
      </c>
      <c r="DZ47" s="19"/>
      <c r="EA47" s="19"/>
      <c r="EB47" s="19"/>
      <c r="EC47" s="19">
        <v>315316825</v>
      </c>
      <c r="ED47" s="19"/>
      <c r="EE47" s="19">
        <v>250900107</v>
      </c>
      <c r="EF47" s="19">
        <v>1353308654</v>
      </c>
      <c r="EG47" s="19">
        <v>70010039</v>
      </c>
      <c r="EH47" s="19"/>
      <c r="EI47" s="19"/>
      <c r="EJ47" s="19"/>
      <c r="EK47" s="19" t="s">
        <v>89</v>
      </c>
      <c r="EL47" s="19">
        <v>4407154277</v>
      </c>
      <c r="EM47" s="19">
        <v>669881866</v>
      </c>
      <c r="EN47" s="19"/>
      <c r="EO47" s="19"/>
      <c r="EP47" s="19">
        <v>192640937</v>
      </c>
      <c r="EQ47" s="19"/>
      <c r="ER47" s="19"/>
      <c r="ES47" s="19"/>
      <c r="ET47" s="19"/>
      <c r="EU47" s="19"/>
      <c r="EV47" s="19"/>
      <c r="EW47" s="19"/>
      <c r="EX47" s="19"/>
      <c r="EY47" s="19"/>
      <c r="EZ47" s="19"/>
      <c r="FA47" s="19"/>
      <c r="FB47" s="19">
        <v>339633944</v>
      </c>
      <c r="FC47" s="19" t="s">
        <v>89</v>
      </c>
      <c r="FD47" s="19">
        <v>213290165</v>
      </c>
      <c r="FE47" s="19"/>
      <c r="FF47" s="19"/>
      <c r="FG47" s="19"/>
      <c r="FH47" s="19"/>
      <c r="FI47" s="19"/>
      <c r="FJ47" s="19"/>
      <c r="FK47" s="19"/>
      <c r="FL47" s="19"/>
      <c r="FM47" s="19"/>
      <c r="FN47" s="19" t="s">
        <v>89</v>
      </c>
      <c r="FO47" s="19"/>
      <c r="FP47" s="19"/>
      <c r="FQ47" s="19" t="s">
        <v>89</v>
      </c>
      <c r="FR47" s="19"/>
      <c r="FS47" s="19"/>
      <c r="FT47" s="19"/>
      <c r="FU47" s="19" t="s">
        <v>89</v>
      </c>
      <c r="FV47" s="19"/>
      <c r="FW47" s="19"/>
      <c r="FX47" s="19" t="s">
        <v>157</v>
      </c>
      <c r="FY47" s="19"/>
      <c r="FZ47" s="19"/>
      <c r="GA47" s="19" t="s">
        <v>89</v>
      </c>
      <c r="GB47" s="19" t="s">
        <v>89</v>
      </c>
      <c r="GC47" s="19"/>
      <c r="GD47" s="19" t="s">
        <v>89</v>
      </c>
      <c r="GE47" s="19"/>
      <c r="GF47" s="19" t="s">
        <v>89</v>
      </c>
      <c r="GG47" s="19">
        <v>131966322</v>
      </c>
      <c r="GH47" s="19">
        <v>37956146</v>
      </c>
    </row>
    <row r="48" spans="1:190" ht="17.55" customHeight="1">
      <c r="A48" s="9" t="s">
        <v>0</v>
      </c>
      <c r="B48" s="15" t="s">
        <v>63</v>
      </c>
      <c r="C48" s="19"/>
      <c r="D48" s="19"/>
      <c r="E48" s="19"/>
      <c r="F48" s="19"/>
      <c r="G48" s="19"/>
      <c r="H48" s="19"/>
      <c r="I48" s="19"/>
      <c r="J48" s="19" t="s">
        <v>89</v>
      </c>
      <c r="K48" s="19"/>
      <c r="L48" s="19"/>
      <c r="M48" s="19"/>
      <c r="N48" s="19"/>
      <c r="O48" s="19"/>
      <c r="P48" s="19">
        <v>620936224</v>
      </c>
      <c r="Q48" s="19"/>
      <c r="R48" s="19"/>
      <c r="S48" s="19"/>
      <c r="T48" s="19"/>
      <c r="U48" s="19"/>
      <c r="V48" s="19"/>
      <c r="W48" s="19">
        <v>679100812</v>
      </c>
      <c r="X48" s="19">
        <v>927306096</v>
      </c>
      <c r="Y48" s="19"/>
      <c r="Z48" s="19"/>
      <c r="AA48" s="19"/>
      <c r="AB48" s="19"/>
      <c r="AC48" s="19"/>
      <c r="AD48" s="19"/>
      <c r="AE48" s="19"/>
      <c r="AF48" s="19"/>
      <c r="AG48" s="19"/>
      <c r="AH48" s="19"/>
      <c r="AI48" s="19"/>
      <c r="AJ48" s="19"/>
      <c r="AK48" s="19" t="s">
        <v>89</v>
      </c>
      <c r="AL48" s="19"/>
      <c r="AM48" s="19"/>
      <c r="AN48" s="19"/>
      <c r="AO48" s="19">
        <v>373464144</v>
      </c>
      <c r="AP48" s="19"/>
      <c r="AQ48" s="19">
        <v>45810060</v>
      </c>
      <c r="AR48" s="19"/>
      <c r="AS48" s="19"/>
      <c r="AT48" s="19"/>
      <c r="AU48" s="19"/>
      <c r="AV48" s="19"/>
      <c r="AW48" s="19"/>
      <c r="AX48" s="19" t="s">
        <v>96</v>
      </c>
      <c r="AY48" s="19"/>
      <c r="AZ48" s="19"/>
      <c r="BA48" s="19"/>
      <c r="BB48" s="19"/>
      <c r="BC48" s="19"/>
      <c r="BD48" s="19"/>
      <c r="BE48" s="19"/>
      <c r="BF48" s="19"/>
      <c r="BG48" s="19"/>
      <c r="BH48" s="19"/>
      <c r="BI48" s="19"/>
      <c r="BJ48" s="19"/>
      <c r="BK48" s="19"/>
      <c r="BL48" s="19"/>
      <c r="BM48" s="19"/>
      <c r="BN48" s="19"/>
      <c r="BO48" s="19"/>
      <c r="BP48" s="19"/>
      <c r="BQ48" s="19" t="s">
        <v>175</v>
      </c>
      <c r="BR48" s="19"/>
      <c r="BS48" s="19"/>
      <c r="BT48" s="19"/>
      <c r="BU48" s="19"/>
      <c r="BV48" s="19"/>
      <c r="BW48" s="19"/>
      <c r="BX48" s="19"/>
      <c r="BY48" s="19"/>
      <c r="BZ48" s="19"/>
      <c r="CA48" s="19"/>
      <c r="CB48" s="19"/>
      <c r="CC48" s="19"/>
      <c r="CD48" s="19"/>
      <c r="CE48" s="19"/>
      <c r="CF48" s="19"/>
      <c r="CG48" s="19">
        <v>8421550</v>
      </c>
      <c r="CH48" s="19"/>
      <c r="CI48" s="19"/>
      <c r="CJ48" s="19"/>
      <c r="CK48" s="19"/>
      <c r="CL48" s="19"/>
      <c r="CM48" s="19"/>
      <c r="CN48" s="19"/>
      <c r="CO48" s="19"/>
      <c r="CP48" s="19"/>
      <c r="CQ48" s="19" t="s">
        <v>96</v>
      </c>
      <c r="CR48" s="19"/>
      <c r="CS48" s="19"/>
      <c r="CT48" s="19"/>
      <c r="CU48" s="19"/>
      <c r="CV48" s="19"/>
      <c r="CW48" s="19">
        <v>241703416</v>
      </c>
      <c r="CX48" s="19"/>
      <c r="CY48" s="19"/>
      <c r="CZ48" s="19"/>
      <c r="DA48" s="19"/>
      <c r="DB48" s="19"/>
      <c r="DC48" s="19"/>
      <c r="DD48" s="19"/>
      <c r="DE48" s="19"/>
      <c r="DF48" s="19"/>
      <c r="DG48" s="19"/>
      <c r="DH48" s="19">
        <v>325110862</v>
      </c>
      <c r="DI48" s="19"/>
      <c r="DJ48" s="19"/>
      <c r="DK48" s="19">
        <v>405815596</v>
      </c>
      <c r="DL48" s="19"/>
      <c r="DM48" s="19"/>
      <c r="DN48" s="19">
        <v>12994000</v>
      </c>
      <c r="DO48" s="19"/>
      <c r="DP48" s="19"/>
      <c r="DQ48" s="19"/>
      <c r="DR48" s="19"/>
      <c r="DS48" s="19"/>
      <c r="DT48" s="19"/>
      <c r="DU48" s="19"/>
      <c r="DV48" s="19"/>
      <c r="DW48" s="19"/>
      <c r="DX48" s="19"/>
      <c r="DY48" s="19"/>
      <c r="DZ48" s="19">
        <v>1189375213</v>
      </c>
      <c r="EA48" s="19"/>
      <c r="EB48" s="19"/>
      <c r="EC48" s="19"/>
      <c r="ED48" s="19"/>
      <c r="EE48" s="19"/>
      <c r="EF48" s="19"/>
      <c r="EG48" s="19">
        <v>368678380</v>
      </c>
      <c r="EH48" s="19">
        <v>107821853</v>
      </c>
      <c r="EI48" s="19">
        <v>1074015605</v>
      </c>
      <c r="EJ48" s="19"/>
      <c r="EK48" s="19" t="s">
        <v>89</v>
      </c>
      <c r="EL48" s="19"/>
      <c r="EM48" s="19"/>
      <c r="EN48" s="19"/>
      <c r="EO48" s="19">
        <v>565337729</v>
      </c>
      <c r="EP48" s="19"/>
      <c r="EQ48" s="19"/>
      <c r="ER48" s="19">
        <v>168450300</v>
      </c>
      <c r="ES48" s="19"/>
      <c r="ET48" s="19"/>
      <c r="EU48" s="19"/>
      <c r="EV48" s="19"/>
      <c r="EW48" s="19"/>
      <c r="EX48" s="19"/>
      <c r="EY48" s="19"/>
      <c r="EZ48" s="19">
        <v>52219538</v>
      </c>
      <c r="FA48" s="19">
        <v>763741484</v>
      </c>
      <c r="FB48" s="19"/>
      <c r="FC48" s="19" t="s">
        <v>89</v>
      </c>
      <c r="FD48" s="19"/>
      <c r="FE48" s="19"/>
      <c r="FF48" s="19"/>
      <c r="FG48" s="19"/>
      <c r="FH48" s="19"/>
      <c r="FI48" s="19"/>
      <c r="FJ48" s="19"/>
      <c r="FK48" s="19"/>
      <c r="FL48" s="19"/>
      <c r="FM48" s="19"/>
      <c r="FN48" s="19" t="s">
        <v>89</v>
      </c>
      <c r="FO48" s="19"/>
      <c r="FP48" s="19"/>
      <c r="FQ48" s="19" t="s">
        <v>89</v>
      </c>
      <c r="FR48" s="19"/>
      <c r="FS48" s="19"/>
      <c r="FT48" s="19"/>
      <c r="FU48" s="19" t="s">
        <v>89</v>
      </c>
      <c r="FV48" s="19">
        <v>592522601</v>
      </c>
      <c r="FW48" s="19"/>
      <c r="FX48" s="19" t="s">
        <v>157</v>
      </c>
      <c r="FY48" s="19"/>
      <c r="FZ48" s="19"/>
      <c r="GA48" s="19" t="s">
        <v>89</v>
      </c>
      <c r="GB48" s="19" t="s">
        <v>89</v>
      </c>
      <c r="GC48" s="19"/>
      <c r="GD48" s="19" t="s">
        <v>89</v>
      </c>
      <c r="GE48" s="19"/>
      <c r="GF48" s="19" t="s">
        <v>89</v>
      </c>
      <c r="GG48" s="19"/>
      <c r="GH48" s="19"/>
    </row>
    <row r="49" spans="1:190" ht="17.55" customHeight="1">
      <c r="A49" s="9" t="s">
        <v>0</v>
      </c>
      <c r="B49" s="15" t="s">
        <v>64</v>
      </c>
      <c r="C49" s="19"/>
      <c r="D49" s="19"/>
      <c r="E49" s="19"/>
      <c r="F49" s="19"/>
      <c r="G49" s="19"/>
      <c r="H49" s="19"/>
      <c r="I49" s="19"/>
      <c r="J49" s="19" t="s">
        <v>89</v>
      </c>
      <c r="K49" s="19"/>
      <c r="L49" s="19"/>
      <c r="M49" s="19"/>
      <c r="N49" s="19"/>
      <c r="O49" s="19"/>
      <c r="P49" s="19"/>
      <c r="Q49" s="19"/>
      <c r="R49" s="19"/>
      <c r="S49" s="19"/>
      <c r="T49" s="19"/>
      <c r="U49" s="19"/>
      <c r="V49" s="19"/>
      <c r="W49" s="19">
        <v>84978839</v>
      </c>
      <c r="X49" s="19"/>
      <c r="Y49" s="19"/>
      <c r="Z49" s="19"/>
      <c r="AA49" s="19"/>
      <c r="AB49" s="19"/>
      <c r="AC49" s="19"/>
      <c r="AD49" s="19"/>
      <c r="AE49" s="19"/>
      <c r="AF49" s="19"/>
      <c r="AG49" s="19"/>
      <c r="AH49" s="19"/>
      <c r="AI49" s="19">
        <v>19150788</v>
      </c>
      <c r="AJ49" s="19"/>
      <c r="AK49" s="19" t="s">
        <v>89</v>
      </c>
      <c r="AL49" s="19"/>
      <c r="AM49" s="19">
        <v>5007142667</v>
      </c>
      <c r="AN49" s="19"/>
      <c r="AO49" s="19"/>
      <c r="AP49" s="19"/>
      <c r="AQ49" s="19">
        <v>1867570</v>
      </c>
      <c r="AR49" s="19"/>
      <c r="AS49" s="19"/>
      <c r="AT49" s="19"/>
      <c r="AU49" s="19"/>
      <c r="AV49" s="19"/>
      <c r="AW49" s="19"/>
      <c r="AX49" s="19" t="s">
        <v>96</v>
      </c>
      <c r="AY49" s="19"/>
      <c r="AZ49" s="19"/>
      <c r="BA49" s="19"/>
      <c r="BB49" s="19"/>
      <c r="BC49" s="19"/>
      <c r="BD49" s="19"/>
      <c r="BE49" s="19"/>
      <c r="BF49" s="19"/>
      <c r="BG49" s="19"/>
      <c r="BH49" s="19"/>
      <c r="BI49" s="19"/>
      <c r="BJ49" s="19"/>
      <c r="BK49" s="19"/>
      <c r="BL49" s="19"/>
      <c r="BM49" s="19"/>
      <c r="BN49" s="19"/>
      <c r="BO49" s="19"/>
      <c r="BP49" s="19"/>
      <c r="BQ49" s="19" t="s">
        <v>175</v>
      </c>
      <c r="BR49" s="19"/>
      <c r="BS49" s="19"/>
      <c r="BT49" s="19"/>
      <c r="BU49" s="19"/>
      <c r="BV49" s="19"/>
      <c r="BW49" s="19"/>
      <c r="BX49" s="19"/>
      <c r="BY49" s="19"/>
      <c r="BZ49" s="19"/>
      <c r="CA49" s="19"/>
      <c r="CB49" s="19"/>
      <c r="CC49" s="19"/>
      <c r="CD49" s="19"/>
      <c r="CE49" s="19"/>
      <c r="CF49" s="19"/>
      <c r="CG49" s="19"/>
      <c r="CH49" s="19"/>
      <c r="CI49" s="19"/>
      <c r="CJ49" s="19"/>
      <c r="CK49" s="19"/>
      <c r="CL49" s="19"/>
      <c r="CM49" s="19"/>
      <c r="CN49" s="19"/>
      <c r="CO49" s="19"/>
      <c r="CP49" s="19"/>
      <c r="CQ49" s="19" t="s">
        <v>96</v>
      </c>
      <c r="CR49" s="19"/>
      <c r="CS49" s="19"/>
      <c r="CT49" s="19"/>
      <c r="CU49" s="19"/>
      <c r="CV49" s="19"/>
      <c r="CW49" s="19"/>
      <c r="CX49" s="19"/>
      <c r="CY49" s="19"/>
      <c r="CZ49" s="19"/>
      <c r="DA49" s="19"/>
      <c r="DB49" s="19"/>
      <c r="DC49" s="19"/>
      <c r="DD49" s="19"/>
      <c r="DE49" s="19"/>
      <c r="DF49" s="19"/>
      <c r="DG49" s="19"/>
      <c r="DH49" s="19"/>
      <c r="DI49" s="19"/>
      <c r="DJ49" s="19"/>
      <c r="DK49" s="19"/>
      <c r="DL49" s="19"/>
      <c r="DM49" s="19"/>
      <c r="DN49" s="19"/>
      <c r="DO49" s="19"/>
      <c r="DP49" s="19"/>
      <c r="DQ49" s="19"/>
      <c r="DR49" s="19"/>
      <c r="DS49" s="19"/>
      <c r="DT49" s="19"/>
      <c r="DU49" s="19"/>
      <c r="DV49" s="19"/>
      <c r="DW49" s="19"/>
      <c r="DX49" s="19"/>
      <c r="DY49" s="19"/>
      <c r="DZ49" s="19"/>
      <c r="EA49" s="19"/>
      <c r="EB49" s="19"/>
      <c r="EC49" s="19"/>
      <c r="ED49" s="19"/>
      <c r="EE49" s="19"/>
      <c r="EF49" s="19"/>
      <c r="EG49" s="19"/>
      <c r="EH49" s="19">
        <v>52231287</v>
      </c>
      <c r="EI49" s="19"/>
      <c r="EJ49" s="19"/>
      <c r="EK49" s="19" t="s">
        <v>89</v>
      </c>
      <c r="EL49" s="19"/>
      <c r="EM49" s="19"/>
      <c r="EN49" s="19"/>
      <c r="EO49" s="19"/>
      <c r="EP49" s="19"/>
      <c r="EQ49" s="19"/>
      <c r="ER49" s="19"/>
      <c r="ES49" s="19"/>
      <c r="ET49" s="19"/>
      <c r="EU49" s="19"/>
      <c r="EV49" s="19"/>
      <c r="EW49" s="19"/>
      <c r="EX49" s="19"/>
      <c r="EY49" s="19"/>
      <c r="EZ49" s="19"/>
      <c r="FA49" s="19"/>
      <c r="FB49" s="19"/>
      <c r="FC49" s="19" t="s">
        <v>89</v>
      </c>
      <c r="FD49" s="19"/>
      <c r="FE49" s="19"/>
      <c r="FF49" s="19"/>
      <c r="FG49" s="19"/>
      <c r="FH49" s="19"/>
      <c r="FI49" s="19"/>
      <c r="FJ49" s="19"/>
      <c r="FK49" s="19"/>
      <c r="FL49" s="19"/>
      <c r="FM49" s="19"/>
      <c r="FN49" s="19" t="s">
        <v>89</v>
      </c>
      <c r="FO49" s="19"/>
      <c r="FP49" s="19"/>
      <c r="FQ49" s="19" t="s">
        <v>89</v>
      </c>
      <c r="FR49" s="19"/>
      <c r="FS49" s="19"/>
      <c r="FT49" s="19"/>
      <c r="FU49" s="19" t="s">
        <v>89</v>
      </c>
      <c r="FV49" s="19"/>
      <c r="FW49" s="19"/>
      <c r="FX49" s="19" t="s">
        <v>157</v>
      </c>
      <c r="FY49" s="19"/>
      <c r="FZ49" s="19"/>
      <c r="GA49" s="19" t="s">
        <v>89</v>
      </c>
      <c r="GB49" s="19" t="s">
        <v>89</v>
      </c>
      <c r="GC49" s="19"/>
      <c r="GD49" s="19" t="s">
        <v>89</v>
      </c>
      <c r="GE49" s="19"/>
      <c r="GF49" s="19" t="s">
        <v>89</v>
      </c>
      <c r="GG49" s="19"/>
      <c r="GH49" s="19"/>
    </row>
    <row r="50" spans="1:190" ht="17.55" customHeight="1">
      <c r="A50" s="9" t="s">
        <v>0</v>
      </c>
      <c r="B50" s="10" t="s">
        <v>14</v>
      </c>
      <c r="C50" s="19">
        <v>1144886890</v>
      </c>
      <c r="D50" s="19">
        <v>-142104044</v>
      </c>
      <c r="E50" s="19">
        <v>267915726</v>
      </c>
      <c r="F50" s="19">
        <v>2029512981</v>
      </c>
      <c r="G50" s="19">
        <v>146887318</v>
      </c>
      <c r="H50" s="19">
        <v>4008898602</v>
      </c>
      <c r="I50" s="19">
        <v>5076772228</v>
      </c>
      <c r="J50" s="19" t="s">
        <v>89</v>
      </c>
      <c r="K50" s="19">
        <v>14197675</v>
      </c>
      <c r="L50" s="19">
        <v>143744643</v>
      </c>
      <c r="M50" s="19">
        <v>2331739668</v>
      </c>
      <c r="N50" s="19">
        <v>325372795</v>
      </c>
      <c r="O50" s="19">
        <v>3940415305</v>
      </c>
      <c r="P50" s="19">
        <v>4914683675</v>
      </c>
      <c r="Q50" s="19">
        <v>159786002</v>
      </c>
      <c r="R50" s="19">
        <v>1204757860</v>
      </c>
      <c r="S50" s="19">
        <v>1803420694</v>
      </c>
      <c r="T50" s="19">
        <v>75322795</v>
      </c>
      <c r="U50" s="19">
        <v>1484550026</v>
      </c>
      <c r="V50" s="19">
        <v>107747599</v>
      </c>
      <c r="W50" s="19">
        <v>1847895771</v>
      </c>
      <c r="X50" s="19">
        <v>1078232785</v>
      </c>
      <c r="Y50" s="19">
        <v>727337659</v>
      </c>
      <c r="Z50" s="19">
        <v>634826048</v>
      </c>
      <c r="AA50" s="19">
        <v>403695886</v>
      </c>
      <c r="AB50" s="19">
        <v>965251914</v>
      </c>
      <c r="AC50" s="19">
        <v>197091220</v>
      </c>
      <c r="AD50" s="19">
        <v>325435124</v>
      </c>
      <c r="AE50" s="19">
        <v>527758052</v>
      </c>
      <c r="AF50" s="19">
        <v>270050070</v>
      </c>
      <c r="AG50" s="19">
        <v>2083281328</v>
      </c>
      <c r="AH50" s="19">
        <v>837381325</v>
      </c>
      <c r="AI50" s="19">
        <v>211754595</v>
      </c>
      <c r="AJ50" s="19">
        <v>740660505</v>
      </c>
      <c r="AK50" s="19" t="s">
        <v>89</v>
      </c>
      <c r="AL50" s="19">
        <v>1110145319</v>
      </c>
      <c r="AM50" s="19">
        <v>1287141881</v>
      </c>
      <c r="AN50" s="19">
        <v>387017501</v>
      </c>
      <c r="AO50" s="19">
        <v>956241622</v>
      </c>
      <c r="AP50" s="19">
        <v>683796597</v>
      </c>
      <c r="AQ50" s="19">
        <v>44588246</v>
      </c>
      <c r="AR50" s="19">
        <v>305983081</v>
      </c>
      <c r="AS50" s="19">
        <v>1224948558</v>
      </c>
      <c r="AT50" s="19">
        <v>695537618</v>
      </c>
      <c r="AU50" s="19">
        <v>729739928</v>
      </c>
      <c r="AV50" s="19">
        <v>86789896</v>
      </c>
      <c r="AW50" s="19">
        <v>-26436779</v>
      </c>
      <c r="AX50" s="19" t="s">
        <v>96</v>
      </c>
      <c r="AY50" s="19">
        <v>648340746</v>
      </c>
      <c r="AZ50" s="19">
        <v>356481231</v>
      </c>
      <c r="BA50" s="19">
        <v>1822381358</v>
      </c>
      <c r="BB50" s="19">
        <v>80313645</v>
      </c>
      <c r="BC50" s="19">
        <v>943184718</v>
      </c>
      <c r="BD50" s="19">
        <v>95540059</v>
      </c>
      <c r="BE50" s="19">
        <v>293863222</v>
      </c>
      <c r="BF50" s="19">
        <v>503431529</v>
      </c>
      <c r="BG50" s="19">
        <v>1462107327</v>
      </c>
      <c r="BH50" s="19">
        <v>138822915</v>
      </c>
      <c r="BI50" s="19">
        <v>294313868</v>
      </c>
      <c r="BJ50" s="19">
        <v>316684842</v>
      </c>
      <c r="BK50" s="19">
        <v>355645380</v>
      </c>
      <c r="BL50" s="19">
        <v>952483191</v>
      </c>
      <c r="BM50" s="19">
        <v>269307416</v>
      </c>
      <c r="BN50" s="19">
        <v>139899686</v>
      </c>
      <c r="BO50" s="19">
        <v>148460582</v>
      </c>
      <c r="BP50" s="19">
        <v>62512015</v>
      </c>
      <c r="BQ50" s="19" t="s">
        <v>175</v>
      </c>
      <c r="BR50" s="19">
        <v>114203157</v>
      </c>
      <c r="BS50" s="19">
        <v>85537841</v>
      </c>
      <c r="BT50" s="19">
        <v>122213946</v>
      </c>
      <c r="BU50" s="19">
        <v>6125413</v>
      </c>
      <c r="BV50" s="19">
        <v>260830921</v>
      </c>
      <c r="BW50" s="19">
        <v>416026084</v>
      </c>
      <c r="BX50" s="19">
        <v>839045127</v>
      </c>
      <c r="BY50" s="19">
        <v>1325986962</v>
      </c>
      <c r="BZ50" s="19">
        <v>725814830</v>
      </c>
      <c r="CA50" s="19">
        <v>414445410</v>
      </c>
      <c r="CB50" s="19">
        <v>382782953</v>
      </c>
      <c r="CC50" s="19">
        <v>149656068</v>
      </c>
      <c r="CD50" s="19">
        <v>394783107</v>
      </c>
      <c r="CE50" s="19">
        <v>79729279</v>
      </c>
      <c r="CF50" s="19">
        <v>-4825949</v>
      </c>
      <c r="CG50" s="19">
        <v>1278596321</v>
      </c>
      <c r="CH50" s="19">
        <v>50665017</v>
      </c>
      <c r="CI50" s="19">
        <v>-471442979</v>
      </c>
      <c r="CJ50" s="19">
        <v>46337337</v>
      </c>
      <c r="CK50" s="19">
        <v>618303083</v>
      </c>
      <c r="CL50" s="19">
        <v>96476770</v>
      </c>
      <c r="CM50" s="19">
        <v>4898782537</v>
      </c>
      <c r="CN50" s="19">
        <v>288849108</v>
      </c>
      <c r="CO50" s="19">
        <v>224895850</v>
      </c>
      <c r="CP50" s="19">
        <v>1162447723</v>
      </c>
      <c r="CQ50" s="19" t="s">
        <v>96</v>
      </c>
      <c r="CR50" s="19">
        <v>517533230</v>
      </c>
      <c r="CS50" s="19">
        <v>327819384</v>
      </c>
      <c r="CT50" s="19">
        <v>354504089</v>
      </c>
      <c r="CU50" s="19">
        <v>1208108933</v>
      </c>
      <c r="CV50" s="19">
        <v>8352228</v>
      </c>
      <c r="CW50" s="19">
        <v>1371205780</v>
      </c>
      <c r="CX50" s="19">
        <v>686243384</v>
      </c>
      <c r="CY50" s="19">
        <v>5858431538</v>
      </c>
      <c r="CZ50" s="19">
        <v>862235146</v>
      </c>
      <c r="DA50" s="19">
        <v>219638490</v>
      </c>
      <c r="DB50" s="19">
        <v>399146903</v>
      </c>
      <c r="DC50" s="19">
        <v>197025007</v>
      </c>
      <c r="DD50" s="19">
        <v>194407277</v>
      </c>
      <c r="DE50" s="19">
        <v>1186972267</v>
      </c>
      <c r="DF50" s="19">
        <v>94965943</v>
      </c>
      <c r="DG50" s="19">
        <v>882257806</v>
      </c>
      <c r="DH50" s="19">
        <v>234000718</v>
      </c>
      <c r="DI50" s="19">
        <v>555258761</v>
      </c>
      <c r="DJ50" s="19">
        <v>167972843</v>
      </c>
      <c r="DK50" s="19">
        <v>559864382</v>
      </c>
      <c r="DL50" s="19">
        <v>91928752</v>
      </c>
      <c r="DM50" s="19">
        <v>690379102</v>
      </c>
      <c r="DN50" s="19">
        <v>137449637</v>
      </c>
      <c r="DO50" s="19">
        <v>353918631</v>
      </c>
      <c r="DP50" s="19">
        <v>295470310</v>
      </c>
      <c r="DQ50" s="19">
        <v>105577753</v>
      </c>
      <c r="DR50" s="19">
        <v>145238961</v>
      </c>
      <c r="DS50" s="19">
        <v>484580536</v>
      </c>
      <c r="DT50" s="19">
        <v>958434240</v>
      </c>
      <c r="DU50" s="19">
        <v>226271160</v>
      </c>
      <c r="DV50" s="19">
        <v>0</v>
      </c>
      <c r="DW50" s="19">
        <v>525411836</v>
      </c>
      <c r="DX50" s="19">
        <v>610576101</v>
      </c>
      <c r="DY50" s="19">
        <v>395375616</v>
      </c>
      <c r="DZ50" s="19">
        <v>415234754</v>
      </c>
      <c r="EA50" s="19">
        <v>130581338</v>
      </c>
      <c r="EB50" s="19">
        <v>2890311907</v>
      </c>
      <c r="EC50" s="19">
        <v>126354901</v>
      </c>
      <c r="ED50" s="19">
        <v>71087640</v>
      </c>
      <c r="EE50" s="19">
        <v>82163227</v>
      </c>
      <c r="EF50" s="19">
        <v>300890091</v>
      </c>
      <c r="EG50" s="19">
        <v>-36628832</v>
      </c>
      <c r="EH50" s="19">
        <v>84902218</v>
      </c>
      <c r="EI50" s="19">
        <v>642380228</v>
      </c>
      <c r="EJ50" s="19">
        <v>89770327</v>
      </c>
      <c r="EK50" s="19" t="s">
        <v>89</v>
      </c>
      <c r="EL50" s="19">
        <v>448771207</v>
      </c>
      <c r="EM50" s="19">
        <v>256644425</v>
      </c>
      <c r="EN50" s="19">
        <v>6477759792</v>
      </c>
      <c r="EO50" s="19">
        <v>1426326035</v>
      </c>
      <c r="EP50" s="19">
        <v>191011280</v>
      </c>
      <c r="EQ50" s="19">
        <v>2556674849</v>
      </c>
      <c r="ER50" s="19">
        <v>2730366843</v>
      </c>
      <c r="ES50" s="19">
        <v>372392572</v>
      </c>
      <c r="ET50" s="19">
        <v>105908048</v>
      </c>
      <c r="EU50" s="19">
        <v>352091993</v>
      </c>
      <c r="EV50" s="19">
        <v>111070678</v>
      </c>
      <c r="EW50" s="19">
        <v>158545264</v>
      </c>
      <c r="EX50" s="19">
        <v>1937445644</v>
      </c>
      <c r="EY50" s="19">
        <v>3832346112</v>
      </c>
      <c r="EZ50" s="19">
        <v>260429340</v>
      </c>
      <c r="FA50" s="19">
        <v>525963815</v>
      </c>
      <c r="FB50" s="19">
        <v>252829022</v>
      </c>
      <c r="FC50" s="19" t="s">
        <v>89</v>
      </c>
      <c r="FD50" s="19">
        <v>110980042</v>
      </c>
      <c r="FE50" s="19">
        <v>3585319320</v>
      </c>
      <c r="FF50" s="19">
        <v>244884645</v>
      </c>
      <c r="FG50" s="19">
        <v>219012027</v>
      </c>
      <c r="FH50" s="19">
        <v>100116320</v>
      </c>
      <c r="FI50" s="19">
        <v>124340852</v>
      </c>
      <c r="FJ50" s="19">
        <v>600418085</v>
      </c>
      <c r="FK50" s="19">
        <v>1091585149</v>
      </c>
      <c r="FL50" s="19">
        <v>11836363</v>
      </c>
      <c r="FM50" s="19">
        <v>38535912</v>
      </c>
      <c r="FN50" s="19" t="s">
        <v>89</v>
      </c>
      <c r="FO50" s="19">
        <v>178795312</v>
      </c>
      <c r="FP50" s="19">
        <v>25826362</v>
      </c>
      <c r="FQ50" s="19" t="s">
        <v>89</v>
      </c>
      <c r="FR50" s="19">
        <v>10505736</v>
      </c>
      <c r="FS50" s="19">
        <v>3872100</v>
      </c>
      <c r="FT50" s="19">
        <v>0</v>
      </c>
      <c r="FU50" s="19" t="s">
        <v>89</v>
      </c>
      <c r="FV50" s="19">
        <v>459423121</v>
      </c>
      <c r="FW50" s="19">
        <v>243973602</v>
      </c>
      <c r="FX50" s="19" t="s">
        <v>157</v>
      </c>
      <c r="FY50" s="19">
        <v>61982525</v>
      </c>
      <c r="FZ50" s="19">
        <v>5295455</v>
      </c>
      <c r="GA50" s="19" t="s">
        <v>89</v>
      </c>
      <c r="GB50" s="19" t="s">
        <v>89</v>
      </c>
      <c r="GC50" s="19">
        <v>199358794</v>
      </c>
      <c r="GD50" s="19" t="s">
        <v>89</v>
      </c>
      <c r="GE50" s="19">
        <v>0</v>
      </c>
      <c r="GF50" s="19" t="s">
        <v>89</v>
      </c>
      <c r="GG50" s="19">
        <v>136795119</v>
      </c>
      <c r="GH50" s="19">
        <v>22488306</v>
      </c>
    </row>
    <row r="51" spans="1:190" ht="17.55" customHeight="1">
      <c r="A51" s="9" t="s">
        <v>0</v>
      </c>
      <c r="B51" s="10" t="s">
        <v>102</v>
      </c>
      <c r="C51" s="19">
        <v>1280805838</v>
      </c>
      <c r="D51" s="19">
        <v>271898074</v>
      </c>
      <c r="E51" s="19">
        <v>324924369</v>
      </c>
      <c r="F51" s="19">
        <v>1898026653</v>
      </c>
      <c r="G51" s="19">
        <v>138541452</v>
      </c>
      <c r="H51" s="19">
        <v>4105491033</v>
      </c>
      <c r="I51" s="19">
        <v>5033619665</v>
      </c>
      <c r="J51" s="19" t="s">
        <v>89</v>
      </c>
      <c r="K51" s="19">
        <v>877822263</v>
      </c>
      <c r="L51" s="19">
        <v>122402706</v>
      </c>
      <c r="M51" s="19">
        <v>2287256426</v>
      </c>
      <c r="N51" s="19">
        <v>645802675</v>
      </c>
      <c r="O51" s="19">
        <v>4046493023</v>
      </c>
      <c r="P51" s="19">
        <v>4866791847</v>
      </c>
      <c r="Q51" s="19">
        <v>128497086</v>
      </c>
      <c r="R51" s="19">
        <v>1158288280</v>
      </c>
      <c r="S51" s="19">
        <v>1186789954</v>
      </c>
      <c r="T51" s="19">
        <v>150479281</v>
      </c>
      <c r="U51" s="19">
        <v>1516562730</v>
      </c>
      <c r="V51" s="19">
        <v>228183261</v>
      </c>
      <c r="W51" s="19">
        <v>2259085659</v>
      </c>
      <c r="X51" s="19">
        <v>804427806</v>
      </c>
      <c r="Y51" s="19">
        <v>909705673</v>
      </c>
      <c r="Z51" s="19">
        <v>1094600405</v>
      </c>
      <c r="AA51" s="19">
        <v>242516324</v>
      </c>
      <c r="AB51" s="19">
        <v>938189821</v>
      </c>
      <c r="AC51" s="19">
        <v>313914821</v>
      </c>
      <c r="AD51" s="19">
        <v>287323471</v>
      </c>
      <c r="AE51" s="19">
        <v>391109115</v>
      </c>
      <c r="AF51" s="19">
        <v>305770786</v>
      </c>
      <c r="AG51" s="19">
        <v>2036430087</v>
      </c>
      <c r="AH51" s="19">
        <v>1254835636</v>
      </c>
      <c r="AI51" s="19">
        <v>273467902</v>
      </c>
      <c r="AJ51" s="19">
        <v>740444113</v>
      </c>
      <c r="AK51" s="19" t="s">
        <v>89</v>
      </c>
      <c r="AL51" s="19">
        <v>1085867627</v>
      </c>
      <c r="AM51" s="19">
        <v>1173519144</v>
      </c>
      <c r="AN51" s="19">
        <v>350295320</v>
      </c>
      <c r="AO51" s="19">
        <v>1283718353</v>
      </c>
      <c r="AP51" s="19">
        <v>814395688</v>
      </c>
      <c r="AQ51" s="19">
        <v>56889111</v>
      </c>
      <c r="AR51" s="19">
        <v>271712939</v>
      </c>
      <c r="AS51" s="19">
        <v>1571357949</v>
      </c>
      <c r="AT51" s="19">
        <v>617014663</v>
      </c>
      <c r="AU51" s="19">
        <v>1080005485</v>
      </c>
      <c r="AV51" s="19">
        <v>98564984</v>
      </c>
      <c r="AW51" s="19">
        <v>86128188</v>
      </c>
      <c r="AX51" s="19" t="s">
        <v>96</v>
      </c>
      <c r="AY51" s="19">
        <v>706930634</v>
      </c>
      <c r="AZ51" s="19">
        <v>313754773</v>
      </c>
      <c r="BA51" s="19">
        <v>1978584315</v>
      </c>
      <c r="BB51" s="19">
        <v>169947395</v>
      </c>
      <c r="BC51" s="19">
        <v>841401178</v>
      </c>
      <c r="BD51" s="19">
        <v>188575285</v>
      </c>
      <c r="BE51" s="19">
        <v>257388563</v>
      </c>
      <c r="BF51" s="19">
        <v>492191560</v>
      </c>
      <c r="BG51" s="19">
        <v>1414230506</v>
      </c>
      <c r="BH51" s="19">
        <v>108993176</v>
      </c>
      <c r="BI51" s="19">
        <v>269318755</v>
      </c>
      <c r="BJ51" s="19">
        <v>335756179</v>
      </c>
      <c r="BK51" s="19">
        <v>340910614</v>
      </c>
      <c r="BL51" s="19">
        <v>925758690</v>
      </c>
      <c r="BM51" s="19">
        <v>233909009</v>
      </c>
      <c r="BN51" s="19">
        <v>135222003</v>
      </c>
      <c r="BO51" s="19">
        <v>221457646</v>
      </c>
      <c r="BP51" s="19">
        <v>102663533</v>
      </c>
      <c r="BQ51" s="19" t="s">
        <v>175</v>
      </c>
      <c r="BR51" s="19">
        <v>127711565</v>
      </c>
      <c r="BS51" s="19">
        <v>108862072</v>
      </c>
      <c r="BT51" s="19">
        <v>197963262</v>
      </c>
      <c r="BU51" s="19">
        <v>337123344</v>
      </c>
      <c r="BV51" s="19">
        <v>234545093</v>
      </c>
      <c r="BW51" s="19">
        <v>475656858</v>
      </c>
      <c r="BX51" s="19">
        <v>829616522</v>
      </c>
      <c r="BY51" s="19">
        <v>1349748045</v>
      </c>
      <c r="BZ51" s="19">
        <v>334246446</v>
      </c>
      <c r="CA51" s="19">
        <v>408774715</v>
      </c>
      <c r="CB51" s="19">
        <v>433679559</v>
      </c>
      <c r="CC51" s="19">
        <v>225232925</v>
      </c>
      <c r="CD51" s="19">
        <v>420950431</v>
      </c>
      <c r="CE51" s="19">
        <v>100822489</v>
      </c>
      <c r="CF51" s="19">
        <v>813503879</v>
      </c>
      <c r="CG51" s="19">
        <v>1336069016</v>
      </c>
      <c r="CH51" s="19">
        <v>87923911</v>
      </c>
      <c r="CI51" s="19">
        <v>206377510</v>
      </c>
      <c r="CJ51" s="19">
        <v>37063760</v>
      </c>
      <c r="CK51" s="19">
        <v>577568316</v>
      </c>
      <c r="CL51" s="19">
        <v>86378187</v>
      </c>
      <c r="CM51" s="19">
        <v>4891886867</v>
      </c>
      <c r="CN51" s="19">
        <v>270269329</v>
      </c>
      <c r="CO51" s="19">
        <v>335883641</v>
      </c>
      <c r="CP51" s="19">
        <v>1152427418</v>
      </c>
      <c r="CQ51" s="19" t="s">
        <v>96</v>
      </c>
      <c r="CR51" s="19">
        <v>463819324</v>
      </c>
      <c r="CS51" s="19">
        <v>824355321</v>
      </c>
      <c r="CT51" s="19">
        <v>814014576</v>
      </c>
      <c r="CU51" s="19">
        <v>1378610748</v>
      </c>
      <c r="CV51" s="19">
        <v>27905073</v>
      </c>
      <c r="CW51" s="19">
        <v>1308424546</v>
      </c>
      <c r="CX51" s="19">
        <v>1234918737</v>
      </c>
      <c r="CY51" s="19">
        <v>5734235261</v>
      </c>
      <c r="CZ51" s="19">
        <v>853081998</v>
      </c>
      <c r="DA51" s="19">
        <v>198090399</v>
      </c>
      <c r="DB51" s="19">
        <v>257049927</v>
      </c>
      <c r="DC51" s="19">
        <v>233493383</v>
      </c>
      <c r="DD51" s="19">
        <v>208091822</v>
      </c>
      <c r="DE51" s="19">
        <v>1117526929</v>
      </c>
      <c r="DF51" s="19">
        <v>114374311</v>
      </c>
      <c r="DG51" s="19">
        <v>866934440</v>
      </c>
      <c r="DH51" s="19">
        <v>222437475</v>
      </c>
      <c r="DI51" s="19">
        <v>434533836</v>
      </c>
      <c r="DJ51" s="19">
        <v>168404593</v>
      </c>
      <c r="DK51" s="19">
        <v>495865048</v>
      </c>
      <c r="DL51" s="19">
        <v>239762811</v>
      </c>
      <c r="DM51" s="19">
        <v>644977824</v>
      </c>
      <c r="DN51" s="19">
        <v>154595760</v>
      </c>
      <c r="DO51" s="19">
        <v>376923905</v>
      </c>
      <c r="DP51" s="19">
        <v>226612171</v>
      </c>
      <c r="DQ51" s="19">
        <v>108357641</v>
      </c>
      <c r="DR51" s="19">
        <v>187521273</v>
      </c>
      <c r="DS51" s="19">
        <v>629833318</v>
      </c>
      <c r="DT51" s="19">
        <v>916450808</v>
      </c>
      <c r="DU51" s="19">
        <v>232900312</v>
      </c>
      <c r="DV51" s="19">
        <v>884096650</v>
      </c>
      <c r="DW51" s="19">
        <v>194346296</v>
      </c>
      <c r="DX51" s="19">
        <v>711360557</v>
      </c>
      <c r="DY51" s="19">
        <v>356077801</v>
      </c>
      <c r="DZ51" s="19">
        <v>327539244</v>
      </c>
      <c r="EA51" s="19">
        <v>120601722</v>
      </c>
      <c r="EB51" s="19">
        <v>2800639298</v>
      </c>
      <c r="EC51" s="19">
        <v>106485398</v>
      </c>
      <c r="ED51" s="19">
        <v>83531432</v>
      </c>
      <c r="EE51" s="19">
        <v>83210799</v>
      </c>
      <c r="EF51" s="19">
        <v>275698391</v>
      </c>
      <c r="EG51" s="19">
        <v>2421906072</v>
      </c>
      <c r="EH51" s="19">
        <v>73910514</v>
      </c>
      <c r="EI51" s="19">
        <v>765252314</v>
      </c>
      <c r="EJ51" s="19">
        <v>258442659</v>
      </c>
      <c r="EK51" s="19" t="s">
        <v>89</v>
      </c>
      <c r="EL51" s="19">
        <v>930623828</v>
      </c>
      <c r="EM51" s="19">
        <v>95026798</v>
      </c>
      <c r="EN51" s="19">
        <v>6279530075</v>
      </c>
      <c r="EO51" s="19">
        <v>1299457206</v>
      </c>
      <c r="EP51" s="19">
        <v>186592651</v>
      </c>
      <c r="EQ51" s="19">
        <v>2594436677</v>
      </c>
      <c r="ER51" s="19">
        <v>2859496138</v>
      </c>
      <c r="ES51" s="19">
        <v>382223122</v>
      </c>
      <c r="ET51" s="19">
        <v>201390812</v>
      </c>
      <c r="EU51" s="19">
        <v>776244451</v>
      </c>
      <c r="EV51" s="19">
        <v>119222655</v>
      </c>
      <c r="EW51" s="19">
        <v>190464254</v>
      </c>
      <c r="EX51" s="19">
        <v>1641802468</v>
      </c>
      <c r="EY51" s="19">
        <v>3475776437</v>
      </c>
      <c r="EZ51" s="19">
        <v>356946023</v>
      </c>
      <c r="FA51" s="19">
        <v>492668468</v>
      </c>
      <c r="FB51" s="19">
        <v>237000088</v>
      </c>
      <c r="FC51" s="19" t="s">
        <v>89</v>
      </c>
      <c r="FD51" s="19">
        <v>86519714</v>
      </c>
      <c r="FE51" s="19">
        <v>3373555668</v>
      </c>
      <c r="FF51" s="19">
        <v>219242325</v>
      </c>
      <c r="FG51" s="19">
        <v>410859016</v>
      </c>
      <c r="FH51" s="19">
        <v>117633177</v>
      </c>
      <c r="FI51" s="19">
        <v>169328826</v>
      </c>
      <c r="FJ51" s="19">
        <v>585601151</v>
      </c>
      <c r="FK51" s="19">
        <v>1178702039</v>
      </c>
      <c r="FL51" s="19">
        <v>15112538</v>
      </c>
      <c r="FM51" s="19">
        <v>80219711</v>
      </c>
      <c r="FN51" s="19" t="s">
        <v>89</v>
      </c>
      <c r="FO51" s="19">
        <v>143967822</v>
      </c>
      <c r="FP51" s="19">
        <v>20816087</v>
      </c>
      <c r="FQ51" s="19" t="s">
        <v>89</v>
      </c>
      <c r="FR51" s="19">
        <v>55407185</v>
      </c>
      <c r="FS51" s="19">
        <v>22306196</v>
      </c>
      <c r="FT51" s="19">
        <v>21755456</v>
      </c>
      <c r="FU51" s="19" t="s">
        <v>89</v>
      </c>
      <c r="FV51" s="19">
        <v>654877184</v>
      </c>
      <c r="FW51" s="19">
        <v>248785417</v>
      </c>
      <c r="FX51" s="19" t="s">
        <v>157</v>
      </c>
      <c r="FY51" s="19">
        <v>261822172</v>
      </c>
      <c r="FZ51" s="19">
        <v>107395215</v>
      </c>
      <c r="GA51" s="19" t="s">
        <v>89</v>
      </c>
      <c r="GB51" s="19" t="s">
        <v>89</v>
      </c>
      <c r="GC51" s="19">
        <v>176206068</v>
      </c>
      <c r="GD51" s="19" t="s">
        <v>89</v>
      </c>
      <c r="GE51" s="19">
        <v>8583164</v>
      </c>
      <c r="GF51" s="19" t="s">
        <v>89</v>
      </c>
      <c r="GG51" s="19">
        <v>697697014</v>
      </c>
      <c r="GH51" s="19">
        <v>69945515</v>
      </c>
    </row>
    <row r="52" spans="1:190" ht="17.55" customHeight="1">
      <c r="A52" s="9" t="s">
        <v>0</v>
      </c>
      <c r="B52" s="15" t="s">
        <v>26</v>
      </c>
      <c r="C52" s="19">
        <v>1060397651</v>
      </c>
      <c r="D52" s="19">
        <v>621265570</v>
      </c>
      <c r="E52" s="19">
        <v>135027441</v>
      </c>
      <c r="F52" s="19">
        <v>1666119509</v>
      </c>
      <c r="G52" s="19">
        <v>96228178</v>
      </c>
      <c r="H52" s="19">
        <v>2846529018</v>
      </c>
      <c r="I52" s="19">
        <v>4717042281</v>
      </c>
      <c r="J52" s="19" t="s">
        <v>89</v>
      </c>
      <c r="K52" s="19">
        <v>659985077</v>
      </c>
      <c r="L52" s="19">
        <v>81475963</v>
      </c>
      <c r="M52" s="19">
        <v>1696542562</v>
      </c>
      <c r="N52" s="19">
        <v>368248247</v>
      </c>
      <c r="O52" s="19">
        <v>3193973978</v>
      </c>
      <c r="P52" s="19">
        <v>3898749090</v>
      </c>
      <c r="Q52" s="19">
        <v>121016986</v>
      </c>
      <c r="R52" s="19">
        <v>613760849</v>
      </c>
      <c r="S52" s="19">
        <v>255219406</v>
      </c>
      <c r="T52" s="19">
        <v>57897599</v>
      </c>
      <c r="U52" s="19">
        <v>938067641</v>
      </c>
      <c r="V52" s="19">
        <v>136503344</v>
      </c>
      <c r="W52" s="19">
        <v>1626078394</v>
      </c>
      <c r="X52" s="19">
        <v>448613963</v>
      </c>
      <c r="Y52" s="19">
        <v>341347134</v>
      </c>
      <c r="Z52" s="19">
        <v>496537892</v>
      </c>
      <c r="AA52" s="19">
        <v>136261265</v>
      </c>
      <c r="AB52" s="19">
        <v>168176142</v>
      </c>
      <c r="AC52" s="19">
        <v>130832117</v>
      </c>
      <c r="AD52" s="19">
        <v>146396739</v>
      </c>
      <c r="AE52" s="19">
        <v>413848200</v>
      </c>
      <c r="AF52" s="19">
        <v>229497280</v>
      </c>
      <c r="AG52" s="19">
        <v>606628905</v>
      </c>
      <c r="AH52" s="19">
        <v>335827730</v>
      </c>
      <c r="AI52" s="19">
        <v>155174308</v>
      </c>
      <c r="AJ52" s="19">
        <v>493148883</v>
      </c>
      <c r="AK52" s="19" t="s">
        <v>89</v>
      </c>
      <c r="AL52" s="19">
        <v>578751500</v>
      </c>
      <c r="AM52" s="19">
        <v>818949530</v>
      </c>
      <c r="AN52" s="19">
        <v>298051873</v>
      </c>
      <c r="AO52" s="19">
        <v>825159507</v>
      </c>
      <c r="AP52" s="19">
        <v>466001203</v>
      </c>
      <c r="AQ52" s="19">
        <v>986240</v>
      </c>
      <c r="AR52" s="19">
        <v>205065732</v>
      </c>
      <c r="AS52" s="19">
        <v>326057037</v>
      </c>
      <c r="AT52" s="19">
        <v>464429104</v>
      </c>
      <c r="AU52" s="19">
        <v>426920657</v>
      </c>
      <c r="AV52" s="19">
        <v>9259931</v>
      </c>
      <c r="AW52" s="19">
        <v>65959823</v>
      </c>
      <c r="AX52" s="19" t="s">
        <v>96</v>
      </c>
      <c r="AY52" s="19">
        <v>408402946</v>
      </c>
      <c r="AZ52" s="19">
        <v>202104147</v>
      </c>
      <c r="BA52" s="19">
        <v>1276550236</v>
      </c>
      <c r="BB52" s="19">
        <v>140367085</v>
      </c>
      <c r="BC52" s="19">
        <v>513407955</v>
      </c>
      <c r="BD52" s="19">
        <v>113912550</v>
      </c>
      <c r="BE52" s="19">
        <v>164659283</v>
      </c>
      <c r="BF52" s="19">
        <v>112129901</v>
      </c>
      <c r="BG52" s="19">
        <v>613495015</v>
      </c>
      <c r="BH52" s="19">
        <v>77115960</v>
      </c>
      <c r="BI52" s="19">
        <v>229193019</v>
      </c>
      <c r="BJ52" s="19">
        <v>214948606</v>
      </c>
      <c r="BK52" s="19">
        <v>96005289</v>
      </c>
      <c r="BL52" s="19">
        <v>591096435</v>
      </c>
      <c r="BM52" s="19">
        <v>161863553</v>
      </c>
      <c r="BN52" s="19">
        <v>112235262</v>
      </c>
      <c r="BO52" s="19">
        <v>68588629</v>
      </c>
      <c r="BP52" s="19">
        <v>46223430</v>
      </c>
      <c r="BQ52" s="19" t="s">
        <v>175</v>
      </c>
      <c r="BR52" s="19">
        <v>85298749</v>
      </c>
      <c r="BS52" s="19">
        <v>58239308</v>
      </c>
      <c r="BT52" s="19">
        <v>180213344</v>
      </c>
      <c r="BU52" s="19">
        <v>265539144</v>
      </c>
      <c r="BV52" s="19">
        <v>159827052</v>
      </c>
      <c r="BW52" s="19">
        <v>511165048</v>
      </c>
      <c r="BX52" s="19">
        <v>418768262</v>
      </c>
      <c r="BY52" s="19">
        <v>753041138</v>
      </c>
      <c r="BZ52" s="19">
        <v>144594207</v>
      </c>
      <c r="CA52" s="19">
        <v>243312242</v>
      </c>
      <c r="CB52" s="19">
        <v>205696670</v>
      </c>
      <c r="CC52" s="19">
        <v>99123934</v>
      </c>
      <c r="CD52" s="19">
        <v>283821638</v>
      </c>
      <c r="CE52" s="19">
        <v>56003800</v>
      </c>
      <c r="CF52" s="19">
        <v>306691806</v>
      </c>
      <c r="CG52" s="19">
        <v>1184744288</v>
      </c>
      <c r="CH52" s="19">
        <v>31363445</v>
      </c>
      <c r="CI52" s="19">
        <v>124175222</v>
      </c>
      <c r="CJ52" s="19">
        <v>24858997</v>
      </c>
      <c r="CK52" s="19">
        <v>284865710</v>
      </c>
      <c r="CL52" s="19">
        <v>25155000</v>
      </c>
      <c r="CM52" s="19">
        <v>4641947724</v>
      </c>
      <c r="CN52" s="19">
        <v>186902043</v>
      </c>
      <c r="CO52" s="19">
        <v>236069138</v>
      </c>
      <c r="CP52" s="19">
        <v>543251695</v>
      </c>
      <c r="CQ52" s="19" t="s">
        <v>96</v>
      </c>
      <c r="CR52" s="19">
        <v>368210992</v>
      </c>
      <c r="CS52" s="19">
        <v>216273760</v>
      </c>
      <c r="CT52" s="19">
        <v>381864298</v>
      </c>
      <c r="CU52" s="19">
        <v>593478866</v>
      </c>
      <c r="CV52" s="19">
        <v>13423719</v>
      </c>
      <c r="CW52" s="19">
        <v>927360004</v>
      </c>
      <c r="CX52" s="19">
        <v>686351972</v>
      </c>
      <c r="CY52" s="19">
        <v>3842617885</v>
      </c>
      <c r="CZ52" s="19">
        <v>548670184</v>
      </c>
      <c r="DA52" s="19">
        <v>161100457</v>
      </c>
      <c r="DB52" s="19">
        <v>145264348</v>
      </c>
      <c r="DC52" s="19">
        <v>34249968</v>
      </c>
      <c r="DD52" s="19">
        <v>128821677</v>
      </c>
      <c r="DE52" s="19">
        <v>921710062</v>
      </c>
      <c r="DF52" s="19">
        <v>84914426</v>
      </c>
      <c r="DG52" s="19">
        <v>196986498</v>
      </c>
      <c r="DH52" s="19">
        <v>155317158</v>
      </c>
      <c r="DI52" s="19">
        <v>195199522</v>
      </c>
      <c r="DJ52" s="19">
        <v>76872600</v>
      </c>
      <c r="DK52" s="19">
        <v>315953256</v>
      </c>
      <c r="DL52" s="19">
        <v>113749507</v>
      </c>
      <c r="DM52" s="19">
        <v>411468581</v>
      </c>
      <c r="DN52" s="19">
        <v>116900210</v>
      </c>
      <c r="DO52" s="19">
        <v>331840616</v>
      </c>
      <c r="DP52" s="19">
        <v>75321463</v>
      </c>
      <c r="DQ52" s="19">
        <v>84529680</v>
      </c>
      <c r="DR52" s="19">
        <v>100027556</v>
      </c>
      <c r="DS52" s="19">
        <v>483505375</v>
      </c>
      <c r="DT52" s="19">
        <v>209960021</v>
      </c>
      <c r="DU52" s="19">
        <v>287747233</v>
      </c>
      <c r="DV52" s="19"/>
      <c r="DW52" s="19">
        <v>164601831</v>
      </c>
      <c r="DX52" s="19">
        <v>505510521</v>
      </c>
      <c r="DY52" s="19">
        <v>220268390</v>
      </c>
      <c r="DZ52" s="19">
        <v>264536089</v>
      </c>
      <c r="EA52" s="19">
        <v>74427825</v>
      </c>
      <c r="EB52" s="19">
        <v>2536132933</v>
      </c>
      <c r="EC52" s="19">
        <v>22225270</v>
      </c>
      <c r="ED52" s="19">
        <v>58464940</v>
      </c>
      <c r="EE52" s="19">
        <v>58136444</v>
      </c>
      <c r="EF52" s="19">
        <v>117752410</v>
      </c>
      <c r="EG52" s="19">
        <v>793981519</v>
      </c>
      <c r="EH52" s="19">
        <v>46806723</v>
      </c>
      <c r="EI52" s="19">
        <v>488577488</v>
      </c>
      <c r="EJ52" s="19">
        <v>114212042</v>
      </c>
      <c r="EK52" s="19" t="s">
        <v>89</v>
      </c>
      <c r="EL52" s="19">
        <v>531955847</v>
      </c>
      <c r="EM52" s="19">
        <v>42420000</v>
      </c>
      <c r="EN52" s="19">
        <v>4946008380</v>
      </c>
      <c r="EO52" s="19">
        <v>712215297</v>
      </c>
      <c r="EP52" s="19">
        <v>518071940</v>
      </c>
      <c r="EQ52" s="19">
        <v>2038392977</v>
      </c>
      <c r="ER52" s="19">
        <v>2287277391</v>
      </c>
      <c r="ES52" s="19">
        <v>246730440</v>
      </c>
      <c r="ET52" s="19">
        <v>94105774</v>
      </c>
      <c r="EU52" s="19">
        <v>287972703</v>
      </c>
      <c r="EV52" s="19">
        <v>86138818</v>
      </c>
      <c r="EW52" s="19">
        <v>145770980</v>
      </c>
      <c r="EX52" s="19">
        <v>392227865</v>
      </c>
      <c r="EY52" s="19">
        <v>2504175226</v>
      </c>
      <c r="EZ52" s="19">
        <v>249586820</v>
      </c>
      <c r="FA52" s="19">
        <v>361952523</v>
      </c>
      <c r="FB52" s="19">
        <v>142753947</v>
      </c>
      <c r="FC52" s="19" t="s">
        <v>89</v>
      </c>
      <c r="FD52" s="19">
        <v>77546160</v>
      </c>
      <c r="FE52" s="19">
        <v>1445768170</v>
      </c>
      <c r="FF52" s="19">
        <v>251476218</v>
      </c>
      <c r="FG52" s="19">
        <v>274982689</v>
      </c>
      <c r="FH52" s="19">
        <v>130194620</v>
      </c>
      <c r="FI52" s="19">
        <v>49950772</v>
      </c>
      <c r="FJ52" s="19">
        <v>488258156</v>
      </c>
      <c r="FK52" s="19">
        <v>790550967</v>
      </c>
      <c r="FL52" s="19">
        <v>4880849</v>
      </c>
      <c r="FM52" s="19">
        <v>31350000</v>
      </c>
      <c r="FN52" s="19" t="s">
        <v>89</v>
      </c>
      <c r="FO52" s="19">
        <v>8772548</v>
      </c>
      <c r="FP52" s="19">
        <v>9078182</v>
      </c>
      <c r="FQ52" s="19" t="s">
        <v>89</v>
      </c>
      <c r="FR52" s="19">
        <v>15288347</v>
      </c>
      <c r="FS52" s="19">
        <v>10327472</v>
      </c>
      <c r="FT52" s="19"/>
      <c r="FU52" s="19" t="s">
        <v>89</v>
      </c>
      <c r="FV52" s="19">
        <v>363166725</v>
      </c>
      <c r="FW52" s="19">
        <v>18301392</v>
      </c>
      <c r="FX52" s="19" t="s">
        <v>157</v>
      </c>
      <c r="FY52" s="19">
        <v>145802576</v>
      </c>
      <c r="FZ52" s="19">
        <v>86355201</v>
      </c>
      <c r="GA52" s="19" t="s">
        <v>89</v>
      </c>
      <c r="GB52" s="19" t="s">
        <v>89</v>
      </c>
      <c r="GC52" s="19">
        <v>106294198</v>
      </c>
      <c r="GD52" s="19" t="s">
        <v>89</v>
      </c>
      <c r="GE52" s="19">
        <v>2746332</v>
      </c>
      <c r="GF52" s="19" t="s">
        <v>89</v>
      </c>
      <c r="GG52" s="19">
        <v>372183490</v>
      </c>
      <c r="GH52" s="19">
        <v>40423044</v>
      </c>
    </row>
    <row r="53" spans="1:190" ht="17.55" customHeight="1">
      <c r="A53" s="9" t="s">
        <v>0</v>
      </c>
      <c r="B53" s="15" t="s">
        <v>35</v>
      </c>
      <c r="C53" s="19"/>
      <c r="D53" s="19">
        <v>-611930030</v>
      </c>
      <c r="E53" s="19"/>
      <c r="F53" s="19"/>
      <c r="G53" s="19"/>
      <c r="H53" s="19"/>
      <c r="I53" s="19">
        <v>-152736950</v>
      </c>
      <c r="J53" s="19" t="s">
        <v>89</v>
      </c>
      <c r="K53" s="19"/>
      <c r="L53" s="19"/>
      <c r="M53" s="19">
        <v>-1083509</v>
      </c>
      <c r="N53" s="19"/>
      <c r="O53" s="19"/>
      <c r="P53" s="19"/>
      <c r="Q53" s="19">
        <v>-36258320</v>
      </c>
      <c r="R53" s="19">
        <v>-10800000</v>
      </c>
      <c r="S53" s="19"/>
      <c r="T53" s="19">
        <v>-5095870</v>
      </c>
      <c r="U53" s="19"/>
      <c r="V53" s="19"/>
      <c r="W53" s="19">
        <v>-59390442</v>
      </c>
      <c r="X53" s="19"/>
      <c r="Y53" s="19">
        <v>-27333330</v>
      </c>
      <c r="Z53" s="19"/>
      <c r="AA53" s="19"/>
      <c r="AB53" s="19">
        <v>-7359510</v>
      </c>
      <c r="AC53" s="19"/>
      <c r="AD53" s="19"/>
      <c r="AE53" s="19">
        <v>-20850000</v>
      </c>
      <c r="AF53" s="19">
        <v>-46823630</v>
      </c>
      <c r="AG53" s="19">
        <v>-22619100</v>
      </c>
      <c r="AH53" s="19"/>
      <c r="AI53" s="19">
        <v>-12960000</v>
      </c>
      <c r="AJ53" s="19">
        <v>-83254495</v>
      </c>
      <c r="AK53" s="19" t="s">
        <v>89</v>
      </c>
      <c r="AL53" s="19">
        <v>-21532250</v>
      </c>
      <c r="AM53" s="19"/>
      <c r="AN53" s="19">
        <v>-66837480</v>
      </c>
      <c r="AO53" s="19"/>
      <c r="AP53" s="19"/>
      <c r="AQ53" s="19"/>
      <c r="AR53" s="19">
        <v>-53497410</v>
      </c>
      <c r="AS53" s="19"/>
      <c r="AT53" s="19"/>
      <c r="AU53" s="19">
        <v>-11481000</v>
      </c>
      <c r="AV53" s="19"/>
      <c r="AW53" s="19"/>
      <c r="AX53" s="19" t="s">
        <v>96</v>
      </c>
      <c r="AY53" s="19"/>
      <c r="AZ53" s="19">
        <v>-10500000</v>
      </c>
      <c r="BA53" s="19"/>
      <c r="BB53" s="19"/>
      <c r="BC53" s="19">
        <v>-123772160</v>
      </c>
      <c r="BD53" s="19"/>
      <c r="BE53" s="19">
        <v>-69854520</v>
      </c>
      <c r="BF53" s="19"/>
      <c r="BG53" s="19"/>
      <c r="BH53" s="19">
        <v>-12498670</v>
      </c>
      <c r="BI53" s="19">
        <v>-62538430</v>
      </c>
      <c r="BJ53" s="19">
        <v>-4000000</v>
      </c>
      <c r="BK53" s="19"/>
      <c r="BL53" s="19"/>
      <c r="BM53" s="19">
        <v>-42223770</v>
      </c>
      <c r="BN53" s="19">
        <v>-5152270</v>
      </c>
      <c r="BO53" s="19"/>
      <c r="BP53" s="19"/>
      <c r="BQ53" s="19" t="s">
        <v>175</v>
      </c>
      <c r="BR53" s="19">
        <v>-24864510</v>
      </c>
      <c r="BS53" s="19">
        <v>-13748400</v>
      </c>
      <c r="BT53" s="19">
        <v>-41110710</v>
      </c>
      <c r="BU53" s="19"/>
      <c r="BV53" s="19">
        <v>-73166010</v>
      </c>
      <c r="BW53" s="19">
        <v>-104384220</v>
      </c>
      <c r="BX53" s="19">
        <v>-65146750</v>
      </c>
      <c r="BY53" s="19">
        <v>-89390860</v>
      </c>
      <c r="BZ53" s="19"/>
      <c r="CA53" s="19"/>
      <c r="CB53" s="19"/>
      <c r="CC53" s="19"/>
      <c r="CD53" s="19"/>
      <c r="CE53" s="19"/>
      <c r="CF53" s="19"/>
      <c r="CG53" s="19"/>
      <c r="CH53" s="19"/>
      <c r="CI53" s="19"/>
      <c r="CJ53" s="19"/>
      <c r="CK53" s="19">
        <v>-13401610</v>
      </c>
      <c r="CL53" s="19"/>
      <c r="CM53" s="19"/>
      <c r="CN53" s="19">
        <v>-111446560</v>
      </c>
      <c r="CO53" s="19"/>
      <c r="CP53" s="19">
        <v>-70888060</v>
      </c>
      <c r="CQ53" s="19" t="s">
        <v>96</v>
      </c>
      <c r="CR53" s="19">
        <v>-5198990</v>
      </c>
      <c r="CS53" s="19"/>
      <c r="CT53" s="19"/>
      <c r="CU53" s="19">
        <v>-66412000</v>
      </c>
      <c r="CV53" s="19"/>
      <c r="CW53" s="19">
        <v>-69308470</v>
      </c>
      <c r="CX53" s="19"/>
      <c r="CY53" s="19">
        <v>-102646440</v>
      </c>
      <c r="CZ53" s="19">
        <v>-89248040</v>
      </c>
      <c r="DA53" s="19">
        <v>-36004290</v>
      </c>
      <c r="DB53" s="19">
        <v>-20056480</v>
      </c>
      <c r="DC53" s="19"/>
      <c r="DD53" s="19">
        <v>-37468280</v>
      </c>
      <c r="DE53" s="19"/>
      <c r="DF53" s="19">
        <v>-19456530</v>
      </c>
      <c r="DG53" s="19">
        <v>-68036540</v>
      </c>
      <c r="DH53" s="19"/>
      <c r="DI53" s="19">
        <v>-6506660</v>
      </c>
      <c r="DJ53" s="19">
        <v>-37019990</v>
      </c>
      <c r="DK53" s="19">
        <v>-91758450</v>
      </c>
      <c r="DL53" s="19"/>
      <c r="DM53" s="19">
        <v>-171799230</v>
      </c>
      <c r="DN53" s="19">
        <v>-23020000</v>
      </c>
      <c r="DO53" s="19"/>
      <c r="DP53" s="19"/>
      <c r="DQ53" s="19">
        <v>-31326240</v>
      </c>
      <c r="DR53" s="19"/>
      <c r="DS53" s="19">
        <v>-28419840</v>
      </c>
      <c r="DT53" s="19"/>
      <c r="DU53" s="19">
        <v>-50511050</v>
      </c>
      <c r="DV53" s="19"/>
      <c r="DW53" s="19">
        <v>-29845100</v>
      </c>
      <c r="DX53" s="19">
        <v>-53110360</v>
      </c>
      <c r="DY53" s="19">
        <v>-110200440</v>
      </c>
      <c r="DZ53" s="19">
        <v>-24036470</v>
      </c>
      <c r="EA53" s="19"/>
      <c r="EB53" s="19">
        <v>-48433840</v>
      </c>
      <c r="EC53" s="19"/>
      <c r="ED53" s="19"/>
      <c r="EE53" s="19"/>
      <c r="EF53" s="19">
        <v>-18696770</v>
      </c>
      <c r="EG53" s="19"/>
      <c r="EH53" s="19">
        <v>-8326720</v>
      </c>
      <c r="EI53" s="19">
        <v>-45977800</v>
      </c>
      <c r="EJ53" s="19">
        <v>-17892160</v>
      </c>
      <c r="EK53" s="19" t="s">
        <v>89</v>
      </c>
      <c r="EL53" s="19"/>
      <c r="EM53" s="19"/>
      <c r="EN53" s="19"/>
      <c r="EO53" s="19">
        <v>-168436610</v>
      </c>
      <c r="EP53" s="19">
        <v>-467748780</v>
      </c>
      <c r="EQ53" s="19"/>
      <c r="ER53" s="19"/>
      <c r="ES53" s="19">
        <v>-41579920</v>
      </c>
      <c r="ET53" s="19"/>
      <c r="EU53" s="19"/>
      <c r="EV53" s="19">
        <v>-7800000</v>
      </c>
      <c r="EW53" s="19">
        <v>-34896020</v>
      </c>
      <c r="EX53" s="19">
        <v>-33487570</v>
      </c>
      <c r="EY53" s="19"/>
      <c r="EZ53" s="19"/>
      <c r="FA53" s="19">
        <v>-11880000</v>
      </c>
      <c r="FB53" s="19">
        <v>-38852320</v>
      </c>
      <c r="FC53" s="19" t="s">
        <v>89</v>
      </c>
      <c r="FD53" s="19"/>
      <c r="FE53" s="19"/>
      <c r="FF53" s="19">
        <v>-65642390</v>
      </c>
      <c r="FG53" s="19"/>
      <c r="FH53" s="19">
        <v>-63824630</v>
      </c>
      <c r="FI53" s="19"/>
      <c r="FJ53" s="19"/>
      <c r="FK53" s="19"/>
      <c r="FL53" s="19"/>
      <c r="FM53" s="19"/>
      <c r="FN53" s="19" t="s">
        <v>89</v>
      </c>
      <c r="FO53" s="19"/>
      <c r="FP53" s="19"/>
      <c r="FQ53" s="19" t="s">
        <v>89</v>
      </c>
      <c r="FR53" s="19"/>
      <c r="FS53" s="19"/>
      <c r="FT53" s="19"/>
      <c r="FU53" s="19" t="s">
        <v>89</v>
      </c>
      <c r="FV53" s="19"/>
      <c r="FW53" s="19"/>
      <c r="FX53" s="19" t="s">
        <v>157</v>
      </c>
      <c r="FY53" s="19"/>
      <c r="FZ53" s="19"/>
      <c r="GA53" s="19" t="s">
        <v>89</v>
      </c>
      <c r="GB53" s="19" t="s">
        <v>89</v>
      </c>
      <c r="GC53" s="19"/>
      <c r="GD53" s="19" t="s">
        <v>89</v>
      </c>
      <c r="GE53" s="19"/>
      <c r="GF53" s="19" t="s">
        <v>89</v>
      </c>
      <c r="GG53" s="19"/>
      <c r="GH53" s="19"/>
    </row>
    <row r="54" spans="1:190" ht="17.55" customHeight="1">
      <c r="A54" s="9" t="s">
        <v>0</v>
      </c>
      <c r="B54" s="15" t="s">
        <v>73</v>
      </c>
      <c r="C54" s="19">
        <v>19528849</v>
      </c>
      <c r="D54" s="19"/>
      <c r="E54" s="19">
        <v>21662189</v>
      </c>
      <c r="F54" s="19">
        <v>28385219</v>
      </c>
      <c r="G54" s="19">
        <v>2257162</v>
      </c>
      <c r="H54" s="19">
        <v>17271189</v>
      </c>
      <c r="I54" s="19"/>
      <c r="J54" s="19" t="s">
        <v>89</v>
      </c>
      <c r="K54" s="19">
        <v>11599888</v>
      </c>
      <c r="L54" s="19">
        <v>796993</v>
      </c>
      <c r="M54" s="19">
        <v>113154676</v>
      </c>
      <c r="N54" s="19">
        <v>2296436</v>
      </c>
      <c r="O54" s="19">
        <v>241567296</v>
      </c>
      <c r="P54" s="19">
        <v>127405948</v>
      </c>
      <c r="Q54" s="19">
        <v>2059744</v>
      </c>
      <c r="R54" s="19">
        <v>19577172</v>
      </c>
      <c r="S54" s="19">
        <v>332030036</v>
      </c>
      <c r="T54" s="19"/>
      <c r="U54" s="19">
        <v>105803959</v>
      </c>
      <c r="V54" s="19"/>
      <c r="W54" s="19"/>
      <c r="X54" s="19">
        <v>89358757</v>
      </c>
      <c r="Y54" s="19">
        <v>12941320</v>
      </c>
      <c r="Z54" s="19">
        <v>75900398</v>
      </c>
      <c r="AA54" s="19">
        <v>11291693</v>
      </c>
      <c r="AB54" s="19">
        <v>16289502</v>
      </c>
      <c r="AC54" s="19">
        <v>1782768</v>
      </c>
      <c r="AD54" s="19"/>
      <c r="AE54" s="19">
        <v>1746061</v>
      </c>
      <c r="AF54" s="19">
        <v>26965538</v>
      </c>
      <c r="AG54" s="19"/>
      <c r="AH54" s="19">
        <v>40057986</v>
      </c>
      <c r="AI54" s="19"/>
      <c r="AJ54" s="19">
        <v>26543678</v>
      </c>
      <c r="AK54" s="19" t="s">
        <v>89</v>
      </c>
      <c r="AL54" s="19">
        <v>16654974</v>
      </c>
      <c r="AM54" s="19">
        <v>138071147</v>
      </c>
      <c r="AN54" s="19">
        <v>19157171</v>
      </c>
      <c r="AO54" s="19">
        <v>12165272</v>
      </c>
      <c r="AP54" s="19">
        <v>20029086</v>
      </c>
      <c r="AQ54" s="19"/>
      <c r="AR54" s="19">
        <v>6525069</v>
      </c>
      <c r="AS54" s="19"/>
      <c r="AT54" s="19"/>
      <c r="AU54" s="19">
        <v>152791368</v>
      </c>
      <c r="AV54" s="19">
        <v>25047040</v>
      </c>
      <c r="AW54" s="19"/>
      <c r="AX54" s="19" t="s">
        <v>96</v>
      </c>
      <c r="AY54" s="19"/>
      <c r="AZ54" s="19">
        <v>8716930</v>
      </c>
      <c r="BA54" s="19"/>
      <c r="BB54" s="19">
        <v>8036363</v>
      </c>
      <c r="BC54" s="19">
        <v>49750857</v>
      </c>
      <c r="BD54" s="19">
        <v>6757633</v>
      </c>
      <c r="BE54" s="19"/>
      <c r="BF54" s="19">
        <v>260511346</v>
      </c>
      <c r="BG54" s="19">
        <v>26671080</v>
      </c>
      <c r="BH54" s="19">
        <v>2521402</v>
      </c>
      <c r="BI54" s="19">
        <v>14419185</v>
      </c>
      <c r="BJ54" s="19">
        <v>21845287</v>
      </c>
      <c r="BK54" s="19">
        <v>12198204</v>
      </c>
      <c r="BL54" s="19">
        <v>4305188</v>
      </c>
      <c r="BM54" s="19"/>
      <c r="BN54" s="19">
        <v>6989554</v>
      </c>
      <c r="BO54" s="19">
        <v>34864261</v>
      </c>
      <c r="BP54" s="19"/>
      <c r="BQ54" s="19" t="s">
        <v>175</v>
      </c>
      <c r="BR54" s="19">
        <v>1054716</v>
      </c>
      <c r="BS54" s="19">
        <v>3574281</v>
      </c>
      <c r="BT54" s="19">
        <v>14978935</v>
      </c>
      <c r="BU54" s="19">
        <v>447153</v>
      </c>
      <c r="BV54" s="19"/>
      <c r="BW54" s="19"/>
      <c r="BX54" s="19"/>
      <c r="BY54" s="19">
        <v>76420629</v>
      </c>
      <c r="BZ54" s="19">
        <v>475761</v>
      </c>
      <c r="CA54" s="19"/>
      <c r="CB54" s="19">
        <v>55363013</v>
      </c>
      <c r="CC54" s="19"/>
      <c r="CD54" s="19">
        <v>15467558</v>
      </c>
      <c r="CE54" s="19">
        <v>1766169</v>
      </c>
      <c r="CF54" s="19">
        <v>4314520</v>
      </c>
      <c r="CG54" s="19"/>
      <c r="CH54" s="19"/>
      <c r="CI54" s="19"/>
      <c r="CJ54" s="19">
        <v>2608673</v>
      </c>
      <c r="CK54" s="19">
        <v>1970492</v>
      </c>
      <c r="CL54" s="19"/>
      <c r="CM54" s="19">
        <v>15532667</v>
      </c>
      <c r="CN54" s="19">
        <v>40966637</v>
      </c>
      <c r="CO54" s="19">
        <v>17179382</v>
      </c>
      <c r="CP54" s="19">
        <v>636363</v>
      </c>
      <c r="CQ54" s="19" t="s">
        <v>96</v>
      </c>
      <c r="CR54" s="19">
        <v>26788158</v>
      </c>
      <c r="CS54" s="19">
        <v>146832326</v>
      </c>
      <c r="CT54" s="19"/>
      <c r="CU54" s="19">
        <v>3545486</v>
      </c>
      <c r="CV54" s="19"/>
      <c r="CW54" s="19">
        <v>95325366</v>
      </c>
      <c r="CX54" s="19">
        <v>11759845</v>
      </c>
      <c r="CY54" s="19">
        <v>158916364</v>
      </c>
      <c r="CZ54" s="19">
        <v>1604278</v>
      </c>
      <c r="DA54" s="19"/>
      <c r="DB54" s="19">
        <v>10140636</v>
      </c>
      <c r="DC54" s="19"/>
      <c r="DD54" s="19">
        <v>561762</v>
      </c>
      <c r="DE54" s="19">
        <v>664520</v>
      </c>
      <c r="DF54" s="19">
        <v>9734504</v>
      </c>
      <c r="DG54" s="19">
        <v>30939819</v>
      </c>
      <c r="DH54" s="19">
        <v>540415</v>
      </c>
      <c r="DI54" s="19">
        <v>34338095</v>
      </c>
      <c r="DJ54" s="19">
        <v>2912999</v>
      </c>
      <c r="DK54" s="19">
        <v>12651132</v>
      </c>
      <c r="DL54" s="19"/>
      <c r="DM54" s="19"/>
      <c r="DN54" s="19">
        <v>504479</v>
      </c>
      <c r="DO54" s="19"/>
      <c r="DP54" s="19">
        <v>12902427</v>
      </c>
      <c r="DQ54" s="19"/>
      <c r="DR54" s="19"/>
      <c r="DS54" s="19"/>
      <c r="DT54" s="19">
        <v>4919897</v>
      </c>
      <c r="DU54" s="19">
        <v>8092467</v>
      </c>
      <c r="DV54" s="19"/>
      <c r="DW54" s="19">
        <v>7713717</v>
      </c>
      <c r="DX54" s="19">
        <v>462480</v>
      </c>
      <c r="DY54" s="19"/>
      <c r="DZ54" s="19">
        <v>10549170</v>
      </c>
      <c r="EA54" s="19"/>
      <c r="EB54" s="19">
        <v>32083782</v>
      </c>
      <c r="EC54" s="19">
        <v>103058</v>
      </c>
      <c r="ED54" s="19"/>
      <c r="EE54" s="19"/>
      <c r="EF54" s="19">
        <v>28839911</v>
      </c>
      <c r="EG54" s="19">
        <v>31550448</v>
      </c>
      <c r="EH54" s="19">
        <v>12141553</v>
      </c>
      <c r="EI54" s="19">
        <v>29276888</v>
      </c>
      <c r="EJ54" s="19">
        <v>10443830</v>
      </c>
      <c r="EK54" s="19" t="s">
        <v>89</v>
      </c>
      <c r="EL54" s="19"/>
      <c r="EM54" s="19">
        <v>7042229</v>
      </c>
      <c r="EN54" s="19">
        <v>19318655</v>
      </c>
      <c r="EO54" s="19">
        <v>76707881</v>
      </c>
      <c r="EP54" s="19"/>
      <c r="EQ54" s="19"/>
      <c r="ER54" s="19">
        <v>133133924</v>
      </c>
      <c r="ES54" s="19">
        <v>17444162</v>
      </c>
      <c r="ET54" s="19"/>
      <c r="EU54" s="19">
        <v>4036276</v>
      </c>
      <c r="EV54" s="19"/>
      <c r="EW54" s="19"/>
      <c r="EX54" s="19">
        <v>29673362</v>
      </c>
      <c r="EY54" s="19">
        <v>93054212</v>
      </c>
      <c r="EZ54" s="19"/>
      <c r="FA54" s="19">
        <v>27833127</v>
      </c>
      <c r="FB54" s="19">
        <v>20261656</v>
      </c>
      <c r="FC54" s="19" t="s">
        <v>89</v>
      </c>
      <c r="FD54" s="19"/>
      <c r="FE54" s="19">
        <v>45696697</v>
      </c>
      <c r="FF54" s="19"/>
      <c r="FG54" s="19">
        <v>8489869</v>
      </c>
      <c r="FH54" s="19">
        <v>5200461</v>
      </c>
      <c r="FI54" s="19">
        <v>637848</v>
      </c>
      <c r="FJ54" s="19">
        <v>13670943</v>
      </c>
      <c r="FK54" s="19"/>
      <c r="FL54" s="19">
        <v>119613</v>
      </c>
      <c r="FM54" s="19"/>
      <c r="FN54" s="19" t="s">
        <v>89</v>
      </c>
      <c r="FO54" s="19"/>
      <c r="FP54" s="19">
        <v>1068173</v>
      </c>
      <c r="FQ54" s="19" t="s">
        <v>89</v>
      </c>
      <c r="FR54" s="19"/>
      <c r="FS54" s="19"/>
      <c r="FT54" s="19"/>
      <c r="FU54" s="19" t="s">
        <v>89</v>
      </c>
      <c r="FV54" s="19"/>
      <c r="FW54" s="19"/>
      <c r="FX54" s="19" t="s">
        <v>157</v>
      </c>
      <c r="FY54" s="19">
        <v>5000000</v>
      </c>
      <c r="FZ54" s="19"/>
      <c r="GA54" s="19" t="s">
        <v>89</v>
      </c>
      <c r="GB54" s="19" t="s">
        <v>89</v>
      </c>
      <c r="GC54" s="19">
        <v>1915930</v>
      </c>
      <c r="GD54" s="19" t="s">
        <v>89</v>
      </c>
      <c r="GE54" s="19"/>
      <c r="GF54" s="19" t="s">
        <v>89</v>
      </c>
      <c r="GG54" s="19">
        <v>10430760</v>
      </c>
      <c r="GH54" s="19"/>
    </row>
    <row r="55" spans="1:190" ht="17.55" customHeight="1">
      <c r="A55" s="9" t="s">
        <v>0</v>
      </c>
      <c r="B55" s="15" t="s">
        <v>58</v>
      </c>
      <c r="C55" s="19"/>
      <c r="D55" s="19"/>
      <c r="E55" s="19"/>
      <c r="F55" s="19"/>
      <c r="G55" s="19"/>
      <c r="H55" s="19"/>
      <c r="I55" s="19"/>
      <c r="J55" s="19" t="s">
        <v>89</v>
      </c>
      <c r="K55" s="19">
        <v>2122000</v>
      </c>
      <c r="L55" s="19"/>
      <c r="M55" s="19"/>
      <c r="N55" s="19"/>
      <c r="O55" s="19"/>
      <c r="P55" s="19"/>
      <c r="Q55" s="19"/>
      <c r="R55" s="19"/>
      <c r="S55" s="19">
        <v>1691130</v>
      </c>
      <c r="T55" s="19"/>
      <c r="U55" s="19"/>
      <c r="V55" s="19"/>
      <c r="W55" s="19"/>
      <c r="X55" s="19"/>
      <c r="Y55" s="19"/>
      <c r="Z55" s="19"/>
      <c r="AA55" s="19"/>
      <c r="AB55" s="19"/>
      <c r="AC55" s="19"/>
      <c r="AD55" s="19"/>
      <c r="AE55" s="19"/>
      <c r="AF55" s="19"/>
      <c r="AG55" s="19"/>
      <c r="AH55" s="19"/>
      <c r="AI55" s="19"/>
      <c r="AJ55" s="19"/>
      <c r="AK55" s="19" t="s">
        <v>89</v>
      </c>
      <c r="AL55" s="19"/>
      <c r="AM55" s="19"/>
      <c r="AN55" s="19"/>
      <c r="AO55" s="19">
        <v>1237405</v>
      </c>
      <c r="AP55" s="19">
        <v>3300000</v>
      </c>
      <c r="AQ55" s="19"/>
      <c r="AR55" s="19"/>
      <c r="AS55" s="19"/>
      <c r="AT55" s="19"/>
      <c r="AU55" s="19"/>
      <c r="AV55" s="19"/>
      <c r="AW55" s="19"/>
      <c r="AX55" s="19" t="s">
        <v>96</v>
      </c>
      <c r="AY55" s="19"/>
      <c r="AZ55" s="19"/>
      <c r="BA55" s="19"/>
      <c r="BB55" s="19"/>
      <c r="BC55" s="19">
        <v>55877301</v>
      </c>
      <c r="BD55" s="19"/>
      <c r="BE55" s="19">
        <v>6921173</v>
      </c>
      <c r="BF55" s="19"/>
      <c r="BG55" s="19"/>
      <c r="BH55" s="19"/>
      <c r="BI55" s="19">
        <v>9231</v>
      </c>
      <c r="BJ55" s="19">
        <v>1882726</v>
      </c>
      <c r="BK55" s="19">
        <v>1989812</v>
      </c>
      <c r="BL55" s="19"/>
      <c r="BM55" s="19">
        <v>15806807</v>
      </c>
      <c r="BN55" s="19">
        <v>725997</v>
      </c>
      <c r="BO55" s="19">
        <v>308165</v>
      </c>
      <c r="BP55" s="19"/>
      <c r="BQ55" s="19" t="s">
        <v>175</v>
      </c>
      <c r="BR55" s="19"/>
      <c r="BS55" s="19"/>
      <c r="BT55" s="19"/>
      <c r="BU55" s="19"/>
      <c r="BV55" s="19"/>
      <c r="BW55" s="19"/>
      <c r="BX55" s="19"/>
      <c r="BY55" s="19">
        <v>1935054</v>
      </c>
      <c r="BZ55" s="19"/>
      <c r="CA55" s="19"/>
      <c r="CB55" s="19"/>
      <c r="CC55" s="19"/>
      <c r="CD55" s="19"/>
      <c r="CE55" s="19"/>
      <c r="CF55" s="19"/>
      <c r="CG55" s="19"/>
      <c r="CH55" s="19"/>
      <c r="CI55" s="19"/>
      <c r="CJ55" s="19"/>
      <c r="CK55" s="19"/>
      <c r="CL55" s="19"/>
      <c r="CM55" s="19"/>
      <c r="CN55" s="19"/>
      <c r="CO55" s="19"/>
      <c r="CP55" s="19"/>
      <c r="CQ55" s="19" t="s">
        <v>96</v>
      </c>
      <c r="CR55" s="19">
        <v>553082</v>
      </c>
      <c r="CS55" s="19"/>
      <c r="CT55" s="19"/>
      <c r="CU55" s="19"/>
      <c r="CV55" s="19"/>
      <c r="CW55" s="19"/>
      <c r="CX55" s="19">
        <v>477790</v>
      </c>
      <c r="CY55" s="19">
        <v>220255</v>
      </c>
      <c r="CZ55" s="19"/>
      <c r="DA55" s="19"/>
      <c r="DB55" s="19"/>
      <c r="DC55" s="19"/>
      <c r="DD55" s="19"/>
      <c r="DE55" s="19"/>
      <c r="DF55" s="19"/>
      <c r="DG55" s="19"/>
      <c r="DH55" s="19"/>
      <c r="DI55" s="19">
        <v>248640</v>
      </c>
      <c r="DJ55" s="19"/>
      <c r="DK55" s="19"/>
      <c r="DL55" s="19"/>
      <c r="DM55" s="19"/>
      <c r="DN55" s="19"/>
      <c r="DO55" s="19"/>
      <c r="DP55" s="19"/>
      <c r="DQ55" s="19"/>
      <c r="DR55" s="19"/>
      <c r="DS55" s="19"/>
      <c r="DT55" s="19"/>
      <c r="DU55" s="19"/>
      <c r="DV55" s="19"/>
      <c r="DW55" s="19">
        <v>784515</v>
      </c>
      <c r="DX55" s="19"/>
      <c r="DY55" s="19"/>
      <c r="DZ55" s="19"/>
      <c r="EA55" s="19"/>
      <c r="EB55" s="19"/>
      <c r="EC55" s="19"/>
      <c r="ED55" s="19"/>
      <c r="EE55" s="19"/>
      <c r="EF55" s="19"/>
      <c r="EG55" s="19"/>
      <c r="EH55" s="19"/>
      <c r="EI55" s="19"/>
      <c r="EJ55" s="19"/>
      <c r="EK55" s="19" t="s">
        <v>89</v>
      </c>
      <c r="EL55" s="19"/>
      <c r="EM55" s="19"/>
      <c r="EN55" s="19"/>
      <c r="EO55" s="19"/>
      <c r="EP55" s="19"/>
      <c r="EQ55" s="19"/>
      <c r="ER55" s="19"/>
      <c r="ES55" s="19"/>
      <c r="ET55" s="19"/>
      <c r="EU55" s="19"/>
      <c r="EV55" s="19">
        <v>287250</v>
      </c>
      <c r="EW55" s="19"/>
      <c r="EX55" s="19"/>
      <c r="EY55" s="19"/>
      <c r="EZ55" s="19"/>
      <c r="FA55" s="19"/>
      <c r="FB55" s="19"/>
      <c r="FC55" s="19" t="s">
        <v>89</v>
      </c>
      <c r="FD55" s="19"/>
      <c r="FE55" s="19"/>
      <c r="FF55" s="19"/>
      <c r="FG55" s="19"/>
      <c r="FH55" s="19"/>
      <c r="FI55" s="19"/>
      <c r="FJ55" s="19"/>
      <c r="FK55" s="19"/>
      <c r="FL55" s="19"/>
      <c r="FM55" s="19"/>
      <c r="FN55" s="19" t="s">
        <v>89</v>
      </c>
      <c r="FO55" s="19"/>
      <c r="FP55" s="19"/>
      <c r="FQ55" s="19" t="s">
        <v>89</v>
      </c>
      <c r="FR55" s="19"/>
      <c r="FS55" s="19"/>
      <c r="FT55" s="19"/>
      <c r="FU55" s="19" t="s">
        <v>89</v>
      </c>
      <c r="FV55" s="19"/>
      <c r="FW55" s="19"/>
      <c r="FX55" s="19" t="s">
        <v>157</v>
      </c>
      <c r="FY55" s="19"/>
      <c r="FZ55" s="19"/>
      <c r="GA55" s="19" t="s">
        <v>89</v>
      </c>
      <c r="GB55" s="19" t="s">
        <v>89</v>
      </c>
      <c r="GC55" s="19"/>
      <c r="GD55" s="19" t="s">
        <v>89</v>
      </c>
      <c r="GE55" s="19"/>
      <c r="GF55" s="19" t="s">
        <v>89</v>
      </c>
      <c r="GG55" s="19"/>
      <c r="GH55" s="19"/>
    </row>
    <row r="56" spans="1:190" ht="17.55" customHeight="1">
      <c r="A56" s="9" t="s">
        <v>0</v>
      </c>
      <c r="B56" s="15" t="s">
        <v>55</v>
      </c>
      <c r="C56" s="19">
        <v>474530</v>
      </c>
      <c r="D56" s="19">
        <v>15288620</v>
      </c>
      <c r="E56" s="19">
        <v>2200069</v>
      </c>
      <c r="F56" s="19">
        <v>31636300</v>
      </c>
      <c r="G56" s="19">
        <v>4350940</v>
      </c>
      <c r="H56" s="19">
        <v>37233950</v>
      </c>
      <c r="I56" s="19">
        <v>2566626</v>
      </c>
      <c r="J56" s="19" t="s">
        <v>89</v>
      </c>
      <c r="K56" s="19">
        <v>58613010</v>
      </c>
      <c r="L56" s="19">
        <v>365030</v>
      </c>
      <c r="M56" s="19">
        <v>47426040</v>
      </c>
      <c r="N56" s="19">
        <v>13782943</v>
      </c>
      <c r="O56" s="19">
        <v>7742760</v>
      </c>
      <c r="P56" s="19">
        <v>37776340</v>
      </c>
      <c r="Q56" s="19">
        <v>2076855</v>
      </c>
      <c r="R56" s="19">
        <v>25626700</v>
      </c>
      <c r="S56" s="19">
        <v>19292535</v>
      </c>
      <c r="T56" s="19">
        <v>2922270</v>
      </c>
      <c r="U56" s="19">
        <v>421730</v>
      </c>
      <c r="V56" s="19">
        <v>521151</v>
      </c>
      <c r="W56" s="19">
        <v>349000</v>
      </c>
      <c r="X56" s="19">
        <v>27589304</v>
      </c>
      <c r="Y56" s="19">
        <v>18255284</v>
      </c>
      <c r="Z56" s="19">
        <v>24261635</v>
      </c>
      <c r="AA56" s="19">
        <v>31155440</v>
      </c>
      <c r="AB56" s="19">
        <v>2882390</v>
      </c>
      <c r="AC56" s="19">
        <v>14697348</v>
      </c>
      <c r="AD56" s="19">
        <v>1963080</v>
      </c>
      <c r="AE56" s="19">
        <v>11771740</v>
      </c>
      <c r="AF56" s="19">
        <v>8015678</v>
      </c>
      <c r="AG56" s="19">
        <v>20567420</v>
      </c>
      <c r="AH56" s="19">
        <v>10253590</v>
      </c>
      <c r="AI56" s="19">
        <v>5410840</v>
      </c>
      <c r="AJ56" s="19">
        <v>16741870</v>
      </c>
      <c r="AK56" s="19" t="s">
        <v>89</v>
      </c>
      <c r="AL56" s="19">
        <v>21030560</v>
      </c>
      <c r="AM56" s="19">
        <v>22718443</v>
      </c>
      <c r="AN56" s="19">
        <v>8303036</v>
      </c>
      <c r="AO56" s="19">
        <v>34936020</v>
      </c>
      <c r="AP56" s="19">
        <v>595810</v>
      </c>
      <c r="AQ56" s="19">
        <v>3631800</v>
      </c>
      <c r="AR56" s="19">
        <v>6342810</v>
      </c>
      <c r="AS56" s="19">
        <v>4751050</v>
      </c>
      <c r="AT56" s="19">
        <v>21366460</v>
      </c>
      <c r="AU56" s="19">
        <v>15102070</v>
      </c>
      <c r="AV56" s="19">
        <v>158980</v>
      </c>
      <c r="AW56" s="19">
        <v>447520</v>
      </c>
      <c r="AX56" s="19" t="s">
        <v>96</v>
      </c>
      <c r="AY56" s="19">
        <v>19773555</v>
      </c>
      <c r="AZ56" s="19">
        <v>1932550</v>
      </c>
      <c r="BA56" s="19">
        <v>39692564</v>
      </c>
      <c r="BB56" s="19">
        <v>7646860</v>
      </c>
      <c r="BC56" s="19">
        <v>29390717</v>
      </c>
      <c r="BD56" s="19">
        <v>3140720</v>
      </c>
      <c r="BE56" s="19">
        <v>1505290</v>
      </c>
      <c r="BF56" s="19">
        <v>8131440</v>
      </c>
      <c r="BG56" s="19">
        <v>24184232</v>
      </c>
      <c r="BH56" s="19">
        <v>90910</v>
      </c>
      <c r="BI56" s="19">
        <v>226619</v>
      </c>
      <c r="BJ56" s="19">
        <v>9328596</v>
      </c>
      <c r="BK56" s="19">
        <v>8495680</v>
      </c>
      <c r="BL56" s="19">
        <v>14430520</v>
      </c>
      <c r="BM56" s="19">
        <v>8148829</v>
      </c>
      <c r="BN56" s="19">
        <v>1386430</v>
      </c>
      <c r="BO56" s="19">
        <v>2985830</v>
      </c>
      <c r="BP56" s="19">
        <v>2148592</v>
      </c>
      <c r="BQ56" s="19" t="s">
        <v>175</v>
      </c>
      <c r="BR56" s="19">
        <v>8101029</v>
      </c>
      <c r="BS56" s="19">
        <v>268430</v>
      </c>
      <c r="BT56" s="19">
        <v>7868722</v>
      </c>
      <c r="BU56" s="19">
        <v>8046190</v>
      </c>
      <c r="BV56" s="19">
        <v>3975110</v>
      </c>
      <c r="BW56" s="19"/>
      <c r="BX56" s="19">
        <v>8936240</v>
      </c>
      <c r="BY56" s="19">
        <v>29493027</v>
      </c>
      <c r="BZ56" s="19">
        <v>6888800</v>
      </c>
      <c r="CA56" s="19">
        <v>8047837</v>
      </c>
      <c r="CB56" s="19">
        <v>702260</v>
      </c>
      <c r="CC56" s="19">
        <v>133510</v>
      </c>
      <c r="CD56" s="19">
        <v>48635200</v>
      </c>
      <c r="CE56" s="19">
        <v>3354671</v>
      </c>
      <c r="CF56" s="19">
        <v>13212430</v>
      </c>
      <c r="CG56" s="19">
        <v>3066170</v>
      </c>
      <c r="CH56" s="19">
        <v>1947230</v>
      </c>
      <c r="CI56" s="19">
        <v>4738820</v>
      </c>
      <c r="CJ56" s="19">
        <v>112030</v>
      </c>
      <c r="CK56" s="19">
        <v>21825270</v>
      </c>
      <c r="CL56" s="19">
        <v>1126110</v>
      </c>
      <c r="CM56" s="19">
        <v>6502670</v>
      </c>
      <c r="CN56" s="19">
        <v>5268360</v>
      </c>
      <c r="CO56" s="19">
        <v>9256923</v>
      </c>
      <c r="CP56" s="19">
        <v>21864144</v>
      </c>
      <c r="CQ56" s="19" t="s">
        <v>96</v>
      </c>
      <c r="CR56" s="19">
        <v>9885100</v>
      </c>
      <c r="CS56" s="19">
        <v>15677326</v>
      </c>
      <c r="CT56" s="19">
        <v>5967190</v>
      </c>
      <c r="CU56" s="19">
        <v>16506271</v>
      </c>
      <c r="CV56" s="19">
        <v>3148000</v>
      </c>
      <c r="CW56" s="19">
        <v>313500</v>
      </c>
      <c r="CX56" s="19">
        <v>17421570</v>
      </c>
      <c r="CY56" s="19">
        <v>31236550</v>
      </c>
      <c r="CZ56" s="19">
        <v>14010670</v>
      </c>
      <c r="DA56" s="19"/>
      <c r="DB56" s="19">
        <v>6442250</v>
      </c>
      <c r="DC56" s="19">
        <v>1162302</v>
      </c>
      <c r="DD56" s="19">
        <v>4150810</v>
      </c>
      <c r="DE56" s="19">
        <v>10745200</v>
      </c>
      <c r="DF56" s="19">
        <v>1440920</v>
      </c>
      <c r="DG56" s="19">
        <v>13933520</v>
      </c>
      <c r="DH56" s="19">
        <v>5875670</v>
      </c>
      <c r="DI56" s="19">
        <v>7962656</v>
      </c>
      <c r="DJ56" s="19">
        <v>2843110</v>
      </c>
      <c r="DK56" s="19">
        <v>1707400</v>
      </c>
      <c r="DL56" s="19">
        <v>3437460</v>
      </c>
      <c r="DM56" s="19">
        <v>15571566</v>
      </c>
      <c r="DN56" s="19">
        <v>7570203</v>
      </c>
      <c r="DO56" s="19">
        <v>7259257</v>
      </c>
      <c r="DP56" s="19">
        <v>4036968</v>
      </c>
      <c r="DQ56" s="19">
        <v>4213620</v>
      </c>
      <c r="DR56" s="19">
        <v>1360660</v>
      </c>
      <c r="DS56" s="19">
        <v>12106412</v>
      </c>
      <c r="DT56" s="19">
        <v>13993850</v>
      </c>
      <c r="DU56" s="19">
        <v>6506280</v>
      </c>
      <c r="DV56" s="19"/>
      <c r="DW56" s="19">
        <v>2815940</v>
      </c>
      <c r="DX56" s="19">
        <v>13798520</v>
      </c>
      <c r="DY56" s="19">
        <v>1009450</v>
      </c>
      <c r="DZ56" s="19">
        <v>1323370</v>
      </c>
      <c r="EA56" s="19">
        <v>419907</v>
      </c>
      <c r="EB56" s="19">
        <v>19810670</v>
      </c>
      <c r="EC56" s="19">
        <v>981310</v>
      </c>
      <c r="ED56" s="19">
        <v>1003918</v>
      </c>
      <c r="EE56" s="19">
        <v>7234300</v>
      </c>
      <c r="EF56" s="19">
        <v>36100675</v>
      </c>
      <c r="EG56" s="19">
        <v>45130210</v>
      </c>
      <c r="EH56" s="19">
        <v>1148772</v>
      </c>
      <c r="EI56" s="19">
        <v>1694050</v>
      </c>
      <c r="EJ56" s="19">
        <v>3207050</v>
      </c>
      <c r="EK56" s="19" t="s">
        <v>89</v>
      </c>
      <c r="EL56" s="19">
        <v>66021410</v>
      </c>
      <c r="EM56" s="19">
        <v>7919030</v>
      </c>
      <c r="EN56" s="19">
        <v>3085110</v>
      </c>
      <c r="EO56" s="19">
        <v>20271360</v>
      </c>
      <c r="EP56" s="19">
        <v>24614600</v>
      </c>
      <c r="EQ56" s="19">
        <v>10406011</v>
      </c>
      <c r="ER56" s="19">
        <v>71394150</v>
      </c>
      <c r="ES56" s="19">
        <v>11239700</v>
      </c>
      <c r="ET56" s="19">
        <v>4471160</v>
      </c>
      <c r="EU56" s="19">
        <v>5267680</v>
      </c>
      <c r="EV56" s="19">
        <v>2236692</v>
      </c>
      <c r="EW56" s="19">
        <v>5548012</v>
      </c>
      <c r="EX56" s="19">
        <v>8815574</v>
      </c>
      <c r="EY56" s="19">
        <v>79278530</v>
      </c>
      <c r="EZ56" s="19">
        <v>5610180</v>
      </c>
      <c r="FA56" s="19">
        <v>19180727</v>
      </c>
      <c r="FB56" s="19">
        <v>8372145</v>
      </c>
      <c r="FC56" s="19" t="s">
        <v>89</v>
      </c>
      <c r="FD56" s="19">
        <v>1578756</v>
      </c>
      <c r="FE56" s="19">
        <v>38207208</v>
      </c>
      <c r="FF56" s="19">
        <v>5357595</v>
      </c>
      <c r="FG56" s="19">
        <v>6250282</v>
      </c>
      <c r="FH56" s="19">
        <v>3355570</v>
      </c>
      <c r="FI56" s="19">
        <v>1430960</v>
      </c>
      <c r="FJ56" s="19">
        <v>6854900</v>
      </c>
      <c r="FK56" s="19">
        <v>35611390</v>
      </c>
      <c r="FL56" s="19">
        <v>62500</v>
      </c>
      <c r="FM56" s="19">
        <v>1551800</v>
      </c>
      <c r="FN56" s="19" t="s">
        <v>89</v>
      </c>
      <c r="FO56" s="19">
        <v>160780</v>
      </c>
      <c r="FP56" s="19">
        <v>1761000</v>
      </c>
      <c r="FQ56" s="19" t="s">
        <v>89</v>
      </c>
      <c r="FR56" s="19">
        <v>528220</v>
      </c>
      <c r="FS56" s="19">
        <v>453240</v>
      </c>
      <c r="FT56" s="19">
        <v>1584000</v>
      </c>
      <c r="FU56" s="19" t="s">
        <v>89</v>
      </c>
      <c r="FV56" s="19">
        <v>29727768</v>
      </c>
      <c r="FW56" s="19">
        <v>5317150</v>
      </c>
      <c r="FX56" s="19" t="s">
        <v>157</v>
      </c>
      <c r="FY56" s="19">
        <v>3948950</v>
      </c>
      <c r="FZ56" s="19">
        <v>2642150</v>
      </c>
      <c r="GA56" s="19" t="s">
        <v>89</v>
      </c>
      <c r="GB56" s="19" t="s">
        <v>89</v>
      </c>
      <c r="GC56" s="19">
        <v>3266500</v>
      </c>
      <c r="GD56" s="19" t="s">
        <v>89</v>
      </c>
      <c r="GE56" s="19">
        <v>445500</v>
      </c>
      <c r="GF56" s="19" t="s">
        <v>89</v>
      </c>
      <c r="GG56" s="19">
        <v>11019150</v>
      </c>
      <c r="GH56" s="19">
        <v>1435220</v>
      </c>
    </row>
    <row r="57" spans="1:190" ht="17.55" customHeight="1">
      <c r="A57" s="9" t="s">
        <v>0</v>
      </c>
      <c r="B57" s="15" t="s">
        <v>77</v>
      </c>
      <c r="C57" s="19">
        <v>200404808</v>
      </c>
      <c r="D57" s="19">
        <v>247273914</v>
      </c>
      <c r="E57" s="19">
        <v>166034670</v>
      </c>
      <c r="F57" s="19">
        <v>171885625</v>
      </c>
      <c r="G57" s="19">
        <v>35705172</v>
      </c>
      <c r="H57" s="19">
        <v>1204456876</v>
      </c>
      <c r="I57" s="19">
        <v>466747708</v>
      </c>
      <c r="J57" s="19" t="s">
        <v>89</v>
      </c>
      <c r="K57" s="19">
        <v>145502288</v>
      </c>
      <c r="L57" s="19">
        <v>39764720</v>
      </c>
      <c r="M57" s="19">
        <v>431216657</v>
      </c>
      <c r="N57" s="19">
        <v>261475049</v>
      </c>
      <c r="O57" s="19">
        <v>603208989</v>
      </c>
      <c r="P57" s="19">
        <v>802860469</v>
      </c>
      <c r="Q57" s="19">
        <v>39601821</v>
      </c>
      <c r="R57" s="19">
        <v>510123559</v>
      </c>
      <c r="S57" s="19">
        <v>578556847</v>
      </c>
      <c r="T57" s="19">
        <v>94755282</v>
      </c>
      <c r="U57" s="19">
        <v>472269400</v>
      </c>
      <c r="V57" s="19">
        <v>91158766</v>
      </c>
      <c r="W57" s="19">
        <v>692048707</v>
      </c>
      <c r="X57" s="19">
        <v>238865782</v>
      </c>
      <c r="Y57" s="19">
        <v>564495265</v>
      </c>
      <c r="Z57" s="19">
        <v>497900480</v>
      </c>
      <c r="AA57" s="19">
        <v>63807926</v>
      </c>
      <c r="AB57" s="19">
        <v>758201297</v>
      </c>
      <c r="AC57" s="19">
        <v>166602588</v>
      </c>
      <c r="AD57" s="19">
        <v>138963652</v>
      </c>
      <c r="AE57" s="19">
        <v>-15406886</v>
      </c>
      <c r="AF57" s="19">
        <v>88115920</v>
      </c>
      <c r="AG57" s="19">
        <v>1431852862</v>
      </c>
      <c r="AH57" s="19">
        <v>868696330</v>
      </c>
      <c r="AI57" s="19">
        <v>125842754</v>
      </c>
      <c r="AJ57" s="19">
        <v>287264177</v>
      </c>
      <c r="AK57" s="19" t="s">
        <v>89</v>
      </c>
      <c r="AL57" s="19">
        <v>490962843</v>
      </c>
      <c r="AM57" s="19">
        <v>193780024</v>
      </c>
      <c r="AN57" s="19">
        <v>91620720</v>
      </c>
      <c r="AO57" s="19">
        <v>410220149</v>
      </c>
      <c r="AP57" s="19">
        <v>324469589</v>
      </c>
      <c r="AQ57" s="19">
        <v>52271071</v>
      </c>
      <c r="AR57" s="19">
        <v>107276738</v>
      </c>
      <c r="AS57" s="19">
        <v>1240549862</v>
      </c>
      <c r="AT57" s="19">
        <v>131219099</v>
      </c>
      <c r="AU57" s="19">
        <v>496672390</v>
      </c>
      <c r="AV57" s="19">
        <v>64099033</v>
      </c>
      <c r="AW57" s="19">
        <v>19720845</v>
      </c>
      <c r="AX57" s="19" t="s">
        <v>96</v>
      </c>
      <c r="AY57" s="19">
        <v>278754133</v>
      </c>
      <c r="AZ57" s="19">
        <v>111501146</v>
      </c>
      <c r="BA57" s="19">
        <v>662341515</v>
      </c>
      <c r="BB57" s="19">
        <v>13897087</v>
      </c>
      <c r="BC57" s="19">
        <v>316746508</v>
      </c>
      <c r="BD57" s="19">
        <v>64764382</v>
      </c>
      <c r="BE57" s="19">
        <v>154157337</v>
      </c>
      <c r="BF57" s="19">
        <v>111418873</v>
      </c>
      <c r="BG57" s="19">
        <v>749880179</v>
      </c>
      <c r="BH57" s="19">
        <v>41763574</v>
      </c>
      <c r="BI57" s="19">
        <v>88009131</v>
      </c>
      <c r="BJ57" s="19">
        <v>91750964</v>
      </c>
      <c r="BK57" s="19">
        <v>222221629</v>
      </c>
      <c r="BL57" s="19">
        <v>315926547</v>
      </c>
      <c r="BM57" s="19">
        <v>90313590</v>
      </c>
      <c r="BN57" s="19">
        <v>19037030</v>
      </c>
      <c r="BO57" s="19">
        <v>114710761</v>
      </c>
      <c r="BP57" s="19">
        <v>54291511</v>
      </c>
      <c r="BQ57" s="19" t="s">
        <v>175</v>
      </c>
      <c r="BR57" s="19">
        <v>58121581</v>
      </c>
      <c r="BS57" s="19">
        <v>60528453</v>
      </c>
      <c r="BT57" s="19">
        <v>36012971</v>
      </c>
      <c r="BU57" s="19">
        <v>63090857</v>
      </c>
      <c r="BV57" s="19">
        <v>143908941</v>
      </c>
      <c r="BW57" s="19">
        <v>68876030</v>
      </c>
      <c r="BX57" s="19">
        <v>467058770</v>
      </c>
      <c r="BY57" s="19">
        <v>578249057</v>
      </c>
      <c r="BZ57" s="19">
        <v>182287678</v>
      </c>
      <c r="CA57" s="19">
        <v>157414636</v>
      </c>
      <c r="CB57" s="19">
        <v>171917616</v>
      </c>
      <c r="CC57" s="19">
        <v>125975481</v>
      </c>
      <c r="CD57" s="19">
        <v>73026035</v>
      </c>
      <c r="CE57" s="19">
        <v>39697849</v>
      </c>
      <c r="CF57" s="19">
        <v>489285123</v>
      </c>
      <c r="CG57" s="19">
        <v>148258558</v>
      </c>
      <c r="CH57" s="19">
        <v>54613236</v>
      </c>
      <c r="CI57" s="19">
        <v>77463468</v>
      </c>
      <c r="CJ57" s="19">
        <v>9484060</v>
      </c>
      <c r="CK57" s="19">
        <v>282308454</v>
      </c>
      <c r="CL57" s="19">
        <v>60097077</v>
      </c>
      <c r="CM57" s="19">
        <v>227903806</v>
      </c>
      <c r="CN57" s="19">
        <v>148578849</v>
      </c>
      <c r="CO57" s="19">
        <v>73378198</v>
      </c>
      <c r="CP57" s="19">
        <v>657563276</v>
      </c>
      <c r="CQ57" s="19" t="s">
        <v>96</v>
      </c>
      <c r="CR57" s="19">
        <v>63580982</v>
      </c>
      <c r="CS57" s="19">
        <v>445571909</v>
      </c>
      <c r="CT57" s="19">
        <v>426183088</v>
      </c>
      <c r="CU57" s="19">
        <v>831492125</v>
      </c>
      <c r="CV57" s="19">
        <v>11333354</v>
      </c>
      <c r="CW57" s="19">
        <v>354734146</v>
      </c>
      <c r="CX57" s="19">
        <v>518907560</v>
      </c>
      <c r="CY57" s="19">
        <v>1803890647</v>
      </c>
      <c r="CZ57" s="19">
        <v>378044906</v>
      </c>
      <c r="DA57" s="19">
        <v>72994232</v>
      </c>
      <c r="DB57" s="19">
        <v>115259173</v>
      </c>
      <c r="DC57" s="19">
        <v>198081113</v>
      </c>
      <c r="DD57" s="19">
        <v>112025853</v>
      </c>
      <c r="DE57" s="19">
        <v>184407147</v>
      </c>
      <c r="DF57" s="19">
        <v>37740991</v>
      </c>
      <c r="DG57" s="19">
        <v>693111143</v>
      </c>
      <c r="DH57" s="19">
        <v>60704232</v>
      </c>
      <c r="DI57" s="19">
        <v>203291583</v>
      </c>
      <c r="DJ57" s="19">
        <v>122795874</v>
      </c>
      <c r="DK57" s="19">
        <v>257311710</v>
      </c>
      <c r="DL57" s="19">
        <v>122575844</v>
      </c>
      <c r="DM57" s="19">
        <v>389736907</v>
      </c>
      <c r="DN57" s="19">
        <v>52640868</v>
      </c>
      <c r="DO57" s="19">
        <v>37824032</v>
      </c>
      <c r="DP57" s="19">
        <v>134351313</v>
      </c>
      <c r="DQ57" s="19">
        <v>50940581</v>
      </c>
      <c r="DR57" s="19">
        <v>86133057</v>
      </c>
      <c r="DS57" s="19">
        <v>162641371</v>
      </c>
      <c r="DT57" s="19">
        <v>687577040</v>
      </c>
      <c r="DU57" s="19">
        <v>-18934618</v>
      </c>
      <c r="DV57" s="19">
        <v>884096650</v>
      </c>
      <c r="DW57" s="19">
        <v>48275393</v>
      </c>
      <c r="DX57" s="19">
        <v>244699396</v>
      </c>
      <c r="DY57" s="19">
        <v>245000401</v>
      </c>
      <c r="DZ57" s="19">
        <v>75167085</v>
      </c>
      <c r="EA57" s="19">
        <v>45753990</v>
      </c>
      <c r="EB57" s="19">
        <v>261045753</v>
      </c>
      <c r="EC57" s="19">
        <v>83175760</v>
      </c>
      <c r="ED57" s="19">
        <v>24062574</v>
      </c>
      <c r="EE57" s="19">
        <v>17840055</v>
      </c>
      <c r="EF57" s="19">
        <v>111702165</v>
      </c>
      <c r="EG57" s="19">
        <v>1551243895</v>
      </c>
      <c r="EH57" s="19">
        <v>22140186</v>
      </c>
      <c r="EI57" s="19">
        <v>291681688</v>
      </c>
      <c r="EJ57" s="19">
        <v>148471897</v>
      </c>
      <c r="EK57" s="19" t="s">
        <v>89</v>
      </c>
      <c r="EL57" s="19">
        <v>332646571</v>
      </c>
      <c r="EM57" s="19">
        <v>37645539</v>
      </c>
      <c r="EN57" s="19">
        <v>1311117930</v>
      </c>
      <c r="EO57" s="19">
        <v>658699278</v>
      </c>
      <c r="EP57" s="19">
        <v>111654891</v>
      </c>
      <c r="EQ57" s="19">
        <v>545637689</v>
      </c>
      <c r="ER57" s="19">
        <v>367690673</v>
      </c>
      <c r="ES57" s="19">
        <v>148388740</v>
      </c>
      <c r="ET57" s="19">
        <v>102813878</v>
      </c>
      <c r="EU57" s="19">
        <v>478967792</v>
      </c>
      <c r="EV57" s="19">
        <v>38359895</v>
      </c>
      <c r="EW57" s="19">
        <v>74041282</v>
      </c>
      <c r="EX57" s="19">
        <v>1244573237</v>
      </c>
      <c r="EY57" s="19">
        <v>799268469</v>
      </c>
      <c r="EZ57" s="19">
        <v>101749023</v>
      </c>
      <c r="FA57" s="19">
        <v>95582091</v>
      </c>
      <c r="FB57" s="19">
        <v>104464660</v>
      </c>
      <c r="FC57" s="19" t="s">
        <v>89</v>
      </c>
      <c r="FD57" s="19">
        <v>7394798</v>
      </c>
      <c r="FE57" s="19">
        <v>1843883593</v>
      </c>
      <c r="FF57" s="19">
        <v>28050902</v>
      </c>
      <c r="FG57" s="19">
        <v>121136176</v>
      </c>
      <c r="FH57" s="19">
        <v>42707156</v>
      </c>
      <c r="FI57" s="19">
        <v>117309246</v>
      </c>
      <c r="FJ57" s="19">
        <v>76817152</v>
      </c>
      <c r="FK57" s="19">
        <v>352539682</v>
      </c>
      <c r="FL57" s="19">
        <v>10049576</v>
      </c>
      <c r="FM57" s="19">
        <v>47317911</v>
      </c>
      <c r="FN57" s="19" t="s">
        <v>89</v>
      </c>
      <c r="FO57" s="19">
        <v>135034494</v>
      </c>
      <c r="FP57" s="19">
        <v>8908732</v>
      </c>
      <c r="FQ57" s="19" t="s">
        <v>89</v>
      </c>
      <c r="FR57" s="19">
        <v>39590618</v>
      </c>
      <c r="FS57" s="19">
        <v>11525484</v>
      </c>
      <c r="FT57" s="19">
        <v>20171456</v>
      </c>
      <c r="FU57" s="19" t="s">
        <v>89</v>
      </c>
      <c r="FV57" s="19">
        <v>261982691</v>
      </c>
      <c r="FW57" s="19">
        <v>225166875</v>
      </c>
      <c r="FX57" s="19" t="s">
        <v>157</v>
      </c>
      <c r="FY57" s="19">
        <v>107070646</v>
      </c>
      <c r="FZ57" s="19">
        <v>18397864</v>
      </c>
      <c r="GA57" s="19" t="s">
        <v>89</v>
      </c>
      <c r="GB57" s="19" t="s">
        <v>89</v>
      </c>
      <c r="GC57" s="19">
        <v>64729440</v>
      </c>
      <c r="GD57" s="19" t="s">
        <v>89</v>
      </c>
      <c r="GE57" s="19">
        <v>5391332</v>
      </c>
      <c r="GF57" s="19" t="s">
        <v>89</v>
      </c>
      <c r="GG57" s="19">
        <v>304063614</v>
      </c>
      <c r="GH57" s="19">
        <v>28087251</v>
      </c>
    </row>
    <row r="58" spans="1:190" ht="17.55" customHeight="1">
      <c r="A58" s="9" t="s">
        <v>0</v>
      </c>
      <c r="B58" s="10" t="s">
        <v>83</v>
      </c>
      <c r="C58" s="19">
        <v>-135918948</v>
      </c>
      <c r="D58" s="19">
        <v>-414002118</v>
      </c>
      <c r="E58" s="19">
        <v>-57008643</v>
      </c>
      <c r="F58" s="19">
        <v>131486328</v>
      </c>
      <c r="G58" s="19">
        <v>8345866</v>
      </c>
      <c r="H58" s="19">
        <v>-96592431</v>
      </c>
      <c r="I58" s="19">
        <v>43152563</v>
      </c>
      <c r="J58" s="19" t="s">
        <v>89</v>
      </c>
      <c r="K58" s="19">
        <v>-863624588</v>
      </c>
      <c r="L58" s="19">
        <v>21341937</v>
      </c>
      <c r="M58" s="19">
        <v>44483242</v>
      </c>
      <c r="N58" s="19">
        <v>-320429880</v>
      </c>
      <c r="O58" s="19">
        <v>-106077718</v>
      </c>
      <c r="P58" s="19">
        <v>47891828</v>
      </c>
      <c r="Q58" s="19">
        <v>31288916</v>
      </c>
      <c r="R58" s="19">
        <v>46469580</v>
      </c>
      <c r="S58" s="19">
        <v>616630740</v>
      </c>
      <c r="T58" s="19">
        <v>-75156486</v>
      </c>
      <c r="U58" s="19">
        <v>-32012704</v>
      </c>
      <c r="V58" s="19">
        <v>-120435662</v>
      </c>
      <c r="W58" s="19">
        <v>-411189888</v>
      </c>
      <c r="X58" s="19">
        <v>273804979</v>
      </c>
      <c r="Y58" s="19">
        <v>-182368014</v>
      </c>
      <c r="Z58" s="19">
        <v>-459774357</v>
      </c>
      <c r="AA58" s="19">
        <v>161179562</v>
      </c>
      <c r="AB58" s="19">
        <v>27062093</v>
      </c>
      <c r="AC58" s="19">
        <v>-116823601</v>
      </c>
      <c r="AD58" s="19">
        <v>38111653</v>
      </c>
      <c r="AE58" s="19">
        <v>136648937</v>
      </c>
      <c r="AF58" s="19">
        <v>-35720716</v>
      </c>
      <c r="AG58" s="19">
        <v>46851241</v>
      </c>
      <c r="AH58" s="19">
        <v>-417454311</v>
      </c>
      <c r="AI58" s="19">
        <v>-61713307</v>
      </c>
      <c r="AJ58" s="19">
        <v>216392</v>
      </c>
      <c r="AK58" s="19" t="s">
        <v>89</v>
      </c>
      <c r="AL58" s="19">
        <v>24277692</v>
      </c>
      <c r="AM58" s="19">
        <v>113622737</v>
      </c>
      <c r="AN58" s="19">
        <v>36722181</v>
      </c>
      <c r="AO58" s="19">
        <v>-327476731</v>
      </c>
      <c r="AP58" s="19">
        <v>-130599091</v>
      </c>
      <c r="AQ58" s="19">
        <v>-12300865</v>
      </c>
      <c r="AR58" s="19">
        <v>34270142</v>
      </c>
      <c r="AS58" s="19">
        <v>-346409391</v>
      </c>
      <c r="AT58" s="19">
        <v>78522955</v>
      </c>
      <c r="AU58" s="19">
        <v>-350265557</v>
      </c>
      <c r="AV58" s="19">
        <v>-11775088</v>
      </c>
      <c r="AW58" s="19">
        <v>-112564967</v>
      </c>
      <c r="AX58" s="19" t="s">
        <v>96</v>
      </c>
      <c r="AY58" s="19">
        <v>-58589888</v>
      </c>
      <c r="AZ58" s="19">
        <v>42726458</v>
      </c>
      <c r="BA58" s="19">
        <v>-156202957</v>
      </c>
      <c r="BB58" s="19">
        <v>-89633750</v>
      </c>
      <c r="BC58" s="19">
        <v>101783540</v>
      </c>
      <c r="BD58" s="19">
        <v>-93035226</v>
      </c>
      <c r="BE58" s="19">
        <v>36474659</v>
      </c>
      <c r="BF58" s="19">
        <v>11239969</v>
      </c>
      <c r="BG58" s="19">
        <v>47876821</v>
      </c>
      <c r="BH58" s="19">
        <v>29829739</v>
      </c>
      <c r="BI58" s="19">
        <v>24995113</v>
      </c>
      <c r="BJ58" s="19">
        <v>-19071337</v>
      </c>
      <c r="BK58" s="19">
        <v>14734766</v>
      </c>
      <c r="BL58" s="19">
        <v>26724501</v>
      </c>
      <c r="BM58" s="19">
        <v>35398407</v>
      </c>
      <c r="BN58" s="19">
        <v>4677683</v>
      </c>
      <c r="BO58" s="19">
        <v>-72997064</v>
      </c>
      <c r="BP58" s="19">
        <v>-40151518</v>
      </c>
      <c r="BQ58" s="19" t="s">
        <v>175</v>
      </c>
      <c r="BR58" s="19">
        <v>-13508408</v>
      </c>
      <c r="BS58" s="19">
        <v>-23324231</v>
      </c>
      <c r="BT58" s="19">
        <v>-75749316</v>
      </c>
      <c r="BU58" s="19">
        <v>-330997931</v>
      </c>
      <c r="BV58" s="19">
        <v>26285828</v>
      </c>
      <c r="BW58" s="19">
        <v>-59630774</v>
      </c>
      <c r="BX58" s="19">
        <v>9428605</v>
      </c>
      <c r="BY58" s="19">
        <v>-23761083</v>
      </c>
      <c r="BZ58" s="19">
        <v>391568384</v>
      </c>
      <c r="CA58" s="19">
        <v>5670695</v>
      </c>
      <c r="CB58" s="19">
        <v>-50896606</v>
      </c>
      <c r="CC58" s="19">
        <v>-75576857</v>
      </c>
      <c r="CD58" s="19">
        <v>-26167324</v>
      </c>
      <c r="CE58" s="19">
        <v>-21093210</v>
      </c>
      <c r="CF58" s="19">
        <v>-808677930</v>
      </c>
      <c r="CG58" s="19">
        <v>-57472695</v>
      </c>
      <c r="CH58" s="19">
        <v>-37258894</v>
      </c>
      <c r="CI58" s="19">
        <v>-677820489</v>
      </c>
      <c r="CJ58" s="19">
        <v>9273577</v>
      </c>
      <c r="CK58" s="19">
        <v>40734767</v>
      </c>
      <c r="CL58" s="19">
        <v>10098583</v>
      </c>
      <c r="CM58" s="19">
        <v>6895670</v>
      </c>
      <c r="CN58" s="19">
        <v>18579779</v>
      </c>
      <c r="CO58" s="19">
        <v>-110987791</v>
      </c>
      <c r="CP58" s="19">
        <v>10020305</v>
      </c>
      <c r="CQ58" s="19" t="s">
        <v>96</v>
      </c>
      <c r="CR58" s="19">
        <v>53713906</v>
      </c>
      <c r="CS58" s="19">
        <v>-496535937</v>
      </c>
      <c r="CT58" s="19">
        <v>-459510487</v>
      </c>
      <c r="CU58" s="19">
        <v>-170501815</v>
      </c>
      <c r="CV58" s="19">
        <v>-19552845</v>
      </c>
      <c r="CW58" s="19">
        <v>62781234</v>
      </c>
      <c r="CX58" s="19">
        <v>-548675353</v>
      </c>
      <c r="CY58" s="19">
        <v>124196277</v>
      </c>
      <c r="CZ58" s="19">
        <v>9153148</v>
      </c>
      <c r="DA58" s="19">
        <v>21548091</v>
      </c>
      <c r="DB58" s="19">
        <v>142096976</v>
      </c>
      <c r="DC58" s="19">
        <v>-36468376</v>
      </c>
      <c r="DD58" s="19">
        <v>-13684545</v>
      </c>
      <c r="DE58" s="19">
        <v>69445338</v>
      </c>
      <c r="DF58" s="19">
        <v>-19408368</v>
      </c>
      <c r="DG58" s="19">
        <v>15323366</v>
      </c>
      <c r="DH58" s="19">
        <v>11563243</v>
      </c>
      <c r="DI58" s="19">
        <v>120724925</v>
      </c>
      <c r="DJ58" s="19">
        <v>-431750</v>
      </c>
      <c r="DK58" s="19">
        <v>63999334</v>
      </c>
      <c r="DL58" s="19">
        <v>-147834059</v>
      </c>
      <c r="DM58" s="19">
        <v>45401278</v>
      </c>
      <c r="DN58" s="19">
        <v>-17146123</v>
      </c>
      <c r="DO58" s="19">
        <v>-23005274</v>
      </c>
      <c r="DP58" s="19">
        <v>68858139</v>
      </c>
      <c r="DQ58" s="19">
        <v>-2779888</v>
      </c>
      <c r="DR58" s="19">
        <v>-42282312</v>
      </c>
      <c r="DS58" s="19">
        <v>-145252782</v>
      </c>
      <c r="DT58" s="19">
        <v>41983432</v>
      </c>
      <c r="DU58" s="19">
        <v>-6629152</v>
      </c>
      <c r="DV58" s="19">
        <v>-884096650</v>
      </c>
      <c r="DW58" s="19">
        <v>331065540</v>
      </c>
      <c r="DX58" s="19">
        <v>-100784456</v>
      </c>
      <c r="DY58" s="19">
        <v>39297815</v>
      </c>
      <c r="DZ58" s="19">
        <v>87695510</v>
      </c>
      <c r="EA58" s="19">
        <v>9979616</v>
      </c>
      <c r="EB58" s="19">
        <v>89672609</v>
      </c>
      <c r="EC58" s="19">
        <v>19869503</v>
      </c>
      <c r="ED58" s="19">
        <v>-12443792</v>
      </c>
      <c r="EE58" s="19">
        <v>-1047572</v>
      </c>
      <c r="EF58" s="19">
        <v>25191700</v>
      </c>
      <c r="EG58" s="19">
        <v>-2458534904</v>
      </c>
      <c r="EH58" s="19">
        <v>10991704</v>
      </c>
      <c r="EI58" s="19">
        <v>-122872086</v>
      </c>
      <c r="EJ58" s="19">
        <v>-168672332</v>
      </c>
      <c r="EK58" s="19" t="s">
        <v>89</v>
      </c>
      <c r="EL58" s="19">
        <v>-481852621</v>
      </c>
      <c r="EM58" s="19">
        <v>161617627</v>
      </c>
      <c r="EN58" s="19">
        <v>198229717</v>
      </c>
      <c r="EO58" s="19">
        <v>126868829</v>
      </c>
      <c r="EP58" s="19">
        <v>4418629</v>
      </c>
      <c r="EQ58" s="19">
        <v>-37761828</v>
      </c>
      <c r="ER58" s="19">
        <v>-129129295</v>
      </c>
      <c r="ES58" s="19">
        <v>-9830550</v>
      </c>
      <c r="ET58" s="19">
        <v>-95482764</v>
      </c>
      <c r="EU58" s="19">
        <v>-424152458</v>
      </c>
      <c r="EV58" s="19">
        <v>-8151977</v>
      </c>
      <c r="EW58" s="19">
        <v>-31918990</v>
      </c>
      <c r="EX58" s="19">
        <v>295643176</v>
      </c>
      <c r="EY58" s="19">
        <v>356569675</v>
      </c>
      <c r="EZ58" s="19">
        <v>-96516683</v>
      </c>
      <c r="FA58" s="19">
        <v>33295347</v>
      </c>
      <c r="FB58" s="19">
        <v>15828934</v>
      </c>
      <c r="FC58" s="19" t="s">
        <v>89</v>
      </c>
      <c r="FD58" s="19">
        <v>24460328</v>
      </c>
      <c r="FE58" s="19">
        <v>211763652</v>
      </c>
      <c r="FF58" s="19">
        <v>25642320</v>
      </c>
      <c r="FG58" s="19">
        <v>-191846989</v>
      </c>
      <c r="FH58" s="19">
        <v>-17516857</v>
      </c>
      <c r="FI58" s="19">
        <v>-44987974</v>
      </c>
      <c r="FJ58" s="19">
        <v>14816934</v>
      </c>
      <c r="FK58" s="19">
        <v>-87116890</v>
      </c>
      <c r="FL58" s="19">
        <v>-3276175</v>
      </c>
      <c r="FM58" s="19">
        <v>-41683799</v>
      </c>
      <c r="FN58" s="19" t="s">
        <v>89</v>
      </c>
      <c r="FO58" s="19">
        <v>34827490</v>
      </c>
      <c r="FP58" s="19">
        <v>5010275</v>
      </c>
      <c r="FQ58" s="19" t="s">
        <v>89</v>
      </c>
      <c r="FR58" s="19">
        <v>-44901449</v>
      </c>
      <c r="FS58" s="19">
        <v>-18434096</v>
      </c>
      <c r="FT58" s="19">
        <v>-21755456</v>
      </c>
      <c r="FU58" s="19" t="s">
        <v>89</v>
      </c>
      <c r="FV58" s="19">
        <v>-195454063</v>
      </c>
      <c r="FW58" s="19">
        <v>-4811815</v>
      </c>
      <c r="FX58" s="19" t="s">
        <v>157</v>
      </c>
      <c r="FY58" s="19">
        <v>-199839647</v>
      </c>
      <c r="FZ58" s="19">
        <v>-102099760</v>
      </c>
      <c r="GA58" s="19" t="s">
        <v>89</v>
      </c>
      <c r="GB58" s="19" t="s">
        <v>89</v>
      </c>
      <c r="GC58" s="19">
        <v>23152726</v>
      </c>
      <c r="GD58" s="19" t="s">
        <v>89</v>
      </c>
      <c r="GE58" s="19">
        <v>-8583164</v>
      </c>
      <c r="GF58" s="19" t="s">
        <v>89</v>
      </c>
      <c r="GG58" s="19">
        <v>-560901895</v>
      </c>
      <c r="GH58" s="19">
        <v>-47457209</v>
      </c>
    </row>
    <row r="59" spans="1:190" ht="17.55" customHeight="1">
      <c r="A59" s="9" t="s">
        <v>0</v>
      </c>
      <c r="B59" s="10" t="s">
        <v>16</v>
      </c>
      <c r="C59" s="19">
        <v>204274428</v>
      </c>
      <c r="D59" s="19">
        <v>501282421</v>
      </c>
      <c r="E59" s="19">
        <v>84315002</v>
      </c>
      <c r="F59" s="19">
        <v>180148910</v>
      </c>
      <c r="G59" s="19">
        <v>26734</v>
      </c>
      <c r="H59" s="19">
        <v>278867928</v>
      </c>
      <c r="I59" s="19">
        <v>394813689</v>
      </c>
      <c r="J59" s="19" t="s">
        <v>89</v>
      </c>
      <c r="K59" s="19">
        <v>864202280</v>
      </c>
      <c r="L59" s="19">
        <v>5771132</v>
      </c>
      <c r="M59" s="19">
        <v>32205558</v>
      </c>
      <c r="N59" s="19">
        <v>301538827</v>
      </c>
      <c r="O59" s="19">
        <v>83477014</v>
      </c>
      <c r="P59" s="19">
        <v>105277111</v>
      </c>
      <c r="Q59" s="19">
        <v>10508153</v>
      </c>
      <c r="R59" s="19">
        <v>56767387</v>
      </c>
      <c r="S59" s="19">
        <v>47110657</v>
      </c>
      <c r="T59" s="19">
        <v>5303797</v>
      </c>
      <c r="U59" s="19">
        <v>45759440</v>
      </c>
      <c r="V59" s="19">
        <v>48857247</v>
      </c>
      <c r="W59" s="19">
        <v>74930375</v>
      </c>
      <c r="X59" s="19">
        <v>185237478</v>
      </c>
      <c r="Y59" s="19">
        <v>196959261</v>
      </c>
      <c r="Z59" s="19">
        <v>365895053</v>
      </c>
      <c r="AA59" s="19">
        <v>18562559</v>
      </c>
      <c r="AB59" s="19">
        <v>3185688</v>
      </c>
      <c r="AC59" s="19">
        <v>143548291</v>
      </c>
      <c r="AD59" s="19">
        <v>4758762</v>
      </c>
      <c r="AE59" s="19">
        <v>22696484</v>
      </c>
      <c r="AF59" s="19">
        <v>172562716</v>
      </c>
      <c r="AG59" s="19">
        <v>35191808</v>
      </c>
      <c r="AH59" s="19">
        <v>440453569</v>
      </c>
      <c r="AI59" s="19">
        <v>74351846</v>
      </c>
      <c r="AJ59" s="19">
        <v>83787930</v>
      </c>
      <c r="AK59" s="19" t="s">
        <v>89</v>
      </c>
      <c r="AL59" s="19">
        <v>19092214</v>
      </c>
      <c r="AM59" s="19">
        <v>50079777</v>
      </c>
      <c r="AN59" s="19">
        <v>68157390</v>
      </c>
      <c r="AO59" s="19">
        <v>56404784</v>
      </c>
      <c r="AP59" s="19">
        <v>38916399</v>
      </c>
      <c r="AQ59" s="19">
        <v>24560734</v>
      </c>
      <c r="AR59" s="19">
        <v>29301544</v>
      </c>
      <c r="AS59" s="19">
        <v>617438330</v>
      </c>
      <c r="AT59" s="19">
        <v>70490175</v>
      </c>
      <c r="AU59" s="19">
        <v>43583410</v>
      </c>
      <c r="AV59" s="19">
        <v>71595501</v>
      </c>
      <c r="AW59" s="19">
        <v>89228904</v>
      </c>
      <c r="AX59" s="19" t="s">
        <v>96</v>
      </c>
      <c r="AY59" s="19">
        <v>112886283</v>
      </c>
      <c r="AZ59" s="19">
        <v>25559621</v>
      </c>
      <c r="BA59" s="19">
        <v>99107978</v>
      </c>
      <c r="BB59" s="19">
        <v>62923521</v>
      </c>
      <c r="BC59" s="19">
        <v>10163190</v>
      </c>
      <c r="BD59" s="19">
        <v>25411345</v>
      </c>
      <c r="BE59" s="19">
        <v>33894852</v>
      </c>
      <c r="BF59" s="19">
        <v>54397598</v>
      </c>
      <c r="BG59" s="19">
        <v>49953375</v>
      </c>
      <c r="BH59" s="19">
        <v>13565435</v>
      </c>
      <c r="BI59" s="19">
        <v>23319032</v>
      </c>
      <c r="BJ59" s="19">
        <v>41856282</v>
      </c>
      <c r="BK59" s="19">
        <v>5306086</v>
      </c>
      <c r="BL59" s="19">
        <v>28159580</v>
      </c>
      <c r="BM59" s="19">
        <v>126209873</v>
      </c>
      <c r="BN59" s="19">
        <v>8169904</v>
      </c>
      <c r="BO59" s="19">
        <v>21935357</v>
      </c>
      <c r="BP59" s="19">
        <v>27512302</v>
      </c>
      <c r="BQ59" s="19" t="s">
        <v>175</v>
      </c>
      <c r="BR59" s="19">
        <v>110524189</v>
      </c>
      <c r="BS59" s="19">
        <v>24959185</v>
      </c>
      <c r="BT59" s="19">
        <v>72424181</v>
      </c>
      <c r="BU59" s="19">
        <v>379855109</v>
      </c>
      <c r="BV59" s="19">
        <v>41946494</v>
      </c>
      <c r="BW59" s="19">
        <v>77712667</v>
      </c>
      <c r="BX59" s="19">
        <v>35664019</v>
      </c>
      <c r="BY59" s="19">
        <v>92032983</v>
      </c>
      <c r="BZ59" s="19">
        <v>191563264</v>
      </c>
      <c r="CA59" s="19">
        <v>16703369</v>
      </c>
      <c r="CB59" s="19">
        <v>1201820</v>
      </c>
      <c r="CC59" s="19">
        <v>92477384</v>
      </c>
      <c r="CD59" s="19">
        <v>98992845</v>
      </c>
      <c r="CE59" s="19">
        <v>42602901</v>
      </c>
      <c r="CF59" s="19">
        <v>129172613</v>
      </c>
      <c r="CG59" s="19">
        <v>200658028</v>
      </c>
      <c r="CH59" s="19">
        <v>40494229</v>
      </c>
      <c r="CI59" s="19">
        <v>154110102</v>
      </c>
      <c r="CJ59" s="19">
        <v>1866805</v>
      </c>
      <c r="CK59" s="19">
        <v>75206103</v>
      </c>
      <c r="CL59" s="19">
        <v>8908547</v>
      </c>
      <c r="CM59" s="19">
        <v>248302087</v>
      </c>
      <c r="CN59" s="19">
        <v>908835</v>
      </c>
      <c r="CO59" s="19">
        <v>122064909</v>
      </c>
      <c r="CP59" s="19">
        <v>21945383</v>
      </c>
      <c r="CQ59" s="19" t="s">
        <v>96</v>
      </c>
      <c r="CR59" s="19">
        <v>41176603</v>
      </c>
      <c r="CS59" s="19">
        <v>634105296</v>
      </c>
      <c r="CT59" s="19">
        <v>1538898</v>
      </c>
      <c r="CU59" s="19">
        <v>489381120</v>
      </c>
      <c r="CV59" s="19">
        <v>1235408</v>
      </c>
      <c r="CW59" s="19">
        <v>42161916</v>
      </c>
      <c r="CX59" s="19">
        <v>24937909</v>
      </c>
      <c r="CY59" s="19">
        <v>220269844</v>
      </c>
      <c r="CZ59" s="19">
        <v>46457</v>
      </c>
      <c r="DA59" s="19">
        <v>2702</v>
      </c>
      <c r="DB59" s="19">
        <v>540289</v>
      </c>
      <c r="DC59" s="19">
        <v>36077503</v>
      </c>
      <c r="DD59" s="19">
        <v>12152</v>
      </c>
      <c r="DE59" s="19">
        <v>0</v>
      </c>
      <c r="DF59" s="19">
        <v>35051457</v>
      </c>
      <c r="DG59" s="19">
        <v>8434</v>
      </c>
      <c r="DH59" s="19">
        <v>2048637</v>
      </c>
      <c r="DI59" s="19">
        <v>6510593</v>
      </c>
      <c r="DJ59" s="19">
        <v>8931299</v>
      </c>
      <c r="DK59" s="19">
        <v>6673354</v>
      </c>
      <c r="DL59" s="19">
        <v>34361126</v>
      </c>
      <c r="DM59" s="19">
        <v>5383863</v>
      </c>
      <c r="DN59" s="19">
        <v>23163908</v>
      </c>
      <c r="DO59" s="19">
        <v>16482294</v>
      </c>
      <c r="DP59" s="19">
        <v>1407012</v>
      </c>
      <c r="DQ59" s="19">
        <v>31338954</v>
      </c>
      <c r="DR59" s="19">
        <v>51327513</v>
      </c>
      <c r="DS59" s="19">
        <v>10759472</v>
      </c>
      <c r="DT59" s="19">
        <v>103642683</v>
      </c>
      <c r="DU59" s="19">
        <v>3566</v>
      </c>
      <c r="DV59" s="19">
        <v>0</v>
      </c>
      <c r="DW59" s="19">
        <v>115467077</v>
      </c>
      <c r="DX59" s="19">
        <v>227560460</v>
      </c>
      <c r="DY59" s="19">
        <v>97280</v>
      </c>
      <c r="DZ59" s="19">
        <v>18018987</v>
      </c>
      <c r="EA59" s="19">
        <v>0</v>
      </c>
      <c r="EB59" s="19">
        <v>1379287</v>
      </c>
      <c r="EC59" s="19">
        <v>3522723</v>
      </c>
      <c r="ED59" s="19">
        <v>16953241</v>
      </c>
      <c r="EE59" s="19">
        <v>11950959</v>
      </c>
      <c r="EF59" s="19">
        <v>58439160</v>
      </c>
      <c r="EG59" s="19">
        <v>219018368</v>
      </c>
      <c r="EH59" s="19">
        <v>371174</v>
      </c>
      <c r="EI59" s="19">
        <v>14929337</v>
      </c>
      <c r="EJ59" s="19">
        <v>244520939</v>
      </c>
      <c r="EK59" s="19" t="s">
        <v>89</v>
      </c>
      <c r="EL59" s="19">
        <v>382238865</v>
      </c>
      <c r="EM59" s="19">
        <v>38362588</v>
      </c>
      <c r="EN59" s="19">
        <v>182916235</v>
      </c>
      <c r="EO59" s="19">
        <v>354094</v>
      </c>
      <c r="EP59" s="19">
        <v>0</v>
      </c>
      <c r="EQ59" s="19">
        <v>7690115</v>
      </c>
      <c r="ER59" s="19">
        <v>38439068</v>
      </c>
      <c r="ES59" s="19">
        <v>3665245</v>
      </c>
      <c r="ET59" s="19">
        <v>105070636</v>
      </c>
      <c r="EU59" s="19">
        <v>558745</v>
      </c>
      <c r="EV59" s="19">
        <v>9206214</v>
      </c>
      <c r="EW59" s="19">
        <v>31283856</v>
      </c>
      <c r="EX59" s="19">
        <v>10340174</v>
      </c>
      <c r="EY59" s="19">
        <v>22467990</v>
      </c>
      <c r="EZ59" s="19">
        <v>66973839</v>
      </c>
      <c r="FA59" s="19">
        <v>71703</v>
      </c>
      <c r="FB59" s="19">
        <v>41648801</v>
      </c>
      <c r="FC59" s="19" t="s">
        <v>89</v>
      </c>
      <c r="FD59" s="19">
        <v>42529213</v>
      </c>
      <c r="FE59" s="19">
        <v>112461937</v>
      </c>
      <c r="FF59" s="19">
        <v>2387054</v>
      </c>
      <c r="FG59" s="19">
        <v>205050779</v>
      </c>
      <c r="FH59" s="19">
        <v>16393861</v>
      </c>
      <c r="FI59" s="19">
        <v>54379474</v>
      </c>
      <c r="FJ59" s="19">
        <v>62216</v>
      </c>
      <c r="FK59" s="19">
        <v>54956949</v>
      </c>
      <c r="FL59" s="19">
        <v>20172592</v>
      </c>
      <c r="FM59" s="19">
        <v>33901641</v>
      </c>
      <c r="FN59" s="19" t="s">
        <v>89</v>
      </c>
      <c r="FO59" s="19">
        <v>246004</v>
      </c>
      <c r="FP59" s="19">
        <v>4615244</v>
      </c>
      <c r="FQ59" s="19" t="s">
        <v>89</v>
      </c>
      <c r="FR59" s="19">
        <v>34565666</v>
      </c>
      <c r="FS59" s="19">
        <v>20702512</v>
      </c>
      <c r="FT59" s="19">
        <v>0</v>
      </c>
      <c r="FU59" s="19" t="s">
        <v>89</v>
      </c>
      <c r="FV59" s="19">
        <v>511003</v>
      </c>
      <c r="FW59" s="19">
        <v>21689931</v>
      </c>
      <c r="FX59" s="19" t="s">
        <v>157</v>
      </c>
      <c r="FY59" s="19">
        <v>41426</v>
      </c>
      <c r="FZ59" s="19">
        <v>4836141</v>
      </c>
      <c r="GA59" s="19" t="s">
        <v>89</v>
      </c>
      <c r="GB59" s="19" t="s">
        <v>89</v>
      </c>
      <c r="GC59" s="19">
        <v>13197245</v>
      </c>
      <c r="GD59" s="19" t="s">
        <v>89</v>
      </c>
      <c r="GE59" s="19">
        <v>12449</v>
      </c>
      <c r="GF59" s="19" t="s">
        <v>89</v>
      </c>
      <c r="GG59" s="19">
        <v>425133814</v>
      </c>
      <c r="GH59" s="19">
        <v>10736</v>
      </c>
    </row>
    <row r="60" spans="1:190" ht="17.55" customHeight="1">
      <c r="A60" s="9" t="s">
        <v>0</v>
      </c>
      <c r="B60" s="15" t="s">
        <v>148</v>
      </c>
      <c r="C60" s="19">
        <v>1582007</v>
      </c>
      <c r="D60" s="19">
        <v>557352</v>
      </c>
      <c r="E60" s="19">
        <v>65940</v>
      </c>
      <c r="F60" s="19">
        <v>4881181</v>
      </c>
      <c r="G60" s="19">
        <v>26676</v>
      </c>
      <c r="H60" s="19">
        <v>401591</v>
      </c>
      <c r="I60" s="19">
        <v>172165</v>
      </c>
      <c r="J60" s="19" t="s">
        <v>89</v>
      </c>
      <c r="K60" s="19">
        <v>1920499</v>
      </c>
      <c r="L60" s="19">
        <v>72483</v>
      </c>
      <c r="M60" s="19">
        <v>2161233</v>
      </c>
      <c r="N60" s="19">
        <v>46641</v>
      </c>
      <c r="O60" s="19">
        <v>2129557</v>
      </c>
      <c r="P60" s="19">
        <v>1176854</v>
      </c>
      <c r="Q60" s="19">
        <v>3165241</v>
      </c>
      <c r="R60" s="19">
        <v>133229</v>
      </c>
      <c r="S60" s="19">
        <v>4063332</v>
      </c>
      <c r="T60" s="19">
        <v>2672</v>
      </c>
      <c r="U60" s="19">
        <v>1897317</v>
      </c>
      <c r="V60" s="19">
        <v>9657</v>
      </c>
      <c r="W60" s="19">
        <v>268316</v>
      </c>
      <c r="X60" s="19">
        <v>5000328</v>
      </c>
      <c r="Y60" s="19">
        <v>285983</v>
      </c>
      <c r="Z60" s="19">
        <v>40018</v>
      </c>
      <c r="AA60" s="19">
        <v>3672376</v>
      </c>
      <c r="AB60" s="19">
        <v>1885572</v>
      </c>
      <c r="AC60" s="19">
        <v>1141233</v>
      </c>
      <c r="AD60" s="19">
        <v>405932</v>
      </c>
      <c r="AE60" s="19">
        <v>5210549</v>
      </c>
      <c r="AF60" s="19"/>
      <c r="AG60" s="19">
        <v>74418</v>
      </c>
      <c r="AH60" s="19">
        <v>5235260</v>
      </c>
      <c r="AI60" s="19">
        <v>37291</v>
      </c>
      <c r="AJ60" s="19">
        <v>44704</v>
      </c>
      <c r="AK60" s="19" t="s">
        <v>89</v>
      </c>
      <c r="AL60" s="19">
        <v>94069</v>
      </c>
      <c r="AM60" s="19">
        <v>1611324</v>
      </c>
      <c r="AN60" s="19">
        <v>56874</v>
      </c>
      <c r="AO60" s="19">
        <v>102168</v>
      </c>
      <c r="AP60" s="19">
        <v>481043</v>
      </c>
      <c r="AQ60" s="19">
        <v>1897</v>
      </c>
      <c r="AR60" s="19">
        <v>49201</v>
      </c>
      <c r="AS60" s="19">
        <v>407308</v>
      </c>
      <c r="AT60" s="19">
        <v>179098</v>
      </c>
      <c r="AU60" s="19">
        <v>152147</v>
      </c>
      <c r="AV60" s="19">
        <v>78411</v>
      </c>
      <c r="AW60" s="19">
        <v>5293</v>
      </c>
      <c r="AX60" s="19" t="s">
        <v>96</v>
      </c>
      <c r="AY60" s="19">
        <v>118708</v>
      </c>
      <c r="AZ60" s="19">
        <v>110210</v>
      </c>
      <c r="BA60" s="19">
        <v>26448</v>
      </c>
      <c r="BB60" s="19">
        <v>245350</v>
      </c>
      <c r="BC60" s="19">
        <v>2777788</v>
      </c>
      <c r="BD60" s="19">
        <v>83013</v>
      </c>
      <c r="BE60" s="19">
        <v>205326</v>
      </c>
      <c r="BF60" s="19">
        <v>1299937</v>
      </c>
      <c r="BG60" s="19">
        <v>2591946</v>
      </c>
      <c r="BH60" s="19">
        <v>33942</v>
      </c>
      <c r="BI60" s="19">
        <v>902285</v>
      </c>
      <c r="BJ60" s="19">
        <v>24559</v>
      </c>
      <c r="BK60" s="19">
        <v>47104</v>
      </c>
      <c r="BL60" s="19">
        <v>255161</v>
      </c>
      <c r="BM60" s="19">
        <v>18022</v>
      </c>
      <c r="BN60" s="19">
        <v>70239</v>
      </c>
      <c r="BO60" s="19">
        <v>76884</v>
      </c>
      <c r="BP60" s="19">
        <v>15196</v>
      </c>
      <c r="BQ60" s="19" t="s">
        <v>175</v>
      </c>
      <c r="BR60" s="19">
        <v>130731</v>
      </c>
      <c r="BS60" s="19">
        <v>10149</v>
      </c>
      <c r="BT60" s="19">
        <v>20218</v>
      </c>
      <c r="BU60" s="19">
        <v>44146</v>
      </c>
      <c r="BV60" s="19">
        <v>7480</v>
      </c>
      <c r="BW60" s="19">
        <v>22638</v>
      </c>
      <c r="BX60" s="19">
        <v>93773</v>
      </c>
      <c r="BY60" s="19">
        <v>69303</v>
      </c>
      <c r="BZ60" s="19">
        <v>3224761</v>
      </c>
      <c r="CA60" s="19">
        <v>40670</v>
      </c>
      <c r="CB60" s="19">
        <v>86613</v>
      </c>
      <c r="CC60" s="19">
        <v>61981</v>
      </c>
      <c r="CD60" s="19">
        <v>127130</v>
      </c>
      <c r="CE60" s="19">
        <v>8495</v>
      </c>
      <c r="CF60" s="19">
        <v>100425</v>
      </c>
      <c r="CG60" s="19">
        <v>2067808</v>
      </c>
      <c r="CH60" s="19">
        <v>80406</v>
      </c>
      <c r="CI60" s="19">
        <v>7193342</v>
      </c>
      <c r="CJ60" s="19">
        <v>461</v>
      </c>
      <c r="CK60" s="19">
        <v>5687298</v>
      </c>
      <c r="CL60" s="19">
        <v>10876</v>
      </c>
      <c r="CM60" s="19">
        <v>3562828</v>
      </c>
      <c r="CN60" s="19">
        <v>35787</v>
      </c>
      <c r="CO60" s="19">
        <v>138640</v>
      </c>
      <c r="CP60" s="19">
        <v>28118</v>
      </c>
      <c r="CQ60" s="19" t="s">
        <v>96</v>
      </c>
      <c r="CR60" s="19">
        <v>354589</v>
      </c>
      <c r="CS60" s="19">
        <v>225242</v>
      </c>
      <c r="CT60" s="19">
        <v>741615</v>
      </c>
      <c r="CU60" s="19">
        <v>325903</v>
      </c>
      <c r="CV60" s="19">
        <v>1411</v>
      </c>
      <c r="CW60" s="19">
        <v>2941399</v>
      </c>
      <c r="CX60" s="19">
        <v>3009978</v>
      </c>
      <c r="CY60" s="19">
        <v>787878</v>
      </c>
      <c r="CZ60" s="19">
        <v>24433</v>
      </c>
      <c r="DA60" s="19">
        <v>2667</v>
      </c>
      <c r="DB60" s="19">
        <v>200234</v>
      </c>
      <c r="DC60" s="19">
        <v>28354</v>
      </c>
      <c r="DD60" s="19">
        <v>11981</v>
      </c>
      <c r="DE60" s="19"/>
      <c r="DF60" s="19">
        <v>22428</v>
      </c>
      <c r="DG60" s="19">
        <v>8331</v>
      </c>
      <c r="DH60" s="19">
        <v>48578</v>
      </c>
      <c r="DI60" s="19">
        <v>25370</v>
      </c>
      <c r="DJ60" s="19">
        <v>23198</v>
      </c>
      <c r="DK60" s="19">
        <v>1505286</v>
      </c>
      <c r="DL60" s="19">
        <v>179710</v>
      </c>
      <c r="DM60" s="19">
        <v>5341252</v>
      </c>
      <c r="DN60" s="19">
        <v>115711</v>
      </c>
      <c r="DO60" s="19">
        <v>1888019</v>
      </c>
      <c r="DP60" s="19">
        <v>173902</v>
      </c>
      <c r="DQ60" s="19">
        <v>12688</v>
      </c>
      <c r="DR60" s="19">
        <v>65154</v>
      </c>
      <c r="DS60" s="19">
        <v>1312</v>
      </c>
      <c r="DT60" s="19">
        <v>38306</v>
      </c>
      <c r="DU60" s="19">
        <v>3566</v>
      </c>
      <c r="DV60" s="19"/>
      <c r="DW60" s="19">
        <v>51604</v>
      </c>
      <c r="DX60" s="19">
        <v>57062</v>
      </c>
      <c r="DY60" s="19"/>
      <c r="DZ60" s="19">
        <v>9193636</v>
      </c>
      <c r="EA60" s="19"/>
      <c r="EB60" s="19">
        <v>144588</v>
      </c>
      <c r="EC60" s="19">
        <v>22723</v>
      </c>
      <c r="ED60" s="19">
        <v>12326</v>
      </c>
      <c r="EE60" s="19">
        <v>12546</v>
      </c>
      <c r="EF60" s="19">
        <v>144320</v>
      </c>
      <c r="EG60" s="19">
        <v>26845341</v>
      </c>
      <c r="EH60" s="19">
        <v>19214</v>
      </c>
      <c r="EI60" s="19">
        <v>87744</v>
      </c>
      <c r="EJ60" s="19">
        <v>59076</v>
      </c>
      <c r="EK60" s="19" t="s">
        <v>89</v>
      </c>
      <c r="EL60" s="19">
        <v>10132078</v>
      </c>
      <c r="EM60" s="19">
        <v>139656</v>
      </c>
      <c r="EN60" s="19">
        <v>23408550</v>
      </c>
      <c r="EO60" s="19">
        <v>30463</v>
      </c>
      <c r="EP60" s="19"/>
      <c r="EQ60" s="19">
        <v>192659</v>
      </c>
      <c r="ER60" s="19">
        <v>158262</v>
      </c>
      <c r="ES60" s="19">
        <v>97545</v>
      </c>
      <c r="ET60" s="19">
        <v>72838</v>
      </c>
      <c r="EU60" s="19">
        <v>345931</v>
      </c>
      <c r="EV60" s="19">
        <v>7292</v>
      </c>
      <c r="EW60" s="19">
        <v>5724</v>
      </c>
      <c r="EX60" s="19">
        <v>83394</v>
      </c>
      <c r="EY60" s="19">
        <v>11253433</v>
      </c>
      <c r="EZ60" s="19">
        <v>17899</v>
      </c>
      <c r="FA60" s="19">
        <v>71687</v>
      </c>
      <c r="FB60" s="19">
        <v>22332</v>
      </c>
      <c r="FC60" s="19" t="s">
        <v>89</v>
      </c>
      <c r="FD60" s="19">
        <v>9372</v>
      </c>
      <c r="FE60" s="19">
        <v>1373520</v>
      </c>
      <c r="FF60" s="19">
        <v>28666</v>
      </c>
      <c r="FG60" s="19">
        <v>164094</v>
      </c>
      <c r="FH60" s="19">
        <v>4378</v>
      </c>
      <c r="FI60" s="19">
        <v>13130</v>
      </c>
      <c r="FJ60" s="19">
        <v>10524</v>
      </c>
      <c r="FK60" s="19">
        <v>39715</v>
      </c>
      <c r="FL60" s="19">
        <v>7812</v>
      </c>
      <c r="FM60" s="19">
        <v>3229</v>
      </c>
      <c r="FN60" s="19" t="s">
        <v>89</v>
      </c>
      <c r="FO60" s="19">
        <v>112046</v>
      </c>
      <c r="FP60" s="19">
        <v>30263</v>
      </c>
      <c r="FQ60" s="19" t="s">
        <v>89</v>
      </c>
      <c r="FR60" s="19">
        <v>660</v>
      </c>
      <c r="FS60" s="19">
        <v>2512</v>
      </c>
      <c r="FT60" s="19"/>
      <c r="FU60" s="19" t="s">
        <v>89</v>
      </c>
      <c r="FV60" s="19">
        <v>500958</v>
      </c>
      <c r="FW60" s="19">
        <v>25284</v>
      </c>
      <c r="FX60" s="19" t="s">
        <v>157</v>
      </c>
      <c r="FY60" s="19">
        <v>33512</v>
      </c>
      <c r="FZ60" s="19">
        <v>30793</v>
      </c>
      <c r="GA60" s="19" t="s">
        <v>89</v>
      </c>
      <c r="GB60" s="19" t="s">
        <v>89</v>
      </c>
      <c r="GC60" s="19">
        <v>12412437</v>
      </c>
      <c r="GD60" s="19" t="s">
        <v>89</v>
      </c>
      <c r="GE60" s="19">
        <v>143</v>
      </c>
      <c r="GF60" s="19" t="s">
        <v>89</v>
      </c>
      <c r="GG60" s="19">
        <v>63149</v>
      </c>
      <c r="GH60" s="19">
        <v>10727</v>
      </c>
    </row>
    <row r="61" spans="1:190" ht="17.55" customHeight="1">
      <c r="A61" s="9" t="s">
        <v>0</v>
      </c>
      <c r="B61" s="15" t="s">
        <v>62</v>
      </c>
      <c r="C61" s="19"/>
      <c r="D61" s="19"/>
      <c r="E61" s="19"/>
      <c r="F61" s="19"/>
      <c r="G61" s="19"/>
      <c r="H61" s="19"/>
      <c r="I61" s="19"/>
      <c r="J61" s="19" t="s">
        <v>89</v>
      </c>
      <c r="K61" s="19">
        <v>248700</v>
      </c>
      <c r="L61" s="19"/>
      <c r="M61" s="19">
        <v>499000</v>
      </c>
      <c r="N61" s="19"/>
      <c r="O61" s="19"/>
      <c r="P61" s="19"/>
      <c r="Q61" s="19"/>
      <c r="R61" s="19">
        <v>44340004</v>
      </c>
      <c r="S61" s="19"/>
      <c r="T61" s="19"/>
      <c r="U61" s="19"/>
      <c r="V61" s="19"/>
      <c r="W61" s="19"/>
      <c r="X61" s="19"/>
      <c r="Y61" s="19"/>
      <c r="Z61" s="19"/>
      <c r="AA61" s="19"/>
      <c r="AB61" s="19"/>
      <c r="AC61" s="19">
        <v>1710910</v>
      </c>
      <c r="AD61" s="19"/>
      <c r="AE61" s="19"/>
      <c r="AF61" s="19"/>
      <c r="AG61" s="19">
        <v>6669040</v>
      </c>
      <c r="AH61" s="19"/>
      <c r="AI61" s="19"/>
      <c r="AJ61" s="19"/>
      <c r="AK61" s="19" t="s">
        <v>89</v>
      </c>
      <c r="AL61" s="19"/>
      <c r="AM61" s="19">
        <v>7752906</v>
      </c>
      <c r="AN61" s="19"/>
      <c r="AO61" s="19"/>
      <c r="AP61" s="19"/>
      <c r="AQ61" s="19"/>
      <c r="AR61" s="19"/>
      <c r="AS61" s="19"/>
      <c r="AT61" s="19"/>
      <c r="AU61" s="19">
        <v>11492869</v>
      </c>
      <c r="AV61" s="19"/>
      <c r="AW61" s="19"/>
      <c r="AX61" s="19" t="s">
        <v>96</v>
      </c>
      <c r="AY61" s="19"/>
      <c r="AZ61" s="19">
        <v>25416000</v>
      </c>
      <c r="BA61" s="19"/>
      <c r="BB61" s="19"/>
      <c r="BC61" s="19"/>
      <c r="BD61" s="19"/>
      <c r="BE61" s="19"/>
      <c r="BF61" s="19"/>
      <c r="BG61" s="19">
        <v>384061</v>
      </c>
      <c r="BH61" s="19"/>
      <c r="BI61" s="19"/>
      <c r="BJ61" s="19"/>
      <c r="BK61" s="19"/>
      <c r="BL61" s="19"/>
      <c r="BM61" s="19">
        <v>2072878</v>
      </c>
      <c r="BN61" s="19"/>
      <c r="BO61" s="19"/>
      <c r="BP61" s="19">
        <v>27142087</v>
      </c>
      <c r="BQ61" s="19" t="s">
        <v>175</v>
      </c>
      <c r="BR61" s="19"/>
      <c r="BS61" s="19"/>
      <c r="BT61" s="19">
        <v>3400000</v>
      </c>
      <c r="BU61" s="19"/>
      <c r="BV61" s="19"/>
      <c r="BW61" s="19"/>
      <c r="BX61" s="19"/>
      <c r="BY61" s="19"/>
      <c r="BZ61" s="19"/>
      <c r="CA61" s="19"/>
      <c r="CB61" s="19"/>
      <c r="CC61" s="19"/>
      <c r="CD61" s="19"/>
      <c r="CE61" s="19"/>
      <c r="CF61" s="19"/>
      <c r="CG61" s="19"/>
      <c r="CH61" s="19"/>
      <c r="CI61" s="19"/>
      <c r="CJ61" s="19"/>
      <c r="CK61" s="19"/>
      <c r="CL61" s="19"/>
      <c r="CM61" s="19"/>
      <c r="CN61" s="19"/>
      <c r="CO61" s="19"/>
      <c r="CP61" s="19"/>
      <c r="CQ61" s="19" t="s">
        <v>96</v>
      </c>
      <c r="CR61" s="19"/>
      <c r="CS61" s="19"/>
      <c r="CT61" s="19"/>
      <c r="CU61" s="19">
        <v>38990905</v>
      </c>
      <c r="CV61" s="19">
        <v>1100000</v>
      </c>
      <c r="CW61" s="19"/>
      <c r="CX61" s="19">
        <v>5880183</v>
      </c>
      <c r="CY61" s="19"/>
      <c r="CZ61" s="19"/>
      <c r="DA61" s="19"/>
      <c r="DB61" s="19"/>
      <c r="DC61" s="19">
        <v>36000000</v>
      </c>
      <c r="DD61" s="19"/>
      <c r="DE61" s="19"/>
      <c r="DF61" s="19"/>
      <c r="DG61" s="19"/>
      <c r="DH61" s="19"/>
      <c r="DI61" s="19"/>
      <c r="DJ61" s="19"/>
      <c r="DK61" s="19"/>
      <c r="DL61" s="19"/>
      <c r="DM61" s="19"/>
      <c r="DN61" s="19"/>
      <c r="DO61" s="19"/>
      <c r="DP61" s="19"/>
      <c r="DQ61" s="19"/>
      <c r="DR61" s="19"/>
      <c r="DS61" s="19"/>
      <c r="DT61" s="19"/>
      <c r="DU61" s="19"/>
      <c r="DV61" s="19"/>
      <c r="DW61" s="19"/>
      <c r="DX61" s="19"/>
      <c r="DY61" s="19"/>
      <c r="DZ61" s="19"/>
      <c r="EA61" s="19"/>
      <c r="EB61" s="19"/>
      <c r="EC61" s="19"/>
      <c r="ED61" s="19"/>
      <c r="EE61" s="19"/>
      <c r="EF61" s="19"/>
      <c r="EG61" s="19"/>
      <c r="EH61" s="19"/>
      <c r="EI61" s="19"/>
      <c r="EJ61" s="19">
        <v>1013000</v>
      </c>
      <c r="EK61" s="19" t="s">
        <v>89</v>
      </c>
      <c r="EL61" s="19">
        <v>2727273</v>
      </c>
      <c r="EM61" s="19"/>
      <c r="EN61" s="19"/>
      <c r="EO61" s="19"/>
      <c r="EP61" s="19"/>
      <c r="EQ61" s="19"/>
      <c r="ER61" s="19"/>
      <c r="ES61" s="19"/>
      <c r="ET61" s="19"/>
      <c r="EU61" s="19"/>
      <c r="EV61" s="19"/>
      <c r="EW61" s="19"/>
      <c r="EX61" s="19"/>
      <c r="EY61" s="19"/>
      <c r="EZ61" s="19"/>
      <c r="FA61" s="19"/>
      <c r="FB61" s="19"/>
      <c r="FC61" s="19" t="s">
        <v>89</v>
      </c>
      <c r="FD61" s="19"/>
      <c r="FE61" s="19">
        <v>95295000</v>
      </c>
      <c r="FF61" s="19"/>
      <c r="FG61" s="19"/>
      <c r="FH61" s="19">
        <v>15000000</v>
      </c>
      <c r="FI61" s="19"/>
      <c r="FJ61" s="19"/>
      <c r="FK61" s="19"/>
      <c r="FL61" s="19"/>
      <c r="FM61" s="19"/>
      <c r="FN61" s="19" t="s">
        <v>89</v>
      </c>
      <c r="FO61" s="19"/>
      <c r="FP61" s="19"/>
      <c r="FQ61" s="19" t="s">
        <v>89</v>
      </c>
      <c r="FR61" s="19"/>
      <c r="FS61" s="19"/>
      <c r="FT61" s="19"/>
      <c r="FU61" s="19" t="s">
        <v>89</v>
      </c>
      <c r="FV61" s="19"/>
      <c r="FW61" s="19"/>
      <c r="FX61" s="19" t="s">
        <v>157</v>
      </c>
      <c r="FY61" s="19"/>
      <c r="FZ61" s="19"/>
      <c r="GA61" s="19" t="s">
        <v>89</v>
      </c>
      <c r="GB61" s="19" t="s">
        <v>89</v>
      </c>
      <c r="GC61" s="19"/>
      <c r="GD61" s="19" t="s">
        <v>89</v>
      </c>
      <c r="GE61" s="19"/>
      <c r="GF61" s="19" t="s">
        <v>89</v>
      </c>
      <c r="GG61" s="19"/>
      <c r="GH61" s="19"/>
    </row>
    <row r="62" spans="1:190" ht="17.55" customHeight="1">
      <c r="A62" s="9" t="s">
        <v>0</v>
      </c>
      <c r="B62" s="15" t="s">
        <v>20</v>
      </c>
      <c r="C62" s="19">
        <v>535237</v>
      </c>
      <c r="D62" s="19">
        <v>11539409</v>
      </c>
      <c r="E62" s="19">
        <v>10556656</v>
      </c>
      <c r="F62" s="19">
        <v>33298650</v>
      </c>
      <c r="G62" s="19">
        <v>58</v>
      </c>
      <c r="H62" s="19">
        <v>1159500</v>
      </c>
      <c r="I62" s="19">
        <v>12000000</v>
      </c>
      <c r="J62" s="19" t="s">
        <v>89</v>
      </c>
      <c r="K62" s="19">
        <v>1736499</v>
      </c>
      <c r="L62" s="19">
        <v>698649</v>
      </c>
      <c r="M62" s="19">
        <v>18185325</v>
      </c>
      <c r="N62" s="19">
        <v>2095612</v>
      </c>
      <c r="O62" s="19">
        <v>36259056</v>
      </c>
      <c r="P62" s="19">
        <v>18006647</v>
      </c>
      <c r="Q62" s="19">
        <v>2027677</v>
      </c>
      <c r="R62" s="19">
        <v>4794154</v>
      </c>
      <c r="S62" s="19">
        <v>40664479</v>
      </c>
      <c r="T62" s="19">
        <v>5301125</v>
      </c>
      <c r="U62" s="19">
        <v>315069</v>
      </c>
      <c r="V62" s="19">
        <v>41365</v>
      </c>
      <c r="W62" s="19">
        <v>756471</v>
      </c>
      <c r="X62" s="19">
        <v>361786</v>
      </c>
      <c r="Y62" s="19">
        <v>26491664</v>
      </c>
      <c r="Z62" s="19">
        <v>133434</v>
      </c>
      <c r="AA62" s="19">
        <v>14890183</v>
      </c>
      <c r="AB62" s="19">
        <v>1300116</v>
      </c>
      <c r="AC62" s="19">
        <v>67826338</v>
      </c>
      <c r="AD62" s="19">
        <v>4352830</v>
      </c>
      <c r="AE62" s="19">
        <v>6350000</v>
      </c>
      <c r="AF62" s="19"/>
      <c r="AG62" s="19">
        <v>300126</v>
      </c>
      <c r="AH62" s="19">
        <v>21078</v>
      </c>
      <c r="AI62" s="19">
        <v>2449734</v>
      </c>
      <c r="AJ62" s="19">
        <v>383496</v>
      </c>
      <c r="AK62" s="19" t="s">
        <v>89</v>
      </c>
      <c r="AL62" s="19">
        <v>1996357</v>
      </c>
      <c r="AM62" s="19">
        <v>9877476</v>
      </c>
      <c r="AN62" s="19">
        <v>14546</v>
      </c>
      <c r="AO62" s="19">
        <v>2187091</v>
      </c>
      <c r="AP62" s="19">
        <v>1977367</v>
      </c>
      <c r="AQ62" s="19">
        <v>14558837</v>
      </c>
      <c r="AR62" s="19">
        <v>31</v>
      </c>
      <c r="AS62" s="19">
        <v>354</v>
      </c>
      <c r="AT62" s="19">
        <v>655065</v>
      </c>
      <c r="AU62" s="19">
        <v>31938394</v>
      </c>
      <c r="AV62" s="19">
        <v>501088</v>
      </c>
      <c r="AW62" s="19">
        <v>76098131</v>
      </c>
      <c r="AX62" s="19" t="s">
        <v>96</v>
      </c>
      <c r="AY62" s="19">
        <v>9778050</v>
      </c>
      <c r="AZ62" s="19">
        <v>2030</v>
      </c>
      <c r="BA62" s="19">
        <v>98291970</v>
      </c>
      <c r="BB62" s="19">
        <v>62678171</v>
      </c>
      <c r="BC62" s="19">
        <v>7385402</v>
      </c>
      <c r="BD62" s="19">
        <v>172298</v>
      </c>
      <c r="BE62" s="19">
        <v>7587517</v>
      </c>
      <c r="BF62" s="19">
        <v>1989276</v>
      </c>
      <c r="BG62" s="19">
        <v>7236242</v>
      </c>
      <c r="BH62" s="19">
        <v>13531493</v>
      </c>
      <c r="BI62" s="19">
        <v>1153626</v>
      </c>
      <c r="BJ62" s="19">
        <v>10477582</v>
      </c>
      <c r="BK62" s="19">
        <v>5258982</v>
      </c>
      <c r="BL62" s="19">
        <v>1077143</v>
      </c>
      <c r="BM62" s="19">
        <v>279152</v>
      </c>
      <c r="BN62" s="19">
        <v>9516</v>
      </c>
      <c r="BO62" s="19">
        <v>489265</v>
      </c>
      <c r="BP62" s="19">
        <v>355019</v>
      </c>
      <c r="BQ62" s="19" t="s">
        <v>175</v>
      </c>
      <c r="BR62" s="19">
        <v>20066245</v>
      </c>
      <c r="BS62" s="19">
        <v>11649036</v>
      </c>
      <c r="BT62" s="19">
        <v>290259</v>
      </c>
      <c r="BU62" s="19">
        <v>15956723</v>
      </c>
      <c r="BV62" s="19">
        <v>3540</v>
      </c>
      <c r="BW62" s="19">
        <v>20029</v>
      </c>
      <c r="BX62" s="19">
        <v>1570246</v>
      </c>
      <c r="BY62" s="19">
        <v>91963680</v>
      </c>
      <c r="BZ62" s="19">
        <v>100928</v>
      </c>
      <c r="CA62" s="19">
        <v>137861</v>
      </c>
      <c r="CB62" s="19">
        <v>1115207</v>
      </c>
      <c r="CC62" s="19">
        <v>5492428</v>
      </c>
      <c r="CD62" s="19">
        <v>7666418</v>
      </c>
      <c r="CE62" s="19">
        <v>260</v>
      </c>
      <c r="CF62" s="19">
        <v>18500241</v>
      </c>
      <c r="CG62" s="19">
        <v>32444561</v>
      </c>
      <c r="CH62" s="19">
        <v>74791</v>
      </c>
      <c r="CI62" s="19"/>
      <c r="CJ62" s="19">
        <v>1866344</v>
      </c>
      <c r="CK62" s="19">
        <v>24556655</v>
      </c>
      <c r="CL62" s="19">
        <v>897671</v>
      </c>
      <c r="CM62" s="19">
        <v>8906825</v>
      </c>
      <c r="CN62" s="19">
        <v>873048</v>
      </c>
      <c r="CO62" s="19">
        <v>5424535</v>
      </c>
      <c r="CP62" s="19">
        <v>18115</v>
      </c>
      <c r="CQ62" s="19" t="s">
        <v>96</v>
      </c>
      <c r="CR62" s="19">
        <v>39706146</v>
      </c>
      <c r="CS62" s="19">
        <v>7470226</v>
      </c>
      <c r="CT62" s="19">
        <v>797283</v>
      </c>
      <c r="CU62" s="19">
        <v>113206</v>
      </c>
      <c r="CV62" s="19">
        <v>133997</v>
      </c>
      <c r="CW62" s="19">
        <v>1932987</v>
      </c>
      <c r="CX62" s="19">
        <v>15894821</v>
      </c>
      <c r="CY62" s="19">
        <v>1764216</v>
      </c>
      <c r="CZ62" s="19">
        <v>22024</v>
      </c>
      <c r="DA62" s="19">
        <v>35</v>
      </c>
      <c r="DB62" s="19">
        <v>340055</v>
      </c>
      <c r="DC62" s="19">
        <v>49149</v>
      </c>
      <c r="DD62" s="19">
        <v>171</v>
      </c>
      <c r="DE62" s="19"/>
      <c r="DF62" s="19">
        <v>29029</v>
      </c>
      <c r="DG62" s="19">
        <v>103</v>
      </c>
      <c r="DH62" s="19">
        <v>2000059</v>
      </c>
      <c r="DI62" s="19">
        <v>6485223</v>
      </c>
      <c r="DJ62" s="19">
        <v>8908101</v>
      </c>
      <c r="DK62" s="19">
        <v>5168068</v>
      </c>
      <c r="DL62" s="19">
        <v>10364459</v>
      </c>
      <c r="DM62" s="19">
        <v>42611</v>
      </c>
      <c r="DN62" s="19">
        <v>348197</v>
      </c>
      <c r="DO62" s="19">
        <v>5075</v>
      </c>
      <c r="DP62" s="19">
        <v>21219</v>
      </c>
      <c r="DQ62" s="19">
        <v>31326266</v>
      </c>
      <c r="DR62" s="19">
        <v>30429</v>
      </c>
      <c r="DS62" s="19">
        <v>10758160</v>
      </c>
      <c r="DT62" s="19">
        <v>223777</v>
      </c>
      <c r="DU62" s="19"/>
      <c r="DV62" s="19"/>
      <c r="DW62" s="19">
        <v>115415473</v>
      </c>
      <c r="DX62" s="19">
        <v>67383759</v>
      </c>
      <c r="DY62" s="19">
        <v>97280</v>
      </c>
      <c r="DZ62" s="19">
        <v>765351</v>
      </c>
      <c r="EA62" s="19"/>
      <c r="EB62" s="19">
        <v>1234699</v>
      </c>
      <c r="EC62" s="19"/>
      <c r="ED62" s="19">
        <v>2091915</v>
      </c>
      <c r="EE62" s="19">
        <v>11938413</v>
      </c>
      <c r="EF62" s="19"/>
      <c r="EG62" s="19">
        <v>81897237</v>
      </c>
      <c r="EH62" s="19">
        <v>351960</v>
      </c>
      <c r="EI62" s="19">
        <v>3191593</v>
      </c>
      <c r="EJ62" s="19">
        <v>90</v>
      </c>
      <c r="EK62" s="19" t="s">
        <v>89</v>
      </c>
      <c r="EL62" s="19">
        <v>4044676</v>
      </c>
      <c r="EM62" s="19">
        <v>134836</v>
      </c>
      <c r="EN62" s="19">
        <v>1892155</v>
      </c>
      <c r="EO62" s="19">
        <v>323631</v>
      </c>
      <c r="EP62" s="19"/>
      <c r="EQ62" s="19">
        <v>7497456</v>
      </c>
      <c r="ER62" s="19">
        <v>4997176</v>
      </c>
      <c r="ES62" s="19">
        <v>3541055</v>
      </c>
      <c r="ET62" s="19">
        <v>104997798</v>
      </c>
      <c r="EU62" s="19">
        <v>212814</v>
      </c>
      <c r="EV62" s="19">
        <v>68276</v>
      </c>
      <c r="EW62" s="19">
        <v>16478120</v>
      </c>
      <c r="EX62" s="19">
        <v>8306780</v>
      </c>
      <c r="EY62" s="19">
        <v>6574557</v>
      </c>
      <c r="EZ62" s="19">
        <v>166824</v>
      </c>
      <c r="FA62" s="19">
        <v>16</v>
      </c>
      <c r="FB62" s="19">
        <v>20092469</v>
      </c>
      <c r="FC62" s="19" t="s">
        <v>89</v>
      </c>
      <c r="FD62" s="19">
        <v>19841</v>
      </c>
      <c r="FE62" s="19">
        <v>8593417</v>
      </c>
      <c r="FF62" s="19">
        <v>2358388</v>
      </c>
      <c r="FG62" s="19">
        <v>2251628</v>
      </c>
      <c r="FH62" s="19">
        <v>1389483</v>
      </c>
      <c r="FI62" s="19">
        <v>37084</v>
      </c>
      <c r="FJ62" s="19">
        <v>51692</v>
      </c>
      <c r="FK62" s="19">
        <v>54917234</v>
      </c>
      <c r="FL62" s="19">
        <v>164780</v>
      </c>
      <c r="FM62" s="19">
        <v>2128334</v>
      </c>
      <c r="FN62" s="19" t="s">
        <v>89</v>
      </c>
      <c r="FO62" s="19">
        <v>133958</v>
      </c>
      <c r="FP62" s="19">
        <v>984981</v>
      </c>
      <c r="FQ62" s="19" t="s">
        <v>89</v>
      </c>
      <c r="FR62" s="19">
        <v>34565006</v>
      </c>
      <c r="FS62" s="19"/>
      <c r="FT62" s="19"/>
      <c r="FU62" s="19" t="s">
        <v>89</v>
      </c>
      <c r="FV62" s="19">
        <v>10045</v>
      </c>
      <c r="FW62" s="19">
        <v>27022</v>
      </c>
      <c r="FX62" s="19" t="s">
        <v>157</v>
      </c>
      <c r="FY62" s="19">
        <v>7914</v>
      </c>
      <c r="FZ62" s="19"/>
      <c r="GA62" s="19" t="s">
        <v>89</v>
      </c>
      <c r="GB62" s="19" t="s">
        <v>89</v>
      </c>
      <c r="GC62" s="19">
        <v>784808</v>
      </c>
      <c r="GD62" s="19" t="s">
        <v>89</v>
      </c>
      <c r="GE62" s="19">
        <v>12306</v>
      </c>
      <c r="GF62" s="19" t="s">
        <v>89</v>
      </c>
      <c r="GG62" s="19">
        <v>137665</v>
      </c>
      <c r="GH62" s="19">
        <v>9</v>
      </c>
    </row>
    <row r="63" spans="1:190" ht="17.55" customHeight="1">
      <c r="A63" s="9" t="s">
        <v>0</v>
      </c>
      <c r="B63" s="15" t="s">
        <v>145</v>
      </c>
      <c r="C63" s="19"/>
      <c r="D63" s="19"/>
      <c r="E63" s="19"/>
      <c r="F63" s="19"/>
      <c r="G63" s="19"/>
      <c r="H63" s="19"/>
      <c r="I63" s="19"/>
      <c r="J63" s="19" t="s">
        <v>89</v>
      </c>
      <c r="K63" s="19"/>
      <c r="L63" s="19"/>
      <c r="M63" s="19"/>
      <c r="N63" s="19"/>
      <c r="O63" s="19"/>
      <c r="P63" s="19"/>
      <c r="Q63" s="19"/>
      <c r="R63" s="19"/>
      <c r="S63" s="19">
        <v>95900</v>
      </c>
      <c r="T63" s="19"/>
      <c r="U63" s="19"/>
      <c r="V63" s="19"/>
      <c r="W63" s="19"/>
      <c r="X63" s="19"/>
      <c r="Y63" s="19"/>
      <c r="Z63" s="19"/>
      <c r="AA63" s="19"/>
      <c r="AB63" s="19"/>
      <c r="AC63" s="19"/>
      <c r="AD63" s="19"/>
      <c r="AE63" s="19"/>
      <c r="AF63" s="19"/>
      <c r="AG63" s="19"/>
      <c r="AH63" s="19">
        <v>973473</v>
      </c>
      <c r="AI63" s="19"/>
      <c r="AJ63" s="19"/>
      <c r="AK63" s="19" t="s">
        <v>89</v>
      </c>
      <c r="AL63" s="19"/>
      <c r="AM63" s="19"/>
      <c r="AN63" s="19"/>
      <c r="AO63" s="19"/>
      <c r="AP63" s="19"/>
      <c r="AQ63" s="19"/>
      <c r="AR63" s="19"/>
      <c r="AS63" s="19"/>
      <c r="AT63" s="19"/>
      <c r="AU63" s="19"/>
      <c r="AV63" s="19"/>
      <c r="AW63" s="19"/>
      <c r="AX63" s="19" t="s">
        <v>96</v>
      </c>
      <c r="AY63" s="19"/>
      <c r="AZ63" s="19">
        <v>31381</v>
      </c>
      <c r="BA63" s="19"/>
      <c r="BB63" s="19"/>
      <c r="BC63" s="19"/>
      <c r="BD63" s="19">
        <v>119</v>
      </c>
      <c r="BE63" s="19"/>
      <c r="BF63" s="19"/>
      <c r="BG63" s="19"/>
      <c r="BH63" s="19"/>
      <c r="BI63" s="19"/>
      <c r="BJ63" s="19"/>
      <c r="BK63" s="19"/>
      <c r="BL63" s="19"/>
      <c r="BM63" s="19"/>
      <c r="BN63" s="19"/>
      <c r="BO63" s="19"/>
      <c r="BP63" s="19"/>
      <c r="BQ63" s="19" t="s">
        <v>175</v>
      </c>
      <c r="BR63" s="19"/>
      <c r="BS63" s="19"/>
      <c r="BT63" s="19"/>
      <c r="BU63" s="19"/>
      <c r="BV63" s="19"/>
      <c r="BW63" s="19"/>
      <c r="BX63" s="19"/>
      <c r="BY63" s="19"/>
      <c r="BZ63" s="19"/>
      <c r="CA63" s="19"/>
      <c r="CB63" s="19"/>
      <c r="CC63" s="19"/>
      <c r="CD63" s="19">
        <v>2307501</v>
      </c>
      <c r="CE63" s="19"/>
      <c r="CF63" s="19"/>
      <c r="CG63" s="19"/>
      <c r="CH63" s="19"/>
      <c r="CI63" s="19"/>
      <c r="CJ63" s="19"/>
      <c r="CK63" s="19"/>
      <c r="CL63" s="19"/>
      <c r="CM63" s="19"/>
      <c r="CN63" s="19"/>
      <c r="CO63" s="19"/>
      <c r="CP63" s="19"/>
      <c r="CQ63" s="19" t="s">
        <v>96</v>
      </c>
      <c r="CR63" s="19"/>
      <c r="CS63" s="19"/>
      <c r="CT63" s="19"/>
      <c r="CU63" s="19">
        <v>25530</v>
      </c>
      <c r="CV63" s="19"/>
      <c r="CW63" s="19"/>
      <c r="CX63" s="19"/>
      <c r="CY63" s="19"/>
      <c r="CZ63" s="19"/>
      <c r="DA63" s="19"/>
      <c r="DB63" s="19"/>
      <c r="DC63" s="19"/>
      <c r="DD63" s="19"/>
      <c r="DE63" s="19"/>
      <c r="DF63" s="19"/>
      <c r="DG63" s="19"/>
      <c r="DH63" s="19"/>
      <c r="DI63" s="19"/>
      <c r="DJ63" s="19"/>
      <c r="DK63" s="19"/>
      <c r="DL63" s="19"/>
      <c r="DM63" s="19"/>
      <c r="DN63" s="19"/>
      <c r="DO63" s="19"/>
      <c r="DP63" s="19"/>
      <c r="DQ63" s="19"/>
      <c r="DR63" s="19"/>
      <c r="DS63" s="19"/>
      <c r="DT63" s="19"/>
      <c r="DU63" s="19"/>
      <c r="DV63" s="19"/>
      <c r="DW63" s="19"/>
      <c r="DX63" s="19"/>
      <c r="DY63" s="19"/>
      <c r="DZ63" s="19"/>
      <c r="EA63" s="19"/>
      <c r="EB63" s="19"/>
      <c r="EC63" s="19"/>
      <c r="ED63" s="19"/>
      <c r="EE63" s="19"/>
      <c r="EF63" s="19"/>
      <c r="EG63" s="19"/>
      <c r="EH63" s="19"/>
      <c r="EI63" s="19"/>
      <c r="EJ63" s="19"/>
      <c r="EK63" s="19" t="s">
        <v>89</v>
      </c>
      <c r="EL63" s="19"/>
      <c r="EM63" s="19"/>
      <c r="EN63" s="19"/>
      <c r="EO63" s="19"/>
      <c r="EP63" s="19"/>
      <c r="EQ63" s="19"/>
      <c r="ER63" s="19"/>
      <c r="ES63" s="19"/>
      <c r="ET63" s="19"/>
      <c r="EU63" s="19"/>
      <c r="EV63" s="19"/>
      <c r="EW63" s="19"/>
      <c r="EX63" s="19"/>
      <c r="EY63" s="19"/>
      <c r="EZ63" s="19"/>
      <c r="FA63" s="19"/>
      <c r="FB63" s="19"/>
      <c r="FC63" s="19" t="s">
        <v>89</v>
      </c>
      <c r="FD63" s="19"/>
      <c r="FE63" s="19"/>
      <c r="FF63" s="19"/>
      <c r="FG63" s="19"/>
      <c r="FH63" s="19"/>
      <c r="FI63" s="19"/>
      <c r="FJ63" s="19"/>
      <c r="FK63" s="19"/>
      <c r="FL63" s="19"/>
      <c r="FM63" s="19"/>
      <c r="FN63" s="19" t="s">
        <v>89</v>
      </c>
      <c r="FO63" s="19"/>
      <c r="FP63" s="19"/>
      <c r="FQ63" s="19" t="s">
        <v>89</v>
      </c>
      <c r="FR63" s="19"/>
      <c r="FS63" s="19"/>
      <c r="FT63" s="19"/>
      <c r="FU63" s="19" t="s">
        <v>89</v>
      </c>
      <c r="FV63" s="19"/>
      <c r="FW63" s="19"/>
      <c r="FX63" s="19" t="s">
        <v>157</v>
      </c>
      <c r="FY63" s="19"/>
      <c r="FZ63" s="19"/>
      <c r="GA63" s="19" t="s">
        <v>89</v>
      </c>
      <c r="GB63" s="19" t="s">
        <v>89</v>
      </c>
      <c r="GC63" s="19"/>
      <c r="GD63" s="19" t="s">
        <v>89</v>
      </c>
      <c r="GE63" s="19"/>
      <c r="GF63" s="19" t="s">
        <v>89</v>
      </c>
      <c r="GG63" s="19"/>
      <c r="GH63" s="19"/>
    </row>
    <row r="64" spans="1:190" ht="17.55" customHeight="1">
      <c r="A64" s="9" t="s">
        <v>0</v>
      </c>
      <c r="B64" s="16" t="s">
        <v>78</v>
      </c>
      <c r="C64" s="19">
        <v>202157184</v>
      </c>
      <c r="D64" s="19">
        <v>489185660</v>
      </c>
      <c r="E64" s="19">
        <v>73692406</v>
      </c>
      <c r="F64" s="19">
        <v>141969079</v>
      </c>
      <c r="G64" s="19">
        <v>0</v>
      </c>
      <c r="H64" s="19">
        <v>155806837</v>
      </c>
      <c r="I64" s="19">
        <v>382641524</v>
      </c>
      <c r="J64" s="19" t="s">
        <v>89</v>
      </c>
      <c r="K64" s="19">
        <v>860296582</v>
      </c>
      <c r="L64" s="19">
        <v>5000000</v>
      </c>
      <c r="M64" s="19">
        <v>11360000</v>
      </c>
      <c r="N64" s="19">
        <v>299396574</v>
      </c>
      <c r="O64" s="19">
        <v>45048401</v>
      </c>
      <c r="P64" s="19">
        <v>86093610</v>
      </c>
      <c r="Q64" s="19">
        <v>5000000</v>
      </c>
      <c r="R64" s="19">
        <v>7500000</v>
      </c>
      <c r="S64" s="19">
        <v>0</v>
      </c>
      <c r="T64" s="19">
        <v>0</v>
      </c>
      <c r="U64" s="19">
        <v>43437873</v>
      </c>
      <c r="V64" s="19">
        <v>48806225</v>
      </c>
      <c r="W64" s="19">
        <v>68795588</v>
      </c>
      <c r="X64" s="19">
        <v>58000000</v>
      </c>
      <c r="Y64" s="19">
        <v>170181614</v>
      </c>
      <c r="Z64" s="19">
        <v>365721601</v>
      </c>
      <c r="AA64" s="19">
        <v>0</v>
      </c>
      <c r="AB64" s="19">
        <v>0</v>
      </c>
      <c r="AC64" s="19">
        <v>72869810</v>
      </c>
      <c r="AD64" s="19">
        <v>0</v>
      </c>
      <c r="AE64" s="19">
        <v>11135935</v>
      </c>
      <c r="AF64" s="19">
        <v>172562716</v>
      </c>
      <c r="AG64" s="19">
        <v>28148224</v>
      </c>
      <c r="AH64" s="19">
        <v>434223758</v>
      </c>
      <c r="AI64" s="19">
        <v>26687551</v>
      </c>
      <c r="AJ64" s="19">
        <v>83358913</v>
      </c>
      <c r="AK64" s="19" t="s">
        <v>89</v>
      </c>
      <c r="AL64" s="19">
        <v>17001788</v>
      </c>
      <c r="AM64" s="19">
        <v>0</v>
      </c>
      <c r="AN64" s="19">
        <v>68085970</v>
      </c>
      <c r="AO64" s="19">
        <v>40330019</v>
      </c>
      <c r="AP64" s="19">
        <v>36457989</v>
      </c>
      <c r="AQ64" s="19">
        <v>10000000</v>
      </c>
      <c r="AR64" s="19">
        <v>29252312</v>
      </c>
      <c r="AS64" s="19">
        <v>577830668</v>
      </c>
      <c r="AT64" s="19">
        <v>69231412</v>
      </c>
      <c r="AU64" s="19">
        <v>0</v>
      </c>
      <c r="AV64" s="19">
        <v>71016002</v>
      </c>
      <c r="AW64" s="19">
        <v>13125480</v>
      </c>
      <c r="AX64" s="19" t="s">
        <v>96</v>
      </c>
      <c r="AY64" s="19">
        <v>97974525</v>
      </c>
      <c r="AZ64" s="19">
        <v>0</v>
      </c>
      <c r="BA64" s="19">
        <v>0</v>
      </c>
      <c r="BB64" s="19">
        <v>0</v>
      </c>
      <c r="BC64" s="19">
        <v>0</v>
      </c>
      <c r="BD64" s="19">
        <v>25155915</v>
      </c>
      <c r="BE64" s="19">
        <v>0</v>
      </c>
      <c r="BF64" s="19">
        <v>51108385</v>
      </c>
      <c r="BG64" s="19">
        <v>36783723</v>
      </c>
      <c r="BH64" s="19">
        <v>0</v>
      </c>
      <c r="BI64" s="19">
        <v>21263121</v>
      </c>
      <c r="BJ64" s="19">
        <v>29623455</v>
      </c>
      <c r="BK64" s="19">
        <v>0</v>
      </c>
      <c r="BL64" s="19">
        <v>26827276</v>
      </c>
      <c r="BM64" s="19">
        <v>123839821</v>
      </c>
      <c r="BN64" s="19">
        <v>8090149</v>
      </c>
      <c r="BO64" s="19">
        <v>20844500</v>
      </c>
      <c r="BP64" s="19">
        <v>0</v>
      </c>
      <c r="BQ64" s="19" t="s">
        <v>175</v>
      </c>
      <c r="BR64" s="19">
        <v>90327213</v>
      </c>
      <c r="BS64" s="19">
        <v>13300000</v>
      </c>
      <c r="BT64" s="19">
        <v>0</v>
      </c>
      <c r="BU64" s="19">
        <v>294112182</v>
      </c>
      <c r="BV64" s="19">
        <v>36935474</v>
      </c>
      <c r="BW64" s="19">
        <v>77670000</v>
      </c>
      <c r="BX64" s="19">
        <v>34000000</v>
      </c>
      <c r="BY64" s="19">
        <v>0</v>
      </c>
      <c r="BZ64" s="19">
        <v>188237575</v>
      </c>
      <c r="CA64" s="19">
        <v>16524838</v>
      </c>
      <c r="CB64" s="19">
        <v>0</v>
      </c>
      <c r="CC64" s="19">
        <v>85702975</v>
      </c>
      <c r="CD64" s="19">
        <v>88891796</v>
      </c>
      <c r="CE64" s="19">
        <v>42594146</v>
      </c>
      <c r="CF64" s="19">
        <v>109157658</v>
      </c>
      <c r="CG64" s="19">
        <v>165462226</v>
      </c>
      <c r="CH64" s="19">
        <v>40339032</v>
      </c>
      <c r="CI64" s="19">
        <v>146916760</v>
      </c>
      <c r="CJ64" s="19">
        <v>0</v>
      </c>
      <c r="CK64" s="19">
        <v>44962150</v>
      </c>
      <c r="CL64" s="19">
        <v>8000000</v>
      </c>
      <c r="CM64" s="19">
        <v>235832434</v>
      </c>
      <c r="CN64" s="19">
        <v>0</v>
      </c>
      <c r="CO64" s="19">
        <v>116501734</v>
      </c>
      <c r="CP64" s="19">
        <v>21899150</v>
      </c>
      <c r="CQ64" s="19" t="s">
        <v>96</v>
      </c>
      <c r="CR64" s="19">
        <v>0</v>
      </c>
      <c r="CS64" s="19">
        <v>626409828</v>
      </c>
      <c r="CT64" s="19">
        <v>0</v>
      </c>
      <c r="CU64" s="19">
        <v>381411348</v>
      </c>
      <c r="CV64" s="19">
        <v>0</v>
      </c>
      <c r="CW64" s="19">
        <v>37264300</v>
      </c>
      <c r="CX64" s="19">
        <v>0</v>
      </c>
      <c r="CY64" s="19">
        <v>211992490</v>
      </c>
      <c r="CZ64" s="19">
        <v>0</v>
      </c>
      <c r="DA64" s="19">
        <v>0</v>
      </c>
      <c r="DB64" s="19">
        <v>0</v>
      </c>
      <c r="DC64" s="19">
        <v>0</v>
      </c>
      <c r="DD64" s="19">
        <v>0</v>
      </c>
      <c r="DE64" s="19">
        <v>0</v>
      </c>
      <c r="DF64" s="19">
        <v>35000000</v>
      </c>
      <c r="DG64" s="19">
        <v>0</v>
      </c>
      <c r="DH64" s="19">
        <v>0</v>
      </c>
      <c r="DI64" s="19">
        <v>0</v>
      </c>
      <c r="DJ64" s="19">
        <v>0</v>
      </c>
      <c r="DK64" s="19">
        <v>0</v>
      </c>
      <c r="DL64" s="19">
        <v>23816957</v>
      </c>
      <c r="DM64" s="19">
        <v>0</v>
      </c>
      <c r="DN64" s="19">
        <v>22700000</v>
      </c>
      <c r="DO64" s="19">
        <v>14589200</v>
      </c>
      <c r="DP64" s="19">
        <v>0</v>
      </c>
      <c r="DQ64" s="19">
        <v>0</v>
      </c>
      <c r="DR64" s="19">
        <v>51231930</v>
      </c>
      <c r="DS64" s="19">
        <v>0</v>
      </c>
      <c r="DT64" s="19">
        <v>103380600</v>
      </c>
      <c r="DU64" s="19">
        <v>0</v>
      </c>
      <c r="DV64" s="19">
        <v>0</v>
      </c>
      <c r="DW64" s="19">
        <v>0</v>
      </c>
      <c r="DX64" s="19">
        <v>160119639</v>
      </c>
      <c r="DY64" s="19">
        <v>0</v>
      </c>
      <c r="DZ64" s="19">
        <v>7500000</v>
      </c>
      <c r="EA64" s="19">
        <v>0</v>
      </c>
      <c r="EB64" s="19">
        <v>0</v>
      </c>
      <c r="EC64" s="19">
        <v>3500000</v>
      </c>
      <c r="ED64" s="19">
        <v>14849000</v>
      </c>
      <c r="EE64" s="19">
        <v>0</v>
      </c>
      <c r="EF64" s="19">
        <v>58294840</v>
      </c>
      <c r="EG64" s="19">
        <v>110095647</v>
      </c>
      <c r="EH64" s="19">
        <v>0</v>
      </c>
      <c r="EI64" s="19">
        <v>11650000</v>
      </c>
      <c r="EJ64" s="19">
        <v>243448773</v>
      </c>
      <c r="EK64" s="19" t="s">
        <v>89</v>
      </c>
      <c r="EL64" s="19">
        <v>293208558</v>
      </c>
      <c r="EM64" s="19">
        <v>38088096</v>
      </c>
      <c r="EN64" s="19">
        <v>30447900</v>
      </c>
      <c r="EO64" s="19">
        <v>0</v>
      </c>
      <c r="EP64" s="19">
        <v>0</v>
      </c>
      <c r="EQ64" s="19">
        <v>0</v>
      </c>
      <c r="ER64" s="19">
        <v>29183630</v>
      </c>
      <c r="ES64" s="19">
        <v>0</v>
      </c>
      <c r="ET64" s="19">
        <v>0</v>
      </c>
      <c r="EU64" s="19">
        <v>0</v>
      </c>
      <c r="EV64" s="19">
        <v>3000000</v>
      </c>
      <c r="EW64" s="19">
        <v>14800012</v>
      </c>
      <c r="EX64" s="19">
        <v>1950000</v>
      </c>
      <c r="EY64" s="19">
        <v>4640000</v>
      </c>
      <c r="EZ64" s="19">
        <v>66239116</v>
      </c>
      <c r="FA64" s="19">
        <v>0</v>
      </c>
      <c r="FB64" s="19">
        <v>21534000</v>
      </c>
      <c r="FC64" s="19" t="s">
        <v>89</v>
      </c>
      <c r="FD64" s="19">
        <v>42500000</v>
      </c>
      <c r="FE64" s="19">
        <v>7200000</v>
      </c>
      <c r="FF64" s="19">
        <v>0</v>
      </c>
      <c r="FG64" s="19">
        <v>202599439</v>
      </c>
      <c r="FH64" s="19">
        <v>0</v>
      </c>
      <c r="FI64" s="19">
        <v>54329260</v>
      </c>
      <c r="FJ64" s="19">
        <v>0</v>
      </c>
      <c r="FK64" s="19">
        <v>0</v>
      </c>
      <c r="FL64" s="19">
        <v>20000000</v>
      </c>
      <c r="FM64" s="19">
        <v>31770078</v>
      </c>
      <c r="FN64" s="19" t="s">
        <v>89</v>
      </c>
      <c r="FO64" s="19">
        <v>0</v>
      </c>
      <c r="FP64" s="19">
        <v>3600000</v>
      </c>
      <c r="FQ64" s="19" t="s">
        <v>89</v>
      </c>
      <c r="FR64" s="19">
        <v>0</v>
      </c>
      <c r="FS64" s="19">
        <v>20700000</v>
      </c>
      <c r="FT64" s="19">
        <v>0</v>
      </c>
      <c r="FU64" s="19" t="s">
        <v>89</v>
      </c>
      <c r="FV64" s="19">
        <v>0</v>
      </c>
      <c r="FW64" s="19">
        <v>21637625</v>
      </c>
      <c r="FX64" s="19" t="s">
        <v>157</v>
      </c>
      <c r="FY64" s="19">
        <v>0</v>
      </c>
      <c r="FZ64" s="19">
        <v>4790000</v>
      </c>
      <c r="GA64" s="19" t="s">
        <v>89</v>
      </c>
      <c r="GB64" s="19" t="s">
        <v>89</v>
      </c>
      <c r="GC64" s="19">
        <v>0</v>
      </c>
      <c r="GD64" s="19" t="s">
        <v>89</v>
      </c>
      <c r="GE64" s="19">
        <v>0</v>
      </c>
      <c r="GF64" s="19" t="s">
        <v>89</v>
      </c>
      <c r="GG64" s="19">
        <v>424933000</v>
      </c>
      <c r="GH64" s="19">
        <v>0</v>
      </c>
    </row>
    <row r="65" spans="1:190" ht="17.55" customHeight="1">
      <c r="A65" s="9" t="s">
        <v>0</v>
      </c>
      <c r="B65" s="17" t="s">
        <v>80</v>
      </c>
      <c r="C65" s="19">
        <v>31096230</v>
      </c>
      <c r="D65" s="19"/>
      <c r="E65" s="19"/>
      <c r="F65" s="19">
        <v>4291200</v>
      </c>
      <c r="G65" s="19"/>
      <c r="H65" s="19"/>
      <c r="I65" s="19">
        <v>382641524</v>
      </c>
      <c r="J65" s="19" t="s">
        <v>89</v>
      </c>
      <c r="K65" s="19"/>
      <c r="L65" s="19"/>
      <c r="M65" s="19">
        <v>11360000</v>
      </c>
      <c r="N65" s="19"/>
      <c r="O65" s="19"/>
      <c r="P65" s="19"/>
      <c r="Q65" s="19"/>
      <c r="R65" s="19">
        <v>7500000</v>
      </c>
      <c r="S65" s="19"/>
      <c r="T65" s="19"/>
      <c r="U65" s="19"/>
      <c r="V65" s="19"/>
      <c r="W65" s="19">
        <v>11900000</v>
      </c>
      <c r="X65" s="19">
        <v>58000000</v>
      </c>
      <c r="Y65" s="19"/>
      <c r="Z65" s="19"/>
      <c r="AA65" s="19"/>
      <c r="AB65" s="19"/>
      <c r="AC65" s="19">
        <v>72869810</v>
      </c>
      <c r="AD65" s="19"/>
      <c r="AE65" s="19"/>
      <c r="AF65" s="19"/>
      <c r="AG65" s="19"/>
      <c r="AH65" s="19"/>
      <c r="AI65" s="19">
        <v>8564500</v>
      </c>
      <c r="AJ65" s="19"/>
      <c r="AK65" s="19" t="s">
        <v>89</v>
      </c>
      <c r="AL65" s="19"/>
      <c r="AM65" s="19"/>
      <c r="AN65" s="19"/>
      <c r="AO65" s="19"/>
      <c r="AP65" s="19"/>
      <c r="AQ65" s="19">
        <v>10000000</v>
      </c>
      <c r="AR65" s="19"/>
      <c r="AS65" s="19"/>
      <c r="AT65" s="19"/>
      <c r="AU65" s="19"/>
      <c r="AV65" s="19"/>
      <c r="AW65" s="19"/>
      <c r="AX65" s="19" t="s">
        <v>96</v>
      </c>
      <c r="AY65" s="19">
        <v>51000000</v>
      </c>
      <c r="AZ65" s="19"/>
      <c r="BA65" s="19"/>
      <c r="BB65" s="19"/>
      <c r="BC65" s="19"/>
      <c r="BD65" s="19"/>
      <c r="BE65" s="19"/>
      <c r="BF65" s="19"/>
      <c r="BG65" s="19"/>
      <c r="BH65" s="19"/>
      <c r="BI65" s="19"/>
      <c r="BJ65" s="19"/>
      <c r="BK65" s="19"/>
      <c r="BL65" s="19">
        <v>9000000</v>
      </c>
      <c r="BM65" s="19"/>
      <c r="BN65" s="19"/>
      <c r="BO65" s="19"/>
      <c r="BP65" s="19"/>
      <c r="BQ65" s="19" t="s">
        <v>175</v>
      </c>
      <c r="BR65" s="19"/>
      <c r="BS65" s="19"/>
      <c r="BT65" s="19"/>
      <c r="BU65" s="19">
        <v>16400000</v>
      </c>
      <c r="BV65" s="19"/>
      <c r="BW65" s="19"/>
      <c r="BX65" s="19"/>
      <c r="BY65" s="19"/>
      <c r="BZ65" s="19"/>
      <c r="CA65" s="19"/>
      <c r="CB65" s="19"/>
      <c r="CC65" s="19"/>
      <c r="CD65" s="19">
        <v>10246101</v>
      </c>
      <c r="CE65" s="19">
        <v>42594146</v>
      </c>
      <c r="CF65" s="19">
        <v>109157658</v>
      </c>
      <c r="CG65" s="19"/>
      <c r="CH65" s="19"/>
      <c r="CI65" s="19">
        <v>87936760</v>
      </c>
      <c r="CJ65" s="19"/>
      <c r="CK65" s="19">
        <v>44962150</v>
      </c>
      <c r="CL65" s="19"/>
      <c r="CM65" s="19">
        <v>43707200</v>
      </c>
      <c r="CN65" s="19"/>
      <c r="CO65" s="19"/>
      <c r="CP65" s="19"/>
      <c r="CQ65" s="19" t="s">
        <v>96</v>
      </c>
      <c r="CR65" s="19"/>
      <c r="CS65" s="19">
        <v>426409828</v>
      </c>
      <c r="CT65" s="19"/>
      <c r="CU65" s="19">
        <v>3850000</v>
      </c>
      <c r="CV65" s="19"/>
      <c r="CW65" s="19"/>
      <c r="CX65" s="19"/>
      <c r="CY65" s="19">
        <v>111992490</v>
      </c>
      <c r="CZ65" s="19"/>
      <c r="DA65" s="19"/>
      <c r="DB65" s="19"/>
      <c r="DC65" s="19"/>
      <c r="DD65" s="19"/>
      <c r="DE65" s="19"/>
      <c r="DF65" s="19">
        <v>35000000</v>
      </c>
      <c r="DG65" s="19"/>
      <c r="DH65" s="19"/>
      <c r="DI65" s="19"/>
      <c r="DJ65" s="19"/>
      <c r="DK65" s="19"/>
      <c r="DL65" s="19"/>
      <c r="DM65" s="19"/>
      <c r="DN65" s="19"/>
      <c r="DO65" s="19">
        <v>14589200</v>
      </c>
      <c r="DP65" s="19"/>
      <c r="DQ65" s="19"/>
      <c r="DR65" s="19"/>
      <c r="DS65" s="19"/>
      <c r="DT65" s="19">
        <v>103380600</v>
      </c>
      <c r="DU65" s="19"/>
      <c r="DV65" s="19"/>
      <c r="DW65" s="19"/>
      <c r="DX65" s="19"/>
      <c r="DY65" s="19"/>
      <c r="DZ65" s="19"/>
      <c r="EA65" s="19"/>
      <c r="EB65" s="19"/>
      <c r="EC65" s="19">
        <v>3500000</v>
      </c>
      <c r="ED65" s="19">
        <v>14849000</v>
      </c>
      <c r="EE65" s="19">
        <v>0</v>
      </c>
      <c r="EF65" s="19">
        <v>58294840</v>
      </c>
      <c r="EG65" s="19">
        <v>0</v>
      </c>
      <c r="EH65" s="19">
        <v>0</v>
      </c>
      <c r="EI65" s="19">
        <v>0</v>
      </c>
      <c r="EJ65" s="19">
        <v>19393000</v>
      </c>
      <c r="EK65" s="19" t="s">
        <v>89</v>
      </c>
      <c r="EL65" s="19">
        <v>0</v>
      </c>
      <c r="EM65" s="19">
        <v>0</v>
      </c>
      <c r="EN65" s="19">
        <v>22922900</v>
      </c>
      <c r="EO65" s="19">
        <v>0</v>
      </c>
      <c r="EP65" s="19">
        <v>0</v>
      </c>
      <c r="EQ65" s="19">
        <v>0</v>
      </c>
      <c r="ER65" s="19">
        <v>0</v>
      </c>
      <c r="ES65" s="19">
        <v>0</v>
      </c>
      <c r="ET65" s="19">
        <v>0</v>
      </c>
      <c r="EU65" s="19">
        <v>0</v>
      </c>
      <c r="EV65" s="19">
        <v>0</v>
      </c>
      <c r="EW65" s="19">
        <v>0</v>
      </c>
      <c r="EX65" s="19"/>
      <c r="EY65" s="19">
        <v>0</v>
      </c>
      <c r="EZ65" s="19">
        <v>0</v>
      </c>
      <c r="FA65" s="19"/>
      <c r="FB65" s="19"/>
      <c r="FC65" s="19" t="s">
        <v>89</v>
      </c>
      <c r="FD65" s="19"/>
      <c r="FE65" s="19">
        <v>7200000</v>
      </c>
      <c r="FF65" s="19"/>
      <c r="FG65" s="19"/>
      <c r="FH65" s="19"/>
      <c r="FI65" s="19">
        <v>54329260</v>
      </c>
      <c r="FJ65" s="19"/>
      <c r="FK65" s="19"/>
      <c r="FL65" s="19"/>
      <c r="FM65" s="19">
        <v>0</v>
      </c>
      <c r="FN65" s="19" t="s">
        <v>89</v>
      </c>
      <c r="FO65" s="19"/>
      <c r="FP65" s="19">
        <v>3600000</v>
      </c>
      <c r="FQ65" s="19" t="s">
        <v>89</v>
      </c>
      <c r="FR65" s="19"/>
      <c r="FS65" s="19">
        <v>20700000</v>
      </c>
      <c r="FT65" s="19">
        <v>0</v>
      </c>
      <c r="FU65" s="19" t="s">
        <v>89</v>
      </c>
      <c r="FV65" s="19"/>
      <c r="FW65" s="19">
        <v>21637625</v>
      </c>
      <c r="FX65" s="19" t="s">
        <v>157</v>
      </c>
      <c r="FY65" s="19"/>
      <c r="FZ65" s="19"/>
      <c r="GA65" s="19" t="s">
        <v>89</v>
      </c>
      <c r="GB65" s="19" t="s">
        <v>89</v>
      </c>
      <c r="GC65" s="19"/>
      <c r="GD65" s="19" t="s">
        <v>89</v>
      </c>
      <c r="GE65" s="19"/>
      <c r="GF65" s="19" t="s">
        <v>89</v>
      </c>
      <c r="GG65" s="19">
        <v>401933000</v>
      </c>
      <c r="GH65" s="19"/>
    </row>
    <row r="66" spans="1:190" ht="17.55" customHeight="1">
      <c r="A66" s="9" t="s">
        <v>0</v>
      </c>
      <c r="B66" s="17" t="s">
        <v>7</v>
      </c>
      <c r="C66" s="19"/>
      <c r="D66" s="19">
        <v>456367860</v>
      </c>
      <c r="E66" s="19"/>
      <c r="F66" s="19"/>
      <c r="G66" s="19"/>
      <c r="H66" s="19">
        <v>150193307</v>
      </c>
      <c r="I66" s="19"/>
      <c r="J66" s="19" t="s">
        <v>89</v>
      </c>
      <c r="K66" s="19"/>
      <c r="L66" s="19"/>
      <c r="M66" s="19"/>
      <c r="N66" s="19"/>
      <c r="O66" s="19"/>
      <c r="P66" s="19">
        <v>45593610</v>
      </c>
      <c r="Q66" s="19"/>
      <c r="R66" s="19"/>
      <c r="S66" s="19"/>
      <c r="T66" s="19"/>
      <c r="U66" s="19">
        <v>43437873</v>
      </c>
      <c r="V66" s="19"/>
      <c r="W66" s="19"/>
      <c r="X66" s="19"/>
      <c r="Y66" s="19">
        <v>155960632</v>
      </c>
      <c r="Z66" s="19">
        <v>87381601</v>
      </c>
      <c r="AA66" s="19"/>
      <c r="AB66" s="19"/>
      <c r="AC66" s="19"/>
      <c r="AD66" s="19"/>
      <c r="AE66" s="19"/>
      <c r="AF66" s="19"/>
      <c r="AG66" s="19">
        <v>28148224</v>
      </c>
      <c r="AH66" s="19"/>
      <c r="AI66" s="19"/>
      <c r="AJ66" s="19">
        <v>7369400</v>
      </c>
      <c r="AK66" s="19" t="s">
        <v>89</v>
      </c>
      <c r="AL66" s="19"/>
      <c r="AM66" s="19"/>
      <c r="AN66" s="19"/>
      <c r="AO66" s="19"/>
      <c r="AP66" s="19"/>
      <c r="AQ66" s="19"/>
      <c r="AR66" s="19"/>
      <c r="AS66" s="19">
        <v>350000000</v>
      </c>
      <c r="AT66" s="19">
        <v>69231412</v>
      </c>
      <c r="AU66" s="19"/>
      <c r="AV66" s="19"/>
      <c r="AW66" s="19">
        <v>13000000</v>
      </c>
      <c r="AX66" s="19" t="s">
        <v>96</v>
      </c>
      <c r="AY66" s="19"/>
      <c r="AZ66" s="19"/>
      <c r="BA66" s="19"/>
      <c r="BB66" s="19"/>
      <c r="BC66" s="19"/>
      <c r="BD66" s="19"/>
      <c r="BE66" s="19"/>
      <c r="BF66" s="19"/>
      <c r="BG66" s="19"/>
      <c r="BH66" s="19"/>
      <c r="BI66" s="19">
        <v>21263121</v>
      </c>
      <c r="BJ66" s="19"/>
      <c r="BK66" s="19"/>
      <c r="BL66" s="19"/>
      <c r="BM66" s="19">
        <v>123839821</v>
      </c>
      <c r="BN66" s="19"/>
      <c r="BO66" s="19">
        <v>20844500</v>
      </c>
      <c r="BP66" s="19"/>
      <c r="BQ66" s="19" t="s">
        <v>175</v>
      </c>
      <c r="BR66" s="19">
        <v>90327213</v>
      </c>
      <c r="BS66" s="19">
        <v>13300000</v>
      </c>
      <c r="BT66" s="19"/>
      <c r="BU66" s="19"/>
      <c r="BV66" s="19">
        <v>3900000</v>
      </c>
      <c r="BW66" s="19"/>
      <c r="BX66" s="19">
        <v>34000000</v>
      </c>
      <c r="BY66" s="19"/>
      <c r="BZ66" s="19"/>
      <c r="CA66" s="19">
        <v>16524838</v>
      </c>
      <c r="CB66" s="19"/>
      <c r="CC66" s="19"/>
      <c r="CD66" s="19"/>
      <c r="CE66" s="19"/>
      <c r="CF66" s="19"/>
      <c r="CG66" s="19"/>
      <c r="CH66" s="19">
        <v>40339032</v>
      </c>
      <c r="CI66" s="19"/>
      <c r="CJ66" s="19"/>
      <c r="CK66" s="19"/>
      <c r="CL66" s="19"/>
      <c r="CM66" s="19"/>
      <c r="CN66" s="19"/>
      <c r="CO66" s="19"/>
      <c r="CP66" s="19"/>
      <c r="CQ66" s="19" t="s">
        <v>96</v>
      </c>
      <c r="CR66" s="19"/>
      <c r="CS66" s="19">
        <v>200000000</v>
      </c>
      <c r="CT66" s="19"/>
      <c r="CU66" s="19"/>
      <c r="CV66" s="19"/>
      <c r="CW66" s="19"/>
      <c r="CX66" s="19"/>
      <c r="CY66" s="19"/>
      <c r="CZ66" s="19"/>
      <c r="DA66" s="19"/>
      <c r="DB66" s="19"/>
      <c r="DC66" s="19"/>
      <c r="DD66" s="19"/>
      <c r="DE66" s="19"/>
      <c r="DF66" s="19"/>
      <c r="DG66" s="19"/>
      <c r="DH66" s="19"/>
      <c r="DI66" s="19"/>
      <c r="DJ66" s="19"/>
      <c r="DK66" s="19"/>
      <c r="DL66" s="19"/>
      <c r="DM66" s="19"/>
      <c r="DN66" s="19"/>
      <c r="DO66" s="19"/>
      <c r="DP66" s="19"/>
      <c r="DQ66" s="19"/>
      <c r="DR66" s="19">
        <v>51181930</v>
      </c>
      <c r="DS66" s="19"/>
      <c r="DT66" s="19"/>
      <c r="DU66" s="19"/>
      <c r="DV66" s="19"/>
      <c r="DW66" s="19"/>
      <c r="DX66" s="19"/>
      <c r="DY66" s="19"/>
      <c r="DZ66" s="19"/>
      <c r="EA66" s="19"/>
      <c r="EB66" s="19"/>
      <c r="EC66" s="19">
        <v>0</v>
      </c>
      <c r="ED66" s="19">
        <v>0</v>
      </c>
      <c r="EE66" s="19">
        <v>0</v>
      </c>
      <c r="EF66" s="19">
        <v>0</v>
      </c>
      <c r="EG66" s="19">
        <v>110095647</v>
      </c>
      <c r="EH66" s="19">
        <v>0</v>
      </c>
      <c r="EI66" s="19">
        <v>0</v>
      </c>
      <c r="EJ66" s="19">
        <v>0</v>
      </c>
      <c r="EK66" s="19" t="s">
        <v>89</v>
      </c>
      <c r="EL66" s="19">
        <v>293208558</v>
      </c>
      <c r="EM66" s="19">
        <v>38088096</v>
      </c>
      <c r="EN66" s="19">
        <v>7525000</v>
      </c>
      <c r="EO66" s="19">
        <v>0</v>
      </c>
      <c r="EP66" s="19">
        <v>0</v>
      </c>
      <c r="EQ66" s="19">
        <v>0</v>
      </c>
      <c r="ER66" s="19"/>
      <c r="ES66" s="19">
        <v>0</v>
      </c>
      <c r="ET66" s="19">
        <v>0</v>
      </c>
      <c r="EU66" s="19">
        <v>0</v>
      </c>
      <c r="EV66" s="19">
        <v>0</v>
      </c>
      <c r="EW66" s="19">
        <v>14800012</v>
      </c>
      <c r="EX66" s="19"/>
      <c r="EY66" s="19">
        <v>0</v>
      </c>
      <c r="EZ66" s="19">
        <v>0</v>
      </c>
      <c r="FA66" s="19"/>
      <c r="FB66" s="19"/>
      <c r="FC66" s="19" t="s">
        <v>89</v>
      </c>
      <c r="FD66" s="19">
        <v>42500000</v>
      </c>
      <c r="FE66" s="19"/>
      <c r="FF66" s="19"/>
      <c r="FG66" s="19"/>
      <c r="FH66" s="19"/>
      <c r="FI66" s="19"/>
      <c r="FJ66" s="19"/>
      <c r="FK66" s="19"/>
      <c r="FL66" s="19"/>
      <c r="FM66" s="19">
        <v>31770078</v>
      </c>
      <c r="FN66" s="19" t="s">
        <v>89</v>
      </c>
      <c r="FO66" s="19"/>
      <c r="FP66" s="19"/>
      <c r="FQ66" s="19" t="s">
        <v>89</v>
      </c>
      <c r="FR66" s="19"/>
      <c r="FS66" s="19"/>
      <c r="FT66" s="19">
        <v>0</v>
      </c>
      <c r="FU66" s="19" t="s">
        <v>89</v>
      </c>
      <c r="FV66" s="19"/>
      <c r="FW66" s="19"/>
      <c r="FX66" s="19" t="s">
        <v>157</v>
      </c>
      <c r="FY66" s="19"/>
      <c r="FZ66" s="19">
        <v>4790000</v>
      </c>
      <c r="GA66" s="19" t="s">
        <v>89</v>
      </c>
      <c r="GB66" s="19" t="s">
        <v>89</v>
      </c>
      <c r="GC66" s="19"/>
      <c r="GD66" s="19" t="s">
        <v>89</v>
      </c>
      <c r="GE66" s="19"/>
      <c r="GF66" s="19" t="s">
        <v>89</v>
      </c>
      <c r="GG66" s="19"/>
      <c r="GH66" s="19"/>
    </row>
    <row r="67" spans="1:190" ht="17.55" customHeight="1">
      <c r="A67" s="9" t="s">
        <v>0</v>
      </c>
      <c r="B67" s="17" t="s">
        <v>25</v>
      </c>
      <c r="C67" s="19">
        <v>171060954</v>
      </c>
      <c r="D67" s="19">
        <v>32817800</v>
      </c>
      <c r="E67" s="19"/>
      <c r="F67" s="19">
        <v>137677879</v>
      </c>
      <c r="G67" s="19"/>
      <c r="H67" s="19">
        <v>5613530</v>
      </c>
      <c r="I67" s="19"/>
      <c r="J67" s="19" t="s">
        <v>89</v>
      </c>
      <c r="K67" s="19">
        <v>860296582</v>
      </c>
      <c r="L67" s="19">
        <v>5000000</v>
      </c>
      <c r="M67" s="19"/>
      <c r="N67" s="19">
        <v>215308874</v>
      </c>
      <c r="O67" s="19">
        <v>45048401</v>
      </c>
      <c r="P67" s="19">
        <v>3000000</v>
      </c>
      <c r="Q67" s="19">
        <v>5000000</v>
      </c>
      <c r="R67" s="19"/>
      <c r="S67" s="19"/>
      <c r="T67" s="19"/>
      <c r="U67" s="19"/>
      <c r="V67" s="19"/>
      <c r="W67" s="19">
        <v>56895588</v>
      </c>
      <c r="X67" s="19"/>
      <c r="Y67" s="19">
        <v>14220982</v>
      </c>
      <c r="Z67" s="19"/>
      <c r="AA67" s="19"/>
      <c r="AB67" s="19"/>
      <c r="AC67" s="19"/>
      <c r="AD67" s="19"/>
      <c r="AE67" s="19"/>
      <c r="AF67" s="19">
        <v>172562716</v>
      </c>
      <c r="AG67" s="19"/>
      <c r="AH67" s="19"/>
      <c r="AI67" s="19">
        <v>18123051</v>
      </c>
      <c r="AJ67" s="19">
        <v>75989513</v>
      </c>
      <c r="AK67" s="19" t="s">
        <v>89</v>
      </c>
      <c r="AL67" s="19">
        <v>17001788</v>
      </c>
      <c r="AM67" s="19"/>
      <c r="AN67" s="19"/>
      <c r="AO67" s="19">
        <v>40330019</v>
      </c>
      <c r="AP67" s="19">
        <v>36457989</v>
      </c>
      <c r="AQ67" s="19"/>
      <c r="AR67" s="19">
        <v>29252312</v>
      </c>
      <c r="AS67" s="19">
        <v>227830668</v>
      </c>
      <c r="AT67" s="19"/>
      <c r="AU67" s="19"/>
      <c r="AV67" s="19"/>
      <c r="AW67" s="19"/>
      <c r="AX67" s="19" t="s">
        <v>96</v>
      </c>
      <c r="AY67" s="19">
        <v>46974525</v>
      </c>
      <c r="AZ67" s="19"/>
      <c r="BA67" s="19"/>
      <c r="BB67" s="19"/>
      <c r="BC67" s="19"/>
      <c r="BD67" s="19"/>
      <c r="BE67" s="19"/>
      <c r="BF67" s="19">
        <v>51108385</v>
      </c>
      <c r="BG67" s="19">
        <v>36783723</v>
      </c>
      <c r="BH67" s="19"/>
      <c r="BI67" s="19"/>
      <c r="BJ67" s="19">
        <v>29623455</v>
      </c>
      <c r="BK67" s="19"/>
      <c r="BL67" s="19">
        <v>17827276</v>
      </c>
      <c r="BM67" s="19"/>
      <c r="BN67" s="19">
        <v>8090149</v>
      </c>
      <c r="BO67" s="19"/>
      <c r="BP67" s="19"/>
      <c r="BQ67" s="19" t="s">
        <v>175</v>
      </c>
      <c r="BR67" s="19"/>
      <c r="BS67" s="19"/>
      <c r="BT67" s="19"/>
      <c r="BU67" s="19"/>
      <c r="BV67" s="19">
        <v>33035474</v>
      </c>
      <c r="BW67" s="19">
        <v>77670000</v>
      </c>
      <c r="BX67" s="19"/>
      <c r="BY67" s="19"/>
      <c r="BZ67" s="19">
        <v>188237575</v>
      </c>
      <c r="CA67" s="19"/>
      <c r="CB67" s="19"/>
      <c r="CC67" s="19">
        <v>85702975</v>
      </c>
      <c r="CD67" s="19"/>
      <c r="CE67" s="19"/>
      <c r="CF67" s="19"/>
      <c r="CG67" s="19">
        <v>137562226</v>
      </c>
      <c r="CH67" s="19"/>
      <c r="CI67" s="19"/>
      <c r="CJ67" s="19"/>
      <c r="CK67" s="19"/>
      <c r="CL67" s="19"/>
      <c r="CM67" s="19">
        <v>152104234</v>
      </c>
      <c r="CN67" s="19"/>
      <c r="CO67" s="19">
        <v>116001734</v>
      </c>
      <c r="CP67" s="19">
        <v>21899150</v>
      </c>
      <c r="CQ67" s="19" t="s">
        <v>96</v>
      </c>
      <c r="CR67" s="19"/>
      <c r="CS67" s="19"/>
      <c r="CT67" s="19"/>
      <c r="CU67" s="19">
        <v>77561348</v>
      </c>
      <c r="CV67" s="19"/>
      <c r="CW67" s="19">
        <v>22314300</v>
      </c>
      <c r="CX67" s="19"/>
      <c r="CY67" s="19">
        <v>100000000</v>
      </c>
      <c r="CZ67" s="19"/>
      <c r="DA67" s="19"/>
      <c r="DB67" s="19"/>
      <c r="DC67" s="19"/>
      <c r="DD67" s="19"/>
      <c r="DE67" s="19"/>
      <c r="DF67" s="19"/>
      <c r="DG67" s="19"/>
      <c r="DH67" s="19"/>
      <c r="DI67" s="19"/>
      <c r="DJ67" s="19"/>
      <c r="DK67" s="19"/>
      <c r="DL67" s="19"/>
      <c r="DM67" s="19"/>
      <c r="DN67" s="19">
        <v>22700000</v>
      </c>
      <c r="DO67" s="19"/>
      <c r="DP67" s="19"/>
      <c r="DQ67" s="19"/>
      <c r="DR67" s="19">
        <v>50000</v>
      </c>
      <c r="DS67" s="19"/>
      <c r="DT67" s="19"/>
      <c r="DU67" s="19"/>
      <c r="DV67" s="19"/>
      <c r="DW67" s="19"/>
      <c r="DX67" s="19"/>
      <c r="DY67" s="19"/>
      <c r="DZ67" s="19"/>
      <c r="EA67" s="19"/>
      <c r="EB67" s="19"/>
      <c r="EC67" s="19">
        <v>0</v>
      </c>
      <c r="ED67" s="19">
        <v>0</v>
      </c>
      <c r="EE67" s="19">
        <v>0</v>
      </c>
      <c r="EF67" s="19">
        <v>0</v>
      </c>
      <c r="EG67" s="19">
        <v>0</v>
      </c>
      <c r="EH67" s="19">
        <v>0</v>
      </c>
      <c r="EI67" s="19">
        <v>0</v>
      </c>
      <c r="EJ67" s="19">
        <v>148971680</v>
      </c>
      <c r="EK67" s="19" t="s">
        <v>89</v>
      </c>
      <c r="EL67" s="19">
        <v>0</v>
      </c>
      <c r="EM67" s="19">
        <v>0</v>
      </c>
      <c r="EN67" s="19">
        <v>0</v>
      </c>
      <c r="EO67" s="19">
        <v>0</v>
      </c>
      <c r="EP67" s="19">
        <v>0</v>
      </c>
      <c r="EQ67" s="19">
        <v>0</v>
      </c>
      <c r="ER67" s="19">
        <v>28115000</v>
      </c>
      <c r="ES67" s="19">
        <v>0</v>
      </c>
      <c r="ET67" s="19">
        <v>0</v>
      </c>
      <c r="EU67" s="19">
        <v>0</v>
      </c>
      <c r="EV67" s="19">
        <v>0</v>
      </c>
      <c r="EW67" s="19">
        <v>0</v>
      </c>
      <c r="EX67" s="19"/>
      <c r="EY67" s="19">
        <v>0</v>
      </c>
      <c r="EZ67" s="19">
        <v>34239116</v>
      </c>
      <c r="FA67" s="19"/>
      <c r="FB67" s="19">
        <v>21534000</v>
      </c>
      <c r="FC67" s="19" t="s">
        <v>89</v>
      </c>
      <c r="FD67" s="19"/>
      <c r="FE67" s="19"/>
      <c r="FF67" s="19"/>
      <c r="FG67" s="19"/>
      <c r="FH67" s="19"/>
      <c r="FI67" s="19"/>
      <c r="FJ67" s="19"/>
      <c r="FK67" s="19"/>
      <c r="FL67" s="19"/>
      <c r="FM67" s="19">
        <v>0</v>
      </c>
      <c r="FN67" s="19" t="s">
        <v>89</v>
      </c>
      <c r="FO67" s="19"/>
      <c r="FP67" s="19"/>
      <c r="FQ67" s="19" t="s">
        <v>89</v>
      </c>
      <c r="FR67" s="19"/>
      <c r="FS67" s="19"/>
      <c r="FT67" s="19">
        <v>0</v>
      </c>
      <c r="FU67" s="19" t="s">
        <v>89</v>
      </c>
      <c r="FV67" s="19"/>
      <c r="FW67" s="19"/>
      <c r="FX67" s="19" t="s">
        <v>157</v>
      </c>
      <c r="FY67" s="19"/>
      <c r="FZ67" s="19"/>
      <c r="GA67" s="19" t="s">
        <v>89</v>
      </c>
      <c r="GB67" s="19" t="s">
        <v>89</v>
      </c>
      <c r="GC67" s="19"/>
      <c r="GD67" s="19" t="s">
        <v>89</v>
      </c>
      <c r="GE67" s="19"/>
      <c r="GF67" s="19" t="s">
        <v>89</v>
      </c>
      <c r="GG67" s="19"/>
      <c r="GH67" s="19"/>
    </row>
    <row r="68" spans="1:190" ht="17.55" customHeight="1">
      <c r="A68" s="9" t="s">
        <v>0</v>
      </c>
      <c r="B68" s="17" t="s">
        <v>17</v>
      </c>
      <c r="C68" s="19"/>
      <c r="D68" s="19"/>
      <c r="E68" s="19">
        <v>73692406</v>
      </c>
      <c r="F68" s="19"/>
      <c r="G68" s="19"/>
      <c r="H68" s="19"/>
      <c r="I68" s="19"/>
      <c r="J68" s="19" t="s">
        <v>89</v>
      </c>
      <c r="K68" s="19"/>
      <c r="L68" s="19"/>
      <c r="M68" s="19"/>
      <c r="N68" s="19">
        <v>84087700</v>
      </c>
      <c r="O68" s="19"/>
      <c r="P68" s="19">
        <v>37500000</v>
      </c>
      <c r="Q68" s="19"/>
      <c r="R68" s="19"/>
      <c r="S68" s="19"/>
      <c r="T68" s="19"/>
      <c r="U68" s="19"/>
      <c r="V68" s="19">
        <v>48806225</v>
      </c>
      <c r="W68" s="19"/>
      <c r="X68" s="19"/>
      <c r="Y68" s="19"/>
      <c r="Z68" s="19">
        <v>278340000</v>
      </c>
      <c r="AA68" s="19"/>
      <c r="AB68" s="19"/>
      <c r="AC68" s="19"/>
      <c r="AD68" s="19"/>
      <c r="AE68" s="19">
        <v>11135935</v>
      </c>
      <c r="AF68" s="19"/>
      <c r="AG68" s="19"/>
      <c r="AH68" s="19">
        <v>434223758</v>
      </c>
      <c r="AI68" s="19"/>
      <c r="AJ68" s="19"/>
      <c r="AK68" s="19" t="s">
        <v>89</v>
      </c>
      <c r="AL68" s="19"/>
      <c r="AM68" s="19"/>
      <c r="AN68" s="19">
        <v>68085970</v>
      </c>
      <c r="AO68" s="19"/>
      <c r="AP68" s="19"/>
      <c r="AQ68" s="19"/>
      <c r="AR68" s="19"/>
      <c r="AS68" s="19"/>
      <c r="AT68" s="19"/>
      <c r="AU68" s="19"/>
      <c r="AV68" s="19">
        <v>71016002</v>
      </c>
      <c r="AW68" s="19">
        <v>125480</v>
      </c>
      <c r="AX68" s="19" t="s">
        <v>96</v>
      </c>
      <c r="AY68" s="19"/>
      <c r="AZ68" s="19"/>
      <c r="BA68" s="19"/>
      <c r="BB68" s="19"/>
      <c r="BC68" s="19"/>
      <c r="BD68" s="19">
        <v>25155915</v>
      </c>
      <c r="BE68" s="19"/>
      <c r="BF68" s="19"/>
      <c r="BG68" s="19"/>
      <c r="BH68" s="19"/>
      <c r="BI68" s="19"/>
      <c r="BJ68" s="19"/>
      <c r="BK68" s="19"/>
      <c r="BL68" s="19"/>
      <c r="BM68" s="19"/>
      <c r="BN68" s="19"/>
      <c r="BO68" s="19"/>
      <c r="BP68" s="19"/>
      <c r="BQ68" s="19" t="s">
        <v>175</v>
      </c>
      <c r="BR68" s="19"/>
      <c r="BS68" s="19"/>
      <c r="BT68" s="19"/>
      <c r="BU68" s="19">
        <v>277712182</v>
      </c>
      <c r="BV68" s="19"/>
      <c r="BW68" s="19"/>
      <c r="BX68" s="19"/>
      <c r="BY68" s="19"/>
      <c r="BZ68" s="19"/>
      <c r="CA68" s="19"/>
      <c r="CB68" s="19"/>
      <c r="CC68" s="19"/>
      <c r="CD68" s="19">
        <v>78645695</v>
      </c>
      <c r="CE68" s="19"/>
      <c r="CF68" s="19"/>
      <c r="CG68" s="19">
        <v>27900000</v>
      </c>
      <c r="CH68" s="19"/>
      <c r="CI68" s="19">
        <v>58980000</v>
      </c>
      <c r="CJ68" s="19"/>
      <c r="CK68" s="19"/>
      <c r="CL68" s="19">
        <v>8000000</v>
      </c>
      <c r="CM68" s="19">
        <v>40021000</v>
      </c>
      <c r="CN68" s="19"/>
      <c r="CO68" s="19">
        <v>500000</v>
      </c>
      <c r="CP68" s="19"/>
      <c r="CQ68" s="19" t="s">
        <v>96</v>
      </c>
      <c r="CR68" s="19"/>
      <c r="CS68" s="19"/>
      <c r="CT68" s="19"/>
      <c r="CU68" s="19">
        <v>300000000</v>
      </c>
      <c r="CV68" s="19"/>
      <c r="CW68" s="19">
        <v>14950000</v>
      </c>
      <c r="CX68" s="19"/>
      <c r="CY68" s="19"/>
      <c r="CZ68" s="19"/>
      <c r="DA68" s="19"/>
      <c r="DB68" s="19"/>
      <c r="DC68" s="19"/>
      <c r="DD68" s="19"/>
      <c r="DE68" s="19"/>
      <c r="DF68" s="19"/>
      <c r="DG68" s="19"/>
      <c r="DH68" s="19"/>
      <c r="DI68" s="19"/>
      <c r="DJ68" s="19"/>
      <c r="DK68" s="19"/>
      <c r="DL68" s="19">
        <v>23816957</v>
      </c>
      <c r="DM68" s="19"/>
      <c r="DN68" s="19"/>
      <c r="DO68" s="19"/>
      <c r="DP68" s="19"/>
      <c r="DQ68" s="19"/>
      <c r="DR68" s="19"/>
      <c r="DS68" s="19"/>
      <c r="DT68" s="19"/>
      <c r="DU68" s="19"/>
      <c r="DV68" s="19"/>
      <c r="DW68" s="19"/>
      <c r="DX68" s="19">
        <v>160119639</v>
      </c>
      <c r="DY68" s="19"/>
      <c r="DZ68" s="19">
        <v>7500000</v>
      </c>
      <c r="EA68" s="19"/>
      <c r="EB68" s="19"/>
      <c r="EC68" s="19">
        <v>0</v>
      </c>
      <c r="ED68" s="19">
        <v>0</v>
      </c>
      <c r="EE68" s="19">
        <v>0</v>
      </c>
      <c r="EF68" s="19">
        <v>0</v>
      </c>
      <c r="EG68" s="19">
        <v>0</v>
      </c>
      <c r="EH68" s="19">
        <v>0</v>
      </c>
      <c r="EI68" s="19">
        <v>11650000</v>
      </c>
      <c r="EJ68" s="19">
        <v>75084093</v>
      </c>
      <c r="EK68" s="19" t="s">
        <v>89</v>
      </c>
      <c r="EL68" s="19">
        <v>0</v>
      </c>
      <c r="EM68" s="19">
        <v>0</v>
      </c>
      <c r="EN68" s="19">
        <v>0</v>
      </c>
      <c r="EO68" s="19">
        <v>0</v>
      </c>
      <c r="EP68" s="19">
        <v>0</v>
      </c>
      <c r="EQ68" s="19">
        <v>0</v>
      </c>
      <c r="ER68" s="19">
        <v>1068630</v>
      </c>
      <c r="ES68" s="19">
        <v>0</v>
      </c>
      <c r="ET68" s="19">
        <v>0</v>
      </c>
      <c r="EU68" s="19">
        <v>0</v>
      </c>
      <c r="EV68" s="19">
        <v>3000000</v>
      </c>
      <c r="EW68" s="19">
        <v>0</v>
      </c>
      <c r="EX68" s="19">
        <v>1950000</v>
      </c>
      <c r="EY68" s="19">
        <v>4640000</v>
      </c>
      <c r="EZ68" s="19">
        <v>32000000</v>
      </c>
      <c r="FA68" s="19"/>
      <c r="FB68" s="19">
        <v>0</v>
      </c>
      <c r="FC68" s="19" t="s">
        <v>89</v>
      </c>
      <c r="FD68" s="19"/>
      <c r="FE68" s="19"/>
      <c r="FF68" s="19"/>
      <c r="FG68" s="19">
        <v>202599439</v>
      </c>
      <c r="FH68" s="19"/>
      <c r="FI68" s="19"/>
      <c r="FJ68" s="19"/>
      <c r="FK68" s="19"/>
      <c r="FL68" s="19">
        <v>20000000</v>
      </c>
      <c r="FM68" s="19">
        <v>0</v>
      </c>
      <c r="FN68" s="19" t="s">
        <v>89</v>
      </c>
      <c r="FO68" s="19"/>
      <c r="FP68" s="19"/>
      <c r="FQ68" s="19" t="s">
        <v>89</v>
      </c>
      <c r="FR68" s="19"/>
      <c r="FS68" s="19"/>
      <c r="FT68" s="19">
        <v>0</v>
      </c>
      <c r="FU68" s="19" t="s">
        <v>89</v>
      </c>
      <c r="FV68" s="19"/>
      <c r="FW68" s="19"/>
      <c r="FX68" s="19" t="s">
        <v>157</v>
      </c>
      <c r="FY68" s="19"/>
      <c r="FZ68" s="19"/>
      <c r="GA68" s="19" t="s">
        <v>89</v>
      </c>
      <c r="GB68" s="19" t="s">
        <v>89</v>
      </c>
      <c r="GC68" s="19"/>
      <c r="GD68" s="19" t="s">
        <v>89</v>
      </c>
      <c r="GE68" s="19"/>
      <c r="GF68" s="19" t="s">
        <v>89</v>
      </c>
      <c r="GG68" s="19">
        <v>23000000</v>
      </c>
      <c r="GH68" s="19"/>
    </row>
    <row r="69" spans="1:190" ht="17.55" customHeight="1">
      <c r="A69" s="9" t="s">
        <v>0</v>
      </c>
      <c r="B69" s="15" t="s">
        <v>41</v>
      </c>
      <c r="C69" s="19"/>
      <c r="D69" s="19"/>
      <c r="E69" s="19"/>
      <c r="F69" s="19"/>
      <c r="G69" s="19"/>
      <c r="H69" s="19">
        <v>121500000</v>
      </c>
      <c r="I69" s="19"/>
      <c r="J69" s="19" t="s">
        <v>89</v>
      </c>
      <c r="K69" s="19"/>
      <c r="L69" s="19"/>
      <c r="M69" s="19"/>
      <c r="N69" s="19"/>
      <c r="O69" s="19">
        <v>40000</v>
      </c>
      <c r="P69" s="19"/>
      <c r="Q69" s="19">
        <v>315235</v>
      </c>
      <c r="R69" s="19"/>
      <c r="S69" s="19">
        <v>2286946</v>
      </c>
      <c r="T69" s="19"/>
      <c r="U69" s="19">
        <v>109181</v>
      </c>
      <c r="V69" s="19"/>
      <c r="W69" s="19">
        <v>5110000</v>
      </c>
      <c r="X69" s="19">
        <v>121875364</v>
      </c>
      <c r="Y69" s="19"/>
      <c r="Z69" s="19"/>
      <c r="AA69" s="19"/>
      <c r="AB69" s="19"/>
      <c r="AC69" s="19"/>
      <c r="AD69" s="19"/>
      <c r="AE69" s="19"/>
      <c r="AF69" s="19"/>
      <c r="AG69" s="19"/>
      <c r="AH69" s="19"/>
      <c r="AI69" s="19">
        <v>45177270</v>
      </c>
      <c r="AJ69" s="19">
        <v>817</v>
      </c>
      <c r="AK69" s="19" t="s">
        <v>89</v>
      </c>
      <c r="AL69" s="19"/>
      <c r="AM69" s="19">
        <v>30838071</v>
      </c>
      <c r="AN69" s="19"/>
      <c r="AO69" s="19">
        <v>13785506</v>
      </c>
      <c r="AP69" s="19"/>
      <c r="AQ69" s="19"/>
      <c r="AR69" s="19"/>
      <c r="AS69" s="19">
        <v>39200000</v>
      </c>
      <c r="AT69" s="19">
        <v>424600</v>
      </c>
      <c r="AU69" s="19"/>
      <c r="AV69" s="19"/>
      <c r="AW69" s="19"/>
      <c r="AX69" s="19" t="s">
        <v>96</v>
      </c>
      <c r="AY69" s="19">
        <v>5015000</v>
      </c>
      <c r="AZ69" s="19"/>
      <c r="BA69" s="19">
        <v>789560</v>
      </c>
      <c r="BB69" s="19"/>
      <c r="BC69" s="19"/>
      <c r="BD69" s="19"/>
      <c r="BE69" s="19">
        <v>26102009</v>
      </c>
      <c r="BF69" s="19"/>
      <c r="BG69" s="19">
        <v>2957403</v>
      </c>
      <c r="BH69" s="19"/>
      <c r="BI69" s="19"/>
      <c r="BJ69" s="19">
        <v>1730686</v>
      </c>
      <c r="BK69" s="19"/>
      <c r="BL69" s="19"/>
      <c r="BM69" s="19"/>
      <c r="BN69" s="19"/>
      <c r="BO69" s="19">
        <v>524708</v>
      </c>
      <c r="BP69" s="19"/>
      <c r="BQ69" s="19" t="s">
        <v>175</v>
      </c>
      <c r="BR69" s="19"/>
      <c r="BS69" s="19"/>
      <c r="BT69" s="19">
        <v>68713704</v>
      </c>
      <c r="BU69" s="19">
        <v>69742058</v>
      </c>
      <c r="BV69" s="19">
        <v>5000000</v>
      </c>
      <c r="BW69" s="19"/>
      <c r="BX69" s="19"/>
      <c r="BY69" s="19"/>
      <c r="BZ69" s="19"/>
      <c r="CA69" s="19"/>
      <c r="CB69" s="19"/>
      <c r="CC69" s="19">
        <v>1220000</v>
      </c>
      <c r="CD69" s="19"/>
      <c r="CE69" s="19"/>
      <c r="CF69" s="19">
        <v>1414289</v>
      </c>
      <c r="CG69" s="19">
        <v>683433</v>
      </c>
      <c r="CH69" s="19"/>
      <c r="CI69" s="19"/>
      <c r="CJ69" s="19"/>
      <c r="CK69" s="19"/>
      <c r="CL69" s="19"/>
      <c r="CM69" s="19"/>
      <c r="CN69" s="19"/>
      <c r="CO69" s="19"/>
      <c r="CP69" s="19"/>
      <c r="CQ69" s="19" t="s">
        <v>96</v>
      </c>
      <c r="CR69" s="19">
        <v>1115868</v>
      </c>
      <c r="CS69" s="19"/>
      <c r="CT69" s="19"/>
      <c r="CU69" s="19">
        <v>68514228</v>
      </c>
      <c r="CV69" s="19"/>
      <c r="CW69" s="19">
        <v>23230</v>
      </c>
      <c r="CX69" s="19">
        <v>152927</v>
      </c>
      <c r="CY69" s="19">
        <v>5725260</v>
      </c>
      <c r="CZ69" s="19"/>
      <c r="DA69" s="19"/>
      <c r="DB69" s="19"/>
      <c r="DC69" s="19"/>
      <c r="DD69" s="19"/>
      <c r="DE69" s="19"/>
      <c r="DF69" s="19"/>
      <c r="DG69" s="19"/>
      <c r="DH69" s="19"/>
      <c r="DI69" s="19"/>
      <c r="DJ69" s="19"/>
      <c r="DK69" s="19"/>
      <c r="DL69" s="19"/>
      <c r="DM69" s="19"/>
      <c r="DN69" s="19"/>
      <c r="DO69" s="19"/>
      <c r="DP69" s="19">
        <v>1211891</v>
      </c>
      <c r="DQ69" s="19"/>
      <c r="DR69" s="19"/>
      <c r="DS69" s="19"/>
      <c r="DT69" s="19"/>
      <c r="DU69" s="19"/>
      <c r="DV69" s="19"/>
      <c r="DW69" s="19"/>
      <c r="DX69" s="19"/>
      <c r="DY69" s="19"/>
      <c r="DZ69" s="19">
        <v>560000</v>
      </c>
      <c r="EA69" s="19"/>
      <c r="EB69" s="19"/>
      <c r="EC69" s="19"/>
      <c r="ED69" s="19"/>
      <c r="EE69" s="19"/>
      <c r="EF69" s="19"/>
      <c r="EG69" s="19">
        <v>180143</v>
      </c>
      <c r="EH69" s="19"/>
      <c r="EI69" s="19"/>
      <c r="EJ69" s="19"/>
      <c r="EK69" s="19" t="s">
        <v>89</v>
      </c>
      <c r="EL69" s="19">
        <v>72126280</v>
      </c>
      <c r="EM69" s="19"/>
      <c r="EN69" s="19">
        <v>127167630</v>
      </c>
      <c r="EO69" s="19"/>
      <c r="EP69" s="19"/>
      <c r="EQ69" s="19"/>
      <c r="ER69" s="19">
        <v>4100000</v>
      </c>
      <c r="ES69" s="19">
        <v>26645</v>
      </c>
      <c r="ET69" s="19"/>
      <c r="EU69" s="19"/>
      <c r="EV69" s="19">
        <v>6130646</v>
      </c>
      <c r="EW69" s="19"/>
      <c r="EX69" s="19"/>
      <c r="EY69" s="19"/>
      <c r="EZ69" s="19">
        <v>550000</v>
      </c>
      <c r="FA69" s="19"/>
      <c r="FB69" s="19"/>
      <c r="FC69" s="19" t="s">
        <v>89</v>
      </c>
      <c r="FD69" s="19"/>
      <c r="FE69" s="19"/>
      <c r="FF69" s="19"/>
      <c r="FG69" s="19">
        <v>35618</v>
      </c>
      <c r="FH69" s="19"/>
      <c r="FI69" s="19"/>
      <c r="FJ69" s="19"/>
      <c r="FK69" s="19"/>
      <c r="FL69" s="19"/>
      <c r="FM69" s="19"/>
      <c r="FN69" s="19" t="s">
        <v>89</v>
      </c>
      <c r="FO69" s="19"/>
      <c r="FP69" s="19"/>
      <c r="FQ69" s="19" t="s">
        <v>89</v>
      </c>
      <c r="FR69" s="19"/>
      <c r="FS69" s="19"/>
      <c r="FT69" s="19"/>
      <c r="FU69" s="19" t="s">
        <v>89</v>
      </c>
      <c r="FV69" s="19"/>
      <c r="FW69" s="19"/>
      <c r="FX69" s="19" t="s">
        <v>157</v>
      </c>
      <c r="FY69" s="19"/>
      <c r="FZ69" s="19">
        <v>15348</v>
      </c>
      <c r="GA69" s="19" t="s">
        <v>89</v>
      </c>
      <c r="GB69" s="19" t="s">
        <v>89</v>
      </c>
      <c r="GC69" s="19"/>
      <c r="GD69" s="19" t="s">
        <v>89</v>
      </c>
      <c r="GE69" s="19"/>
      <c r="GF69" s="19" t="s">
        <v>89</v>
      </c>
      <c r="GG69" s="19"/>
      <c r="GH69" s="19"/>
    </row>
    <row r="70" spans="1:190" ht="17.55" customHeight="1">
      <c r="A70" s="9" t="s">
        <v>0</v>
      </c>
      <c r="B70" s="10" t="s">
        <v>10</v>
      </c>
      <c r="C70" s="19">
        <v>600090</v>
      </c>
      <c r="D70" s="19">
        <v>1049559</v>
      </c>
      <c r="E70" s="19">
        <v>20181577</v>
      </c>
      <c r="F70" s="19">
        <v>56779916</v>
      </c>
      <c r="G70" s="19">
        <v>8171979</v>
      </c>
      <c r="H70" s="19">
        <v>157044452</v>
      </c>
      <c r="I70" s="19">
        <v>233802483</v>
      </c>
      <c r="J70" s="19" t="s">
        <v>89</v>
      </c>
      <c r="K70" s="19">
        <v>15068191</v>
      </c>
      <c r="L70" s="19">
        <v>5125433</v>
      </c>
      <c r="M70" s="19">
        <v>56404511</v>
      </c>
      <c r="N70" s="19">
        <v>39551373</v>
      </c>
      <c r="O70" s="19">
        <v>106767584</v>
      </c>
      <c r="P70" s="19">
        <v>51684911</v>
      </c>
      <c r="Q70" s="19">
        <v>7606467</v>
      </c>
      <c r="R70" s="19">
        <v>6924682</v>
      </c>
      <c r="S70" s="19">
        <v>411405161</v>
      </c>
      <c r="T70" s="19">
        <v>145852743</v>
      </c>
      <c r="U70" s="19">
        <v>5680643</v>
      </c>
      <c r="V70" s="19">
        <v>3045258</v>
      </c>
      <c r="W70" s="19">
        <v>37018247</v>
      </c>
      <c r="X70" s="19">
        <v>201506922</v>
      </c>
      <c r="Y70" s="19">
        <v>12663975</v>
      </c>
      <c r="Z70" s="19">
        <v>14437646</v>
      </c>
      <c r="AA70" s="19">
        <v>64373807</v>
      </c>
      <c r="AB70" s="19">
        <v>11529629</v>
      </c>
      <c r="AC70" s="19">
        <v>14174223</v>
      </c>
      <c r="AD70" s="19">
        <v>35633244</v>
      </c>
      <c r="AE70" s="19">
        <v>7638572</v>
      </c>
      <c r="AF70" s="19">
        <v>0</v>
      </c>
      <c r="AG70" s="19">
        <v>41496636</v>
      </c>
      <c r="AH70" s="19">
        <v>70820525</v>
      </c>
      <c r="AI70" s="19">
        <v>9295752</v>
      </c>
      <c r="AJ70" s="19">
        <v>62160201</v>
      </c>
      <c r="AK70" s="19" t="s">
        <v>89</v>
      </c>
      <c r="AL70" s="19">
        <v>9416259</v>
      </c>
      <c r="AM70" s="19">
        <v>77703181</v>
      </c>
      <c r="AN70" s="19">
        <v>180040</v>
      </c>
      <c r="AO70" s="19">
        <v>12965354</v>
      </c>
      <c r="AP70" s="19">
        <v>24137948</v>
      </c>
      <c r="AQ70" s="19">
        <v>600879</v>
      </c>
      <c r="AR70" s="19">
        <v>50376884</v>
      </c>
      <c r="AS70" s="19">
        <v>24961882</v>
      </c>
      <c r="AT70" s="19">
        <v>84567929</v>
      </c>
      <c r="AU70" s="19">
        <v>30457394</v>
      </c>
      <c r="AV70" s="19">
        <v>14215</v>
      </c>
      <c r="AW70" s="19">
        <v>10228977</v>
      </c>
      <c r="AX70" s="19" t="s">
        <v>96</v>
      </c>
      <c r="AY70" s="19">
        <v>63950078</v>
      </c>
      <c r="AZ70" s="19">
        <v>4598403</v>
      </c>
      <c r="BA70" s="19">
        <v>74662952</v>
      </c>
      <c r="BB70" s="19">
        <v>212974</v>
      </c>
      <c r="BC70" s="19">
        <v>38850525</v>
      </c>
      <c r="BD70" s="19">
        <v>898074</v>
      </c>
      <c r="BE70" s="19">
        <v>65394827</v>
      </c>
      <c r="BF70" s="19">
        <v>57180071</v>
      </c>
      <c r="BG70" s="19">
        <v>21907749</v>
      </c>
      <c r="BH70" s="19">
        <v>20869753</v>
      </c>
      <c r="BI70" s="19">
        <v>3380706</v>
      </c>
      <c r="BJ70" s="19">
        <v>38912</v>
      </c>
      <c r="BK70" s="19">
        <v>10143878</v>
      </c>
      <c r="BL70" s="19">
        <v>966100</v>
      </c>
      <c r="BM70" s="19">
        <v>92948188</v>
      </c>
      <c r="BN70" s="19">
        <v>1630006</v>
      </c>
      <c r="BO70" s="19">
        <v>13825574</v>
      </c>
      <c r="BP70" s="19">
        <v>2056721</v>
      </c>
      <c r="BQ70" s="19" t="s">
        <v>175</v>
      </c>
      <c r="BR70" s="19">
        <v>1987169</v>
      </c>
      <c r="BS70" s="19">
        <v>761505</v>
      </c>
      <c r="BT70" s="19">
        <v>945482</v>
      </c>
      <c r="BU70" s="19">
        <v>10139187</v>
      </c>
      <c r="BV70" s="19">
        <v>5797414</v>
      </c>
      <c r="BW70" s="19">
        <v>0</v>
      </c>
      <c r="BX70" s="19">
        <v>659923</v>
      </c>
      <c r="BY70" s="19">
        <v>51209883</v>
      </c>
      <c r="BZ70" s="19">
        <v>212357109</v>
      </c>
      <c r="CA70" s="19">
        <v>6075899</v>
      </c>
      <c r="CB70" s="19">
        <v>7363782</v>
      </c>
      <c r="CC70" s="19">
        <v>49900</v>
      </c>
      <c r="CD70" s="19">
        <v>25222327</v>
      </c>
      <c r="CE70" s="19">
        <v>5867582</v>
      </c>
      <c r="CF70" s="19">
        <v>19328065</v>
      </c>
      <c r="CG70" s="19">
        <v>139604363</v>
      </c>
      <c r="CH70" s="19">
        <v>500079</v>
      </c>
      <c r="CI70" s="19">
        <v>51041726</v>
      </c>
      <c r="CJ70" s="19">
        <v>10100210</v>
      </c>
      <c r="CK70" s="19">
        <v>96706299</v>
      </c>
      <c r="CL70" s="19">
        <v>18114728</v>
      </c>
      <c r="CM70" s="19">
        <v>43155448</v>
      </c>
      <c r="CN70" s="19">
        <v>1825836</v>
      </c>
      <c r="CO70" s="19">
        <v>5610899</v>
      </c>
      <c r="CP70" s="19">
        <v>29094909</v>
      </c>
      <c r="CQ70" s="19" t="s">
        <v>96</v>
      </c>
      <c r="CR70" s="19">
        <v>33530535</v>
      </c>
      <c r="CS70" s="19">
        <v>28080126</v>
      </c>
      <c r="CT70" s="19">
        <v>4700119</v>
      </c>
      <c r="CU70" s="19">
        <v>337526647</v>
      </c>
      <c r="CV70" s="19">
        <v>2982992</v>
      </c>
      <c r="CW70" s="19">
        <v>20338105</v>
      </c>
      <c r="CX70" s="19">
        <v>1411357</v>
      </c>
      <c r="CY70" s="19">
        <v>237574111</v>
      </c>
      <c r="CZ70" s="19">
        <v>4996145</v>
      </c>
      <c r="DA70" s="19">
        <v>1030000</v>
      </c>
      <c r="DB70" s="19">
        <v>13802646</v>
      </c>
      <c r="DC70" s="19">
        <v>202306</v>
      </c>
      <c r="DD70" s="19">
        <v>1420588</v>
      </c>
      <c r="DE70" s="19">
        <v>4550000</v>
      </c>
      <c r="DF70" s="19">
        <v>11590054</v>
      </c>
      <c r="DG70" s="19">
        <v>5325504</v>
      </c>
      <c r="DH70" s="19">
        <v>2835530</v>
      </c>
      <c r="DI70" s="19">
        <v>77137850</v>
      </c>
      <c r="DJ70" s="19">
        <v>2577035</v>
      </c>
      <c r="DK70" s="19">
        <v>11718337</v>
      </c>
      <c r="DL70" s="19">
        <v>9705104</v>
      </c>
      <c r="DM70" s="19">
        <v>42431539</v>
      </c>
      <c r="DN70" s="19">
        <v>500000</v>
      </c>
      <c r="DO70" s="19">
        <v>4275773</v>
      </c>
      <c r="DP70" s="19">
        <v>18607</v>
      </c>
      <c r="DQ70" s="19">
        <v>9920940</v>
      </c>
      <c r="DR70" s="19">
        <v>6102706</v>
      </c>
      <c r="DS70" s="19">
        <v>2996686</v>
      </c>
      <c r="DT70" s="19">
        <v>19917742</v>
      </c>
      <c r="DU70" s="19">
        <v>12010000</v>
      </c>
      <c r="DV70" s="19">
        <v>0</v>
      </c>
      <c r="DW70" s="19">
        <v>3374972</v>
      </c>
      <c r="DX70" s="19">
        <v>2704640</v>
      </c>
      <c r="DY70" s="19">
        <v>14502901</v>
      </c>
      <c r="DZ70" s="19">
        <v>6446365</v>
      </c>
      <c r="EA70" s="19">
        <v>410000</v>
      </c>
      <c r="EB70" s="19">
        <v>1225168</v>
      </c>
      <c r="EC70" s="19">
        <v>610404</v>
      </c>
      <c r="ED70" s="19">
        <v>300000</v>
      </c>
      <c r="EE70" s="19">
        <v>5708881</v>
      </c>
      <c r="EF70" s="19">
        <v>72351388</v>
      </c>
      <c r="EG70" s="19">
        <v>30427418</v>
      </c>
      <c r="EH70" s="19">
        <v>1225629</v>
      </c>
      <c r="EI70" s="19">
        <v>49169325</v>
      </c>
      <c r="EJ70" s="19">
        <v>735853</v>
      </c>
      <c r="EK70" s="19" t="s">
        <v>89</v>
      </c>
      <c r="EL70" s="19">
        <v>15175996</v>
      </c>
      <c r="EM70" s="19">
        <v>6242613</v>
      </c>
      <c r="EN70" s="19">
        <v>129635067</v>
      </c>
      <c r="EO70" s="19">
        <v>28400771</v>
      </c>
      <c r="EP70" s="19">
        <v>0</v>
      </c>
      <c r="EQ70" s="19">
        <v>1054271</v>
      </c>
      <c r="ER70" s="19">
        <v>54351603</v>
      </c>
      <c r="ES70" s="19">
        <v>10893985</v>
      </c>
      <c r="ET70" s="19">
        <v>29012</v>
      </c>
      <c r="EU70" s="19">
        <v>3800111</v>
      </c>
      <c r="EV70" s="19">
        <v>12772445</v>
      </c>
      <c r="EW70" s="19">
        <v>2261718</v>
      </c>
      <c r="EX70" s="19">
        <v>286047</v>
      </c>
      <c r="EY70" s="19">
        <v>21278875</v>
      </c>
      <c r="EZ70" s="19">
        <v>16942747</v>
      </c>
      <c r="FA70" s="19">
        <v>26386540</v>
      </c>
      <c r="FB70" s="19">
        <v>17919799</v>
      </c>
      <c r="FC70" s="19" t="s">
        <v>89</v>
      </c>
      <c r="FD70" s="19">
        <v>36172</v>
      </c>
      <c r="FE70" s="19">
        <v>129440079</v>
      </c>
      <c r="FF70" s="19">
        <v>1363670</v>
      </c>
      <c r="FG70" s="19">
        <v>1383472</v>
      </c>
      <c r="FH70" s="19">
        <v>298404</v>
      </c>
      <c r="FI70" s="19">
        <v>297593</v>
      </c>
      <c r="FJ70" s="19">
        <v>43</v>
      </c>
      <c r="FK70" s="19">
        <v>10071986</v>
      </c>
      <c r="FL70" s="19">
        <v>12</v>
      </c>
      <c r="FM70" s="19">
        <v>106680</v>
      </c>
      <c r="FN70" s="19" t="s">
        <v>89</v>
      </c>
      <c r="FO70" s="19">
        <v>1484957</v>
      </c>
      <c r="FP70" s="19">
        <v>1212085</v>
      </c>
      <c r="FQ70" s="19" t="s">
        <v>89</v>
      </c>
      <c r="FR70" s="19">
        <v>3827</v>
      </c>
      <c r="FS70" s="19">
        <v>1463</v>
      </c>
      <c r="FT70" s="19">
        <v>0</v>
      </c>
      <c r="FU70" s="19" t="s">
        <v>89</v>
      </c>
      <c r="FV70" s="19">
        <v>19355833</v>
      </c>
      <c r="FW70" s="19">
        <v>737621</v>
      </c>
      <c r="FX70" s="19" t="s">
        <v>157</v>
      </c>
      <c r="FY70" s="19">
        <v>2922076</v>
      </c>
      <c r="FZ70" s="19">
        <v>808029</v>
      </c>
      <c r="GA70" s="19" t="s">
        <v>89</v>
      </c>
      <c r="GB70" s="19" t="s">
        <v>89</v>
      </c>
      <c r="GC70" s="19">
        <v>11886580</v>
      </c>
      <c r="GD70" s="19" t="s">
        <v>89</v>
      </c>
      <c r="GE70" s="19">
        <v>146</v>
      </c>
      <c r="GF70" s="19" t="s">
        <v>89</v>
      </c>
      <c r="GG70" s="19">
        <v>895409</v>
      </c>
      <c r="GH70" s="19">
        <v>478764</v>
      </c>
    </row>
    <row r="71" spans="1:190" ht="17.55" customHeight="1">
      <c r="A71" s="9" t="s">
        <v>0</v>
      </c>
      <c r="B71" s="15" t="s">
        <v>60</v>
      </c>
      <c r="C71" s="19"/>
      <c r="D71" s="19"/>
      <c r="E71" s="19">
        <v>9469831</v>
      </c>
      <c r="F71" s="19">
        <v>7842293</v>
      </c>
      <c r="G71" s="19">
        <v>2820714</v>
      </c>
      <c r="H71" s="19">
        <v>21544452</v>
      </c>
      <c r="I71" s="19">
        <v>39408304</v>
      </c>
      <c r="J71" s="19" t="s">
        <v>89</v>
      </c>
      <c r="K71" s="19"/>
      <c r="L71" s="19">
        <v>4938734</v>
      </c>
      <c r="M71" s="19">
        <v>49828919</v>
      </c>
      <c r="N71" s="19"/>
      <c r="O71" s="19">
        <v>38595886</v>
      </c>
      <c r="P71" s="19"/>
      <c r="Q71" s="19">
        <v>189732</v>
      </c>
      <c r="R71" s="19">
        <v>3579991</v>
      </c>
      <c r="S71" s="19">
        <v>124574001</v>
      </c>
      <c r="T71" s="19">
        <v>1956234</v>
      </c>
      <c r="U71" s="19"/>
      <c r="V71" s="19">
        <v>3038813</v>
      </c>
      <c r="W71" s="19">
        <v>12850976</v>
      </c>
      <c r="X71" s="19">
        <v>81555999</v>
      </c>
      <c r="Y71" s="19">
        <v>125000</v>
      </c>
      <c r="Z71" s="19">
        <v>12754742</v>
      </c>
      <c r="AA71" s="19">
        <v>62134663</v>
      </c>
      <c r="AB71" s="19"/>
      <c r="AC71" s="19">
        <v>6044494</v>
      </c>
      <c r="AD71" s="19">
        <v>18613413</v>
      </c>
      <c r="AE71" s="19">
        <v>3169072</v>
      </c>
      <c r="AF71" s="19"/>
      <c r="AG71" s="19">
        <v>8509699</v>
      </c>
      <c r="AH71" s="19"/>
      <c r="AI71" s="19">
        <v>5175115</v>
      </c>
      <c r="AJ71" s="19">
        <v>4623516</v>
      </c>
      <c r="AK71" s="19" t="s">
        <v>89</v>
      </c>
      <c r="AL71" s="19">
        <v>3384647</v>
      </c>
      <c r="AM71" s="19">
        <v>58664383</v>
      </c>
      <c r="AN71" s="19"/>
      <c r="AO71" s="19">
        <v>5814539</v>
      </c>
      <c r="AP71" s="19">
        <v>25767</v>
      </c>
      <c r="AQ71" s="19">
        <v>440879</v>
      </c>
      <c r="AR71" s="19">
        <v>3739</v>
      </c>
      <c r="AS71" s="19">
        <v>22767391</v>
      </c>
      <c r="AT71" s="19">
        <v>82640206</v>
      </c>
      <c r="AU71" s="19">
        <v>27725871</v>
      </c>
      <c r="AV71" s="19"/>
      <c r="AW71" s="19">
        <v>8933364</v>
      </c>
      <c r="AX71" s="19" t="s">
        <v>96</v>
      </c>
      <c r="AY71" s="19">
        <v>6450016</v>
      </c>
      <c r="AZ71" s="19">
        <v>677214</v>
      </c>
      <c r="BA71" s="19">
        <v>35275804</v>
      </c>
      <c r="BB71" s="19">
        <v>11131</v>
      </c>
      <c r="BC71" s="19">
        <v>30738859</v>
      </c>
      <c r="BD71" s="19">
        <v>806035</v>
      </c>
      <c r="BE71" s="19">
        <v>30620696</v>
      </c>
      <c r="BF71" s="19">
        <v>57113125</v>
      </c>
      <c r="BG71" s="19">
        <v>9096137</v>
      </c>
      <c r="BH71" s="19">
        <v>11219175</v>
      </c>
      <c r="BI71" s="19"/>
      <c r="BJ71" s="19"/>
      <c r="BK71" s="19">
        <v>9683269</v>
      </c>
      <c r="BL71" s="19"/>
      <c r="BM71" s="19"/>
      <c r="BN71" s="19"/>
      <c r="BO71" s="19">
        <v>5824718</v>
      </c>
      <c r="BP71" s="19">
        <v>1666721</v>
      </c>
      <c r="BQ71" s="19" t="s">
        <v>175</v>
      </c>
      <c r="BR71" s="19">
        <v>786022</v>
      </c>
      <c r="BS71" s="19"/>
      <c r="BT71" s="19">
        <v>945473</v>
      </c>
      <c r="BU71" s="19">
        <v>5140757</v>
      </c>
      <c r="BV71" s="19">
        <v>5737405</v>
      </c>
      <c r="BW71" s="19"/>
      <c r="BX71" s="19">
        <v>659577</v>
      </c>
      <c r="BY71" s="19">
        <v>40039797</v>
      </c>
      <c r="BZ71" s="19"/>
      <c r="CA71" s="19">
        <v>6043788</v>
      </c>
      <c r="CB71" s="19">
        <v>3977134</v>
      </c>
      <c r="CC71" s="19"/>
      <c r="CD71" s="19"/>
      <c r="CE71" s="19">
        <v>4867577</v>
      </c>
      <c r="CF71" s="19">
        <v>19047830</v>
      </c>
      <c r="CG71" s="19"/>
      <c r="CH71" s="19"/>
      <c r="CI71" s="19">
        <v>38213417</v>
      </c>
      <c r="CJ71" s="19">
        <v>10099440</v>
      </c>
      <c r="CK71" s="19">
        <v>79986960</v>
      </c>
      <c r="CL71" s="19">
        <v>17948038</v>
      </c>
      <c r="CM71" s="19"/>
      <c r="CN71" s="19">
        <v>568804</v>
      </c>
      <c r="CO71" s="19"/>
      <c r="CP71" s="19">
        <v>19227828</v>
      </c>
      <c r="CQ71" s="19" t="s">
        <v>96</v>
      </c>
      <c r="CR71" s="19">
        <v>690828</v>
      </c>
      <c r="CS71" s="19">
        <v>7022413</v>
      </c>
      <c r="CT71" s="19">
        <v>4551274</v>
      </c>
      <c r="CU71" s="19"/>
      <c r="CV71" s="19">
        <v>2829299</v>
      </c>
      <c r="CW71" s="19"/>
      <c r="CX71" s="19"/>
      <c r="CY71" s="19">
        <v>14568077</v>
      </c>
      <c r="CZ71" s="19">
        <v>932319</v>
      </c>
      <c r="DA71" s="19"/>
      <c r="DB71" s="19">
        <v>7173646</v>
      </c>
      <c r="DC71" s="19">
        <v>191982</v>
      </c>
      <c r="DD71" s="19">
        <v>1420557</v>
      </c>
      <c r="DE71" s="19"/>
      <c r="DF71" s="19">
        <v>933327</v>
      </c>
      <c r="DG71" s="19">
        <v>312536</v>
      </c>
      <c r="DH71" s="19">
        <v>2781759</v>
      </c>
      <c r="DI71" s="19">
        <v>62883302</v>
      </c>
      <c r="DJ71" s="19">
        <v>2084000</v>
      </c>
      <c r="DK71" s="19">
        <v>7749020</v>
      </c>
      <c r="DL71" s="19">
        <v>2705104</v>
      </c>
      <c r="DM71" s="19">
        <v>8447785</v>
      </c>
      <c r="DN71" s="19">
        <v>500000</v>
      </c>
      <c r="DO71" s="19">
        <v>2275253</v>
      </c>
      <c r="DP71" s="19"/>
      <c r="DQ71" s="19">
        <v>9236428</v>
      </c>
      <c r="DR71" s="19">
        <v>1314871</v>
      </c>
      <c r="DS71" s="19">
        <v>1763651</v>
      </c>
      <c r="DT71" s="19">
        <v>3121722</v>
      </c>
      <c r="DU71" s="19"/>
      <c r="DV71" s="19"/>
      <c r="DW71" s="19"/>
      <c r="DX71" s="19"/>
      <c r="DY71" s="19">
        <v>3202487</v>
      </c>
      <c r="DZ71" s="19">
        <v>3638612</v>
      </c>
      <c r="EA71" s="19"/>
      <c r="EB71" s="19">
        <v>1007198</v>
      </c>
      <c r="EC71" s="19"/>
      <c r="ED71" s="19"/>
      <c r="EE71" s="19">
        <v>5202893</v>
      </c>
      <c r="EF71" s="19">
        <v>62983408</v>
      </c>
      <c r="EG71" s="19">
        <v>10027334</v>
      </c>
      <c r="EH71" s="19"/>
      <c r="EI71" s="19">
        <v>11709284</v>
      </c>
      <c r="EJ71" s="19"/>
      <c r="EK71" s="19" t="s">
        <v>89</v>
      </c>
      <c r="EL71" s="19">
        <v>1826395</v>
      </c>
      <c r="EM71" s="19"/>
      <c r="EN71" s="19">
        <v>1500000</v>
      </c>
      <c r="EO71" s="19">
        <v>6188748</v>
      </c>
      <c r="EP71" s="19"/>
      <c r="EQ71" s="19">
        <v>1054271</v>
      </c>
      <c r="ER71" s="19">
        <v>27583221</v>
      </c>
      <c r="ES71" s="19">
        <v>5915013</v>
      </c>
      <c r="ET71" s="19"/>
      <c r="EU71" s="19"/>
      <c r="EV71" s="19">
        <v>2887253</v>
      </c>
      <c r="EW71" s="19">
        <v>1482398</v>
      </c>
      <c r="EX71" s="19"/>
      <c r="EY71" s="19">
        <v>18827554</v>
      </c>
      <c r="EZ71" s="19">
        <v>13738502</v>
      </c>
      <c r="FA71" s="19">
        <v>25518660</v>
      </c>
      <c r="FB71" s="19">
        <v>14660980</v>
      </c>
      <c r="FC71" s="19" t="s">
        <v>89</v>
      </c>
      <c r="FD71" s="19"/>
      <c r="FE71" s="19">
        <v>16516004</v>
      </c>
      <c r="FF71" s="19"/>
      <c r="FG71" s="19">
        <v>1158162</v>
      </c>
      <c r="FH71" s="19"/>
      <c r="FI71" s="19"/>
      <c r="FJ71" s="19"/>
      <c r="FK71" s="19">
        <v>1539799</v>
      </c>
      <c r="FL71" s="19"/>
      <c r="FM71" s="19">
        <v>106680</v>
      </c>
      <c r="FN71" s="19" t="s">
        <v>89</v>
      </c>
      <c r="FO71" s="19">
        <v>1321547</v>
      </c>
      <c r="FP71" s="19">
        <v>1211923</v>
      </c>
      <c r="FQ71" s="19" t="s">
        <v>89</v>
      </c>
      <c r="FR71" s="19"/>
      <c r="FS71" s="19"/>
      <c r="FT71" s="19"/>
      <c r="FU71" s="19" t="s">
        <v>89</v>
      </c>
      <c r="FV71" s="19">
        <v>19355645</v>
      </c>
      <c r="FW71" s="19">
        <v>531040</v>
      </c>
      <c r="FX71" s="19" t="s">
        <v>157</v>
      </c>
      <c r="FY71" s="19">
        <v>2837925</v>
      </c>
      <c r="FZ71" s="19">
        <v>808029</v>
      </c>
      <c r="GA71" s="19" t="s">
        <v>89</v>
      </c>
      <c r="GB71" s="19" t="s">
        <v>89</v>
      </c>
      <c r="GC71" s="19">
        <v>11885770</v>
      </c>
      <c r="GD71" s="19" t="s">
        <v>89</v>
      </c>
      <c r="GE71" s="19"/>
      <c r="GF71" s="19" t="s">
        <v>89</v>
      </c>
      <c r="GG71" s="19">
        <v>547923</v>
      </c>
      <c r="GH71" s="19"/>
    </row>
    <row r="72" spans="1:190" ht="17.55" customHeight="1">
      <c r="A72" s="9" t="s">
        <v>0</v>
      </c>
      <c r="B72" s="15" t="s">
        <v>29</v>
      </c>
      <c r="C72" s="19">
        <v>600000</v>
      </c>
      <c r="D72" s="19"/>
      <c r="E72" s="19">
        <v>10304640</v>
      </c>
      <c r="F72" s="19">
        <v>48900000</v>
      </c>
      <c r="G72" s="19">
        <v>5339000</v>
      </c>
      <c r="H72" s="19"/>
      <c r="I72" s="19">
        <v>145094604</v>
      </c>
      <c r="J72" s="19" t="s">
        <v>89</v>
      </c>
      <c r="K72" s="19"/>
      <c r="L72" s="19"/>
      <c r="M72" s="19">
        <v>1440000</v>
      </c>
      <c r="N72" s="19"/>
      <c r="O72" s="19">
        <v>2000000</v>
      </c>
      <c r="P72" s="19"/>
      <c r="Q72" s="19">
        <v>1520000</v>
      </c>
      <c r="R72" s="19"/>
      <c r="S72" s="19">
        <v>286536500</v>
      </c>
      <c r="T72" s="19"/>
      <c r="U72" s="19">
        <v>3000000</v>
      </c>
      <c r="V72" s="19"/>
      <c r="W72" s="19">
        <v>2000000</v>
      </c>
      <c r="X72" s="19">
        <v>119915000</v>
      </c>
      <c r="Y72" s="19"/>
      <c r="Z72" s="19"/>
      <c r="AA72" s="19">
        <v>2200000</v>
      </c>
      <c r="AB72" s="19">
        <v>11300000</v>
      </c>
      <c r="AC72" s="19">
        <v>6760000</v>
      </c>
      <c r="AD72" s="19">
        <v>13059994</v>
      </c>
      <c r="AE72" s="19">
        <v>4469500</v>
      </c>
      <c r="AF72" s="19"/>
      <c r="AG72" s="19">
        <v>28679720</v>
      </c>
      <c r="AH72" s="19">
        <v>2500000</v>
      </c>
      <c r="AI72" s="19"/>
      <c r="AJ72" s="19">
        <v>14869762</v>
      </c>
      <c r="AK72" s="19" t="s">
        <v>89</v>
      </c>
      <c r="AL72" s="19">
        <v>5000000</v>
      </c>
      <c r="AM72" s="19">
        <v>13698626</v>
      </c>
      <c r="AN72" s="19">
        <v>180000</v>
      </c>
      <c r="AO72" s="19"/>
      <c r="AP72" s="19">
        <v>8277554</v>
      </c>
      <c r="AQ72" s="19"/>
      <c r="AR72" s="19">
        <v>50260000</v>
      </c>
      <c r="AS72" s="19">
        <v>2100000</v>
      </c>
      <c r="AT72" s="19">
        <v>516000</v>
      </c>
      <c r="AU72" s="19">
        <v>2700000</v>
      </c>
      <c r="AV72" s="19">
        <v>14000</v>
      </c>
      <c r="AW72" s="19"/>
      <c r="AX72" s="19" t="s">
        <v>96</v>
      </c>
      <c r="AY72" s="19"/>
      <c r="AZ72" s="19">
        <v>2780000</v>
      </c>
      <c r="BA72" s="19">
        <v>6997800</v>
      </c>
      <c r="BB72" s="19">
        <v>200000</v>
      </c>
      <c r="BC72" s="19">
        <v>5700000</v>
      </c>
      <c r="BD72" s="19">
        <v>50000</v>
      </c>
      <c r="BE72" s="19">
        <v>250000</v>
      </c>
      <c r="BF72" s="19"/>
      <c r="BG72" s="19">
        <v>5648970</v>
      </c>
      <c r="BH72" s="19">
        <v>2678350</v>
      </c>
      <c r="BI72" s="19">
        <v>1050000</v>
      </c>
      <c r="BJ72" s="19"/>
      <c r="BK72" s="19"/>
      <c r="BL72" s="19">
        <v>260000</v>
      </c>
      <c r="BM72" s="19">
        <v>2120000</v>
      </c>
      <c r="BN72" s="19"/>
      <c r="BO72" s="19">
        <v>7971140</v>
      </c>
      <c r="BP72" s="19">
        <v>140000</v>
      </c>
      <c r="BQ72" s="19" t="s">
        <v>175</v>
      </c>
      <c r="BR72" s="19">
        <v>1200000</v>
      </c>
      <c r="BS72" s="19"/>
      <c r="BT72" s="19"/>
      <c r="BU72" s="19">
        <v>2827760</v>
      </c>
      <c r="BV72" s="19">
        <v>60000</v>
      </c>
      <c r="BW72" s="19"/>
      <c r="BX72" s="19"/>
      <c r="BY72" s="19"/>
      <c r="BZ72" s="19">
        <v>211935715</v>
      </c>
      <c r="CA72" s="19"/>
      <c r="CB72" s="19">
        <v>2298400</v>
      </c>
      <c r="CC72" s="19"/>
      <c r="CD72" s="19">
        <v>14027148</v>
      </c>
      <c r="CE72" s="19">
        <v>1000000</v>
      </c>
      <c r="CF72" s="19"/>
      <c r="CG72" s="19">
        <v>200000</v>
      </c>
      <c r="CH72" s="19"/>
      <c r="CI72" s="19">
        <v>6743195</v>
      </c>
      <c r="CJ72" s="19"/>
      <c r="CK72" s="19">
        <v>2300000</v>
      </c>
      <c r="CL72" s="19"/>
      <c r="CM72" s="19">
        <v>1100000</v>
      </c>
      <c r="CN72" s="19">
        <v>1000000</v>
      </c>
      <c r="CO72" s="19">
        <v>500000</v>
      </c>
      <c r="CP72" s="19">
        <v>500000</v>
      </c>
      <c r="CQ72" s="19" t="s">
        <v>96</v>
      </c>
      <c r="CR72" s="19">
        <v>29092500</v>
      </c>
      <c r="CS72" s="19">
        <v>19800000</v>
      </c>
      <c r="CT72" s="19"/>
      <c r="CU72" s="19">
        <v>1313000</v>
      </c>
      <c r="CV72" s="19"/>
      <c r="CW72" s="19"/>
      <c r="CX72" s="19"/>
      <c r="CY72" s="19">
        <v>13228200</v>
      </c>
      <c r="CZ72" s="19">
        <v>3760000</v>
      </c>
      <c r="DA72" s="19">
        <v>1030000</v>
      </c>
      <c r="DB72" s="19">
        <v>6629000</v>
      </c>
      <c r="DC72" s="19"/>
      <c r="DD72" s="19"/>
      <c r="DE72" s="19">
        <v>4550000</v>
      </c>
      <c r="DF72" s="19"/>
      <c r="DG72" s="19">
        <v>1335200</v>
      </c>
      <c r="DH72" s="19"/>
      <c r="DI72" s="19">
        <v>9515000</v>
      </c>
      <c r="DJ72" s="19"/>
      <c r="DK72" s="19">
        <v>30000</v>
      </c>
      <c r="DL72" s="19">
        <v>7000000</v>
      </c>
      <c r="DM72" s="19">
        <v>33488770</v>
      </c>
      <c r="DN72" s="19"/>
      <c r="DO72" s="19">
        <v>2000000</v>
      </c>
      <c r="DP72" s="19"/>
      <c r="DQ72" s="19"/>
      <c r="DR72" s="19">
        <v>4786000</v>
      </c>
      <c r="DS72" s="19"/>
      <c r="DT72" s="19">
        <v>16000000</v>
      </c>
      <c r="DU72" s="19">
        <v>12010000</v>
      </c>
      <c r="DV72" s="19"/>
      <c r="DW72" s="19">
        <v>460000</v>
      </c>
      <c r="DX72" s="19">
        <v>2700000</v>
      </c>
      <c r="DY72" s="19">
        <v>10995300</v>
      </c>
      <c r="DZ72" s="19">
        <v>2100000</v>
      </c>
      <c r="EA72" s="19">
        <v>410000</v>
      </c>
      <c r="EB72" s="19"/>
      <c r="EC72" s="19">
        <v>584775</v>
      </c>
      <c r="ED72" s="19">
        <v>300000</v>
      </c>
      <c r="EE72" s="19">
        <v>500000</v>
      </c>
      <c r="EF72" s="19">
        <v>9367980</v>
      </c>
      <c r="EG72" s="19"/>
      <c r="EH72" s="19"/>
      <c r="EI72" s="19">
        <v>34521146</v>
      </c>
      <c r="EJ72" s="19"/>
      <c r="EK72" s="19" t="s">
        <v>89</v>
      </c>
      <c r="EL72" s="19">
        <v>12300000</v>
      </c>
      <c r="EM72" s="19">
        <v>4998000</v>
      </c>
      <c r="EN72" s="19">
        <v>800000</v>
      </c>
      <c r="EO72" s="19">
        <v>21990000</v>
      </c>
      <c r="EP72" s="19"/>
      <c r="EQ72" s="19"/>
      <c r="ER72" s="19">
        <v>22816310</v>
      </c>
      <c r="ES72" s="19">
        <v>4003073</v>
      </c>
      <c r="ET72" s="19"/>
      <c r="EU72" s="19">
        <v>500000</v>
      </c>
      <c r="EV72" s="19">
        <v>741568</v>
      </c>
      <c r="EW72" s="19">
        <v>100000</v>
      </c>
      <c r="EX72" s="19"/>
      <c r="EY72" s="19">
        <v>2450000</v>
      </c>
      <c r="EZ72" s="19"/>
      <c r="FA72" s="19"/>
      <c r="FB72" s="19">
        <v>1000000</v>
      </c>
      <c r="FC72" s="19" t="s">
        <v>89</v>
      </c>
      <c r="FD72" s="19"/>
      <c r="FE72" s="19">
        <v>96690000</v>
      </c>
      <c r="FF72" s="19">
        <v>1360000</v>
      </c>
      <c r="FG72" s="19"/>
      <c r="FH72" s="19"/>
      <c r="FI72" s="19"/>
      <c r="FJ72" s="19"/>
      <c r="FK72" s="19">
        <v>550000</v>
      </c>
      <c r="FL72" s="19"/>
      <c r="FM72" s="19"/>
      <c r="FN72" s="19" t="s">
        <v>89</v>
      </c>
      <c r="FO72" s="19"/>
      <c r="FP72" s="19"/>
      <c r="FQ72" s="19" t="s">
        <v>89</v>
      </c>
      <c r="FR72" s="19"/>
      <c r="FS72" s="19"/>
      <c r="FT72" s="19"/>
      <c r="FU72" s="19" t="s">
        <v>89</v>
      </c>
      <c r="FV72" s="19"/>
      <c r="FW72" s="19"/>
      <c r="FX72" s="19" t="s">
        <v>157</v>
      </c>
      <c r="FY72" s="19"/>
      <c r="FZ72" s="19"/>
      <c r="GA72" s="19" t="s">
        <v>89</v>
      </c>
      <c r="GB72" s="19" t="s">
        <v>89</v>
      </c>
      <c r="GC72" s="19"/>
      <c r="GD72" s="19" t="s">
        <v>89</v>
      </c>
      <c r="GE72" s="19"/>
      <c r="GF72" s="19" t="s">
        <v>89</v>
      </c>
      <c r="GG72" s="19"/>
      <c r="GH72" s="19"/>
    </row>
    <row r="73" spans="1:190" ht="17.55" customHeight="1">
      <c r="A73" s="9" t="s">
        <v>0</v>
      </c>
      <c r="B73" s="15" t="s">
        <v>57</v>
      </c>
      <c r="C73" s="19"/>
      <c r="D73" s="19"/>
      <c r="E73" s="19"/>
      <c r="F73" s="19">
        <v>37623</v>
      </c>
      <c r="G73" s="19">
        <v>12265</v>
      </c>
      <c r="H73" s="19"/>
      <c r="I73" s="19">
        <v>49149055</v>
      </c>
      <c r="J73" s="19" t="s">
        <v>89</v>
      </c>
      <c r="K73" s="19"/>
      <c r="L73" s="19"/>
      <c r="M73" s="19">
        <v>5022871</v>
      </c>
      <c r="N73" s="19"/>
      <c r="O73" s="19"/>
      <c r="P73" s="19">
        <v>1207248</v>
      </c>
      <c r="Q73" s="19"/>
      <c r="R73" s="19">
        <v>2970485</v>
      </c>
      <c r="S73" s="19"/>
      <c r="T73" s="19">
        <v>143896509</v>
      </c>
      <c r="U73" s="19"/>
      <c r="V73" s="19"/>
      <c r="W73" s="19"/>
      <c r="X73" s="19"/>
      <c r="Y73" s="19"/>
      <c r="Z73" s="19"/>
      <c r="AA73" s="19"/>
      <c r="AB73" s="19"/>
      <c r="AC73" s="19">
        <v>90351</v>
      </c>
      <c r="AD73" s="19"/>
      <c r="AE73" s="19"/>
      <c r="AF73" s="19"/>
      <c r="AG73" s="19"/>
      <c r="AH73" s="19"/>
      <c r="AI73" s="19">
        <v>3953636</v>
      </c>
      <c r="AJ73" s="19"/>
      <c r="AK73" s="19" t="s">
        <v>89</v>
      </c>
      <c r="AL73" s="19"/>
      <c r="AM73" s="19"/>
      <c r="AN73" s="19"/>
      <c r="AO73" s="19"/>
      <c r="AP73" s="19"/>
      <c r="AQ73" s="19"/>
      <c r="AR73" s="19"/>
      <c r="AS73" s="19"/>
      <c r="AT73" s="19"/>
      <c r="AU73" s="19"/>
      <c r="AV73" s="19"/>
      <c r="AW73" s="19"/>
      <c r="AX73" s="19" t="s">
        <v>96</v>
      </c>
      <c r="AY73" s="19"/>
      <c r="AZ73" s="19"/>
      <c r="BA73" s="19"/>
      <c r="BB73" s="19"/>
      <c r="BC73" s="19"/>
      <c r="BD73" s="19"/>
      <c r="BE73" s="19"/>
      <c r="BF73" s="19"/>
      <c r="BG73" s="19">
        <v>133589</v>
      </c>
      <c r="BH73" s="19"/>
      <c r="BI73" s="19"/>
      <c r="BJ73" s="19"/>
      <c r="BK73" s="19"/>
      <c r="BL73" s="19"/>
      <c r="BM73" s="19">
        <v>1986546</v>
      </c>
      <c r="BN73" s="19"/>
      <c r="BO73" s="19"/>
      <c r="BP73" s="19"/>
      <c r="BQ73" s="19" t="s">
        <v>175</v>
      </c>
      <c r="BR73" s="19"/>
      <c r="BS73" s="19"/>
      <c r="BT73" s="19"/>
      <c r="BU73" s="19"/>
      <c r="BV73" s="19"/>
      <c r="BW73" s="19"/>
      <c r="BX73" s="19"/>
      <c r="BY73" s="19"/>
      <c r="BZ73" s="19"/>
      <c r="CA73" s="19"/>
      <c r="CB73" s="19">
        <v>908248</v>
      </c>
      <c r="CC73" s="19"/>
      <c r="CD73" s="19"/>
      <c r="CE73" s="19"/>
      <c r="CF73" s="19"/>
      <c r="CG73" s="19"/>
      <c r="CH73" s="19"/>
      <c r="CI73" s="19">
        <v>6085114</v>
      </c>
      <c r="CJ73" s="19">
        <v>770</v>
      </c>
      <c r="CK73" s="19">
        <v>12090551</v>
      </c>
      <c r="CL73" s="19"/>
      <c r="CM73" s="19"/>
      <c r="CN73" s="19"/>
      <c r="CO73" s="19">
        <v>6040</v>
      </c>
      <c r="CP73" s="19">
        <v>5213637</v>
      </c>
      <c r="CQ73" s="19" t="s">
        <v>96</v>
      </c>
      <c r="CR73" s="19">
        <v>95630</v>
      </c>
      <c r="CS73" s="19"/>
      <c r="CT73" s="19"/>
      <c r="CU73" s="19"/>
      <c r="CV73" s="19">
        <v>153693</v>
      </c>
      <c r="CW73" s="19">
        <v>19581196</v>
      </c>
      <c r="CX73" s="19"/>
      <c r="CY73" s="19"/>
      <c r="CZ73" s="19"/>
      <c r="DA73" s="19"/>
      <c r="DB73" s="19"/>
      <c r="DC73" s="19"/>
      <c r="DD73" s="19"/>
      <c r="DE73" s="19"/>
      <c r="DF73" s="19"/>
      <c r="DG73" s="19"/>
      <c r="DH73" s="19"/>
      <c r="DI73" s="19">
        <v>4191668</v>
      </c>
      <c r="DJ73" s="19"/>
      <c r="DK73" s="19"/>
      <c r="DL73" s="19"/>
      <c r="DM73" s="19"/>
      <c r="DN73" s="19"/>
      <c r="DO73" s="19"/>
      <c r="DP73" s="19"/>
      <c r="DQ73" s="19"/>
      <c r="DR73" s="19"/>
      <c r="DS73" s="19">
        <v>1233035</v>
      </c>
      <c r="DT73" s="19"/>
      <c r="DU73" s="19"/>
      <c r="DV73" s="19"/>
      <c r="DW73" s="19">
        <v>1923637</v>
      </c>
      <c r="DX73" s="19"/>
      <c r="DY73" s="19"/>
      <c r="DZ73" s="19"/>
      <c r="EA73" s="19"/>
      <c r="EB73" s="19"/>
      <c r="EC73" s="19"/>
      <c r="ED73" s="19"/>
      <c r="EE73" s="19"/>
      <c r="EF73" s="19"/>
      <c r="EG73" s="19">
        <v>2042425</v>
      </c>
      <c r="EH73" s="19"/>
      <c r="EI73" s="19">
        <v>393382</v>
      </c>
      <c r="EJ73" s="19"/>
      <c r="EK73" s="19" t="s">
        <v>89</v>
      </c>
      <c r="EL73" s="19"/>
      <c r="EM73" s="19">
        <v>1210106</v>
      </c>
      <c r="EN73" s="19"/>
      <c r="EO73" s="19"/>
      <c r="EP73" s="19"/>
      <c r="EQ73" s="19"/>
      <c r="ER73" s="19"/>
      <c r="ES73" s="19"/>
      <c r="ET73" s="19"/>
      <c r="EU73" s="19"/>
      <c r="EV73" s="19"/>
      <c r="EW73" s="19"/>
      <c r="EX73" s="19"/>
      <c r="EY73" s="19"/>
      <c r="EZ73" s="19"/>
      <c r="FA73" s="19"/>
      <c r="FB73" s="19"/>
      <c r="FC73" s="19" t="s">
        <v>89</v>
      </c>
      <c r="FD73" s="19"/>
      <c r="FE73" s="19">
        <v>1130987</v>
      </c>
      <c r="FF73" s="19"/>
      <c r="FG73" s="19"/>
      <c r="FH73" s="19">
        <v>3920</v>
      </c>
      <c r="FI73" s="19"/>
      <c r="FJ73" s="19"/>
      <c r="FK73" s="19"/>
      <c r="FL73" s="19"/>
      <c r="FM73" s="19"/>
      <c r="FN73" s="19" t="s">
        <v>89</v>
      </c>
      <c r="FO73" s="19"/>
      <c r="FP73" s="19"/>
      <c r="FQ73" s="19" t="s">
        <v>89</v>
      </c>
      <c r="FR73" s="19"/>
      <c r="FS73" s="19"/>
      <c r="FT73" s="19"/>
      <c r="FU73" s="19" t="s">
        <v>89</v>
      </c>
      <c r="FV73" s="19"/>
      <c r="FW73" s="19"/>
      <c r="FX73" s="19" t="s">
        <v>157</v>
      </c>
      <c r="FY73" s="19"/>
      <c r="FZ73" s="19"/>
      <c r="GA73" s="19" t="s">
        <v>89</v>
      </c>
      <c r="GB73" s="19" t="s">
        <v>89</v>
      </c>
      <c r="GC73" s="19"/>
      <c r="GD73" s="19" t="s">
        <v>89</v>
      </c>
      <c r="GE73" s="19"/>
      <c r="GF73" s="19" t="s">
        <v>89</v>
      </c>
      <c r="GG73" s="19"/>
      <c r="GH73" s="19"/>
    </row>
    <row r="74" spans="1:190" ht="17.55" customHeight="1">
      <c r="A74" s="9" t="s">
        <v>0</v>
      </c>
      <c r="B74" s="15" t="s">
        <v>9</v>
      </c>
      <c r="C74" s="19">
        <v>90</v>
      </c>
      <c r="D74" s="19">
        <v>1049559</v>
      </c>
      <c r="E74" s="19">
        <v>407106</v>
      </c>
      <c r="F74" s="19"/>
      <c r="G74" s="19"/>
      <c r="H74" s="19"/>
      <c r="I74" s="19">
        <v>150520</v>
      </c>
      <c r="J74" s="19" t="s">
        <v>89</v>
      </c>
      <c r="K74" s="19">
        <v>8494550</v>
      </c>
      <c r="L74" s="19">
        <v>186699</v>
      </c>
      <c r="M74" s="19">
        <v>112721</v>
      </c>
      <c r="N74" s="19">
        <v>12265119</v>
      </c>
      <c r="O74" s="19">
        <v>7241354</v>
      </c>
      <c r="P74" s="19">
        <v>3005000</v>
      </c>
      <c r="Q74" s="19">
        <v>5183</v>
      </c>
      <c r="R74" s="19">
        <v>374206</v>
      </c>
      <c r="S74" s="19">
        <v>294660</v>
      </c>
      <c r="T74" s="19"/>
      <c r="U74" s="19">
        <v>2040249</v>
      </c>
      <c r="V74" s="19">
        <v>6445</v>
      </c>
      <c r="W74" s="19">
        <v>2356048</v>
      </c>
      <c r="X74" s="19">
        <v>35923</v>
      </c>
      <c r="Y74" s="19">
        <v>12538975</v>
      </c>
      <c r="Z74" s="19">
        <v>1682904</v>
      </c>
      <c r="AA74" s="19">
        <v>39144</v>
      </c>
      <c r="AB74" s="19">
        <v>229629</v>
      </c>
      <c r="AC74" s="19">
        <v>1279378</v>
      </c>
      <c r="AD74" s="19">
        <v>3959837</v>
      </c>
      <c r="AE74" s="19"/>
      <c r="AF74" s="19"/>
      <c r="AG74" s="19">
        <v>4307217</v>
      </c>
      <c r="AH74" s="19">
        <v>248662</v>
      </c>
      <c r="AI74" s="19">
        <v>167001</v>
      </c>
      <c r="AJ74" s="19">
        <v>7800962</v>
      </c>
      <c r="AK74" s="19" t="s">
        <v>89</v>
      </c>
      <c r="AL74" s="19">
        <v>1031612</v>
      </c>
      <c r="AM74" s="19"/>
      <c r="AN74" s="19">
        <v>40</v>
      </c>
      <c r="AO74" s="19">
        <v>2548153</v>
      </c>
      <c r="AP74" s="19">
        <v>3554627</v>
      </c>
      <c r="AQ74" s="19"/>
      <c r="AR74" s="19">
        <v>113145</v>
      </c>
      <c r="AS74" s="19">
        <v>94491</v>
      </c>
      <c r="AT74" s="19">
        <v>1411723</v>
      </c>
      <c r="AU74" s="19">
        <v>31523</v>
      </c>
      <c r="AV74" s="19">
        <v>215</v>
      </c>
      <c r="AW74" s="19">
        <v>1263983</v>
      </c>
      <c r="AX74" s="19" t="s">
        <v>96</v>
      </c>
      <c r="AY74" s="19">
        <v>500062</v>
      </c>
      <c r="AZ74" s="19"/>
      <c r="BA74" s="19">
        <v>32389348</v>
      </c>
      <c r="BB74" s="19">
        <v>1843</v>
      </c>
      <c r="BC74" s="19">
        <v>2411666</v>
      </c>
      <c r="BD74" s="19">
        <v>42039</v>
      </c>
      <c r="BE74" s="19">
        <v>1213566</v>
      </c>
      <c r="BF74" s="19">
        <v>66946</v>
      </c>
      <c r="BG74" s="19">
        <v>1721776</v>
      </c>
      <c r="BH74" s="19">
        <v>427968</v>
      </c>
      <c r="BI74" s="19">
        <v>2330706</v>
      </c>
      <c r="BJ74" s="19">
        <v>38912</v>
      </c>
      <c r="BK74" s="19">
        <v>235301</v>
      </c>
      <c r="BL74" s="19">
        <v>706100</v>
      </c>
      <c r="BM74" s="19">
        <v>705141</v>
      </c>
      <c r="BN74" s="19">
        <v>6</v>
      </c>
      <c r="BO74" s="19">
        <v>29716</v>
      </c>
      <c r="BP74" s="19">
        <v>250000</v>
      </c>
      <c r="BQ74" s="19" t="s">
        <v>175</v>
      </c>
      <c r="BR74" s="19">
        <v>1147</v>
      </c>
      <c r="BS74" s="19">
        <v>761505</v>
      </c>
      <c r="BT74" s="19">
        <v>9</v>
      </c>
      <c r="BU74" s="19">
        <v>548332</v>
      </c>
      <c r="BV74" s="19">
        <v>9</v>
      </c>
      <c r="BW74" s="19"/>
      <c r="BX74" s="19">
        <v>346</v>
      </c>
      <c r="BY74" s="19">
        <v>11170086</v>
      </c>
      <c r="BZ74" s="19">
        <v>421394</v>
      </c>
      <c r="CA74" s="19">
        <v>32111</v>
      </c>
      <c r="CB74" s="19">
        <v>180000</v>
      </c>
      <c r="CC74" s="19">
        <v>49900</v>
      </c>
      <c r="CD74" s="19">
        <v>11195179</v>
      </c>
      <c r="CE74" s="19">
        <v>5</v>
      </c>
      <c r="CF74" s="19">
        <v>30498</v>
      </c>
      <c r="CG74" s="19">
        <v>1330298</v>
      </c>
      <c r="CH74" s="19">
        <v>500079</v>
      </c>
      <c r="CI74" s="19"/>
      <c r="CJ74" s="19"/>
      <c r="CK74" s="19">
        <v>2328788</v>
      </c>
      <c r="CL74" s="19">
        <v>166690</v>
      </c>
      <c r="CM74" s="19">
        <v>1217448</v>
      </c>
      <c r="CN74" s="19">
        <v>257032</v>
      </c>
      <c r="CO74" s="19"/>
      <c r="CP74" s="19">
        <v>1266244</v>
      </c>
      <c r="CQ74" s="19" t="s">
        <v>96</v>
      </c>
      <c r="CR74" s="19">
        <v>3651577</v>
      </c>
      <c r="CS74" s="19">
        <v>1257713</v>
      </c>
      <c r="CT74" s="19">
        <v>148845</v>
      </c>
      <c r="CU74" s="19"/>
      <c r="CV74" s="19"/>
      <c r="CW74" s="19">
        <v>756909</v>
      </c>
      <c r="CX74" s="19">
        <v>1268208</v>
      </c>
      <c r="CY74" s="19">
        <v>38272</v>
      </c>
      <c r="CZ74" s="19">
        <v>303826</v>
      </c>
      <c r="DA74" s="19"/>
      <c r="DB74" s="19"/>
      <c r="DC74" s="19">
        <v>10324</v>
      </c>
      <c r="DD74" s="19">
        <v>31</v>
      </c>
      <c r="DE74" s="19"/>
      <c r="DF74" s="19">
        <v>27</v>
      </c>
      <c r="DG74" s="19">
        <v>3677768</v>
      </c>
      <c r="DH74" s="19">
        <v>53771</v>
      </c>
      <c r="DI74" s="19">
        <v>547880</v>
      </c>
      <c r="DJ74" s="19">
        <v>493035</v>
      </c>
      <c r="DK74" s="19">
        <v>3939317</v>
      </c>
      <c r="DL74" s="19"/>
      <c r="DM74" s="19">
        <v>494984</v>
      </c>
      <c r="DN74" s="19"/>
      <c r="DO74" s="19">
        <v>520</v>
      </c>
      <c r="DP74" s="19"/>
      <c r="DQ74" s="19">
        <v>684512</v>
      </c>
      <c r="DR74" s="19">
        <v>1835</v>
      </c>
      <c r="DS74" s="19"/>
      <c r="DT74" s="19">
        <v>796020</v>
      </c>
      <c r="DU74" s="19"/>
      <c r="DV74" s="19"/>
      <c r="DW74" s="19">
        <v>991335</v>
      </c>
      <c r="DX74" s="19">
        <v>4640</v>
      </c>
      <c r="DY74" s="19">
        <v>305114</v>
      </c>
      <c r="DZ74" s="19">
        <v>707753</v>
      </c>
      <c r="EA74" s="19"/>
      <c r="EB74" s="19">
        <v>217970</v>
      </c>
      <c r="EC74" s="19">
        <v>25629</v>
      </c>
      <c r="ED74" s="19"/>
      <c r="EE74" s="19">
        <v>5988</v>
      </c>
      <c r="EF74" s="19"/>
      <c r="EG74" s="19">
        <v>12886704</v>
      </c>
      <c r="EH74" s="19">
        <v>1222375</v>
      </c>
      <c r="EI74" s="19">
        <v>812014</v>
      </c>
      <c r="EJ74" s="19">
        <v>735853</v>
      </c>
      <c r="EK74" s="19" t="s">
        <v>89</v>
      </c>
      <c r="EL74" s="19">
        <v>1049601</v>
      </c>
      <c r="EM74" s="19">
        <v>34507</v>
      </c>
      <c r="EN74" s="19">
        <v>167437</v>
      </c>
      <c r="EO74" s="19">
        <v>222023</v>
      </c>
      <c r="EP74" s="19"/>
      <c r="EQ74" s="19"/>
      <c r="ER74" s="19">
        <v>3112072</v>
      </c>
      <c r="ES74" s="19">
        <v>794586</v>
      </c>
      <c r="ET74" s="19">
        <v>29012</v>
      </c>
      <c r="EU74" s="19">
        <v>284921</v>
      </c>
      <c r="EV74" s="19">
        <v>32083</v>
      </c>
      <c r="EW74" s="19">
        <v>679320</v>
      </c>
      <c r="EX74" s="19">
        <v>286047</v>
      </c>
      <c r="EY74" s="19">
        <v>1321</v>
      </c>
      <c r="EZ74" s="19">
        <v>3204245</v>
      </c>
      <c r="FA74" s="19">
        <v>867880</v>
      </c>
      <c r="FB74" s="19">
        <v>2258819</v>
      </c>
      <c r="FC74" s="19" t="s">
        <v>89</v>
      </c>
      <c r="FD74" s="19">
        <v>36172</v>
      </c>
      <c r="FE74" s="19">
        <v>10892841</v>
      </c>
      <c r="FF74" s="19"/>
      <c r="FG74" s="19">
        <v>61782</v>
      </c>
      <c r="FH74" s="19">
        <v>294484</v>
      </c>
      <c r="FI74" s="19">
        <v>297593</v>
      </c>
      <c r="FJ74" s="19">
        <v>43</v>
      </c>
      <c r="FK74" s="19">
        <v>7982187</v>
      </c>
      <c r="FL74" s="19">
        <v>12</v>
      </c>
      <c r="FM74" s="19"/>
      <c r="FN74" s="19" t="s">
        <v>89</v>
      </c>
      <c r="FO74" s="19">
        <v>163410</v>
      </c>
      <c r="FP74" s="19">
        <v>162</v>
      </c>
      <c r="FQ74" s="19" t="s">
        <v>89</v>
      </c>
      <c r="FR74" s="19">
        <v>3827</v>
      </c>
      <c r="FS74" s="19">
        <v>1463</v>
      </c>
      <c r="FT74" s="19"/>
      <c r="FU74" s="19" t="s">
        <v>89</v>
      </c>
      <c r="FV74" s="19">
        <v>188</v>
      </c>
      <c r="FW74" s="19">
        <v>206581</v>
      </c>
      <c r="FX74" s="19" t="s">
        <v>157</v>
      </c>
      <c r="FY74" s="19">
        <v>84151</v>
      </c>
      <c r="FZ74" s="19"/>
      <c r="GA74" s="19" t="s">
        <v>89</v>
      </c>
      <c r="GB74" s="19" t="s">
        <v>89</v>
      </c>
      <c r="GC74" s="19">
        <v>810</v>
      </c>
      <c r="GD74" s="19" t="s">
        <v>89</v>
      </c>
      <c r="GE74" s="19">
        <v>146</v>
      </c>
      <c r="GF74" s="19" t="s">
        <v>89</v>
      </c>
      <c r="GG74" s="19">
        <v>347486</v>
      </c>
      <c r="GH74" s="19">
        <v>478764</v>
      </c>
    </row>
    <row r="75" spans="1:190" ht="17.55" customHeight="1">
      <c r="A75" s="9" t="s">
        <v>0</v>
      </c>
      <c r="B75" s="15" t="s">
        <v>43</v>
      </c>
      <c r="C75" s="19"/>
      <c r="D75" s="19"/>
      <c r="E75" s="19"/>
      <c r="F75" s="19"/>
      <c r="G75" s="19"/>
      <c r="H75" s="19">
        <v>135500000</v>
      </c>
      <c r="I75" s="19"/>
      <c r="J75" s="19" t="s">
        <v>89</v>
      </c>
      <c r="K75" s="19">
        <v>6573641</v>
      </c>
      <c r="L75" s="19"/>
      <c r="M75" s="19"/>
      <c r="N75" s="19">
        <v>27286254</v>
      </c>
      <c r="O75" s="19">
        <v>58930344</v>
      </c>
      <c r="P75" s="19">
        <v>47472663</v>
      </c>
      <c r="Q75" s="19">
        <v>5891552</v>
      </c>
      <c r="R75" s="19"/>
      <c r="S75" s="19"/>
      <c r="T75" s="19"/>
      <c r="U75" s="19">
        <v>640394</v>
      </c>
      <c r="V75" s="19"/>
      <c r="W75" s="19">
        <v>19811223</v>
      </c>
      <c r="X75" s="19"/>
      <c r="Y75" s="19"/>
      <c r="Z75" s="19"/>
      <c r="AA75" s="19"/>
      <c r="AB75" s="19"/>
      <c r="AC75" s="19"/>
      <c r="AD75" s="19"/>
      <c r="AE75" s="19"/>
      <c r="AF75" s="19"/>
      <c r="AG75" s="19"/>
      <c r="AH75" s="19">
        <v>68071863</v>
      </c>
      <c r="AI75" s="19"/>
      <c r="AJ75" s="19">
        <v>34865961</v>
      </c>
      <c r="AK75" s="19" t="s">
        <v>89</v>
      </c>
      <c r="AL75" s="19"/>
      <c r="AM75" s="19">
        <v>5340172</v>
      </c>
      <c r="AN75" s="19"/>
      <c r="AO75" s="19">
        <v>4602662</v>
      </c>
      <c r="AP75" s="19">
        <v>12280000</v>
      </c>
      <c r="AQ75" s="19">
        <v>160000</v>
      </c>
      <c r="AR75" s="19"/>
      <c r="AS75" s="19"/>
      <c r="AT75" s="19"/>
      <c r="AU75" s="19"/>
      <c r="AV75" s="19"/>
      <c r="AW75" s="19">
        <v>31630</v>
      </c>
      <c r="AX75" s="19" t="s">
        <v>96</v>
      </c>
      <c r="AY75" s="19">
        <v>57000000</v>
      </c>
      <c r="AZ75" s="19">
        <v>1141189</v>
      </c>
      <c r="BA75" s="19"/>
      <c r="BB75" s="19"/>
      <c r="BC75" s="19"/>
      <c r="BD75" s="19"/>
      <c r="BE75" s="19">
        <v>33310565</v>
      </c>
      <c r="BF75" s="19"/>
      <c r="BG75" s="19">
        <v>5307277</v>
      </c>
      <c r="BH75" s="19">
        <v>6544260</v>
      </c>
      <c r="BI75" s="19"/>
      <c r="BJ75" s="19"/>
      <c r="BK75" s="19">
        <v>225308</v>
      </c>
      <c r="BL75" s="19"/>
      <c r="BM75" s="19">
        <v>88136501</v>
      </c>
      <c r="BN75" s="19">
        <v>1630000</v>
      </c>
      <c r="BO75" s="19"/>
      <c r="BP75" s="19"/>
      <c r="BQ75" s="19" t="s">
        <v>175</v>
      </c>
      <c r="BR75" s="19"/>
      <c r="BS75" s="19"/>
      <c r="BT75" s="19"/>
      <c r="BU75" s="19">
        <v>1622338</v>
      </c>
      <c r="BV75" s="19"/>
      <c r="BW75" s="19"/>
      <c r="BX75" s="19"/>
      <c r="BY75" s="19"/>
      <c r="BZ75" s="19"/>
      <c r="CA75" s="19"/>
      <c r="CB75" s="19"/>
      <c r="CC75" s="19"/>
      <c r="CD75" s="19"/>
      <c r="CE75" s="19"/>
      <c r="CF75" s="19">
        <v>249737</v>
      </c>
      <c r="CG75" s="19">
        <v>138074065</v>
      </c>
      <c r="CH75" s="19"/>
      <c r="CI75" s="19"/>
      <c r="CJ75" s="19"/>
      <c r="CK75" s="19"/>
      <c r="CL75" s="19"/>
      <c r="CM75" s="19">
        <v>40838000</v>
      </c>
      <c r="CN75" s="19"/>
      <c r="CO75" s="19">
        <v>5104859</v>
      </c>
      <c r="CP75" s="19">
        <v>2887200</v>
      </c>
      <c r="CQ75" s="19" t="s">
        <v>96</v>
      </c>
      <c r="CR75" s="19"/>
      <c r="CS75" s="19"/>
      <c r="CT75" s="19"/>
      <c r="CU75" s="19">
        <v>336213647</v>
      </c>
      <c r="CV75" s="19"/>
      <c r="CW75" s="19"/>
      <c r="CX75" s="19">
        <v>143149</v>
      </c>
      <c r="CY75" s="19">
        <v>209739562</v>
      </c>
      <c r="CZ75" s="19"/>
      <c r="DA75" s="19"/>
      <c r="DB75" s="19"/>
      <c r="DC75" s="19"/>
      <c r="DD75" s="19"/>
      <c r="DE75" s="19"/>
      <c r="DF75" s="19">
        <v>10656700</v>
      </c>
      <c r="DG75" s="19"/>
      <c r="DH75" s="19"/>
      <c r="DI75" s="19"/>
      <c r="DJ75" s="19"/>
      <c r="DK75" s="19"/>
      <c r="DL75" s="19"/>
      <c r="DM75" s="19"/>
      <c r="DN75" s="19"/>
      <c r="DO75" s="19"/>
      <c r="DP75" s="19">
        <v>18607</v>
      </c>
      <c r="DQ75" s="19"/>
      <c r="DR75" s="19"/>
      <c r="DS75" s="19"/>
      <c r="DT75" s="19"/>
      <c r="DU75" s="19"/>
      <c r="DV75" s="19"/>
      <c r="DW75" s="19"/>
      <c r="DX75" s="19"/>
      <c r="DY75" s="19"/>
      <c r="DZ75" s="19"/>
      <c r="EA75" s="19"/>
      <c r="EB75" s="19"/>
      <c r="EC75" s="19"/>
      <c r="ED75" s="19"/>
      <c r="EE75" s="19"/>
      <c r="EF75" s="19"/>
      <c r="EG75" s="19">
        <v>5470955</v>
      </c>
      <c r="EH75" s="19">
        <v>3254</v>
      </c>
      <c r="EI75" s="19">
        <v>1733499</v>
      </c>
      <c r="EJ75" s="19"/>
      <c r="EK75" s="19" t="s">
        <v>89</v>
      </c>
      <c r="EL75" s="19"/>
      <c r="EM75" s="19"/>
      <c r="EN75" s="19">
        <v>127167630</v>
      </c>
      <c r="EO75" s="19"/>
      <c r="EP75" s="19"/>
      <c r="EQ75" s="19"/>
      <c r="ER75" s="19">
        <v>840000</v>
      </c>
      <c r="ES75" s="19">
        <v>181313</v>
      </c>
      <c r="ET75" s="19"/>
      <c r="EU75" s="19">
        <v>3015190</v>
      </c>
      <c r="EV75" s="19">
        <v>9111541</v>
      </c>
      <c r="EW75" s="19"/>
      <c r="EX75" s="19"/>
      <c r="EY75" s="19"/>
      <c r="EZ75" s="19"/>
      <c r="FA75" s="19"/>
      <c r="FB75" s="19"/>
      <c r="FC75" s="19" t="s">
        <v>89</v>
      </c>
      <c r="FD75" s="19"/>
      <c r="FE75" s="19">
        <v>4210247</v>
      </c>
      <c r="FF75" s="19">
        <v>3670</v>
      </c>
      <c r="FG75" s="19">
        <v>163528</v>
      </c>
      <c r="FH75" s="19"/>
      <c r="FI75" s="19"/>
      <c r="FJ75" s="19"/>
      <c r="FK75" s="19"/>
      <c r="FL75" s="19"/>
      <c r="FM75" s="19"/>
      <c r="FN75" s="19" t="s">
        <v>89</v>
      </c>
      <c r="FO75" s="19"/>
      <c r="FP75" s="19"/>
      <c r="FQ75" s="19" t="s">
        <v>89</v>
      </c>
      <c r="FR75" s="19"/>
      <c r="FS75" s="19"/>
      <c r="FT75" s="19"/>
      <c r="FU75" s="19" t="s">
        <v>89</v>
      </c>
      <c r="FV75" s="19"/>
      <c r="FW75" s="19"/>
      <c r="FX75" s="19" t="s">
        <v>157</v>
      </c>
      <c r="FY75" s="19"/>
      <c r="FZ75" s="19"/>
      <c r="GA75" s="19" t="s">
        <v>89</v>
      </c>
      <c r="GB75" s="19" t="s">
        <v>89</v>
      </c>
      <c r="GC75" s="19"/>
      <c r="GD75" s="19" t="s">
        <v>89</v>
      </c>
      <c r="GE75" s="19"/>
      <c r="GF75" s="19" t="s">
        <v>89</v>
      </c>
      <c r="GG75" s="19"/>
      <c r="GH75" s="19"/>
    </row>
    <row r="76" spans="1:190" ht="17.55" customHeight="1">
      <c r="A76" s="9" t="s">
        <v>0</v>
      </c>
      <c r="B76" s="10" t="s">
        <v>65</v>
      </c>
      <c r="C76" s="19">
        <v>67755390</v>
      </c>
      <c r="D76" s="19">
        <v>86230744</v>
      </c>
      <c r="E76" s="19">
        <v>7124782</v>
      </c>
      <c r="F76" s="19">
        <v>254855322</v>
      </c>
      <c r="G76" s="19">
        <v>200621</v>
      </c>
      <c r="H76" s="19">
        <v>25231045</v>
      </c>
      <c r="I76" s="19">
        <v>204163769</v>
      </c>
      <c r="J76" s="19" t="s">
        <v>89</v>
      </c>
      <c r="K76" s="19">
        <v>-14490499</v>
      </c>
      <c r="L76" s="19">
        <v>21987636</v>
      </c>
      <c r="M76" s="19">
        <v>20284289</v>
      </c>
      <c r="N76" s="19">
        <v>-58442426</v>
      </c>
      <c r="O76" s="19">
        <v>-129368288</v>
      </c>
      <c r="P76" s="19">
        <v>101484028</v>
      </c>
      <c r="Q76" s="19">
        <v>34190602</v>
      </c>
      <c r="R76" s="19">
        <v>96312285</v>
      </c>
      <c r="S76" s="19">
        <v>252336236</v>
      </c>
      <c r="T76" s="19">
        <v>-215705432</v>
      </c>
      <c r="U76" s="19">
        <v>8066093</v>
      </c>
      <c r="V76" s="19">
        <v>-74623673</v>
      </c>
      <c r="W76" s="19">
        <v>-373277760</v>
      </c>
      <c r="X76" s="19">
        <v>257535535</v>
      </c>
      <c r="Y76" s="19">
        <v>1927272</v>
      </c>
      <c r="Z76" s="19">
        <v>-108316950</v>
      </c>
      <c r="AA76" s="19">
        <v>115368314</v>
      </c>
      <c r="AB76" s="19">
        <v>18718152</v>
      </c>
      <c r="AC76" s="19">
        <v>12550467</v>
      </c>
      <c r="AD76" s="19">
        <v>7237171</v>
      </c>
      <c r="AE76" s="19">
        <v>151706849</v>
      </c>
      <c r="AF76" s="19">
        <v>136842000</v>
      </c>
      <c r="AG76" s="19">
        <v>40546413</v>
      </c>
      <c r="AH76" s="19">
        <v>-47821267</v>
      </c>
      <c r="AI76" s="19">
        <v>3342787</v>
      </c>
      <c r="AJ76" s="19">
        <v>21844121</v>
      </c>
      <c r="AK76" s="19" t="s">
        <v>89</v>
      </c>
      <c r="AL76" s="19">
        <v>33953647</v>
      </c>
      <c r="AM76" s="19">
        <v>85999333</v>
      </c>
      <c r="AN76" s="19">
        <v>104699531</v>
      </c>
      <c r="AO76" s="19">
        <v>-284037301</v>
      </c>
      <c r="AP76" s="19">
        <v>-115820640</v>
      </c>
      <c r="AQ76" s="19">
        <v>11658990</v>
      </c>
      <c r="AR76" s="19">
        <v>13194802</v>
      </c>
      <c r="AS76" s="19">
        <v>246067057</v>
      </c>
      <c r="AT76" s="19">
        <v>64445201</v>
      </c>
      <c r="AU76" s="19">
        <v>-337139541</v>
      </c>
      <c r="AV76" s="19">
        <v>59806198</v>
      </c>
      <c r="AW76" s="19">
        <v>-33565040</v>
      </c>
      <c r="AX76" s="19" t="s">
        <v>96</v>
      </c>
      <c r="AY76" s="19">
        <v>-9653683</v>
      </c>
      <c r="AZ76" s="19">
        <v>63687676</v>
      </c>
      <c r="BA76" s="19">
        <v>-131757931</v>
      </c>
      <c r="BB76" s="19">
        <v>-26923203</v>
      </c>
      <c r="BC76" s="19">
        <v>73096205</v>
      </c>
      <c r="BD76" s="19">
        <v>-68521955</v>
      </c>
      <c r="BE76" s="19">
        <v>4974684</v>
      </c>
      <c r="BF76" s="19">
        <v>8457496</v>
      </c>
      <c r="BG76" s="19">
        <v>75922447</v>
      </c>
      <c r="BH76" s="19">
        <v>22525421</v>
      </c>
      <c r="BI76" s="19">
        <v>44933439</v>
      </c>
      <c r="BJ76" s="19">
        <v>22746033</v>
      </c>
      <c r="BK76" s="19">
        <v>9896974</v>
      </c>
      <c r="BL76" s="19">
        <v>53917981</v>
      </c>
      <c r="BM76" s="19">
        <v>68660092</v>
      </c>
      <c r="BN76" s="19">
        <v>11217581</v>
      </c>
      <c r="BO76" s="19">
        <v>-64887281</v>
      </c>
      <c r="BP76" s="19">
        <v>-14695937</v>
      </c>
      <c r="BQ76" s="19" t="s">
        <v>175</v>
      </c>
      <c r="BR76" s="19">
        <v>95028612</v>
      </c>
      <c r="BS76" s="19">
        <v>873449</v>
      </c>
      <c r="BT76" s="19">
        <v>-4270617</v>
      </c>
      <c r="BU76" s="19">
        <v>38717991</v>
      </c>
      <c r="BV76" s="19">
        <v>62434908</v>
      </c>
      <c r="BW76" s="19">
        <v>18081893</v>
      </c>
      <c r="BX76" s="19">
        <v>44432701</v>
      </c>
      <c r="BY76" s="19">
        <v>17062017</v>
      </c>
      <c r="BZ76" s="19">
        <v>370774539</v>
      </c>
      <c r="CA76" s="19">
        <v>16298165</v>
      </c>
      <c r="CB76" s="19">
        <v>-57058568</v>
      </c>
      <c r="CC76" s="19">
        <v>16850627</v>
      </c>
      <c r="CD76" s="19">
        <v>47603194</v>
      </c>
      <c r="CE76" s="19">
        <v>15642109</v>
      </c>
      <c r="CF76" s="19">
        <v>-698833382</v>
      </c>
      <c r="CG76" s="19">
        <v>3580970</v>
      </c>
      <c r="CH76" s="19">
        <v>2735256</v>
      </c>
      <c r="CI76" s="19">
        <v>-574752113</v>
      </c>
      <c r="CJ76" s="19">
        <v>1040172</v>
      </c>
      <c r="CK76" s="19">
        <v>19234571</v>
      </c>
      <c r="CL76" s="19">
        <v>892402</v>
      </c>
      <c r="CM76" s="19">
        <v>212042309</v>
      </c>
      <c r="CN76" s="19">
        <v>17662778</v>
      </c>
      <c r="CO76" s="19">
        <v>5466219</v>
      </c>
      <c r="CP76" s="19">
        <v>2870779</v>
      </c>
      <c r="CQ76" s="19" t="s">
        <v>96</v>
      </c>
      <c r="CR76" s="19">
        <v>61359974</v>
      </c>
      <c r="CS76" s="19">
        <v>109489233</v>
      </c>
      <c r="CT76" s="19">
        <v>-462671708</v>
      </c>
      <c r="CU76" s="19">
        <v>-18647342</v>
      </c>
      <c r="CV76" s="19">
        <v>-21300429</v>
      </c>
      <c r="CW76" s="19">
        <v>84605045</v>
      </c>
      <c r="CX76" s="19">
        <v>-525148801</v>
      </c>
      <c r="CY76" s="19">
        <v>106892010</v>
      </c>
      <c r="CZ76" s="19">
        <v>4203460</v>
      </c>
      <c r="DA76" s="19">
        <v>20520793</v>
      </c>
      <c r="DB76" s="19">
        <v>128834619</v>
      </c>
      <c r="DC76" s="19">
        <v>-593179</v>
      </c>
      <c r="DD76" s="19">
        <v>-15092981</v>
      </c>
      <c r="DE76" s="19">
        <v>64895338</v>
      </c>
      <c r="DF76" s="19">
        <v>4053035</v>
      </c>
      <c r="DG76" s="19">
        <v>10006296</v>
      </c>
      <c r="DH76" s="19">
        <v>10776350</v>
      </c>
      <c r="DI76" s="19">
        <v>50097668</v>
      </c>
      <c r="DJ76" s="19">
        <v>5922514</v>
      </c>
      <c r="DK76" s="19">
        <v>58954351</v>
      </c>
      <c r="DL76" s="19">
        <v>-123178037</v>
      </c>
      <c r="DM76" s="19">
        <v>8353602</v>
      </c>
      <c r="DN76" s="19">
        <v>5517785</v>
      </c>
      <c r="DO76" s="19">
        <v>-10798753</v>
      </c>
      <c r="DP76" s="19">
        <v>70246544</v>
      </c>
      <c r="DQ76" s="19">
        <v>18638126</v>
      </c>
      <c r="DR76" s="19">
        <v>2942495</v>
      </c>
      <c r="DS76" s="19">
        <v>-137489996</v>
      </c>
      <c r="DT76" s="19">
        <v>125708373</v>
      </c>
      <c r="DU76" s="19">
        <v>-18635586</v>
      </c>
      <c r="DV76" s="19">
        <v>-884096650</v>
      </c>
      <c r="DW76" s="19">
        <v>443157645</v>
      </c>
      <c r="DX76" s="19">
        <v>124071364</v>
      </c>
      <c r="DY76" s="19">
        <v>24892194</v>
      </c>
      <c r="DZ76" s="19">
        <v>99268132</v>
      </c>
      <c r="EA76" s="19">
        <v>9569616</v>
      </c>
      <c r="EB76" s="19">
        <v>89826728</v>
      </c>
      <c r="EC76" s="19">
        <v>22781822</v>
      </c>
      <c r="ED76" s="19">
        <v>4209449</v>
      </c>
      <c r="EE76" s="19">
        <v>5194506</v>
      </c>
      <c r="EF76" s="19">
        <v>11279472</v>
      </c>
      <c r="EG76" s="19">
        <v>-2269943954</v>
      </c>
      <c r="EH76" s="19">
        <v>10137249</v>
      </c>
      <c r="EI76" s="19">
        <v>-157112074</v>
      </c>
      <c r="EJ76" s="19">
        <v>75112754</v>
      </c>
      <c r="EK76" s="19" t="s">
        <v>89</v>
      </c>
      <c r="EL76" s="19">
        <v>-114789752</v>
      </c>
      <c r="EM76" s="19">
        <v>193737602</v>
      </c>
      <c r="EN76" s="19">
        <v>251510885</v>
      </c>
      <c r="EO76" s="19">
        <v>98822152</v>
      </c>
      <c r="EP76" s="19">
        <v>4418629</v>
      </c>
      <c r="EQ76" s="19">
        <v>-31125984</v>
      </c>
      <c r="ER76" s="19">
        <v>-145041830</v>
      </c>
      <c r="ES76" s="19">
        <v>-17059290</v>
      </c>
      <c r="ET76" s="19">
        <v>9558860</v>
      </c>
      <c r="EU76" s="19">
        <v>-427393824</v>
      </c>
      <c r="EV76" s="19">
        <v>-11718208</v>
      </c>
      <c r="EW76" s="19">
        <v>-2896852</v>
      </c>
      <c r="EX76" s="19">
        <v>305697303</v>
      </c>
      <c r="EY76" s="19">
        <v>357758790</v>
      </c>
      <c r="EZ76" s="19">
        <v>-46485591</v>
      </c>
      <c r="FA76" s="19">
        <v>6980510</v>
      </c>
      <c r="FB76" s="19">
        <v>39557936</v>
      </c>
      <c r="FC76" s="19" t="s">
        <v>89</v>
      </c>
      <c r="FD76" s="19">
        <v>66953369</v>
      </c>
      <c r="FE76" s="19">
        <v>194785510</v>
      </c>
      <c r="FF76" s="19">
        <v>26665704</v>
      </c>
      <c r="FG76" s="19">
        <v>11820318</v>
      </c>
      <c r="FH76" s="19">
        <v>-1421400</v>
      </c>
      <c r="FI76" s="19">
        <v>9093907</v>
      </c>
      <c r="FJ76" s="19">
        <v>14879107</v>
      </c>
      <c r="FK76" s="19">
        <v>-42231927</v>
      </c>
      <c r="FL76" s="19">
        <v>16896405</v>
      </c>
      <c r="FM76" s="19">
        <v>-7888838</v>
      </c>
      <c r="FN76" s="19" t="s">
        <v>89</v>
      </c>
      <c r="FO76" s="19">
        <v>33588537</v>
      </c>
      <c r="FP76" s="19">
        <v>8413434</v>
      </c>
      <c r="FQ76" s="19" t="s">
        <v>89</v>
      </c>
      <c r="FR76" s="19">
        <v>-10339610</v>
      </c>
      <c r="FS76" s="19">
        <v>2266953</v>
      </c>
      <c r="FT76" s="19">
        <v>-21755456</v>
      </c>
      <c r="FU76" s="19" t="s">
        <v>89</v>
      </c>
      <c r="FV76" s="19">
        <v>-214298893</v>
      </c>
      <c r="FW76" s="19">
        <v>16140495</v>
      </c>
      <c r="FX76" s="19" t="s">
        <v>157</v>
      </c>
      <c r="FY76" s="19">
        <v>-202720297</v>
      </c>
      <c r="FZ76" s="19">
        <v>-98071648</v>
      </c>
      <c r="GA76" s="19" t="s">
        <v>89</v>
      </c>
      <c r="GB76" s="19" t="s">
        <v>89</v>
      </c>
      <c r="GC76" s="19">
        <v>24463391</v>
      </c>
      <c r="GD76" s="19" t="s">
        <v>89</v>
      </c>
      <c r="GE76" s="19">
        <v>-8570861</v>
      </c>
      <c r="GF76" s="19" t="s">
        <v>89</v>
      </c>
      <c r="GG76" s="19">
        <v>-136663490</v>
      </c>
      <c r="GH76" s="19">
        <v>-47925237</v>
      </c>
    </row>
    <row r="77" spans="1:190" ht="17.55" customHeight="1">
      <c r="A77" s="9" t="s">
        <v>0</v>
      </c>
      <c r="B77" s="10" t="s">
        <v>101</v>
      </c>
      <c r="C77" s="19">
        <v>5235850</v>
      </c>
      <c r="D77" s="19">
        <v>0</v>
      </c>
      <c r="E77" s="19">
        <v>4568190</v>
      </c>
      <c r="F77" s="19">
        <v>10284200</v>
      </c>
      <c r="G77" s="19">
        <v>0</v>
      </c>
      <c r="H77" s="19">
        <v>1444260</v>
      </c>
      <c r="I77" s="19">
        <v>4717400</v>
      </c>
      <c r="J77" s="19" t="s">
        <v>89</v>
      </c>
      <c r="K77" s="19">
        <v>0</v>
      </c>
      <c r="L77" s="19">
        <v>0</v>
      </c>
      <c r="M77" s="19">
        <v>0</v>
      </c>
      <c r="N77" s="19">
        <v>0</v>
      </c>
      <c r="O77" s="19">
        <v>4901050</v>
      </c>
      <c r="P77" s="19">
        <v>27362920</v>
      </c>
      <c r="Q77" s="19">
        <v>1108554</v>
      </c>
      <c r="R77" s="19">
        <v>2895265</v>
      </c>
      <c r="S77" s="19">
        <v>0</v>
      </c>
      <c r="T77" s="19">
        <v>0</v>
      </c>
      <c r="U77" s="19">
        <v>-12949264</v>
      </c>
      <c r="V77" s="19">
        <v>0</v>
      </c>
      <c r="W77" s="19">
        <v>0</v>
      </c>
      <c r="X77" s="19">
        <v>6746770</v>
      </c>
      <c r="Y77" s="19">
        <v>142706</v>
      </c>
      <c r="Z77" s="19">
        <v>0</v>
      </c>
      <c r="AA77" s="19">
        <v>18269540</v>
      </c>
      <c r="AB77" s="19">
        <v>1429410</v>
      </c>
      <c r="AC77" s="19">
        <v>1745240</v>
      </c>
      <c r="AD77" s="19">
        <v>3832770</v>
      </c>
      <c r="AE77" s="19">
        <v>15688180</v>
      </c>
      <c r="AF77" s="19"/>
      <c r="AG77" s="19">
        <v>0</v>
      </c>
      <c r="AH77" s="19">
        <v>0</v>
      </c>
      <c r="AI77" s="19"/>
      <c r="AJ77" s="19">
        <v>0</v>
      </c>
      <c r="AK77" s="19" t="s">
        <v>89</v>
      </c>
      <c r="AL77" s="19">
        <v>0</v>
      </c>
      <c r="AM77" s="19">
        <v>0</v>
      </c>
      <c r="AN77" s="19">
        <v>1199251</v>
      </c>
      <c r="AO77" s="19">
        <v>0</v>
      </c>
      <c r="AP77" s="19"/>
      <c r="AQ77" s="19"/>
      <c r="AR77" s="19">
        <v>0</v>
      </c>
      <c r="AS77" s="19"/>
      <c r="AT77" s="19">
        <v>2479740</v>
      </c>
      <c r="AU77" s="19">
        <v>0</v>
      </c>
      <c r="AV77" s="19">
        <v>0</v>
      </c>
      <c r="AW77" s="19">
        <v>660</v>
      </c>
      <c r="AX77" s="19" t="s">
        <v>96</v>
      </c>
      <c r="AY77" s="19">
        <v>5966500</v>
      </c>
      <c r="AZ77" s="19">
        <v>0</v>
      </c>
      <c r="BA77" s="19">
        <v>0</v>
      </c>
      <c r="BB77" s="19">
        <v>0</v>
      </c>
      <c r="BC77" s="19">
        <v>2000000</v>
      </c>
      <c r="BD77" s="19">
        <v>0</v>
      </c>
      <c r="BE77" s="19">
        <v>1693999</v>
      </c>
      <c r="BF77" s="19">
        <v>0</v>
      </c>
      <c r="BG77" s="19">
        <v>0</v>
      </c>
      <c r="BH77" s="19">
        <v>827510</v>
      </c>
      <c r="BI77" s="19">
        <v>8052740</v>
      </c>
      <c r="BJ77" s="19">
        <v>2502060</v>
      </c>
      <c r="BK77" s="19">
        <v>92180</v>
      </c>
      <c r="BL77" s="19">
        <v>0</v>
      </c>
      <c r="BM77" s="19">
        <v>5856400</v>
      </c>
      <c r="BN77" s="19">
        <v>0</v>
      </c>
      <c r="BO77" s="19">
        <v>0</v>
      </c>
      <c r="BP77" s="19">
        <v>0</v>
      </c>
      <c r="BQ77" s="19" t="s">
        <v>175</v>
      </c>
      <c r="BR77" s="19">
        <v>2854650</v>
      </c>
      <c r="BS77" s="19">
        <v>0</v>
      </c>
      <c r="BT77" s="19">
        <v>0</v>
      </c>
      <c r="BU77" s="19">
        <v>0</v>
      </c>
      <c r="BV77" s="19">
        <v>0</v>
      </c>
      <c r="BW77" s="19">
        <v>0</v>
      </c>
      <c r="BX77" s="19">
        <v>7900</v>
      </c>
      <c r="BY77" s="19">
        <v>0</v>
      </c>
      <c r="BZ77" s="19">
        <v>85017520</v>
      </c>
      <c r="CA77" s="19">
        <v>1792797</v>
      </c>
      <c r="CB77" s="19">
        <v>0</v>
      </c>
      <c r="CC77" s="19">
        <v>0</v>
      </c>
      <c r="CD77" s="19">
        <v>0</v>
      </c>
      <c r="CE77" s="19">
        <v>27808670</v>
      </c>
      <c r="CF77" s="19">
        <v>0</v>
      </c>
      <c r="CG77" s="19">
        <v>265080</v>
      </c>
      <c r="CH77" s="19">
        <v>0</v>
      </c>
      <c r="CI77" s="19">
        <v>0</v>
      </c>
      <c r="CJ77" s="19">
        <v>578121</v>
      </c>
      <c r="CK77" s="19">
        <v>1113480</v>
      </c>
      <c r="CL77" s="19">
        <v>279507</v>
      </c>
      <c r="CM77" s="19"/>
      <c r="CN77" s="19">
        <v>234630</v>
      </c>
      <c r="CO77" s="19">
        <v>546280</v>
      </c>
      <c r="CP77" s="19">
        <v>0</v>
      </c>
      <c r="CQ77" s="19" t="s">
        <v>96</v>
      </c>
      <c r="CR77" s="19">
        <v>8471353</v>
      </c>
      <c r="CS77" s="19"/>
      <c r="CT77" s="19"/>
      <c r="CU77" s="19"/>
      <c r="CV77" s="19"/>
      <c r="CW77" s="19"/>
      <c r="CX77" s="19"/>
      <c r="CY77" s="19">
        <v>1738420</v>
      </c>
      <c r="CZ77" s="19">
        <v>545620</v>
      </c>
      <c r="DA77" s="19">
        <v>3624999</v>
      </c>
      <c r="DB77" s="19">
        <v>8550990</v>
      </c>
      <c r="DC77" s="19"/>
      <c r="DD77" s="19"/>
      <c r="DE77" s="19"/>
      <c r="DF77" s="19"/>
      <c r="DG77" s="19">
        <v>1371049</v>
      </c>
      <c r="DH77" s="19"/>
      <c r="DI77" s="19"/>
      <c r="DJ77" s="19">
        <v>688585</v>
      </c>
      <c r="DK77" s="19"/>
      <c r="DL77" s="19"/>
      <c r="DM77" s="19">
        <v>1777220</v>
      </c>
      <c r="DN77" s="19"/>
      <c r="DO77" s="19"/>
      <c r="DP77" s="19"/>
      <c r="DQ77" s="19">
        <v>2057890</v>
      </c>
      <c r="DR77" s="19">
        <v>95520</v>
      </c>
      <c r="DS77" s="19"/>
      <c r="DT77" s="19"/>
      <c r="DU77" s="19"/>
      <c r="DV77" s="19"/>
      <c r="DW77" s="19">
        <v>21040920</v>
      </c>
      <c r="DX77" s="19"/>
      <c r="DY77" s="19"/>
      <c r="DZ77" s="19">
        <v>3258370</v>
      </c>
      <c r="EA77" s="19"/>
      <c r="EB77" s="19">
        <v>1866310</v>
      </c>
      <c r="EC77" s="19">
        <v>1981040</v>
      </c>
      <c r="ED77" s="19">
        <v>0</v>
      </c>
      <c r="EE77" s="19">
        <v>0</v>
      </c>
      <c r="EF77" s="19">
        <v>10278110</v>
      </c>
      <c r="EG77" s="19">
        <v>0</v>
      </c>
      <c r="EH77" s="19">
        <v>0</v>
      </c>
      <c r="EI77" s="19">
        <v>0</v>
      </c>
      <c r="EJ77" s="19">
        <v>0</v>
      </c>
      <c r="EK77" s="19" t="s">
        <v>89</v>
      </c>
      <c r="EL77" s="19">
        <v>0</v>
      </c>
      <c r="EM77" s="19">
        <v>8863184</v>
      </c>
      <c r="EN77" s="19">
        <v>21012757</v>
      </c>
      <c r="EO77" s="19">
        <v>9777370</v>
      </c>
      <c r="EP77" s="19">
        <v>0</v>
      </c>
      <c r="EQ77" s="19">
        <v>0</v>
      </c>
      <c r="ER77" s="19">
        <v>0</v>
      </c>
      <c r="ES77" s="19"/>
      <c r="ET77" s="19">
        <v>0</v>
      </c>
      <c r="EU77" s="19">
        <v>0</v>
      </c>
      <c r="EV77" s="19">
        <v>0</v>
      </c>
      <c r="EW77" s="19">
        <v>0</v>
      </c>
      <c r="EX77" s="19">
        <v>322630</v>
      </c>
      <c r="EY77" s="19">
        <v>147360</v>
      </c>
      <c r="EZ77" s="19">
        <v>0</v>
      </c>
      <c r="FA77" s="19">
        <v>0</v>
      </c>
      <c r="FB77" s="19">
        <v>0</v>
      </c>
      <c r="FC77" s="19" t="s">
        <v>89</v>
      </c>
      <c r="FD77" s="19">
        <v>5174471</v>
      </c>
      <c r="FE77" s="19">
        <v>14186450</v>
      </c>
      <c r="FF77" s="19">
        <v>0</v>
      </c>
      <c r="FG77" s="19">
        <v>946520</v>
      </c>
      <c r="FH77" s="19">
        <v>32975</v>
      </c>
      <c r="FI77" s="19">
        <v>0</v>
      </c>
      <c r="FJ77" s="19">
        <v>446080</v>
      </c>
      <c r="FK77" s="19">
        <v>8510</v>
      </c>
      <c r="FL77" s="19">
        <v>0</v>
      </c>
      <c r="FM77" s="19">
        <v>0</v>
      </c>
      <c r="FN77" s="19" t="s">
        <v>89</v>
      </c>
      <c r="FO77" s="19">
        <v>0</v>
      </c>
      <c r="FP77" s="19">
        <v>892095</v>
      </c>
      <c r="FQ77" s="19" t="s">
        <v>89</v>
      </c>
      <c r="FR77" s="19">
        <v>0</v>
      </c>
      <c r="FS77" s="19">
        <v>249364</v>
      </c>
      <c r="FT77" s="19">
        <v>0</v>
      </c>
      <c r="FU77" s="19" t="s">
        <v>89</v>
      </c>
      <c r="FV77" s="19">
        <v>0</v>
      </c>
      <c r="FW77" s="19">
        <v>0</v>
      </c>
      <c r="FX77" s="19" t="s">
        <v>157</v>
      </c>
      <c r="FY77" s="19">
        <v>0</v>
      </c>
      <c r="FZ77" s="19">
        <v>0</v>
      </c>
      <c r="GA77" s="19" t="s">
        <v>89</v>
      </c>
      <c r="GB77" s="19" t="s">
        <v>89</v>
      </c>
      <c r="GC77" s="19">
        <v>2535260</v>
      </c>
      <c r="GD77" s="19" t="s">
        <v>89</v>
      </c>
      <c r="GE77" s="19">
        <v>0</v>
      </c>
      <c r="GF77" s="19" t="s">
        <v>89</v>
      </c>
      <c r="GG77" s="19">
        <v>0</v>
      </c>
      <c r="GH77" s="19">
        <v>0</v>
      </c>
    </row>
    <row r="78" spans="1:190" ht="17.55" customHeight="1">
      <c r="A78" s="9" t="s">
        <v>0</v>
      </c>
      <c r="B78" s="10" t="s">
        <v>149</v>
      </c>
      <c r="C78" s="19">
        <v>62519540</v>
      </c>
      <c r="D78" s="19">
        <v>86230744</v>
      </c>
      <c r="E78" s="19">
        <v>2556592</v>
      </c>
      <c r="F78" s="19">
        <v>244571122</v>
      </c>
      <c r="G78" s="19">
        <v>200621</v>
      </c>
      <c r="H78" s="19">
        <v>23786785</v>
      </c>
      <c r="I78" s="19">
        <v>199446369</v>
      </c>
      <c r="J78" s="19" t="s">
        <v>89</v>
      </c>
      <c r="K78" s="19">
        <v>-14490499</v>
      </c>
      <c r="L78" s="19">
        <v>21987636</v>
      </c>
      <c r="M78" s="19">
        <v>20284289</v>
      </c>
      <c r="N78" s="19">
        <v>-58442426</v>
      </c>
      <c r="O78" s="19">
        <v>-134269338</v>
      </c>
      <c r="P78" s="19">
        <v>74121108</v>
      </c>
      <c r="Q78" s="19">
        <v>33082048</v>
      </c>
      <c r="R78" s="19">
        <v>93417020</v>
      </c>
      <c r="S78" s="19">
        <v>252336236</v>
      </c>
      <c r="T78" s="19">
        <v>-215705432</v>
      </c>
      <c r="U78" s="19">
        <v>21015357</v>
      </c>
      <c r="V78" s="19">
        <v>-74623673</v>
      </c>
      <c r="W78" s="19">
        <v>-373277760</v>
      </c>
      <c r="X78" s="19">
        <v>250788765</v>
      </c>
      <c r="Y78" s="19">
        <v>1784566</v>
      </c>
      <c r="Z78" s="19">
        <v>-108316950</v>
      </c>
      <c r="AA78" s="19">
        <v>97098774</v>
      </c>
      <c r="AB78" s="19">
        <v>17288742</v>
      </c>
      <c r="AC78" s="19">
        <v>10805227</v>
      </c>
      <c r="AD78" s="19">
        <v>3404401</v>
      </c>
      <c r="AE78" s="19">
        <v>136018669</v>
      </c>
      <c r="AF78" s="19">
        <v>136842000</v>
      </c>
      <c r="AG78" s="19">
        <v>40546413</v>
      </c>
      <c r="AH78" s="19">
        <v>-47821267</v>
      </c>
      <c r="AI78" s="19">
        <v>3342787</v>
      </c>
      <c r="AJ78" s="19">
        <v>21844121</v>
      </c>
      <c r="AK78" s="19" t="s">
        <v>89</v>
      </c>
      <c r="AL78" s="19">
        <v>33953647</v>
      </c>
      <c r="AM78" s="19">
        <v>85999333</v>
      </c>
      <c r="AN78" s="19">
        <v>103500280</v>
      </c>
      <c r="AO78" s="19">
        <v>-284037301</v>
      </c>
      <c r="AP78" s="19">
        <v>-115820640</v>
      </c>
      <c r="AQ78" s="19">
        <v>11658990</v>
      </c>
      <c r="AR78" s="19">
        <v>13194802</v>
      </c>
      <c r="AS78" s="19">
        <v>246067057</v>
      </c>
      <c r="AT78" s="19">
        <v>61965461</v>
      </c>
      <c r="AU78" s="19">
        <v>-337139541</v>
      </c>
      <c r="AV78" s="19">
        <v>59806198</v>
      </c>
      <c r="AW78" s="19">
        <v>-33565700</v>
      </c>
      <c r="AX78" s="19" t="s">
        <v>96</v>
      </c>
      <c r="AY78" s="19">
        <v>-15620183</v>
      </c>
      <c r="AZ78" s="19">
        <v>63687676</v>
      </c>
      <c r="BA78" s="19">
        <v>-131757931</v>
      </c>
      <c r="BB78" s="19">
        <v>-26923203</v>
      </c>
      <c r="BC78" s="19">
        <v>71096205</v>
      </c>
      <c r="BD78" s="19">
        <v>-68521955</v>
      </c>
      <c r="BE78" s="19">
        <v>3280685</v>
      </c>
      <c r="BF78" s="19">
        <v>8457496</v>
      </c>
      <c r="BG78" s="19">
        <v>75922447</v>
      </c>
      <c r="BH78" s="19">
        <v>21697911</v>
      </c>
      <c r="BI78" s="19">
        <v>36880699</v>
      </c>
      <c r="BJ78" s="19">
        <v>20243973</v>
      </c>
      <c r="BK78" s="19">
        <v>9804794</v>
      </c>
      <c r="BL78" s="19">
        <v>53917981</v>
      </c>
      <c r="BM78" s="19">
        <v>62803692</v>
      </c>
      <c r="BN78" s="19">
        <v>11217581</v>
      </c>
      <c r="BO78" s="19">
        <v>-64887281</v>
      </c>
      <c r="BP78" s="19">
        <v>-14695937</v>
      </c>
      <c r="BQ78" s="19" t="s">
        <v>175</v>
      </c>
      <c r="BR78" s="19">
        <v>92173962</v>
      </c>
      <c r="BS78" s="19">
        <v>873449</v>
      </c>
      <c r="BT78" s="19">
        <v>-4270617</v>
      </c>
      <c r="BU78" s="19">
        <v>38717991</v>
      </c>
      <c r="BV78" s="19">
        <v>62434908</v>
      </c>
      <c r="BW78" s="19">
        <v>18081893</v>
      </c>
      <c r="BX78" s="19">
        <v>44424801</v>
      </c>
      <c r="BY78" s="19">
        <v>17062017</v>
      </c>
      <c r="BZ78" s="19">
        <v>285757019</v>
      </c>
      <c r="CA78" s="19">
        <v>14505368</v>
      </c>
      <c r="CB78" s="19">
        <v>-57058568</v>
      </c>
      <c r="CC78" s="19">
        <v>16850627</v>
      </c>
      <c r="CD78" s="19">
        <v>47603194</v>
      </c>
      <c r="CE78" s="19">
        <v>-12166561</v>
      </c>
      <c r="CF78" s="19">
        <v>-698833382</v>
      </c>
      <c r="CG78" s="19">
        <v>3315890</v>
      </c>
      <c r="CH78" s="19">
        <v>2735256</v>
      </c>
      <c r="CI78" s="19">
        <v>-574752113</v>
      </c>
      <c r="CJ78" s="19">
        <v>462051</v>
      </c>
      <c r="CK78" s="19">
        <v>18121091</v>
      </c>
      <c r="CL78" s="19">
        <v>612895</v>
      </c>
      <c r="CM78" s="19">
        <v>212042309</v>
      </c>
      <c r="CN78" s="19">
        <v>17428148</v>
      </c>
      <c r="CO78" s="19">
        <v>4919939</v>
      </c>
      <c r="CP78" s="19">
        <v>2870779</v>
      </c>
      <c r="CQ78" s="19" t="s">
        <v>96</v>
      </c>
      <c r="CR78" s="19">
        <v>52888621</v>
      </c>
      <c r="CS78" s="19">
        <v>109489233</v>
      </c>
      <c r="CT78" s="19">
        <v>-462671708</v>
      </c>
      <c r="CU78" s="19">
        <v>-18647342</v>
      </c>
      <c r="CV78" s="19">
        <v>-21300429</v>
      </c>
      <c r="CW78" s="19">
        <v>84605045</v>
      </c>
      <c r="CX78" s="19">
        <v>-525148801</v>
      </c>
      <c r="CY78" s="19">
        <v>105153590</v>
      </c>
      <c r="CZ78" s="19">
        <v>3657840</v>
      </c>
      <c r="DA78" s="19">
        <v>16895794</v>
      </c>
      <c r="DB78" s="19">
        <v>120283629</v>
      </c>
      <c r="DC78" s="19">
        <v>-593179</v>
      </c>
      <c r="DD78" s="19">
        <v>-15092981</v>
      </c>
      <c r="DE78" s="19">
        <v>64895338</v>
      </c>
      <c r="DF78" s="19">
        <v>4053035</v>
      </c>
      <c r="DG78" s="19">
        <v>8635247</v>
      </c>
      <c r="DH78" s="19">
        <v>10776350</v>
      </c>
      <c r="DI78" s="19">
        <v>50097668</v>
      </c>
      <c r="DJ78" s="19">
        <v>5233929</v>
      </c>
      <c r="DK78" s="19">
        <v>58954351</v>
      </c>
      <c r="DL78" s="19">
        <v>-123178037</v>
      </c>
      <c r="DM78" s="19">
        <v>6576382</v>
      </c>
      <c r="DN78" s="19">
        <v>5517785</v>
      </c>
      <c r="DO78" s="19">
        <v>-10798753</v>
      </c>
      <c r="DP78" s="19">
        <v>70246544</v>
      </c>
      <c r="DQ78" s="19">
        <v>16580236</v>
      </c>
      <c r="DR78" s="19">
        <v>2846975</v>
      </c>
      <c r="DS78" s="19">
        <v>-137489996</v>
      </c>
      <c r="DT78" s="19">
        <v>125708373</v>
      </c>
      <c r="DU78" s="19">
        <v>-18635586</v>
      </c>
      <c r="DV78" s="19">
        <v>385841567</v>
      </c>
      <c r="DW78" s="19">
        <v>422116725</v>
      </c>
      <c r="DX78" s="19">
        <v>124071364</v>
      </c>
      <c r="DY78" s="19">
        <v>24892194</v>
      </c>
      <c r="DZ78" s="19">
        <v>96009762</v>
      </c>
      <c r="EA78" s="19">
        <v>9569616</v>
      </c>
      <c r="EB78" s="19">
        <v>87960418</v>
      </c>
      <c r="EC78" s="19">
        <v>20800782</v>
      </c>
      <c r="ED78" s="19">
        <v>4209449</v>
      </c>
      <c r="EE78" s="19">
        <v>5194506</v>
      </c>
      <c r="EF78" s="19">
        <v>1001362</v>
      </c>
      <c r="EG78" s="19">
        <v>-2269943954</v>
      </c>
      <c r="EH78" s="19">
        <v>10137249</v>
      </c>
      <c r="EI78" s="19">
        <v>-157112074</v>
      </c>
      <c r="EJ78" s="19">
        <v>75112754</v>
      </c>
      <c r="EK78" s="19" t="s">
        <v>89</v>
      </c>
      <c r="EL78" s="19">
        <v>-114789752</v>
      </c>
      <c r="EM78" s="19">
        <v>184874418</v>
      </c>
      <c r="EN78" s="19">
        <v>230498128</v>
      </c>
      <c r="EO78" s="19">
        <v>89044782</v>
      </c>
      <c r="EP78" s="19">
        <v>4418629</v>
      </c>
      <c r="EQ78" s="19">
        <v>-31125984</v>
      </c>
      <c r="ER78" s="19">
        <v>-145041830</v>
      </c>
      <c r="ES78" s="19">
        <v>-17059290</v>
      </c>
      <c r="ET78" s="19">
        <v>9558860</v>
      </c>
      <c r="EU78" s="19">
        <v>-427393824</v>
      </c>
      <c r="EV78" s="19">
        <v>-11718208</v>
      </c>
      <c r="EW78" s="19">
        <v>-2896852</v>
      </c>
      <c r="EX78" s="19">
        <v>305374673</v>
      </c>
      <c r="EY78" s="19">
        <v>357611430</v>
      </c>
      <c r="EZ78" s="19">
        <v>-46485591</v>
      </c>
      <c r="FA78" s="19">
        <v>6980510</v>
      </c>
      <c r="FB78" s="19">
        <v>39557936</v>
      </c>
      <c r="FC78" s="19" t="s">
        <v>89</v>
      </c>
      <c r="FD78" s="19">
        <v>61778898</v>
      </c>
      <c r="FE78" s="19">
        <v>180599060</v>
      </c>
      <c r="FF78" s="19">
        <v>26665704</v>
      </c>
      <c r="FG78" s="19">
        <v>10873798</v>
      </c>
      <c r="FH78" s="19">
        <v>-1454375</v>
      </c>
      <c r="FI78" s="19">
        <v>9093907</v>
      </c>
      <c r="FJ78" s="19">
        <v>14433027</v>
      </c>
      <c r="FK78" s="19">
        <v>-42240437</v>
      </c>
      <c r="FL78" s="19">
        <v>16896405</v>
      </c>
      <c r="FM78" s="19">
        <v>-7888838</v>
      </c>
      <c r="FN78" s="19" t="s">
        <v>89</v>
      </c>
      <c r="FO78" s="19">
        <v>33588537</v>
      </c>
      <c r="FP78" s="19">
        <v>7521339</v>
      </c>
      <c r="FQ78" s="19" t="s">
        <v>89</v>
      </c>
      <c r="FR78" s="19">
        <v>-10339610</v>
      </c>
      <c r="FS78" s="19">
        <v>2017589</v>
      </c>
      <c r="FT78" s="19">
        <v>-21755456</v>
      </c>
      <c r="FU78" s="19" t="s">
        <v>89</v>
      </c>
      <c r="FV78" s="19">
        <v>-214298893</v>
      </c>
      <c r="FW78" s="19">
        <v>16140495</v>
      </c>
      <c r="FX78" s="19" t="s">
        <v>157</v>
      </c>
      <c r="FY78" s="19">
        <v>-202720297</v>
      </c>
      <c r="FZ78" s="19">
        <v>-98071648</v>
      </c>
      <c r="GA78" s="19" t="s">
        <v>89</v>
      </c>
      <c r="GB78" s="19" t="s">
        <v>89</v>
      </c>
      <c r="GC78" s="19">
        <v>21928131</v>
      </c>
      <c r="GD78" s="19" t="s">
        <v>89</v>
      </c>
      <c r="GE78" s="19">
        <v>-8570861</v>
      </c>
      <c r="GF78" s="19" t="s">
        <v>89</v>
      </c>
      <c r="GG78" s="19">
        <v>-136663490</v>
      </c>
      <c r="GH78" s="19">
        <v>-47925237</v>
      </c>
    </row>
  </sheetData>
  <phoneticPr fontId="14" type="noConversion"/>
  <pageMargins left="0.69972223043441772" right="0.69972223043441772" top="0.75" bottom="0.75" header="0.30000001192092896" footer="0.30000001192092896"/>
  <pageSetup paperSize="9" fitToWidth="0" fitToHeight="0" orientation="portrait" horizontalDpi="0" verticalDpi="0"/>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Sheet7"/>
  <dimension ref="A1:HP78"/>
  <sheetViews>
    <sheetView zoomScale="70" zoomScaleNormal="70" zoomScaleSheetLayoutView="80" workbookViewId="0">
      <pane xSplit="2" ySplit="1" topLeftCell="CQ2" activePane="bottomRight" state="frozen"/>
      <selection pane="topRight"/>
      <selection pane="bottomLeft"/>
      <selection pane="bottomRight" activeCell="CZ1" sqref="CZ1"/>
    </sheetView>
  </sheetViews>
  <sheetFormatPr defaultColWidth="8.796875" defaultRowHeight="17.399999999999999"/>
  <cols>
    <col min="2" max="2" width="27.69921875" customWidth="1"/>
    <col min="3" max="224" width="15.69921875" customWidth="1"/>
  </cols>
  <sheetData>
    <row r="1" spans="1:224">
      <c r="A1" s="5"/>
      <c r="B1" s="6" t="s">
        <v>111</v>
      </c>
      <c r="C1" s="20">
        <v>1510001</v>
      </c>
      <c r="D1" s="20">
        <v>1510002</v>
      </c>
      <c r="E1" s="20">
        <v>1510003</v>
      </c>
      <c r="F1" s="20">
        <v>1510004</v>
      </c>
      <c r="G1" s="20">
        <v>1510005</v>
      </c>
      <c r="H1" s="20">
        <v>1510006</v>
      </c>
      <c r="I1" s="20">
        <v>1510007</v>
      </c>
      <c r="J1" s="20">
        <v>1510008</v>
      </c>
      <c r="K1" s="20">
        <v>1510009</v>
      </c>
      <c r="L1" s="20">
        <v>1510010</v>
      </c>
      <c r="M1" s="20">
        <v>1510011</v>
      </c>
      <c r="N1" s="20">
        <v>1510012</v>
      </c>
      <c r="O1" s="20">
        <v>1510013</v>
      </c>
      <c r="P1" s="20">
        <v>1510014</v>
      </c>
      <c r="Q1" s="20">
        <v>1510015</v>
      </c>
      <c r="R1" s="20">
        <v>1510016</v>
      </c>
      <c r="S1" s="20">
        <v>1510017</v>
      </c>
      <c r="T1" s="20">
        <v>1510018</v>
      </c>
      <c r="U1" s="20">
        <v>1510019</v>
      </c>
      <c r="V1" s="20">
        <v>1510020</v>
      </c>
      <c r="W1" s="20">
        <v>1510021</v>
      </c>
      <c r="X1" s="20">
        <v>1510022</v>
      </c>
      <c r="Y1" s="20">
        <v>1510023</v>
      </c>
      <c r="Z1" s="20">
        <v>1510024</v>
      </c>
      <c r="AA1" s="20">
        <v>1510025</v>
      </c>
      <c r="AB1" s="20">
        <v>1510026</v>
      </c>
      <c r="AC1" s="20">
        <v>1510027</v>
      </c>
      <c r="AD1" s="20">
        <v>1510028</v>
      </c>
      <c r="AE1" s="20">
        <v>1510029</v>
      </c>
      <c r="AF1" s="20">
        <v>1510030</v>
      </c>
      <c r="AG1" s="20">
        <v>1510031</v>
      </c>
      <c r="AH1" s="20">
        <v>1510032</v>
      </c>
      <c r="AI1" s="20">
        <v>1510033</v>
      </c>
      <c r="AJ1" s="20">
        <v>1510034</v>
      </c>
      <c r="AK1" s="20">
        <v>1510035</v>
      </c>
      <c r="AL1" s="20">
        <v>1510036</v>
      </c>
      <c r="AM1" s="20">
        <v>1510037</v>
      </c>
      <c r="AN1" s="20">
        <v>1510038</v>
      </c>
      <c r="AO1" s="20">
        <v>1510039</v>
      </c>
      <c r="AP1" s="20">
        <v>1510040</v>
      </c>
      <c r="AQ1" s="20">
        <v>1510041</v>
      </c>
      <c r="AR1" s="20">
        <v>1510042</v>
      </c>
      <c r="AS1" s="20">
        <v>1510043</v>
      </c>
      <c r="AT1" s="20">
        <v>1510044</v>
      </c>
      <c r="AU1" s="20">
        <v>1510045</v>
      </c>
      <c r="AV1" s="20">
        <v>1510046</v>
      </c>
      <c r="AW1" s="20">
        <v>1510047</v>
      </c>
      <c r="AX1" s="20">
        <v>1510048</v>
      </c>
      <c r="AY1" s="20">
        <v>1510049</v>
      </c>
      <c r="AZ1" s="20">
        <v>1510050</v>
      </c>
      <c r="BA1" s="20">
        <v>1510051</v>
      </c>
      <c r="BB1" s="20">
        <v>1510052</v>
      </c>
      <c r="BC1" s="20">
        <v>1604053</v>
      </c>
      <c r="BD1" s="20">
        <v>1604054</v>
      </c>
      <c r="BE1" s="20">
        <v>1604055</v>
      </c>
      <c r="BF1" s="20">
        <v>1604056</v>
      </c>
      <c r="BG1" s="20">
        <v>1604057</v>
      </c>
      <c r="BH1" s="20">
        <v>1604058</v>
      </c>
      <c r="BI1" s="20">
        <v>1604059</v>
      </c>
      <c r="BJ1" s="20">
        <v>1604060</v>
      </c>
      <c r="BK1" s="20">
        <v>1604061</v>
      </c>
      <c r="BL1" s="20">
        <v>1608062</v>
      </c>
      <c r="BM1" s="20">
        <v>1608063</v>
      </c>
      <c r="BN1" s="20">
        <v>1608064</v>
      </c>
      <c r="BO1" s="20">
        <v>1608065</v>
      </c>
      <c r="BP1" s="20">
        <v>1608066</v>
      </c>
      <c r="BQ1" s="20">
        <v>1608067</v>
      </c>
      <c r="BR1" s="20">
        <v>1608068</v>
      </c>
      <c r="BS1" s="20">
        <v>1608069</v>
      </c>
      <c r="BT1" s="20">
        <v>1608070</v>
      </c>
      <c r="BU1" s="20">
        <v>1608071</v>
      </c>
      <c r="BV1" s="20">
        <v>1608072</v>
      </c>
      <c r="BW1" s="20">
        <v>1608073</v>
      </c>
      <c r="BX1" s="20">
        <v>1608074</v>
      </c>
      <c r="BY1" s="20">
        <v>1608075</v>
      </c>
      <c r="BZ1" s="20">
        <v>1608076</v>
      </c>
      <c r="CA1" s="20">
        <v>1608077</v>
      </c>
      <c r="CB1" s="20">
        <v>1608078</v>
      </c>
      <c r="CC1" s="20">
        <v>1608079</v>
      </c>
      <c r="CD1" s="20">
        <v>1608080</v>
      </c>
      <c r="CE1" s="20">
        <v>1608081</v>
      </c>
      <c r="CF1" s="20">
        <v>1608082</v>
      </c>
      <c r="CG1" s="20">
        <v>1608083</v>
      </c>
      <c r="CH1" s="20">
        <v>1608084</v>
      </c>
      <c r="CI1" s="20">
        <v>1608085</v>
      </c>
      <c r="CJ1" s="20">
        <v>1608086</v>
      </c>
      <c r="CK1" s="20">
        <v>1608087</v>
      </c>
      <c r="CL1" s="20">
        <v>1608088</v>
      </c>
      <c r="CM1" s="20">
        <v>1608089</v>
      </c>
      <c r="CN1" s="20">
        <v>1608090</v>
      </c>
      <c r="CO1" s="20">
        <v>1608091</v>
      </c>
      <c r="CP1" s="20">
        <v>1608092</v>
      </c>
      <c r="CQ1" s="20">
        <v>1608093</v>
      </c>
      <c r="CR1" s="20">
        <v>1608094</v>
      </c>
      <c r="CS1" s="20">
        <v>1612095</v>
      </c>
      <c r="CT1" s="20">
        <v>1612096</v>
      </c>
      <c r="CU1" s="20">
        <v>1612097</v>
      </c>
      <c r="CV1" s="20">
        <v>1612098</v>
      </c>
      <c r="CW1" s="20">
        <v>1612099</v>
      </c>
      <c r="CX1" s="20">
        <v>1612100</v>
      </c>
      <c r="CY1" s="20">
        <v>1612101</v>
      </c>
      <c r="CZ1" s="20">
        <v>1708102</v>
      </c>
      <c r="DA1" s="20">
        <v>1708103</v>
      </c>
      <c r="DB1" s="20">
        <v>1708104</v>
      </c>
      <c r="DC1" s="20">
        <v>1708105</v>
      </c>
      <c r="DD1" s="20">
        <v>1708106</v>
      </c>
      <c r="DE1" s="20">
        <v>1708107</v>
      </c>
      <c r="DF1" s="20">
        <v>1708108</v>
      </c>
      <c r="DG1" s="20">
        <v>1708109</v>
      </c>
      <c r="DH1" s="20">
        <v>1708110</v>
      </c>
      <c r="DI1" s="20">
        <v>1708111</v>
      </c>
      <c r="DJ1" s="20">
        <v>1708112</v>
      </c>
      <c r="DK1" s="20">
        <v>1708113</v>
      </c>
      <c r="DL1" s="20">
        <v>1708114</v>
      </c>
      <c r="DM1" s="20">
        <v>1708115</v>
      </c>
      <c r="DN1" s="20">
        <v>1708116</v>
      </c>
      <c r="DO1" s="20">
        <v>1708117</v>
      </c>
      <c r="DP1" s="20">
        <v>1708118</v>
      </c>
      <c r="DQ1" s="20">
        <v>1708119</v>
      </c>
      <c r="DR1" s="20">
        <v>1708120</v>
      </c>
      <c r="DS1" s="20">
        <v>1708121</v>
      </c>
      <c r="DT1" s="20">
        <v>1708122</v>
      </c>
      <c r="DU1" s="20">
        <v>1708123</v>
      </c>
      <c r="DV1" s="20">
        <v>1708124</v>
      </c>
      <c r="DW1" s="20">
        <v>1708125</v>
      </c>
      <c r="DX1" s="20">
        <v>1708126</v>
      </c>
      <c r="DY1" s="20">
        <v>1708127</v>
      </c>
      <c r="DZ1" s="20">
        <v>1708128</v>
      </c>
      <c r="EA1" s="20">
        <v>1708129</v>
      </c>
      <c r="EB1" s="20">
        <v>1708130</v>
      </c>
      <c r="EC1" s="20">
        <v>1808131</v>
      </c>
      <c r="ED1" s="20">
        <v>1808132</v>
      </c>
      <c r="EE1" s="20">
        <v>1808133</v>
      </c>
      <c r="EF1" s="20">
        <v>1808134</v>
      </c>
      <c r="EG1" s="20">
        <v>1808135</v>
      </c>
      <c r="EH1" s="20">
        <v>1808136</v>
      </c>
      <c r="EI1" s="20">
        <v>1808137</v>
      </c>
      <c r="EJ1" s="20">
        <v>1808138</v>
      </c>
      <c r="EK1" s="20">
        <v>1808139</v>
      </c>
      <c r="EL1" s="20">
        <v>1808140</v>
      </c>
      <c r="EM1" s="20">
        <v>1808141</v>
      </c>
      <c r="EN1" s="20">
        <v>1808142</v>
      </c>
      <c r="EO1" s="20">
        <v>1808143</v>
      </c>
      <c r="EP1" s="20">
        <v>1808144</v>
      </c>
      <c r="EQ1" s="20">
        <v>1808145</v>
      </c>
      <c r="ER1" s="20">
        <v>1808146</v>
      </c>
      <c r="ES1" s="20">
        <v>1808147</v>
      </c>
      <c r="ET1" s="20">
        <v>1808148</v>
      </c>
      <c r="EU1" s="20">
        <v>1808149</v>
      </c>
      <c r="EV1" s="20">
        <v>1808150</v>
      </c>
      <c r="EW1" s="20">
        <v>1808151</v>
      </c>
      <c r="EX1" s="20">
        <v>1808152</v>
      </c>
      <c r="EY1" s="20">
        <v>1808153</v>
      </c>
      <c r="EZ1" s="20">
        <v>1808154</v>
      </c>
      <c r="FA1" s="20">
        <v>1808155</v>
      </c>
      <c r="FB1" s="20">
        <v>1808156</v>
      </c>
      <c r="FC1" s="20">
        <v>1808157</v>
      </c>
      <c r="FD1" s="20">
        <v>1808158</v>
      </c>
      <c r="FE1" s="20">
        <v>1808159</v>
      </c>
      <c r="FF1" s="20">
        <v>1808160</v>
      </c>
      <c r="FG1" s="20">
        <v>1808161</v>
      </c>
      <c r="FH1" s="20">
        <v>1808162</v>
      </c>
      <c r="FI1" s="20">
        <v>1808163</v>
      </c>
      <c r="FJ1" s="20">
        <v>1808164</v>
      </c>
      <c r="FK1" s="20">
        <v>1808165</v>
      </c>
      <c r="FL1" s="20">
        <v>1810166</v>
      </c>
      <c r="FM1" s="20">
        <v>1810167</v>
      </c>
      <c r="FN1" s="20">
        <v>1810168</v>
      </c>
      <c r="FO1" s="20">
        <v>1810169</v>
      </c>
      <c r="FP1" s="20">
        <v>1810170</v>
      </c>
      <c r="FQ1" s="20">
        <v>1810171</v>
      </c>
      <c r="FR1" s="20">
        <v>1810172</v>
      </c>
      <c r="FS1" s="20">
        <v>1810173</v>
      </c>
      <c r="FT1" s="20">
        <v>1810174</v>
      </c>
      <c r="FU1" s="20">
        <v>1810175</v>
      </c>
      <c r="FV1" s="20">
        <v>1810176</v>
      </c>
      <c r="FW1" s="20">
        <v>1810177</v>
      </c>
      <c r="FX1" s="20">
        <v>1810178</v>
      </c>
      <c r="FY1" s="20">
        <v>1810179</v>
      </c>
      <c r="FZ1" s="20">
        <v>1810180</v>
      </c>
      <c r="GA1" s="20">
        <v>1810181</v>
      </c>
      <c r="GB1" s="20">
        <v>1810182</v>
      </c>
      <c r="GC1" s="20">
        <v>1810183</v>
      </c>
      <c r="GD1" s="20">
        <v>1810184</v>
      </c>
      <c r="GE1" s="20">
        <v>1810185</v>
      </c>
      <c r="GF1" s="20">
        <v>1810186</v>
      </c>
      <c r="GG1" s="20">
        <v>1810187</v>
      </c>
      <c r="GH1" s="20">
        <v>1810188</v>
      </c>
      <c r="GI1" s="20">
        <v>1909189</v>
      </c>
      <c r="GJ1" s="20">
        <v>1909190</v>
      </c>
      <c r="GK1" s="20">
        <v>1909191</v>
      </c>
      <c r="GL1" s="20">
        <v>1909192</v>
      </c>
      <c r="GM1" s="20">
        <v>1909193</v>
      </c>
      <c r="GN1" s="20">
        <v>1909194</v>
      </c>
      <c r="GO1" s="20">
        <v>1909195</v>
      </c>
      <c r="GP1" s="20">
        <v>1909196</v>
      </c>
      <c r="GQ1" s="20">
        <v>1909197</v>
      </c>
      <c r="GR1" s="20">
        <v>1909198</v>
      </c>
      <c r="GS1" s="20">
        <v>1909199</v>
      </c>
      <c r="GT1" s="20">
        <v>1909200</v>
      </c>
      <c r="GU1" s="20">
        <v>1909201</v>
      </c>
      <c r="GV1" s="20">
        <v>1909202</v>
      </c>
      <c r="GW1" s="20">
        <v>1909203</v>
      </c>
      <c r="GX1" s="20">
        <v>1909204</v>
      </c>
      <c r="GY1" s="20">
        <v>1909205</v>
      </c>
      <c r="GZ1" s="20">
        <v>1909206</v>
      </c>
      <c r="HA1" s="20">
        <v>1909207</v>
      </c>
      <c r="HB1" s="20">
        <v>1909208</v>
      </c>
      <c r="HC1" s="20">
        <v>1909209</v>
      </c>
      <c r="HD1" s="20">
        <v>1909210</v>
      </c>
      <c r="HE1" s="20">
        <v>1909211</v>
      </c>
      <c r="HF1" s="20">
        <v>1909212</v>
      </c>
      <c r="HG1" s="20">
        <v>1909213</v>
      </c>
      <c r="HH1" s="20">
        <v>1909214</v>
      </c>
      <c r="HI1" s="20">
        <v>1909215</v>
      </c>
      <c r="HJ1" s="20">
        <v>1909216</v>
      </c>
      <c r="HK1" s="20">
        <v>1909217</v>
      </c>
      <c r="HL1" s="20">
        <v>1909218</v>
      </c>
      <c r="HM1" s="20">
        <v>1909219</v>
      </c>
      <c r="HN1" s="20">
        <v>1909220</v>
      </c>
      <c r="HO1" s="20">
        <v>1909221</v>
      </c>
      <c r="HP1" s="20">
        <v>1909222</v>
      </c>
    </row>
    <row r="2" spans="1:224">
      <c r="A2" s="7" t="s">
        <v>5</v>
      </c>
      <c r="B2" s="8" t="s">
        <v>112</v>
      </c>
      <c r="C2" s="19">
        <v>483360289</v>
      </c>
      <c r="D2" s="19">
        <v>2233263908</v>
      </c>
      <c r="E2" s="19">
        <v>715649348</v>
      </c>
      <c r="F2" s="19">
        <v>1611740482</v>
      </c>
      <c r="G2" s="19">
        <v>204617146</v>
      </c>
      <c r="H2" s="19">
        <v>1192893329</v>
      </c>
      <c r="I2" s="19">
        <v>4002086689</v>
      </c>
      <c r="J2" s="19" t="s">
        <v>4</v>
      </c>
      <c r="K2" s="19">
        <v>1008100426</v>
      </c>
      <c r="L2" s="19">
        <v>981807688</v>
      </c>
      <c r="M2" s="19" t="s">
        <v>96</v>
      </c>
      <c r="N2" s="19">
        <v>447423446</v>
      </c>
      <c r="O2" s="19">
        <v>2728124245</v>
      </c>
      <c r="P2" s="19">
        <v>2513590869</v>
      </c>
      <c r="Q2" s="19">
        <v>254419223</v>
      </c>
      <c r="R2" s="19">
        <v>420228675</v>
      </c>
      <c r="S2" s="19">
        <v>5159490523</v>
      </c>
      <c r="T2" s="19" t="s">
        <v>96</v>
      </c>
      <c r="U2" s="19">
        <v>2765877062</v>
      </c>
      <c r="V2" s="19">
        <v>213751001</v>
      </c>
      <c r="W2" s="19">
        <v>651778928</v>
      </c>
      <c r="X2" s="19">
        <v>6732155480</v>
      </c>
      <c r="Y2" s="19">
        <v>467289974</v>
      </c>
      <c r="Z2" s="19">
        <v>1281688874</v>
      </c>
      <c r="AA2" s="19">
        <v>4756648749</v>
      </c>
      <c r="AB2" s="19">
        <v>241011585</v>
      </c>
      <c r="AC2" s="19">
        <v>1430254459</v>
      </c>
      <c r="AD2" s="19">
        <v>3639358595</v>
      </c>
      <c r="AE2" s="19">
        <v>6010705770</v>
      </c>
      <c r="AF2" s="19">
        <v>783612210</v>
      </c>
      <c r="AG2" s="19">
        <v>831565601</v>
      </c>
      <c r="AH2" s="19">
        <v>1599504203</v>
      </c>
      <c r="AI2" s="19">
        <v>639335124</v>
      </c>
      <c r="AJ2" s="19">
        <v>961024111</v>
      </c>
      <c r="AK2" s="19" t="s">
        <v>89</v>
      </c>
      <c r="AL2" s="19">
        <v>2274308032</v>
      </c>
      <c r="AM2" s="19" t="s">
        <v>4</v>
      </c>
      <c r="AN2" s="19">
        <v>718151025</v>
      </c>
      <c r="AO2" s="19">
        <v>1930311310</v>
      </c>
      <c r="AP2" s="19">
        <v>744250331</v>
      </c>
      <c r="AQ2" s="19" t="s">
        <v>4</v>
      </c>
      <c r="AR2" s="19">
        <v>282549938</v>
      </c>
      <c r="AS2" s="19">
        <v>1503893798</v>
      </c>
      <c r="AT2" s="19">
        <v>2678728588</v>
      </c>
      <c r="AU2" s="19">
        <v>1551787474</v>
      </c>
      <c r="AV2" s="19">
        <v>404982068</v>
      </c>
      <c r="AW2" s="19">
        <v>724967095</v>
      </c>
      <c r="AX2" s="19" t="s">
        <v>4</v>
      </c>
      <c r="AY2" s="19">
        <v>628831421</v>
      </c>
      <c r="AZ2" s="19">
        <v>780210631</v>
      </c>
      <c r="BA2" s="19">
        <v>2460888345</v>
      </c>
      <c r="BB2" s="19">
        <v>76267066</v>
      </c>
      <c r="BC2" s="19">
        <v>1837049901</v>
      </c>
      <c r="BD2" s="19">
        <v>224777170</v>
      </c>
      <c r="BE2" s="19">
        <v>2002172753</v>
      </c>
      <c r="BF2" s="19">
        <v>2122110341</v>
      </c>
      <c r="BG2" s="19">
        <v>1316654874</v>
      </c>
      <c r="BH2" s="19">
        <v>874461513</v>
      </c>
      <c r="BI2" s="19">
        <v>687165181</v>
      </c>
      <c r="BJ2" s="19">
        <v>761039559</v>
      </c>
      <c r="BK2" s="19">
        <v>905817761</v>
      </c>
      <c r="BL2" s="19">
        <v>612081028</v>
      </c>
      <c r="BM2" s="19">
        <v>1110290141</v>
      </c>
      <c r="BN2" s="19">
        <v>260756440</v>
      </c>
      <c r="BO2" s="19">
        <v>509827494</v>
      </c>
      <c r="BP2" s="19">
        <v>53216133</v>
      </c>
      <c r="BQ2" s="19" t="s">
        <v>96</v>
      </c>
      <c r="BR2" s="19">
        <v>1008389005</v>
      </c>
      <c r="BS2" s="19">
        <v>81512566</v>
      </c>
      <c r="BT2" s="19">
        <v>49740480</v>
      </c>
      <c r="BU2" s="19">
        <v>934387962</v>
      </c>
      <c r="BV2" s="19">
        <v>498851997</v>
      </c>
      <c r="BW2" s="19">
        <v>37182220</v>
      </c>
      <c r="BX2" s="19">
        <v>238444019</v>
      </c>
      <c r="BY2" s="19">
        <v>790535347</v>
      </c>
      <c r="BZ2" s="19">
        <v>842634397</v>
      </c>
      <c r="CA2" s="19">
        <v>1042263238</v>
      </c>
      <c r="CB2" s="19">
        <v>324895665</v>
      </c>
      <c r="CC2" s="19">
        <v>90079032</v>
      </c>
      <c r="CD2" s="19">
        <v>838509993</v>
      </c>
      <c r="CE2" s="19">
        <v>371756799</v>
      </c>
      <c r="CF2" s="19">
        <v>396455965</v>
      </c>
      <c r="CG2" s="19">
        <v>265325123</v>
      </c>
      <c r="CH2" s="19">
        <v>138425784</v>
      </c>
      <c r="CI2" s="19" t="s">
        <v>89</v>
      </c>
      <c r="CJ2" s="19">
        <v>625755568</v>
      </c>
      <c r="CK2" s="19">
        <v>6095516356</v>
      </c>
      <c r="CL2" s="19">
        <v>759234474</v>
      </c>
      <c r="CM2" s="19">
        <v>2134474259</v>
      </c>
      <c r="CN2" s="19">
        <v>133126550</v>
      </c>
      <c r="CO2" s="19">
        <v>205484062</v>
      </c>
      <c r="CP2" s="19">
        <v>1635918962</v>
      </c>
      <c r="CQ2" s="19" t="s">
        <v>96</v>
      </c>
      <c r="CR2" s="19">
        <v>717013575</v>
      </c>
      <c r="CS2" s="19">
        <v>1807784626</v>
      </c>
      <c r="CT2" s="19">
        <v>671605127</v>
      </c>
      <c r="CU2" s="19">
        <v>363548117</v>
      </c>
      <c r="CV2" s="19">
        <v>21460787</v>
      </c>
      <c r="CW2" s="19">
        <v>1480250756</v>
      </c>
      <c r="CX2" s="19">
        <v>3907878244</v>
      </c>
      <c r="CY2" s="19">
        <v>3495703629</v>
      </c>
      <c r="CZ2" s="19">
        <v>331421202</v>
      </c>
      <c r="DA2" s="19">
        <v>131543869</v>
      </c>
      <c r="DB2" s="19">
        <v>590314303</v>
      </c>
      <c r="DC2" s="19">
        <v>83854021</v>
      </c>
      <c r="DD2" s="19">
        <v>210366619</v>
      </c>
      <c r="DE2" s="19">
        <v>909573698</v>
      </c>
      <c r="DF2" s="19">
        <v>77086142</v>
      </c>
      <c r="DG2" s="19">
        <v>609826251</v>
      </c>
      <c r="DH2" s="19">
        <v>278405126</v>
      </c>
      <c r="DI2" s="19">
        <v>3623687312</v>
      </c>
      <c r="DJ2" s="19">
        <v>105895140</v>
      </c>
      <c r="DK2" s="19">
        <v>2895034660</v>
      </c>
      <c r="DL2" s="19">
        <v>219212109</v>
      </c>
      <c r="DM2" s="19">
        <v>1421007836</v>
      </c>
      <c r="DN2" s="19">
        <v>275829012</v>
      </c>
      <c r="DO2" s="19">
        <v>127959937</v>
      </c>
      <c r="DP2" s="19">
        <v>1595690694</v>
      </c>
      <c r="DQ2" s="19">
        <v>473573235</v>
      </c>
      <c r="DR2" s="19">
        <v>413658915</v>
      </c>
      <c r="DS2" s="19">
        <v>167176081</v>
      </c>
      <c r="DT2" s="19">
        <v>835820751</v>
      </c>
      <c r="DU2" s="19">
        <v>247688969</v>
      </c>
      <c r="DV2" s="19">
        <v>565577659</v>
      </c>
      <c r="DW2" s="19">
        <v>957211438</v>
      </c>
      <c r="DX2" s="19">
        <v>2186235970</v>
      </c>
      <c r="DY2" s="19">
        <v>336568507</v>
      </c>
      <c r="DZ2" s="19">
        <v>959458728</v>
      </c>
      <c r="EA2" s="19">
        <v>84177421</v>
      </c>
      <c r="EB2" s="19">
        <v>1719256062</v>
      </c>
      <c r="EC2" s="19">
        <v>202225608</v>
      </c>
      <c r="ED2" s="19">
        <v>70997104</v>
      </c>
      <c r="EE2" s="19">
        <v>310115809</v>
      </c>
      <c r="EF2" s="19">
        <v>3810393562</v>
      </c>
      <c r="EG2" s="19">
        <v>4560480661</v>
      </c>
      <c r="EH2" s="19">
        <v>3543484719</v>
      </c>
      <c r="EI2" s="19">
        <v>1191490920</v>
      </c>
      <c r="EJ2" s="19">
        <v>167724797</v>
      </c>
      <c r="EK2" s="19" t="s">
        <v>89</v>
      </c>
      <c r="EL2" s="19">
        <v>2752574082</v>
      </c>
      <c r="EM2" s="19">
        <v>516329689</v>
      </c>
      <c r="EN2" s="19">
        <v>2316426966</v>
      </c>
      <c r="EO2" s="19">
        <v>928402069</v>
      </c>
      <c r="EP2" s="19">
        <v>686871120</v>
      </c>
      <c r="EQ2" s="19">
        <v>722958146</v>
      </c>
      <c r="ER2" s="19">
        <v>2388605203</v>
      </c>
      <c r="ES2" s="19">
        <v>887733477</v>
      </c>
      <c r="ET2" s="19">
        <v>1350989039</v>
      </c>
      <c r="EU2" s="19">
        <v>1729271255</v>
      </c>
      <c r="EV2" s="19">
        <v>191708799</v>
      </c>
      <c r="EW2" s="19">
        <v>138420714</v>
      </c>
      <c r="EX2" s="19">
        <v>831183680</v>
      </c>
      <c r="EY2" s="19">
        <v>3628458647</v>
      </c>
      <c r="EZ2" s="19">
        <v>509221360</v>
      </c>
      <c r="FA2" s="19">
        <v>2457792701</v>
      </c>
      <c r="FB2" s="19">
        <v>327209840</v>
      </c>
      <c r="FC2" s="19">
        <v>953252007</v>
      </c>
      <c r="FD2" s="19">
        <v>231122503</v>
      </c>
      <c r="FE2" s="19">
        <v>3279268765</v>
      </c>
      <c r="FF2" s="19">
        <v>48378305</v>
      </c>
      <c r="FG2" s="19">
        <v>887103507</v>
      </c>
      <c r="FH2" s="19">
        <v>191469894</v>
      </c>
      <c r="FI2" s="19">
        <v>87268999</v>
      </c>
      <c r="FJ2" s="19">
        <v>132724608</v>
      </c>
      <c r="FK2" s="19">
        <v>534346903</v>
      </c>
      <c r="FL2" s="19">
        <v>247229906</v>
      </c>
      <c r="FM2" s="19">
        <v>10775899</v>
      </c>
      <c r="FN2" s="19">
        <v>907785887</v>
      </c>
      <c r="FO2" s="19">
        <v>11506396</v>
      </c>
      <c r="FP2" s="19">
        <v>256071027</v>
      </c>
      <c r="FQ2" s="19">
        <v>98879242</v>
      </c>
      <c r="FR2" s="19">
        <v>208196698</v>
      </c>
      <c r="FS2" s="19">
        <v>33210341</v>
      </c>
      <c r="FT2" s="19">
        <v>1453146196</v>
      </c>
      <c r="FU2" s="19" t="s">
        <v>152</v>
      </c>
      <c r="FV2" s="19">
        <v>1997297980</v>
      </c>
      <c r="FW2" s="19">
        <v>287295010</v>
      </c>
      <c r="FX2" s="19">
        <v>186400381</v>
      </c>
      <c r="FY2" s="19">
        <v>601368934</v>
      </c>
      <c r="FZ2" s="19">
        <v>357597212</v>
      </c>
      <c r="GA2" s="19">
        <v>197700617</v>
      </c>
      <c r="GB2" s="19">
        <v>77038612</v>
      </c>
      <c r="GC2" s="19">
        <v>335671068</v>
      </c>
      <c r="GD2" s="19" t="s">
        <v>96</v>
      </c>
      <c r="GE2" s="19">
        <v>8677963</v>
      </c>
      <c r="GF2" s="19">
        <v>53529271</v>
      </c>
      <c r="GG2" s="19">
        <v>481731535</v>
      </c>
      <c r="GH2" s="19">
        <v>398168297</v>
      </c>
      <c r="GI2" s="19">
        <v>180927218</v>
      </c>
      <c r="GJ2" s="19">
        <v>112324384</v>
      </c>
      <c r="GK2" s="19">
        <v>43447922</v>
      </c>
      <c r="GL2" s="19">
        <v>41786070</v>
      </c>
      <c r="GM2" s="19">
        <v>102088913</v>
      </c>
      <c r="GN2" s="19">
        <v>1067322718</v>
      </c>
      <c r="GO2" s="19">
        <v>1330596499</v>
      </c>
      <c r="GP2" s="19">
        <v>4539471194</v>
      </c>
      <c r="GQ2" s="19">
        <v>337561893</v>
      </c>
      <c r="GR2" s="19">
        <v>453342528</v>
      </c>
      <c r="GS2" s="19">
        <v>1087024123</v>
      </c>
      <c r="GT2" s="19">
        <v>180927218</v>
      </c>
      <c r="GU2" s="19">
        <v>102234621</v>
      </c>
      <c r="GV2" s="19" t="s">
        <v>89</v>
      </c>
      <c r="GW2" s="19">
        <v>3252780269</v>
      </c>
      <c r="GX2" s="19">
        <v>782484395</v>
      </c>
      <c r="GY2" s="19">
        <v>775669331</v>
      </c>
      <c r="GZ2" s="19">
        <v>256245134</v>
      </c>
      <c r="HA2" s="19">
        <v>258534364</v>
      </c>
      <c r="HB2" s="19">
        <v>233477848</v>
      </c>
      <c r="HC2" s="19">
        <v>403461524</v>
      </c>
      <c r="HD2" s="19" t="s">
        <v>89</v>
      </c>
      <c r="HE2" s="19">
        <v>423393826</v>
      </c>
      <c r="HF2" s="19">
        <v>833610759</v>
      </c>
      <c r="HG2" s="19">
        <v>145284284</v>
      </c>
      <c r="HH2" s="19">
        <v>74926509</v>
      </c>
      <c r="HI2" s="19">
        <v>454009193</v>
      </c>
      <c r="HJ2" s="19">
        <v>884306493</v>
      </c>
      <c r="HK2" s="19">
        <v>2515032894</v>
      </c>
      <c r="HL2" s="19">
        <v>204555914</v>
      </c>
      <c r="HM2" s="19">
        <v>225052914</v>
      </c>
      <c r="HN2" s="19">
        <v>446564065</v>
      </c>
      <c r="HO2" s="19">
        <v>607867061</v>
      </c>
      <c r="HP2" s="19" t="s">
        <v>89</v>
      </c>
    </row>
    <row r="3" spans="1:224">
      <c r="A3" s="7" t="s">
        <v>5</v>
      </c>
      <c r="B3" s="8" t="s">
        <v>84</v>
      </c>
      <c r="C3" s="19">
        <v>411331913</v>
      </c>
      <c r="D3" s="19">
        <v>1292440504</v>
      </c>
      <c r="E3" s="19">
        <v>257249978</v>
      </c>
      <c r="F3" s="19">
        <v>450232576</v>
      </c>
      <c r="G3" s="19">
        <v>187549979</v>
      </c>
      <c r="H3" s="19">
        <v>270805732</v>
      </c>
      <c r="I3" s="19">
        <v>1247814567</v>
      </c>
      <c r="J3" s="19" t="s">
        <v>4</v>
      </c>
      <c r="K3" s="19">
        <v>751810833</v>
      </c>
      <c r="L3" s="19">
        <v>899213260</v>
      </c>
      <c r="M3" s="19" t="s">
        <v>96</v>
      </c>
      <c r="N3" s="19">
        <v>295025428</v>
      </c>
      <c r="O3" s="19">
        <v>950670904</v>
      </c>
      <c r="P3" s="19">
        <v>1028325605</v>
      </c>
      <c r="Q3" s="19">
        <v>219182853</v>
      </c>
      <c r="R3" s="19">
        <v>241990779</v>
      </c>
      <c r="S3" s="19">
        <v>2008255871</v>
      </c>
      <c r="T3" s="19" t="s">
        <v>96</v>
      </c>
      <c r="U3" s="19">
        <v>2482445516</v>
      </c>
      <c r="V3" s="19">
        <v>173959825</v>
      </c>
      <c r="W3" s="19">
        <v>396925592</v>
      </c>
      <c r="X3" s="19">
        <v>1789415975</v>
      </c>
      <c r="Y3" s="19">
        <v>190907898</v>
      </c>
      <c r="Z3" s="19">
        <v>622583873</v>
      </c>
      <c r="AA3" s="19">
        <v>3513045282</v>
      </c>
      <c r="AB3" s="19">
        <v>231260154</v>
      </c>
      <c r="AC3" s="19">
        <v>129467562</v>
      </c>
      <c r="AD3" s="19">
        <v>1246226139</v>
      </c>
      <c r="AE3" s="19">
        <v>856851395</v>
      </c>
      <c r="AF3" s="19">
        <v>189405026</v>
      </c>
      <c r="AG3" s="19">
        <v>387294675</v>
      </c>
      <c r="AH3" s="19">
        <v>1141718135</v>
      </c>
      <c r="AI3" s="19">
        <v>351902951</v>
      </c>
      <c r="AJ3" s="19">
        <v>702296665</v>
      </c>
      <c r="AK3" s="19" t="s">
        <v>89</v>
      </c>
      <c r="AL3" s="19">
        <v>353212712</v>
      </c>
      <c r="AM3" s="19" t="s">
        <v>4</v>
      </c>
      <c r="AN3" s="19">
        <v>185751546</v>
      </c>
      <c r="AO3" s="19">
        <v>1672942715</v>
      </c>
      <c r="AP3" s="19">
        <v>671659037</v>
      </c>
      <c r="AQ3" s="19" t="s">
        <v>4</v>
      </c>
      <c r="AR3" s="19">
        <v>136077170</v>
      </c>
      <c r="AS3" s="19">
        <v>1396932610</v>
      </c>
      <c r="AT3" s="19">
        <v>794560255</v>
      </c>
      <c r="AU3" s="19">
        <v>122139414</v>
      </c>
      <c r="AV3" s="19">
        <v>265077112</v>
      </c>
      <c r="AW3" s="19">
        <v>103726892</v>
      </c>
      <c r="AX3" s="19" t="s">
        <v>4</v>
      </c>
      <c r="AY3" s="19">
        <v>145849532</v>
      </c>
      <c r="AZ3" s="19">
        <v>510013134</v>
      </c>
      <c r="BA3" s="19">
        <v>1144527646</v>
      </c>
      <c r="BB3" s="19">
        <v>55551910</v>
      </c>
      <c r="BC3" s="19">
        <v>1035954332</v>
      </c>
      <c r="BD3" s="19">
        <v>204483270</v>
      </c>
      <c r="BE3" s="19">
        <v>519239616</v>
      </c>
      <c r="BF3" s="19">
        <v>977737237</v>
      </c>
      <c r="BG3" s="19">
        <v>895423116</v>
      </c>
      <c r="BH3" s="19">
        <v>141929548</v>
      </c>
      <c r="BI3" s="19">
        <v>635444957</v>
      </c>
      <c r="BJ3" s="19">
        <v>693699285</v>
      </c>
      <c r="BK3" s="19">
        <v>707032107</v>
      </c>
      <c r="BL3" s="19">
        <v>509407474</v>
      </c>
      <c r="BM3" s="19">
        <v>340795326</v>
      </c>
      <c r="BN3" s="19">
        <v>230321870</v>
      </c>
      <c r="BO3" s="19">
        <v>431660554</v>
      </c>
      <c r="BP3" s="19">
        <v>31824377</v>
      </c>
      <c r="BQ3" s="19" t="s">
        <v>96</v>
      </c>
      <c r="BR3" s="19">
        <v>841802638</v>
      </c>
      <c r="BS3" s="19">
        <v>22373573</v>
      </c>
      <c r="BT3" s="19">
        <v>28173333</v>
      </c>
      <c r="BU3" s="19">
        <v>628027125</v>
      </c>
      <c r="BV3" s="19">
        <v>498530933</v>
      </c>
      <c r="BW3" s="19">
        <v>19825601</v>
      </c>
      <c r="BX3" s="19">
        <v>178459347</v>
      </c>
      <c r="BY3" s="19">
        <v>457206361</v>
      </c>
      <c r="BZ3" s="19">
        <v>823966595</v>
      </c>
      <c r="CA3" s="19">
        <v>517166582</v>
      </c>
      <c r="CB3" s="19">
        <v>154691636</v>
      </c>
      <c r="CC3" s="19">
        <v>87029032</v>
      </c>
      <c r="CD3" s="19">
        <v>807629904</v>
      </c>
      <c r="CE3" s="19">
        <v>281010799</v>
      </c>
      <c r="CF3" s="19">
        <v>359910983</v>
      </c>
      <c r="CG3" s="19">
        <v>123689934</v>
      </c>
      <c r="CH3" s="19">
        <v>132950484</v>
      </c>
      <c r="CI3" s="19" t="s">
        <v>89</v>
      </c>
      <c r="CJ3" s="19">
        <v>545500667</v>
      </c>
      <c r="CK3" s="19">
        <v>338390856</v>
      </c>
      <c r="CL3" s="19">
        <v>181424483</v>
      </c>
      <c r="CM3" s="19">
        <v>1468706347</v>
      </c>
      <c r="CN3" s="19">
        <v>85238582</v>
      </c>
      <c r="CO3" s="19">
        <v>148826053</v>
      </c>
      <c r="CP3" s="19">
        <v>1425183765</v>
      </c>
      <c r="CQ3" s="19" t="s">
        <v>96</v>
      </c>
      <c r="CR3" s="19">
        <v>570326591</v>
      </c>
      <c r="CS3" s="19">
        <v>698384819</v>
      </c>
      <c r="CT3" s="19">
        <v>551128932</v>
      </c>
      <c r="CU3" s="19">
        <v>182644080</v>
      </c>
      <c r="CV3" s="19">
        <v>21460787</v>
      </c>
      <c r="CW3" s="19">
        <v>876569749</v>
      </c>
      <c r="CX3" s="19">
        <v>3706588486</v>
      </c>
      <c r="CY3" s="19">
        <v>3033286167</v>
      </c>
      <c r="CZ3" s="19">
        <v>254661617</v>
      </c>
      <c r="DA3" s="19">
        <v>85939401</v>
      </c>
      <c r="DB3" s="19">
        <v>556577754</v>
      </c>
      <c r="DC3" s="19">
        <v>78105238</v>
      </c>
      <c r="DD3" s="19">
        <v>76392940</v>
      </c>
      <c r="DE3" s="19">
        <v>76620811</v>
      </c>
      <c r="DF3" s="19">
        <v>47011233</v>
      </c>
      <c r="DG3" s="19">
        <v>370795492</v>
      </c>
      <c r="DH3" s="19">
        <v>226604674</v>
      </c>
      <c r="DI3" s="19">
        <v>1600941068</v>
      </c>
      <c r="DJ3" s="19">
        <v>100040192</v>
      </c>
      <c r="DK3" s="19">
        <v>1745660266</v>
      </c>
      <c r="DL3" s="19">
        <v>204170058</v>
      </c>
      <c r="DM3" s="19">
        <v>1078315801</v>
      </c>
      <c r="DN3" s="19">
        <v>140466898</v>
      </c>
      <c r="DO3" s="19">
        <v>74050608</v>
      </c>
      <c r="DP3" s="19">
        <v>889458089</v>
      </c>
      <c r="DQ3" s="19">
        <v>428175249</v>
      </c>
      <c r="DR3" s="19">
        <v>377224233</v>
      </c>
      <c r="DS3" s="19">
        <v>97728594</v>
      </c>
      <c r="DT3" s="19">
        <v>528187364</v>
      </c>
      <c r="DU3" s="19">
        <v>214732142</v>
      </c>
      <c r="DV3" s="19">
        <v>484457409</v>
      </c>
      <c r="DW3" s="19">
        <v>576984958</v>
      </c>
      <c r="DX3" s="19">
        <v>2056670417</v>
      </c>
      <c r="DY3" s="19">
        <v>191736360</v>
      </c>
      <c r="DZ3" s="19">
        <v>881460935</v>
      </c>
      <c r="EA3" s="19">
        <v>20606211</v>
      </c>
      <c r="EB3" s="19">
        <v>684160103</v>
      </c>
      <c r="EC3" s="19">
        <v>192609848</v>
      </c>
      <c r="ED3" s="19">
        <v>28974557</v>
      </c>
      <c r="EE3" s="19">
        <v>141315098</v>
      </c>
      <c r="EF3" s="19">
        <v>782645507</v>
      </c>
      <c r="EG3" s="19">
        <v>1569525863</v>
      </c>
      <c r="EH3" s="19">
        <v>43866871</v>
      </c>
      <c r="EI3" s="19">
        <v>808308077</v>
      </c>
      <c r="EJ3" s="19">
        <v>152915354</v>
      </c>
      <c r="EK3" s="19" t="s">
        <v>89</v>
      </c>
      <c r="EL3" s="19">
        <v>2189183092</v>
      </c>
      <c r="EM3" s="19">
        <v>392016782</v>
      </c>
      <c r="EN3" s="19">
        <v>1624068549</v>
      </c>
      <c r="EO3" s="19">
        <v>565140837</v>
      </c>
      <c r="EP3" s="19">
        <v>335433341</v>
      </c>
      <c r="EQ3" s="19">
        <v>712958146</v>
      </c>
      <c r="ER3" s="19">
        <v>1180873841</v>
      </c>
      <c r="ES3" s="19">
        <v>819688461</v>
      </c>
      <c r="ET3" s="19">
        <v>1261568578</v>
      </c>
      <c r="EU3" s="19">
        <v>1725843457</v>
      </c>
      <c r="EV3" s="19">
        <v>190108799</v>
      </c>
      <c r="EW3" s="19">
        <v>100531390</v>
      </c>
      <c r="EX3" s="19">
        <v>602091407</v>
      </c>
      <c r="EY3" s="19">
        <v>621588501</v>
      </c>
      <c r="EZ3" s="19">
        <v>206409677</v>
      </c>
      <c r="FA3" s="19">
        <v>314142035</v>
      </c>
      <c r="FB3" s="19">
        <v>126845672</v>
      </c>
      <c r="FC3" s="19">
        <v>411464610</v>
      </c>
      <c r="FD3" s="19">
        <v>143245717</v>
      </c>
      <c r="FE3" s="19">
        <v>2852903823</v>
      </c>
      <c r="FF3" s="19">
        <v>20350788</v>
      </c>
      <c r="FG3" s="19">
        <v>779314250</v>
      </c>
      <c r="FH3" s="19">
        <v>113483322</v>
      </c>
      <c r="FI3" s="19">
        <v>83823285</v>
      </c>
      <c r="FJ3" s="19">
        <v>106398384</v>
      </c>
      <c r="FK3" s="19">
        <v>225319162</v>
      </c>
      <c r="FL3" s="19">
        <v>223660154</v>
      </c>
      <c r="FM3" s="19">
        <v>9095899</v>
      </c>
      <c r="FN3" s="19">
        <v>540760478</v>
      </c>
      <c r="FO3" s="19">
        <v>11506396</v>
      </c>
      <c r="FP3" s="19">
        <v>180566028</v>
      </c>
      <c r="FQ3" s="19">
        <v>48189707</v>
      </c>
      <c r="FR3" s="19">
        <v>154916554</v>
      </c>
      <c r="FS3" s="19">
        <v>33210341</v>
      </c>
      <c r="FT3" s="19">
        <v>1316607876</v>
      </c>
      <c r="FU3" s="19" t="s">
        <v>152</v>
      </c>
      <c r="FV3" s="19">
        <v>1033590030</v>
      </c>
      <c r="FW3" s="19">
        <v>274339665</v>
      </c>
      <c r="FX3" s="19">
        <v>175186843</v>
      </c>
      <c r="FY3" s="19">
        <v>438416934</v>
      </c>
      <c r="FZ3" s="19">
        <v>329020298</v>
      </c>
      <c r="GA3" s="19">
        <v>189007382</v>
      </c>
      <c r="GB3" s="19">
        <v>77038612</v>
      </c>
      <c r="GC3" s="19">
        <v>300236957</v>
      </c>
      <c r="GD3" s="19" t="s">
        <v>96</v>
      </c>
      <c r="GE3" s="19">
        <v>8677963</v>
      </c>
      <c r="GF3" s="19">
        <v>37119937</v>
      </c>
      <c r="GG3" s="19">
        <v>253696220</v>
      </c>
      <c r="GH3" s="19">
        <v>391728297</v>
      </c>
      <c r="GI3" s="19">
        <v>145423104</v>
      </c>
      <c r="GJ3" s="19">
        <v>97184074</v>
      </c>
      <c r="GK3" s="19">
        <v>12150142</v>
      </c>
      <c r="GL3" s="19">
        <v>22418791</v>
      </c>
      <c r="GM3" s="19">
        <v>18402039</v>
      </c>
      <c r="GN3" s="19">
        <v>294650643</v>
      </c>
      <c r="GO3" s="19">
        <v>627304561</v>
      </c>
      <c r="GP3" s="19">
        <v>2595902780</v>
      </c>
      <c r="GQ3" s="19">
        <v>305719140</v>
      </c>
      <c r="GR3" s="19">
        <v>193556750</v>
      </c>
      <c r="GS3" s="19">
        <v>1086529123</v>
      </c>
      <c r="GT3" s="19">
        <v>145423104</v>
      </c>
      <c r="GU3" s="19">
        <v>22234621</v>
      </c>
      <c r="GV3" s="19" t="s">
        <v>89</v>
      </c>
      <c r="GW3" s="19">
        <v>2067393394</v>
      </c>
      <c r="GX3" s="19">
        <v>639785870</v>
      </c>
      <c r="GY3" s="19">
        <v>709843747</v>
      </c>
      <c r="GZ3" s="19">
        <v>198747994</v>
      </c>
      <c r="HA3" s="19">
        <v>86323216</v>
      </c>
      <c r="HB3" s="19">
        <v>200345383</v>
      </c>
      <c r="HC3" s="19">
        <v>293641554</v>
      </c>
      <c r="HD3" s="19" t="s">
        <v>89</v>
      </c>
      <c r="HE3" s="19">
        <v>377053695</v>
      </c>
      <c r="HF3" s="19">
        <v>567136961</v>
      </c>
      <c r="HG3" s="19">
        <v>115538865</v>
      </c>
      <c r="HH3" s="19">
        <v>40328525</v>
      </c>
      <c r="HI3" s="19">
        <v>118495108</v>
      </c>
      <c r="HJ3" s="19">
        <v>598562572</v>
      </c>
      <c r="HK3" s="19">
        <v>2047057608</v>
      </c>
      <c r="HL3" s="19">
        <v>108159021</v>
      </c>
      <c r="HM3" s="19">
        <v>129959386</v>
      </c>
      <c r="HN3" s="19">
        <v>102579312</v>
      </c>
      <c r="HO3" s="19">
        <v>520085135</v>
      </c>
      <c r="HP3" s="19" t="s">
        <v>89</v>
      </c>
    </row>
    <row r="4" spans="1:224">
      <c r="A4" s="7" t="s">
        <v>5</v>
      </c>
      <c r="B4" s="11" t="s">
        <v>23</v>
      </c>
      <c r="C4" s="19">
        <v>411331913</v>
      </c>
      <c r="D4" s="19">
        <v>1227476724</v>
      </c>
      <c r="E4" s="19">
        <v>243859028</v>
      </c>
      <c r="F4" s="19">
        <v>450232576</v>
      </c>
      <c r="G4" s="19">
        <v>35757269</v>
      </c>
      <c r="H4" s="19">
        <v>270805732</v>
      </c>
      <c r="I4" s="19">
        <v>1247814567</v>
      </c>
      <c r="J4" s="19" t="s">
        <v>4</v>
      </c>
      <c r="K4" s="19">
        <v>497957746</v>
      </c>
      <c r="L4" s="19">
        <v>126210042</v>
      </c>
      <c r="M4" s="19" t="s">
        <v>96</v>
      </c>
      <c r="N4" s="19">
        <v>295025428</v>
      </c>
      <c r="O4" s="19">
        <v>847961293</v>
      </c>
      <c r="P4" s="19">
        <v>947518518</v>
      </c>
      <c r="Q4" s="19">
        <v>95249426</v>
      </c>
      <c r="R4" s="19">
        <v>190586879</v>
      </c>
      <c r="S4" s="19">
        <v>1877054641</v>
      </c>
      <c r="T4" s="19" t="s">
        <v>96</v>
      </c>
      <c r="U4" s="19">
        <v>2446420765</v>
      </c>
      <c r="V4" s="19">
        <v>173959825</v>
      </c>
      <c r="W4" s="19">
        <v>396925592</v>
      </c>
      <c r="X4" s="19">
        <v>1789415975</v>
      </c>
      <c r="Y4" s="19">
        <v>190907898</v>
      </c>
      <c r="Z4" s="19">
        <v>287737973</v>
      </c>
      <c r="AA4" s="19">
        <v>2650812128</v>
      </c>
      <c r="AB4" s="19">
        <v>231260154</v>
      </c>
      <c r="AC4" s="19">
        <v>126925462</v>
      </c>
      <c r="AD4" s="19">
        <v>1231469139</v>
      </c>
      <c r="AE4" s="19">
        <v>799301395</v>
      </c>
      <c r="AF4" s="19">
        <v>189405026</v>
      </c>
      <c r="AG4" s="19">
        <v>387294675</v>
      </c>
      <c r="AH4" s="19">
        <v>1106526555</v>
      </c>
      <c r="AI4" s="19">
        <v>264352951</v>
      </c>
      <c r="AJ4" s="19">
        <v>231373426</v>
      </c>
      <c r="AK4" s="19" t="s">
        <v>89</v>
      </c>
      <c r="AL4" s="19">
        <v>352459472</v>
      </c>
      <c r="AM4" s="19" t="s">
        <v>4</v>
      </c>
      <c r="AN4" s="19">
        <v>182208896</v>
      </c>
      <c r="AO4" s="19">
        <v>1672942715</v>
      </c>
      <c r="AP4" s="19">
        <v>666742585</v>
      </c>
      <c r="AQ4" s="19" t="s">
        <v>4</v>
      </c>
      <c r="AR4" s="19">
        <v>59752670</v>
      </c>
      <c r="AS4" s="19">
        <v>1396932610</v>
      </c>
      <c r="AT4" s="19">
        <v>608834988</v>
      </c>
      <c r="AU4" s="19">
        <v>122139414</v>
      </c>
      <c r="AV4" s="19">
        <v>265077112</v>
      </c>
      <c r="AW4" s="19">
        <v>87033830</v>
      </c>
      <c r="AX4" s="19" t="s">
        <v>4</v>
      </c>
      <c r="AY4" s="19">
        <v>126955532</v>
      </c>
      <c r="AZ4" s="19">
        <v>510013134</v>
      </c>
      <c r="BA4" s="19">
        <v>740474462</v>
      </c>
      <c r="BB4" s="19">
        <v>55551910</v>
      </c>
      <c r="BC4" s="19">
        <v>823129332</v>
      </c>
      <c r="BD4" s="19">
        <v>204483270</v>
      </c>
      <c r="BE4" s="19">
        <v>136984616</v>
      </c>
      <c r="BF4" s="19">
        <v>531222097</v>
      </c>
      <c r="BG4" s="19">
        <v>360206060</v>
      </c>
      <c r="BH4" s="19">
        <v>75144407</v>
      </c>
      <c r="BI4" s="19">
        <v>589524917</v>
      </c>
      <c r="BJ4" s="19">
        <v>579113289</v>
      </c>
      <c r="BK4" s="19">
        <v>519754207</v>
      </c>
      <c r="BL4" s="19">
        <v>490175074</v>
      </c>
      <c r="BM4" s="19">
        <v>340795326</v>
      </c>
      <c r="BN4" s="19">
        <v>230321870</v>
      </c>
      <c r="BO4" s="19">
        <v>162362266</v>
      </c>
      <c r="BP4" s="19">
        <v>31824377</v>
      </c>
      <c r="BQ4" s="19" t="s">
        <v>96</v>
      </c>
      <c r="BR4" s="19">
        <v>841802638</v>
      </c>
      <c r="BS4" s="19">
        <v>13251953</v>
      </c>
      <c r="BT4" s="19">
        <v>23670963</v>
      </c>
      <c r="BU4" s="19">
        <v>408491065</v>
      </c>
      <c r="BV4" s="19">
        <v>498530933</v>
      </c>
      <c r="BW4" s="19">
        <v>19825601</v>
      </c>
      <c r="BX4" s="19">
        <v>178459347</v>
      </c>
      <c r="BY4" s="19">
        <v>384749804</v>
      </c>
      <c r="BZ4" s="19">
        <v>755364670</v>
      </c>
      <c r="CA4" s="19">
        <v>517166582</v>
      </c>
      <c r="CB4" s="19">
        <v>84989965</v>
      </c>
      <c r="CC4" s="19">
        <v>72993332</v>
      </c>
      <c r="CD4" s="19">
        <v>731306756</v>
      </c>
      <c r="CE4" s="19">
        <v>112845569</v>
      </c>
      <c r="CF4" s="19">
        <v>245288904</v>
      </c>
      <c r="CG4" s="19">
        <v>123689934</v>
      </c>
      <c r="CH4" s="19">
        <v>113554884</v>
      </c>
      <c r="CI4" s="19" t="s">
        <v>89</v>
      </c>
      <c r="CJ4" s="19">
        <v>107419367</v>
      </c>
      <c r="CK4" s="19">
        <v>175033555</v>
      </c>
      <c r="CL4" s="19">
        <v>107385383</v>
      </c>
      <c r="CM4" s="19">
        <v>1468706347</v>
      </c>
      <c r="CN4" s="19">
        <v>85238582</v>
      </c>
      <c r="CO4" s="19">
        <v>148826053</v>
      </c>
      <c r="CP4" s="19">
        <v>574499647</v>
      </c>
      <c r="CQ4" s="19" t="s">
        <v>96</v>
      </c>
      <c r="CR4" s="19">
        <v>287740091</v>
      </c>
      <c r="CS4" s="19">
        <v>698384819</v>
      </c>
      <c r="CT4" s="19">
        <v>551128932</v>
      </c>
      <c r="CU4" s="19">
        <v>182644080</v>
      </c>
      <c r="CV4" s="19">
        <v>21460787</v>
      </c>
      <c r="CW4" s="19">
        <v>828123137</v>
      </c>
      <c r="CX4" s="19">
        <v>3706588486</v>
      </c>
      <c r="CY4" s="19">
        <v>2982654317</v>
      </c>
      <c r="CZ4" s="19">
        <v>254661617</v>
      </c>
      <c r="DA4" s="19">
        <v>85939401</v>
      </c>
      <c r="DB4" s="19">
        <v>556577754</v>
      </c>
      <c r="DC4" s="19">
        <v>78105238</v>
      </c>
      <c r="DD4" s="19">
        <v>75575580</v>
      </c>
      <c r="DE4" s="19">
        <v>76620811</v>
      </c>
      <c r="DF4" s="19">
        <v>37948713</v>
      </c>
      <c r="DG4" s="19">
        <v>370795492</v>
      </c>
      <c r="DH4" s="19">
        <v>200476412</v>
      </c>
      <c r="DI4" s="19">
        <v>1371009458</v>
      </c>
      <c r="DJ4" s="19">
        <v>100040192</v>
      </c>
      <c r="DK4" s="19">
        <v>935785196</v>
      </c>
      <c r="DL4" s="19">
        <v>204170058</v>
      </c>
      <c r="DM4" s="19">
        <v>260750591</v>
      </c>
      <c r="DN4" s="19">
        <v>131100607</v>
      </c>
      <c r="DO4" s="19">
        <v>74050608</v>
      </c>
      <c r="DP4" s="19">
        <v>857120666</v>
      </c>
      <c r="DQ4" s="19">
        <v>355586649</v>
      </c>
      <c r="DR4" s="19">
        <v>304258333</v>
      </c>
      <c r="DS4" s="19">
        <v>97728594</v>
      </c>
      <c r="DT4" s="19">
        <v>528187364</v>
      </c>
      <c r="DU4" s="19">
        <v>214732142</v>
      </c>
      <c r="DV4" s="19">
        <v>484457409</v>
      </c>
      <c r="DW4" s="19">
        <v>568184958</v>
      </c>
      <c r="DX4" s="19">
        <v>2052148257</v>
      </c>
      <c r="DY4" s="19">
        <v>107090326</v>
      </c>
      <c r="DZ4" s="19">
        <v>456160935</v>
      </c>
      <c r="EA4" s="19">
        <v>20606211</v>
      </c>
      <c r="EB4" s="19">
        <v>684160103</v>
      </c>
      <c r="EC4" s="19">
        <v>42957195</v>
      </c>
      <c r="ED4" s="19">
        <v>28974557</v>
      </c>
      <c r="EE4" s="19">
        <v>121893698</v>
      </c>
      <c r="EF4" s="19">
        <v>702111407</v>
      </c>
      <c r="EG4" s="19">
        <v>701434750</v>
      </c>
      <c r="EH4" s="19">
        <v>43866871</v>
      </c>
      <c r="EI4" s="19">
        <v>808308077</v>
      </c>
      <c r="EJ4" s="19">
        <v>152915354</v>
      </c>
      <c r="EK4" s="19" t="s">
        <v>89</v>
      </c>
      <c r="EL4" s="19">
        <v>2069120117</v>
      </c>
      <c r="EM4" s="19">
        <v>382523782</v>
      </c>
      <c r="EN4" s="19">
        <v>1624068549</v>
      </c>
      <c r="EO4" s="19">
        <v>554890617</v>
      </c>
      <c r="EP4" s="19">
        <v>175053150</v>
      </c>
      <c r="EQ4" s="19">
        <v>712958146</v>
      </c>
      <c r="ER4" s="19">
        <v>1161045838</v>
      </c>
      <c r="ES4" s="19">
        <v>386383077</v>
      </c>
      <c r="ET4" s="19">
        <v>1261568578</v>
      </c>
      <c r="EU4" s="19">
        <v>1725843457</v>
      </c>
      <c r="EV4" s="19">
        <v>32421009</v>
      </c>
      <c r="EW4" s="19">
        <v>40380890</v>
      </c>
      <c r="EX4" s="19">
        <v>585135538</v>
      </c>
      <c r="EY4" s="19">
        <v>621588501</v>
      </c>
      <c r="EZ4" s="19">
        <v>200906910</v>
      </c>
      <c r="FA4" s="19">
        <v>308486035</v>
      </c>
      <c r="FB4" s="19">
        <v>81109200</v>
      </c>
      <c r="FC4" s="19">
        <v>323327647</v>
      </c>
      <c r="FD4" s="19">
        <v>133245717</v>
      </c>
      <c r="FE4" s="19">
        <v>2741780097</v>
      </c>
      <c r="FF4" s="19">
        <v>20350788</v>
      </c>
      <c r="FG4" s="19">
        <v>578174583</v>
      </c>
      <c r="FH4" s="19">
        <v>113483322</v>
      </c>
      <c r="FI4" s="19">
        <v>38883285</v>
      </c>
      <c r="FJ4" s="19">
        <v>106398384</v>
      </c>
      <c r="FK4" s="19">
        <v>206669162</v>
      </c>
      <c r="FL4" s="19">
        <v>223660154</v>
      </c>
      <c r="FM4" s="19">
        <v>9095899</v>
      </c>
      <c r="FN4" s="19">
        <v>540760478</v>
      </c>
      <c r="FO4" s="19">
        <v>11506396</v>
      </c>
      <c r="FP4" s="19">
        <v>180566028</v>
      </c>
      <c r="FQ4" s="19">
        <v>48189707</v>
      </c>
      <c r="FR4" s="19">
        <v>124603884</v>
      </c>
      <c r="FS4" s="19">
        <v>33210341</v>
      </c>
      <c r="FT4" s="19">
        <v>728461111</v>
      </c>
      <c r="FU4" s="19" t="s">
        <v>152</v>
      </c>
      <c r="FV4" s="19">
        <v>1033590030</v>
      </c>
      <c r="FW4" s="19">
        <v>78891502</v>
      </c>
      <c r="FX4" s="19">
        <v>175186843</v>
      </c>
      <c r="FY4" s="19">
        <v>291428715</v>
      </c>
      <c r="FZ4" s="19">
        <v>329020298</v>
      </c>
      <c r="GA4" s="19">
        <v>189007382</v>
      </c>
      <c r="GB4" s="19">
        <v>74238612</v>
      </c>
      <c r="GC4" s="19">
        <v>300236957</v>
      </c>
      <c r="GD4" s="19" t="s">
        <v>96</v>
      </c>
      <c r="GE4" s="19">
        <v>8454923</v>
      </c>
      <c r="GF4" s="19">
        <v>37119937</v>
      </c>
      <c r="GG4" s="19">
        <v>236360767</v>
      </c>
      <c r="GH4" s="19">
        <v>391728297</v>
      </c>
      <c r="GI4" s="19">
        <v>8041794</v>
      </c>
      <c r="GJ4" s="19">
        <v>97184074</v>
      </c>
      <c r="GK4" s="19">
        <v>12150142</v>
      </c>
      <c r="GL4" s="19">
        <v>11573111</v>
      </c>
      <c r="GM4" s="19">
        <v>18402039</v>
      </c>
      <c r="GN4" s="19">
        <v>290639223</v>
      </c>
      <c r="GO4" s="19">
        <v>429604561</v>
      </c>
      <c r="GP4" s="19">
        <v>1629832480</v>
      </c>
      <c r="GQ4" s="19">
        <v>286858910</v>
      </c>
      <c r="GR4" s="19">
        <v>64835650</v>
      </c>
      <c r="GS4" s="19">
        <v>1086529123</v>
      </c>
      <c r="GT4" s="19">
        <v>8041794</v>
      </c>
      <c r="GU4" s="19">
        <v>22234621</v>
      </c>
      <c r="GV4" s="19" t="s">
        <v>89</v>
      </c>
      <c r="GW4" s="19">
        <v>1709954144</v>
      </c>
      <c r="GX4" s="19">
        <v>237702810</v>
      </c>
      <c r="GY4" s="19">
        <v>688229023</v>
      </c>
      <c r="GZ4" s="19">
        <v>160446964</v>
      </c>
      <c r="HA4" s="19">
        <v>58178807</v>
      </c>
      <c r="HB4" s="19">
        <v>200345383</v>
      </c>
      <c r="HC4" s="19">
        <v>293641554</v>
      </c>
      <c r="HD4" s="19" t="s">
        <v>89</v>
      </c>
      <c r="HE4" s="19">
        <v>350340369</v>
      </c>
      <c r="HF4" s="19">
        <v>567136961</v>
      </c>
      <c r="HG4" s="19">
        <v>115538865</v>
      </c>
      <c r="HH4" s="19">
        <v>39547980</v>
      </c>
      <c r="HI4" s="19">
        <v>118495108</v>
      </c>
      <c r="HJ4" s="19">
        <v>452132872</v>
      </c>
      <c r="HK4" s="19">
        <v>1710659591</v>
      </c>
      <c r="HL4" s="19">
        <v>108159021</v>
      </c>
      <c r="HM4" s="19">
        <v>129959386</v>
      </c>
      <c r="HN4" s="19">
        <v>102579312</v>
      </c>
      <c r="HO4" s="19">
        <v>510170095</v>
      </c>
      <c r="HP4" s="19" t="s">
        <v>89</v>
      </c>
    </row>
    <row r="5" spans="1:224">
      <c r="A5" s="7" t="s">
        <v>5</v>
      </c>
      <c r="B5" s="12" t="s">
        <v>61</v>
      </c>
      <c r="C5" s="19">
        <v>103949216</v>
      </c>
      <c r="D5" s="19">
        <v>170024290</v>
      </c>
      <c r="E5" s="19">
        <v>206818635</v>
      </c>
      <c r="F5" s="19">
        <v>141291914</v>
      </c>
      <c r="G5" s="19">
        <v>23134161</v>
      </c>
      <c r="H5" s="19">
        <v>72705106</v>
      </c>
      <c r="I5" s="19">
        <v>98560151</v>
      </c>
      <c r="J5" s="19" t="s">
        <v>4</v>
      </c>
      <c r="K5" s="19">
        <v>206365239</v>
      </c>
      <c r="L5" s="19">
        <v>31776465</v>
      </c>
      <c r="M5" s="19" t="s">
        <v>96</v>
      </c>
      <c r="N5" s="19">
        <v>176083722</v>
      </c>
      <c r="O5" s="19">
        <v>413295661</v>
      </c>
      <c r="P5" s="19">
        <v>516501377</v>
      </c>
      <c r="Q5" s="19">
        <v>88276611</v>
      </c>
      <c r="R5" s="19">
        <v>175408414</v>
      </c>
      <c r="S5" s="19">
        <v>1083899775</v>
      </c>
      <c r="T5" s="19" t="s">
        <v>96</v>
      </c>
      <c r="U5" s="19">
        <v>2263577971</v>
      </c>
      <c r="V5" s="19">
        <v>3787911</v>
      </c>
      <c r="W5" s="19">
        <v>201934418</v>
      </c>
      <c r="X5" s="19">
        <v>956956252</v>
      </c>
      <c r="Y5" s="19">
        <v>178563176</v>
      </c>
      <c r="Z5" s="19">
        <v>12699994</v>
      </c>
      <c r="AA5" s="19">
        <v>215317623</v>
      </c>
      <c r="AB5" s="19">
        <v>166027487</v>
      </c>
      <c r="AC5" s="19">
        <v>100541039</v>
      </c>
      <c r="AD5" s="19">
        <v>1125924769</v>
      </c>
      <c r="AE5" s="19">
        <v>467702607</v>
      </c>
      <c r="AF5" s="19">
        <v>8428404</v>
      </c>
      <c r="AG5" s="19">
        <v>74183887</v>
      </c>
      <c r="AH5" s="19">
        <v>219485655</v>
      </c>
      <c r="AI5" s="19">
        <v>55755528</v>
      </c>
      <c r="AJ5" s="19">
        <v>87537677</v>
      </c>
      <c r="AK5" s="19" t="s">
        <v>89</v>
      </c>
      <c r="AL5" s="19">
        <v>304537100</v>
      </c>
      <c r="AM5" s="19" t="s">
        <v>4</v>
      </c>
      <c r="AN5" s="19">
        <v>103107721</v>
      </c>
      <c r="AO5" s="19">
        <v>1543932741</v>
      </c>
      <c r="AP5" s="19">
        <v>645871828</v>
      </c>
      <c r="AQ5" s="19" t="s">
        <v>4</v>
      </c>
      <c r="AR5" s="19">
        <v>35388295</v>
      </c>
      <c r="AS5" s="19">
        <v>246269903</v>
      </c>
      <c r="AT5" s="19">
        <v>547412536</v>
      </c>
      <c r="AU5" s="19">
        <v>4314158</v>
      </c>
      <c r="AV5" s="19">
        <v>211177112</v>
      </c>
      <c r="AW5" s="19">
        <v>43014084</v>
      </c>
      <c r="AX5" s="19" t="s">
        <v>4</v>
      </c>
      <c r="AY5" s="19">
        <v>112912850</v>
      </c>
      <c r="AZ5" s="19">
        <v>369558377</v>
      </c>
      <c r="BA5" s="19">
        <v>54936354</v>
      </c>
      <c r="BB5" s="19">
        <v>55159571</v>
      </c>
      <c r="BC5" s="19">
        <v>341104097</v>
      </c>
      <c r="BD5" s="19">
        <v>130322747</v>
      </c>
      <c r="BE5" s="19">
        <v>61842453</v>
      </c>
      <c r="BF5" s="19">
        <v>119386114</v>
      </c>
      <c r="BG5" s="19">
        <v>260002853</v>
      </c>
      <c r="BH5" s="19">
        <v>31358055</v>
      </c>
      <c r="BI5" s="19">
        <v>536863142</v>
      </c>
      <c r="BJ5" s="19">
        <v>275035838</v>
      </c>
      <c r="BK5" s="19">
        <v>156262059</v>
      </c>
      <c r="BL5" s="19">
        <v>377198233</v>
      </c>
      <c r="BM5" s="19">
        <v>236653951</v>
      </c>
      <c r="BN5" s="19">
        <v>219859709</v>
      </c>
      <c r="BO5" s="19">
        <v>55497194</v>
      </c>
      <c r="BP5" s="19">
        <v>20617621</v>
      </c>
      <c r="BQ5" s="19" t="s">
        <v>96</v>
      </c>
      <c r="BR5" s="19">
        <v>689392395</v>
      </c>
      <c r="BS5" s="19">
        <v>5098727</v>
      </c>
      <c r="BT5" s="19">
        <v>14350749</v>
      </c>
      <c r="BU5" s="19">
        <v>167699204</v>
      </c>
      <c r="BV5" s="19">
        <v>33774734</v>
      </c>
      <c r="BW5" s="19">
        <v>17420725</v>
      </c>
      <c r="BX5" s="19">
        <v>169670142</v>
      </c>
      <c r="BY5" s="19">
        <v>86644157</v>
      </c>
      <c r="BZ5" s="19">
        <v>12360089</v>
      </c>
      <c r="CA5" s="19">
        <v>410541133</v>
      </c>
      <c r="CB5" s="19">
        <v>58175504</v>
      </c>
      <c r="CC5" s="19">
        <v>57499882</v>
      </c>
      <c r="CD5" s="19">
        <v>706145972</v>
      </c>
      <c r="CE5" s="19">
        <v>3560691</v>
      </c>
      <c r="CF5" s="19">
        <v>1111071</v>
      </c>
      <c r="CG5" s="19">
        <v>91604963</v>
      </c>
      <c r="CH5" s="19">
        <v>96685994</v>
      </c>
      <c r="CI5" s="19" t="s">
        <v>89</v>
      </c>
      <c r="CJ5" s="19">
        <v>13922238</v>
      </c>
      <c r="CK5" s="19">
        <v>55991792</v>
      </c>
      <c r="CL5" s="19">
        <v>20896220</v>
      </c>
      <c r="CM5" s="19">
        <v>387679782</v>
      </c>
      <c r="CN5" s="19">
        <v>42248745</v>
      </c>
      <c r="CO5" s="19">
        <v>112848948</v>
      </c>
      <c r="CP5" s="19">
        <v>4784042</v>
      </c>
      <c r="CQ5" s="19" t="s">
        <v>96</v>
      </c>
      <c r="CR5" s="19">
        <v>223078874</v>
      </c>
      <c r="CS5" s="19">
        <v>294406606</v>
      </c>
      <c r="CT5" s="19">
        <v>482436450</v>
      </c>
      <c r="CU5" s="19">
        <v>182644080</v>
      </c>
      <c r="CV5" s="19">
        <v>10963945</v>
      </c>
      <c r="CW5" s="19">
        <v>247402585</v>
      </c>
      <c r="CX5" s="19">
        <v>1580149494</v>
      </c>
      <c r="CY5" s="19">
        <v>761575459</v>
      </c>
      <c r="CZ5" s="19">
        <v>175842656</v>
      </c>
      <c r="DA5" s="19">
        <v>46245272</v>
      </c>
      <c r="DB5" s="19">
        <v>225035401</v>
      </c>
      <c r="DC5" s="19">
        <v>7674150</v>
      </c>
      <c r="DD5" s="19">
        <v>72903594</v>
      </c>
      <c r="DE5" s="19">
        <v>76620811</v>
      </c>
      <c r="DF5" s="19">
        <v>22605626</v>
      </c>
      <c r="DG5" s="19">
        <v>13070217</v>
      </c>
      <c r="DH5" s="19">
        <v>13095142</v>
      </c>
      <c r="DI5" s="19">
        <v>628457313</v>
      </c>
      <c r="DJ5" s="19">
        <v>99732025</v>
      </c>
      <c r="DK5" s="19">
        <v>652112866</v>
      </c>
      <c r="DL5" s="19">
        <v>113661341</v>
      </c>
      <c r="DM5" s="19">
        <v>3542550</v>
      </c>
      <c r="DN5" s="19">
        <v>69497122</v>
      </c>
      <c r="DO5" s="19">
        <v>20649155</v>
      </c>
      <c r="DP5" s="19">
        <v>776452431</v>
      </c>
      <c r="DQ5" s="19">
        <v>8410573</v>
      </c>
      <c r="DR5" s="19">
        <v>83862511</v>
      </c>
      <c r="DS5" s="19">
        <v>38370147</v>
      </c>
      <c r="DT5" s="19">
        <v>176129594</v>
      </c>
      <c r="DU5" s="19">
        <v>214680262</v>
      </c>
      <c r="DV5" s="19">
        <v>423893061</v>
      </c>
      <c r="DW5" s="19">
        <v>269774530</v>
      </c>
      <c r="DX5" s="19">
        <v>1718871044</v>
      </c>
      <c r="DY5" s="19">
        <v>10214908</v>
      </c>
      <c r="DZ5" s="19">
        <v>353188094</v>
      </c>
      <c r="EA5" s="19">
        <v>11156211</v>
      </c>
      <c r="EB5" s="19">
        <v>223108015</v>
      </c>
      <c r="EC5" s="19">
        <v>24267241</v>
      </c>
      <c r="ED5" s="19">
        <v>23113434</v>
      </c>
      <c r="EE5" s="19">
        <v>71506291</v>
      </c>
      <c r="EF5" s="19">
        <v>194732091</v>
      </c>
      <c r="EG5" s="19">
        <v>486395693</v>
      </c>
      <c r="EH5" s="19">
        <v>24957384</v>
      </c>
      <c r="EI5" s="19">
        <v>418255892</v>
      </c>
      <c r="EJ5" s="19">
        <v>149856528</v>
      </c>
      <c r="EK5" s="19" t="s">
        <v>89</v>
      </c>
      <c r="EL5" s="19">
        <v>1118270212</v>
      </c>
      <c r="EM5" s="19">
        <v>310321349</v>
      </c>
      <c r="EN5" s="19">
        <v>495634310</v>
      </c>
      <c r="EO5" s="19">
        <v>525175011</v>
      </c>
      <c r="EP5" s="19">
        <v>164718000</v>
      </c>
      <c r="EQ5" s="19">
        <v>712958146</v>
      </c>
      <c r="ER5" s="19">
        <v>241452297</v>
      </c>
      <c r="ES5" s="19">
        <v>266177086</v>
      </c>
      <c r="ET5" s="19">
        <v>134388706</v>
      </c>
      <c r="EU5" s="19">
        <v>1318649782</v>
      </c>
      <c r="EV5" s="19">
        <v>6382839</v>
      </c>
      <c r="EW5" s="19">
        <v>12887407</v>
      </c>
      <c r="EX5" s="19">
        <v>364990282</v>
      </c>
      <c r="EY5" s="19">
        <v>328913231</v>
      </c>
      <c r="EZ5" s="19">
        <v>189919311</v>
      </c>
      <c r="FA5" s="19">
        <v>292081138</v>
      </c>
      <c r="FB5" s="19">
        <v>37600665</v>
      </c>
      <c r="FC5" s="19">
        <v>219374608</v>
      </c>
      <c r="FD5" s="19">
        <v>63769000</v>
      </c>
      <c r="FE5" s="19">
        <v>1364320539</v>
      </c>
      <c r="FF5" s="19">
        <v>16418213</v>
      </c>
      <c r="FG5" s="19">
        <v>385103193</v>
      </c>
      <c r="FH5" s="19">
        <v>68238772</v>
      </c>
      <c r="FI5" s="19">
        <v>33671566</v>
      </c>
      <c r="FJ5" s="19">
        <v>73461023</v>
      </c>
      <c r="FK5" s="19">
        <v>41179874</v>
      </c>
      <c r="FL5" s="19">
        <v>214813104</v>
      </c>
      <c r="FM5" s="19">
        <v>1416255</v>
      </c>
      <c r="FN5" s="19">
        <v>447954489</v>
      </c>
      <c r="FO5" s="19">
        <v>11506396</v>
      </c>
      <c r="FP5" s="19">
        <v>177160174</v>
      </c>
      <c r="FQ5" s="19">
        <v>26470739</v>
      </c>
      <c r="FR5" s="19">
        <v>107954170</v>
      </c>
      <c r="FS5" s="19">
        <v>30508540</v>
      </c>
      <c r="FT5" s="19">
        <v>460369299</v>
      </c>
      <c r="FU5" s="19" t="s">
        <v>152</v>
      </c>
      <c r="FV5" s="19">
        <v>24485521</v>
      </c>
      <c r="FW5" s="19">
        <v>3113910</v>
      </c>
      <c r="FX5" s="19">
        <v>173892214</v>
      </c>
      <c r="FY5" s="19">
        <v>242107065</v>
      </c>
      <c r="FZ5" s="19">
        <v>269947079</v>
      </c>
      <c r="GA5" s="19">
        <v>183785612</v>
      </c>
      <c r="GB5" s="19">
        <v>69586442</v>
      </c>
      <c r="GC5" s="19">
        <v>88319771</v>
      </c>
      <c r="GD5" s="19" t="s">
        <v>96</v>
      </c>
      <c r="GE5" s="19">
        <v>3871171</v>
      </c>
      <c r="GF5" s="19">
        <v>6387649</v>
      </c>
      <c r="GG5" s="19">
        <v>185673440</v>
      </c>
      <c r="GH5" s="19">
        <v>370952314</v>
      </c>
      <c r="GI5" s="19">
        <v>2643476</v>
      </c>
      <c r="GJ5" s="19">
        <v>97184074</v>
      </c>
      <c r="GK5" s="19">
        <v>11006572</v>
      </c>
      <c r="GL5" s="19">
        <v>6136638</v>
      </c>
      <c r="GM5" s="19">
        <v>18402039</v>
      </c>
      <c r="GN5" s="19">
        <v>264421031</v>
      </c>
      <c r="GO5" s="19">
        <v>330620607</v>
      </c>
      <c r="GP5" s="19">
        <v>594338445</v>
      </c>
      <c r="GQ5" s="19">
        <v>286147650</v>
      </c>
      <c r="GR5" s="19">
        <v>21972545</v>
      </c>
      <c r="GS5" s="19">
        <v>274898601</v>
      </c>
      <c r="GT5" s="19">
        <v>2643476</v>
      </c>
      <c r="GU5" s="19">
        <v>22193931</v>
      </c>
      <c r="GV5" s="19" t="s">
        <v>89</v>
      </c>
      <c r="GW5" s="19">
        <v>1515373693</v>
      </c>
      <c r="GX5" s="19">
        <v>105294144</v>
      </c>
      <c r="GY5" s="19">
        <v>551771271</v>
      </c>
      <c r="GZ5" s="19">
        <v>122452333</v>
      </c>
      <c r="HA5" s="19">
        <v>20167229</v>
      </c>
      <c r="HB5" s="19">
        <v>171542027</v>
      </c>
      <c r="HC5" s="19">
        <v>5392555</v>
      </c>
      <c r="HD5" s="19" t="s">
        <v>89</v>
      </c>
      <c r="HE5" s="19">
        <v>287229654</v>
      </c>
      <c r="HF5" s="19">
        <v>98662640</v>
      </c>
      <c r="HG5" s="19">
        <v>113246902</v>
      </c>
      <c r="HH5" s="19">
        <v>10645366</v>
      </c>
      <c r="HI5" s="19">
        <v>68866912</v>
      </c>
      <c r="HJ5" s="19">
        <v>281837596</v>
      </c>
      <c r="HK5" s="19">
        <v>1663960334</v>
      </c>
      <c r="HL5" s="19">
        <v>92960982</v>
      </c>
      <c r="HM5" s="19">
        <v>129959386</v>
      </c>
      <c r="HN5" s="19">
        <v>102013801</v>
      </c>
      <c r="HO5" s="19">
        <v>474843383</v>
      </c>
      <c r="HP5" s="19" t="s">
        <v>89</v>
      </c>
    </row>
    <row r="6" spans="1:224">
      <c r="A6" s="7" t="s">
        <v>5</v>
      </c>
      <c r="B6" s="12" t="s">
        <v>75</v>
      </c>
      <c r="C6" s="19">
        <v>240994260</v>
      </c>
      <c r="D6" s="19">
        <v>0</v>
      </c>
      <c r="E6" s="19"/>
      <c r="F6" s="19">
        <v>300000000</v>
      </c>
      <c r="G6" s="19"/>
      <c r="H6" s="19"/>
      <c r="I6" s="19">
        <v>48500000</v>
      </c>
      <c r="J6" s="19" t="s">
        <v>4</v>
      </c>
      <c r="K6" s="19"/>
      <c r="L6" s="19"/>
      <c r="M6" s="19" t="s">
        <v>96</v>
      </c>
      <c r="N6" s="19">
        <v>50000000</v>
      </c>
      <c r="O6" s="19">
        <v>2700000</v>
      </c>
      <c r="P6" s="19">
        <v>80000</v>
      </c>
      <c r="Q6" s="19"/>
      <c r="R6" s="19"/>
      <c r="S6" s="19">
        <v>30000000</v>
      </c>
      <c r="T6" s="19" t="s">
        <v>96</v>
      </c>
      <c r="U6" s="19"/>
      <c r="V6" s="19"/>
      <c r="W6" s="19"/>
      <c r="X6" s="19">
        <v>119657558</v>
      </c>
      <c r="Y6" s="19">
        <v>5000000</v>
      </c>
      <c r="Z6" s="19"/>
      <c r="AA6" s="19"/>
      <c r="AB6" s="19">
        <v>60000000</v>
      </c>
      <c r="AC6" s="19">
        <v>385266</v>
      </c>
      <c r="AD6" s="19">
        <v>18000000</v>
      </c>
      <c r="AE6" s="19"/>
      <c r="AF6" s="19">
        <v>174000000</v>
      </c>
      <c r="AG6" s="19"/>
      <c r="AH6" s="19">
        <v>647808898</v>
      </c>
      <c r="AI6" s="19"/>
      <c r="AJ6" s="19">
        <v>1600000</v>
      </c>
      <c r="AK6" s="19" t="s">
        <v>89</v>
      </c>
      <c r="AL6" s="19"/>
      <c r="AM6" s="19" t="s">
        <v>4</v>
      </c>
      <c r="AN6" s="19"/>
      <c r="AO6" s="19"/>
      <c r="AP6" s="19">
        <v>3600000</v>
      </c>
      <c r="AQ6" s="19" t="s">
        <v>4</v>
      </c>
      <c r="AR6" s="19"/>
      <c r="AS6" s="19"/>
      <c r="AT6" s="19"/>
      <c r="AU6" s="19">
        <v>2777776</v>
      </c>
      <c r="AV6" s="19"/>
      <c r="AW6" s="19">
        <v>15601226</v>
      </c>
      <c r="AX6" s="19" t="s">
        <v>4</v>
      </c>
      <c r="AY6" s="19"/>
      <c r="AZ6" s="19"/>
      <c r="BA6" s="19"/>
      <c r="BB6" s="19"/>
      <c r="BC6" s="19"/>
      <c r="BD6" s="19"/>
      <c r="BE6" s="19">
        <v>27800000</v>
      </c>
      <c r="BF6" s="19">
        <v>127130000</v>
      </c>
      <c r="BG6" s="19"/>
      <c r="BH6" s="19"/>
      <c r="BI6" s="19"/>
      <c r="BJ6" s="19"/>
      <c r="BK6" s="19"/>
      <c r="BL6" s="19">
        <v>86331121</v>
      </c>
      <c r="BM6" s="19"/>
      <c r="BN6" s="19"/>
      <c r="BO6" s="19">
        <v>31586687</v>
      </c>
      <c r="BP6" s="19"/>
      <c r="BQ6" s="19" t="s">
        <v>96</v>
      </c>
      <c r="BR6" s="19"/>
      <c r="BS6" s="19"/>
      <c r="BT6" s="19"/>
      <c r="BU6" s="19">
        <v>200000000</v>
      </c>
      <c r="BV6" s="19"/>
      <c r="BW6" s="19"/>
      <c r="BX6" s="19"/>
      <c r="BY6" s="19"/>
      <c r="BZ6" s="19">
        <v>201410688</v>
      </c>
      <c r="CA6" s="19"/>
      <c r="CB6" s="19"/>
      <c r="CC6" s="19"/>
      <c r="CD6" s="19"/>
      <c r="CE6" s="19"/>
      <c r="CF6" s="19"/>
      <c r="CG6" s="19">
        <v>30000000</v>
      </c>
      <c r="CH6" s="19"/>
      <c r="CI6" s="19" t="s">
        <v>89</v>
      </c>
      <c r="CJ6" s="19">
        <v>20000000</v>
      </c>
      <c r="CK6" s="19">
        <v>19500000</v>
      </c>
      <c r="CL6" s="19">
        <v>29372627</v>
      </c>
      <c r="CM6" s="19">
        <v>409134615</v>
      </c>
      <c r="CN6" s="19">
        <v>15988155</v>
      </c>
      <c r="CO6" s="19"/>
      <c r="CP6" s="19">
        <v>22500000</v>
      </c>
      <c r="CQ6" s="19" t="s">
        <v>96</v>
      </c>
      <c r="CR6" s="19"/>
      <c r="CS6" s="19"/>
      <c r="CT6" s="19"/>
      <c r="CU6" s="19"/>
      <c r="CV6" s="19"/>
      <c r="CW6" s="19">
        <v>395721399</v>
      </c>
      <c r="CX6" s="19">
        <v>2019113200</v>
      </c>
      <c r="CY6" s="19">
        <v>884313539</v>
      </c>
      <c r="CZ6" s="19"/>
      <c r="DA6" s="19"/>
      <c r="DB6" s="19"/>
      <c r="DC6" s="19"/>
      <c r="DD6" s="19"/>
      <c r="DE6" s="19"/>
      <c r="DF6" s="19"/>
      <c r="DG6" s="19"/>
      <c r="DH6" s="19"/>
      <c r="DI6" s="19">
        <v>15790021</v>
      </c>
      <c r="DJ6" s="19"/>
      <c r="DK6" s="19">
        <v>15060570</v>
      </c>
      <c r="DL6" s="19"/>
      <c r="DM6" s="19"/>
      <c r="DN6" s="19"/>
      <c r="DO6" s="19">
        <v>49201830</v>
      </c>
      <c r="DP6" s="19">
        <v>774892</v>
      </c>
      <c r="DQ6" s="19">
        <v>32500000</v>
      </c>
      <c r="DR6" s="19"/>
      <c r="DS6" s="19"/>
      <c r="DT6" s="19"/>
      <c r="DU6" s="19"/>
      <c r="DV6" s="19"/>
      <c r="DW6" s="19">
        <v>950000</v>
      </c>
      <c r="DX6" s="19"/>
      <c r="DY6" s="19"/>
      <c r="DZ6" s="19"/>
      <c r="EA6" s="19">
        <v>9450000</v>
      </c>
      <c r="EB6" s="19"/>
      <c r="EC6" s="19"/>
      <c r="ED6" s="19"/>
      <c r="EE6" s="19">
        <v>7200000</v>
      </c>
      <c r="EF6" s="19">
        <v>3760983</v>
      </c>
      <c r="EG6" s="19">
        <v>40000000</v>
      </c>
      <c r="EH6" s="19"/>
      <c r="EI6" s="19"/>
      <c r="EJ6" s="19"/>
      <c r="EK6" s="19" t="s">
        <v>89</v>
      </c>
      <c r="EL6" s="19">
        <v>734029490</v>
      </c>
      <c r="EM6" s="19">
        <v>19600000</v>
      </c>
      <c r="EN6" s="19">
        <v>881121770</v>
      </c>
      <c r="EO6" s="19"/>
      <c r="EP6" s="19"/>
      <c r="EQ6" s="19"/>
      <c r="ER6" s="19"/>
      <c r="ES6" s="19">
        <v>36500000</v>
      </c>
      <c r="ET6" s="19">
        <v>1028990780</v>
      </c>
      <c r="EU6" s="19">
        <v>30000000</v>
      </c>
      <c r="EV6" s="19"/>
      <c r="EW6" s="19"/>
      <c r="EX6" s="19"/>
      <c r="EY6" s="19"/>
      <c r="EZ6" s="19"/>
      <c r="FA6" s="19"/>
      <c r="FB6" s="19"/>
      <c r="FC6" s="19"/>
      <c r="FD6" s="19"/>
      <c r="FE6" s="19">
        <v>120583460</v>
      </c>
      <c r="FF6" s="19"/>
      <c r="FG6" s="19"/>
      <c r="FH6" s="19"/>
      <c r="FI6" s="19"/>
      <c r="FJ6" s="19">
        <v>1405436</v>
      </c>
      <c r="FK6" s="19">
        <v>60886824</v>
      </c>
      <c r="FL6" s="19"/>
      <c r="FM6" s="19">
        <v>7019644</v>
      </c>
      <c r="FN6" s="19"/>
      <c r="FO6" s="19"/>
      <c r="FP6" s="19"/>
      <c r="FQ6" s="19"/>
      <c r="FR6" s="19"/>
      <c r="FS6" s="19"/>
      <c r="FT6" s="19"/>
      <c r="FU6" s="19" t="s">
        <v>152</v>
      </c>
      <c r="FV6" s="19"/>
      <c r="FW6" s="19">
        <v>70000000</v>
      </c>
      <c r="FX6" s="19"/>
      <c r="FY6" s="19"/>
      <c r="FZ6" s="19"/>
      <c r="GA6" s="19">
        <v>0</v>
      </c>
      <c r="GB6" s="19"/>
      <c r="GC6" s="19"/>
      <c r="GD6" s="19" t="s">
        <v>96</v>
      </c>
      <c r="GE6" s="19"/>
      <c r="GF6" s="19"/>
      <c r="GG6" s="19"/>
      <c r="GH6" s="19">
        <v>1576872</v>
      </c>
      <c r="GI6" s="19"/>
      <c r="GJ6" s="19"/>
      <c r="GK6" s="19"/>
      <c r="GL6" s="19"/>
      <c r="GM6" s="19"/>
      <c r="GN6" s="19"/>
      <c r="GO6" s="19"/>
      <c r="GP6" s="19">
        <v>9000000</v>
      </c>
      <c r="GQ6" s="19"/>
      <c r="GR6" s="19"/>
      <c r="GS6" s="19"/>
      <c r="GT6" s="19"/>
      <c r="GU6" s="19"/>
      <c r="GV6" s="19" t="s">
        <v>89</v>
      </c>
      <c r="GW6" s="19"/>
      <c r="GX6" s="19"/>
      <c r="GY6" s="19"/>
      <c r="GZ6" s="19"/>
      <c r="HA6" s="19"/>
      <c r="HB6" s="19"/>
      <c r="HC6" s="19"/>
      <c r="HD6" s="19" t="s">
        <v>89</v>
      </c>
      <c r="HE6" s="19"/>
      <c r="HF6" s="19">
        <v>12600000</v>
      </c>
      <c r="HG6" s="19"/>
      <c r="HH6" s="19">
        <v>1577077</v>
      </c>
      <c r="HI6" s="19"/>
      <c r="HJ6" s="19"/>
      <c r="HK6" s="19"/>
      <c r="HL6" s="19"/>
      <c r="HM6" s="19"/>
      <c r="HN6" s="19"/>
      <c r="HO6" s="19"/>
      <c r="HP6" s="19" t="s">
        <v>89</v>
      </c>
    </row>
    <row r="7" spans="1:224">
      <c r="A7" s="7" t="s">
        <v>5</v>
      </c>
      <c r="B7" s="13" t="s">
        <v>51</v>
      </c>
      <c r="C7" s="19">
        <v>10357013</v>
      </c>
      <c r="D7" s="19">
        <v>717886718</v>
      </c>
      <c r="E7" s="19">
        <v>23565174</v>
      </c>
      <c r="F7" s="19"/>
      <c r="G7" s="19">
        <v>2682193</v>
      </c>
      <c r="H7" s="19"/>
      <c r="I7" s="19"/>
      <c r="J7" s="19" t="s">
        <v>4</v>
      </c>
      <c r="K7" s="19">
        <v>285712845</v>
      </c>
      <c r="L7" s="19">
        <v>79607286</v>
      </c>
      <c r="M7" s="19" t="s">
        <v>96</v>
      </c>
      <c r="N7" s="19">
        <v>49289109</v>
      </c>
      <c r="O7" s="19">
        <v>413240734</v>
      </c>
      <c r="P7" s="19"/>
      <c r="Q7" s="19">
        <v>2206569</v>
      </c>
      <c r="R7" s="19">
        <v>15139138</v>
      </c>
      <c r="S7" s="19">
        <v>287246263</v>
      </c>
      <c r="T7" s="19" t="s">
        <v>96</v>
      </c>
      <c r="U7" s="19">
        <v>176898867</v>
      </c>
      <c r="V7" s="19">
        <v>8531546</v>
      </c>
      <c r="W7" s="19">
        <v>46133000</v>
      </c>
      <c r="X7" s="19">
        <v>256393782</v>
      </c>
      <c r="Y7" s="19">
        <v>5610000</v>
      </c>
      <c r="Z7" s="19">
        <v>222303877</v>
      </c>
      <c r="AA7" s="19">
        <v>2207382449</v>
      </c>
      <c r="AB7" s="19">
        <v>283000</v>
      </c>
      <c r="AC7" s="19">
        <v>16690000</v>
      </c>
      <c r="AD7" s="19">
        <v>52375416</v>
      </c>
      <c r="AE7" s="19">
        <v>11558200</v>
      </c>
      <c r="AF7" s="19">
        <v>170000</v>
      </c>
      <c r="AG7" s="19">
        <v>254276134</v>
      </c>
      <c r="AH7" s="19">
        <v>229733606</v>
      </c>
      <c r="AI7" s="19">
        <v>177534650</v>
      </c>
      <c r="AJ7" s="19">
        <v>92885172</v>
      </c>
      <c r="AK7" s="19" t="s">
        <v>89</v>
      </c>
      <c r="AL7" s="19"/>
      <c r="AM7" s="19" t="s">
        <v>4</v>
      </c>
      <c r="AN7" s="19"/>
      <c r="AO7" s="19">
        <v>120063152</v>
      </c>
      <c r="AP7" s="19">
        <v>5327000</v>
      </c>
      <c r="AQ7" s="19" t="s">
        <v>4</v>
      </c>
      <c r="AR7" s="19"/>
      <c r="AS7" s="19">
        <v>540142359</v>
      </c>
      <c r="AT7" s="19">
        <v>500000</v>
      </c>
      <c r="AU7" s="19">
        <v>29850000</v>
      </c>
      <c r="AV7" s="19">
        <v>53900000</v>
      </c>
      <c r="AW7" s="19">
        <v>21364731</v>
      </c>
      <c r="AX7" s="19" t="s">
        <v>4</v>
      </c>
      <c r="AY7" s="19">
        <v>8585500</v>
      </c>
      <c r="AZ7" s="19">
        <v>116262330</v>
      </c>
      <c r="BA7" s="19">
        <v>418340715</v>
      </c>
      <c r="BB7" s="19"/>
      <c r="BC7" s="19">
        <v>400200254</v>
      </c>
      <c r="BD7" s="19">
        <v>28650000</v>
      </c>
      <c r="BE7" s="19">
        <v>44084949</v>
      </c>
      <c r="BF7" s="19">
        <v>262961767</v>
      </c>
      <c r="BG7" s="19">
        <v>85744012</v>
      </c>
      <c r="BH7" s="19">
        <v>42953023</v>
      </c>
      <c r="BI7" s="19">
        <v>37639101</v>
      </c>
      <c r="BJ7" s="19">
        <v>105487616</v>
      </c>
      <c r="BK7" s="19">
        <v>357467069</v>
      </c>
      <c r="BL7" s="19">
        <v>24194950</v>
      </c>
      <c r="BM7" s="19">
        <v>53163793</v>
      </c>
      <c r="BN7" s="19">
        <v>7775460</v>
      </c>
      <c r="BO7" s="19">
        <v>74102233</v>
      </c>
      <c r="BP7" s="19">
        <v>11206756</v>
      </c>
      <c r="BQ7" s="19" t="s">
        <v>96</v>
      </c>
      <c r="BR7" s="19">
        <v>149344343</v>
      </c>
      <c r="BS7" s="19">
        <v>215232</v>
      </c>
      <c r="BT7" s="19"/>
      <c r="BU7" s="19">
        <v>5330259</v>
      </c>
      <c r="BV7" s="19">
        <v>149755111</v>
      </c>
      <c r="BW7" s="19"/>
      <c r="BX7" s="19">
        <v>2488329</v>
      </c>
      <c r="BY7" s="19">
        <v>277870028</v>
      </c>
      <c r="BZ7" s="19">
        <v>57769408</v>
      </c>
      <c r="CA7" s="19">
        <v>14519899</v>
      </c>
      <c r="CB7" s="19">
        <v>24055949</v>
      </c>
      <c r="CC7" s="19"/>
      <c r="CD7" s="19">
        <v>15074070</v>
      </c>
      <c r="CE7" s="19">
        <v>109284878</v>
      </c>
      <c r="CF7" s="19">
        <v>36807314</v>
      </c>
      <c r="CG7" s="19"/>
      <c r="CH7" s="19">
        <v>8314212</v>
      </c>
      <c r="CI7" s="19" t="s">
        <v>89</v>
      </c>
      <c r="CJ7" s="19">
        <v>71109129</v>
      </c>
      <c r="CK7" s="19">
        <v>94693575</v>
      </c>
      <c r="CL7" s="19">
        <v>28434852</v>
      </c>
      <c r="CM7" s="19">
        <v>669599832</v>
      </c>
      <c r="CN7" s="19">
        <v>7450025</v>
      </c>
      <c r="CO7" s="19"/>
      <c r="CP7" s="19">
        <v>415281438</v>
      </c>
      <c r="CQ7" s="19" t="s">
        <v>96</v>
      </c>
      <c r="CR7" s="19"/>
      <c r="CS7" s="19">
        <v>280400000</v>
      </c>
      <c r="CT7" s="19">
        <v>58004405</v>
      </c>
      <c r="CU7" s="19"/>
      <c r="CV7" s="19">
        <v>8838486</v>
      </c>
      <c r="CW7" s="19">
        <v>130103834</v>
      </c>
      <c r="CX7" s="19">
        <v>72133258</v>
      </c>
      <c r="CY7" s="19">
        <v>1127104345</v>
      </c>
      <c r="CZ7" s="19">
        <v>53948424</v>
      </c>
      <c r="DA7" s="19"/>
      <c r="DB7" s="19">
        <v>327125243</v>
      </c>
      <c r="DC7" s="19">
        <v>61587586</v>
      </c>
      <c r="DD7" s="19">
        <v>2365000</v>
      </c>
      <c r="DE7" s="19"/>
      <c r="DF7" s="19"/>
      <c r="DG7" s="19"/>
      <c r="DH7" s="19">
        <v>176182047</v>
      </c>
      <c r="DI7" s="19">
        <v>711808674</v>
      </c>
      <c r="DJ7" s="19"/>
      <c r="DK7" s="19">
        <v>157772978</v>
      </c>
      <c r="DL7" s="19">
        <v>26364860</v>
      </c>
      <c r="DM7" s="19">
        <v>244806935</v>
      </c>
      <c r="DN7" s="19">
        <v>37553730</v>
      </c>
      <c r="DO7" s="19">
        <v>530000</v>
      </c>
      <c r="DP7" s="19">
        <v>77540016</v>
      </c>
      <c r="DQ7" s="19">
        <v>271889216</v>
      </c>
      <c r="DR7" s="19">
        <v>41933858</v>
      </c>
      <c r="DS7" s="19">
        <v>53848752</v>
      </c>
      <c r="DT7" s="19">
        <v>287498664</v>
      </c>
      <c r="DU7" s="19"/>
      <c r="DV7" s="19"/>
      <c r="DW7" s="19">
        <v>221271681</v>
      </c>
      <c r="DX7" s="19">
        <v>293730507</v>
      </c>
      <c r="DY7" s="19">
        <v>48964856</v>
      </c>
      <c r="DZ7" s="19"/>
      <c r="EA7" s="19"/>
      <c r="EB7" s="19">
        <v>1315600</v>
      </c>
      <c r="EC7" s="19">
        <v>16499832</v>
      </c>
      <c r="ED7" s="19">
        <v>5773933</v>
      </c>
      <c r="EE7" s="19">
        <v>59425</v>
      </c>
      <c r="EF7" s="19">
        <v>500408258</v>
      </c>
      <c r="EG7" s="19">
        <v>114521683</v>
      </c>
      <c r="EH7" s="19">
        <v>8579500</v>
      </c>
      <c r="EI7" s="19">
        <v>308676984</v>
      </c>
      <c r="EJ7" s="19"/>
      <c r="EK7" s="19" t="s">
        <v>89</v>
      </c>
      <c r="EL7" s="19">
        <v>179265834</v>
      </c>
      <c r="EM7" s="19">
        <v>38444915</v>
      </c>
      <c r="EN7" s="19">
        <v>216413480</v>
      </c>
      <c r="EO7" s="19"/>
      <c r="EP7" s="19"/>
      <c r="EQ7" s="19"/>
      <c r="ER7" s="19"/>
      <c r="ES7" s="19">
        <v>52312161</v>
      </c>
      <c r="ET7" s="19">
        <v>27500000</v>
      </c>
      <c r="EU7" s="19">
        <v>16645263</v>
      </c>
      <c r="EV7" s="19">
        <v>13492875</v>
      </c>
      <c r="EW7" s="19">
        <v>16754823</v>
      </c>
      <c r="EX7" s="19">
        <v>119337349</v>
      </c>
      <c r="EY7" s="19"/>
      <c r="EZ7" s="19">
        <v>4983585</v>
      </c>
      <c r="FA7" s="19">
        <v>16396467</v>
      </c>
      <c r="FB7" s="19">
        <v>26123705</v>
      </c>
      <c r="FC7" s="19">
        <v>95223438</v>
      </c>
      <c r="FD7" s="19">
        <v>36178000</v>
      </c>
      <c r="FE7" s="19">
        <v>463670688</v>
      </c>
      <c r="FF7" s="19">
        <v>3931145</v>
      </c>
      <c r="FG7" s="19">
        <v>187065114</v>
      </c>
      <c r="FH7" s="19">
        <v>35846160</v>
      </c>
      <c r="FI7" s="19"/>
      <c r="FJ7" s="19">
        <v>1070784</v>
      </c>
      <c r="FK7" s="19">
        <v>42883695</v>
      </c>
      <c r="FL7" s="19">
        <v>6630018</v>
      </c>
      <c r="FM7" s="19"/>
      <c r="FN7" s="19"/>
      <c r="FO7" s="19"/>
      <c r="FP7" s="19"/>
      <c r="FQ7" s="19"/>
      <c r="FR7" s="19">
        <v>14670000</v>
      </c>
      <c r="FS7" s="19">
        <v>88000</v>
      </c>
      <c r="FT7" s="19">
        <v>73333260</v>
      </c>
      <c r="FU7" s="19" t="s">
        <v>152</v>
      </c>
      <c r="FV7" s="19">
        <v>864171578</v>
      </c>
      <c r="FW7" s="19">
        <v>5101811</v>
      </c>
      <c r="FX7" s="19">
        <v>330000</v>
      </c>
      <c r="FY7" s="19">
        <v>11900064</v>
      </c>
      <c r="FZ7" s="19">
        <v>43000000</v>
      </c>
      <c r="GA7" s="19">
        <v>3850000</v>
      </c>
      <c r="GB7" s="19">
        <v>144000</v>
      </c>
      <c r="GC7" s="19"/>
      <c r="GD7" s="19" t="s">
        <v>96</v>
      </c>
      <c r="GE7" s="19">
        <v>4054168</v>
      </c>
      <c r="GF7" s="19">
        <v>18781807</v>
      </c>
      <c r="GG7" s="19">
        <v>7383996</v>
      </c>
      <c r="GH7" s="19">
        <v>14209955</v>
      </c>
      <c r="GI7" s="19">
        <v>2158064</v>
      </c>
      <c r="GJ7" s="19"/>
      <c r="GK7" s="19"/>
      <c r="GL7" s="19">
        <v>4151974</v>
      </c>
      <c r="GM7" s="19"/>
      <c r="GN7" s="19">
        <v>20580971</v>
      </c>
      <c r="GO7" s="19">
        <v>4024800</v>
      </c>
      <c r="GP7" s="19">
        <v>750345392</v>
      </c>
      <c r="GQ7" s="19">
        <v>300000</v>
      </c>
      <c r="GR7" s="19">
        <v>8390400</v>
      </c>
      <c r="GS7" s="19">
        <v>262997</v>
      </c>
      <c r="GT7" s="19">
        <v>2158064</v>
      </c>
      <c r="GU7" s="19"/>
      <c r="GV7" s="19" t="s">
        <v>89</v>
      </c>
      <c r="GW7" s="19">
        <v>5037230</v>
      </c>
      <c r="GX7" s="19">
        <v>79279024</v>
      </c>
      <c r="GY7" s="19"/>
      <c r="GZ7" s="19">
        <v>25967131</v>
      </c>
      <c r="HA7" s="19">
        <v>3612500</v>
      </c>
      <c r="HB7" s="19">
        <v>26556008</v>
      </c>
      <c r="HC7" s="19"/>
      <c r="HD7" s="19" t="s">
        <v>89</v>
      </c>
      <c r="HE7" s="19">
        <v>21160359</v>
      </c>
      <c r="HF7" s="19">
        <v>443099297</v>
      </c>
      <c r="HG7" s="19">
        <v>267453</v>
      </c>
      <c r="HH7" s="19">
        <v>2250266</v>
      </c>
      <c r="HI7" s="19">
        <v>30965000</v>
      </c>
      <c r="HJ7" s="19">
        <v>164872276</v>
      </c>
      <c r="HK7" s="19">
        <v>13973237</v>
      </c>
      <c r="HL7" s="19">
        <v>6679250</v>
      </c>
      <c r="HM7" s="19"/>
      <c r="HN7" s="19"/>
      <c r="HO7" s="19">
        <v>16342150</v>
      </c>
      <c r="HP7" s="19" t="s">
        <v>89</v>
      </c>
    </row>
    <row r="8" spans="1:224">
      <c r="A8" s="7" t="s">
        <v>5</v>
      </c>
      <c r="B8" s="13" t="s">
        <v>69</v>
      </c>
      <c r="C8" s="19">
        <v>52852254</v>
      </c>
      <c r="D8" s="19">
        <v>0</v>
      </c>
      <c r="E8" s="19"/>
      <c r="F8" s="19"/>
      <c r="G8" s="19"/>
      <c r="H8" s="19">
        <v>0</v>
      </c>
      <c r="I8" s="19"/>
      <c r="J8" s="19" t="s">
        <v>4</v>
      </c>
      <c r="K8" s="19"/>
      <c r="L8" s="19"/>
      <c r="M8" s="19" t="s">
        <v>96</v>
      </c>
      <c r="N8" s="19"/>
      <c r="O8" s="19"/>
      <c r="P8" s="19"/>
      <c r="Q8" s="19">
        <v>4566001</v>
      </c>
      <c r="R8" s="19"/>
      <c r="S8" s="19"/>
      <c r="T8" s="19" t="s">
        <v>96</v>
      </c>
      <c r="U8" s="19"/>
      <c r="V8" s="19">
        <v>945000</v>
      </c>
      <c r="W8" s="19">
        <v>134608622</v>
      </c>
      <c r="X8" s="19"/>
      <c r="Y8" s="19"/>
      <c r="Z8" s="19"/>
      <c r="AA8" s="19"/>
      <c r="AB8" s="19"/>
      <c r="AC8" s="19"/>
      <c r="AD8" s="19"/>
      <c r="AE8" s="19">
        <v>203112249</v>
      </c>
      <c r="AF8" s="19"/>
      <c r="AG8" s="19"/>
      <c r="AH8" s="19"/>
      <c r="AI8" s="19"/>
      <c r="AJ8" s="19">
        <v>1005000</v>
      </c>
      <c r="AK8" s="19" t="s">
        <v>89</v>
      </c>
      <c r="AL8" s="19">
        <v>6010000</v>
      </c>
      <c r="AM8" s="19" t="s">
        <v>4</v>
      </c>
      <c r="AN8" s="19"/>
      <c r="AO8" s="19"/>
      <c r="AP8" s="19">
        <v>10869637</v>
      </c>
      <c r="AQ8" s="19" t="s">
        <v>4</v>
      </c>
      <c r="AR8" s="19"/>
      <c r="AS8" s="19">
        <v>28300000</v>
      </c>
      <c r="AT8" s="19">
        <v>29883060</v>
      </c>
      <c r="AU8" s="19"/>
      <c r="AV8" s="19"/>
      <c r="AW8" s="19"/>
      <c r="AX8" s="19" t="s">
        <v>4</v>
      </c>
      <c r="AY8" s="19">
        <v>1580260</v>
      </c>
      <c r="AZ8" s="19"/>
      <c r="BA8" s="19">
        <v>85033064</v>
      </c>
      <c r="BB8" s="19"/>
      <c r="BC8" s="19">
        <v>80583359</v>
      </c>
      <c r="BD8" s="19"/>
      <c r="BE8" s="19"/>
      <c r="BF8" s="19"/>
      <c r="BG8" s="19"/>
      <c r="BH8" s="19"/>
      <c r="BI8" s="19"/>
      <c r="BJ8" s="19"/>
      <c r="BK8" s="19"/>
      <c r="BL8" s="19"/>
      <c r="BM8" s="19"/>
      <c r="BN8" s="19"/>
      <c r="BO8" s="19"/>
      <c r="BP8" s="19"/>
      <c r="BQ8" s="19" t="s">
        <v>96</v>
      </c>
      <c r="BR8" s="19"/>
      <c r="BS8" s="19"/>
      <c r="BT8" s="19"/>
      <c r="BU8" s="19">
        <v>15676630</v>
      </c>
      <c r="BV8" s="19">
        <v>47416400</v>
      </c>
      <c r="BW8" s="19"/>
      <c r="BX8" s="19">
        <v>89995</v>
      </c>
      <c r="BY8" s="19">
        <v>4560000</v>
      </c>
      <c r="BZ8" s="19"/>
      <c r="CA8" s="19"/>
      <c r="CB8" s="19"/>
      <c r="CC8" s="19"/>
      <c r="CD8" s="19"/>
      <c r="CE8" s="19"/>
      <c r="CF8" s="19"/>
      <c r="CG8" s="19"/>
      <c r="CH8" s="19"/>
      <c r="CI8" s="19" t="s">
        <v>89</v>
      </c>
      <c r="CJ8" s="19"/>
      <c r="CK8" s="19"/>
      <c r="CL8" s="19"/>
      <c r="CM8" s="19"/>
      <c r="CN8" s="19"/>
      <c r="CO8" s="19"/>
      <c r="CP8" s="19">
        <v>27334578</v>
      </c>
      <c r="CQ8" s="19" t="s">
        <v>96</v>
      </c>
      <c r="CR8" s="19"/>
      <c r="CS8" s="19"/>
      <c r="CT8" s="19"/>
      <c r="CU8" s="19"/>
      <c r="CV8" s="19"/>
      <c r="CW8" s="19"/>
      <c r="CX8" s="19">
        <v>20920000</v>
      </c>
      <c r="CY8" s="19">
        <v>201000000</v>
      </c>
      <c r="CZ8" s="19">
        <v>12000000</v>
      </c>
      <c r="DA8" s="19"/>
      <c r="DB8" s="19"/>
      <c r="DC8" s="19"/>
      <c r="DD8" s="19"/>
      <c r="DE8" s="19"/>
      <c r="DF8" s="19"/>
      <c r="DG8" s="19"/>
      <c r="DH8" s="19"/>
      <c r="DI8" s="19"/>
      <c r="DJ8" s="19"/>
      <c r="DK8" s="19">
        <v>60805000</v>
      </c>
      <c r="DL8" s="19"/>
      <c r="DM8" s="19"/>
      <c r="DN8" s="19">
        <v>9780000</v>
      </c>
      <c r="DO8" s="19"/>
      <c r="DP8" s="19"/>
      <c r="DQ8" s="19"/>
      <c r="DR8" s="19"/>
      <c r="DS8" s="19"/>
      <c r="DT8" s="19"/>
      <c r="DU8" s="19"/>
      <c r="DV8" s="19"/>
      <c r="DW8" s="19"/>
      <c r="DX8" s="19">
        <v>2061039</v>
      </c>
      <c r="DY8" s="19"/>
      <c r="DZ8" s="19">
        <v>72781081</v>
      </c>
      <c r="EA8" s="19"/>
      <c r="EB8" s="19"/>
      <c r="EC8" s="19"/>
      <c r="ED8" s="19"/>
      <c r="EE8" s="19"/>
      <c r="EF8" s="19"/>
      <c r="EG8" s="19"/>
      <c r="EH8" s="19">
        <v>5000000</v>
      </c>
      <c r="EI8" s="19">
        <v>1800000</v>
      </c>
      <c r="EJ8" s="19"/>
      <c r="EK8" s="19" t="s">
        <v>89</v>
      </c>
      <c r="EL8" s="19"/>
      <c r="EM8" s="19">
        <v>3000000</v>
      </c>
      <c r="EN8" s="19"/>
      <c r="EO8" s="19"/>
      <c r="EP8" s="19"/>
      <c r="EQ8" s="19"/>
      <c r="ER8" s="19"/>
      <c r="ES8" s="19"/>
      <c r="ET8" s="19"/>
      <c r="EU8" s="19"/>
      <c r="EV8" s="19"/>
      <c r="EW8" s="19"/>
      <c r="EX8" s="19"/>
      <c r="EY8" s="19">
        <v>20000000</v>
      </c>
      <c r="EZ8" s="19"/>
      <c r="FA8" s="19"/>
      <c r="FB8" s="19"/>
      <c r="FC8" s="19"/>
      <c r="FD8" s="19"/>
      <c r="FE8" s="19"/>
      <c r="FF8" s="19"/>
      <c r="FG8" s="19"/>
      <c r="FH8" s="19"/>
      <c r="FI8" s="19"/>
      <c r="FJ8" s="19"/>
      <c r="FK8" s="19"/>
      <c r="FL8" s="19"/>
      <c r="FM8" s="19"/>
      <c r="FN8" s="19"/>
      <c r="FO8" s="19"/>
      <c r="FP8" s="19"/>
      <c r="FQ8" s="19"/>
      <c r="FR8" s="19"/>
      <c r="FS8" s="19"/>
      <c r="FT8" s="19"/>
      <c r="FU8" s="19" t="s">
        <v>152</v>
      </c>
      <c r="FV8" s="19"/>
      <c r="FW8" s="19"/>
      <c r="FX8" s="19"/>
      <c r="FY8" s="19"/>
      <c r="FZ8" s="19"/>
      <c r="GA8" s="19">
        <v>0</v>
      </c>
      <c r="GB8" s="19"/>
      <c r="GC8" s="19">
        <v>199000000</v>
      </c>
      <c r="GD8" s="19" t="s">
        <v>96</v>
      </c>
      <c r="GE8" s="19"/>
      <c r="GF8" s="19"/>
      <c r="GG8" s="19"/>
      <c r="GH8" s="19"/>
      <c r="GI8" s="19"/>
      <c r="GJ8" s="19"/>
      <c r="GK8" s="19"/>
      <c r="GL8" s="19"/>
      <c r="GM8" s="19"/>
      <c r="GN8" s="19"/>
      <c r="GO8" s="19"/>
      <c r="GP8" s="19">
        <v>190652040</v>
      </c>
      <c r="GQ8" s="19"/>
      <c r="GR8" s="19"/>
      <c r="GS8" s="19">
        <v>799674760</v>
      </c>
      <c r="GT8" s="19"/>
      <c r="GU8" s="19"/>
      <c r="GV8" s="19" t="s">
        <v>89</v>
      </c>
      <c r="GW8" s="19">
        <v>150000000</v>
      </c>
      <c r="GX8" s="19"/>
      <c r="GY8" s="19"/>
      <c r="GZ8" s="19"/>
      <c r="HA8" s="19"/>
      <c r="HB8" s="19">
        <v>2000000</v>
      </c>
      <c r="HC8" s="19"/>
      <c r="HD8" s="19" t="s">
        <v>89</v>
      </c>
      <c r="HE8" s="19"/>
      <c r="HF8" s="19"/>
      <c r="HG8" s="19"/>
      <c r="HH8" s="19"/>
      <c r="HI8" s="19"/>
      <c r="HJ8" s="19"/>
      <c r="HK8" s="19"/>
      <c r="HL8" s="19"/>
      <c r="HM8" s="19"/>
      <c r="HN8" s="19"/>
      <c r="HO8" s="19"/>
      <c r="HP8" s="19" t="s">
        <v>89</v>
      </c>
    </row>
    <row r="9" spans="1:224">
      <c r="A9" s="7" t="s">
        <v>5</v>
      </c>
      <c r="B9" s="13" t="s">
        <v>134</v>
      </c>
      <c r="C9" s="19">
        <v>0</v>
      </c>
      <c r="D9" s="19">
        <v>0</v>
      </c>
      <c r="E9" s="19">
        <v>885000</v>
      </c>
      <c r="F9" s="19"/>
      <c r="G9" s="19">
        <v>3667225</v>
      </c>
      <c r="H9" s="19"/>
      <c r="I9" s="19">
        <v>722194464</v>
      </c>
      <c r="J9" s="19" t="s">
        <v>4</v>
      </c>
      <c r="K9" s="19">
        <v>1904500</v>
      </c>
      <c r="L9" s="19"/>
      <c r="M9" s="19" t="s">
        <v>96</v>
      </c>
      <c r="N9" s="19">
        <v>9210000</v>
      </c>
      <c r="O9" s="19"/>
      <c r="P9" s="19">
        <v>406387249</v>
      </c>
      <c r="Q9" s="19">
        <v>200245</v>
      </c>
      <c r="R9" s="19">
        <v>16957</v>
      </c>
      <c r="S9" s="19">
        <v>37910600</v>
      </c>
      <c r="T9" s="19" t="s">
        <v>96</v>
      </c>
      <c r="U9" s="19"/>
      <c r="V9" s="19">
        <v>27490</v>
      </c>
      <c r="W9" s="19">
        <v>14191578</v>
      </c>
      <c r="X9" s="19">
        <v>28000000</v>
      </c>
      <c r="Y9" s="19"/>
      <c r="Z9" s="19">
        <v>3723396</v>
      </c>
      <c r="AA9" s="19"/>
      <c r="AB9" s="19">
        <v>3589197</v>
      </c>
      <c r="AC9" s="19">
        <v>140000</v>
      </c>
      <c r="AD9" s="19">
        <v>13284294</v>
      </c>
      <c r="AE9" s="19">
        <v>104782502</v>
      </c>
      <c r="AF9" s="19">
        <v>5124652</v>
      </c>
      <c r="AG9" s="19">
        <v>31133387</v>
      </c>
      <c r="AH9" s="19"/>
      <c r="AI9" s="19"/>
      <c r="AJ9" s="19"/>
      <c r="AK9" s="19" t="s">
        <v>89</v>
      </c>
      <c r="AL9" s="19">
        <v>39773060</v>
      </c>
      <c r="AM9" s="19" t="s">
        <v>4</v>
      </c>
      <c r="AN9" s="19">
        <v>53886809</v>
      </c>
      <c r="AO9" s="19"/>
      <c r="AP9" s="19"/>
      <c r="AQ9" s="19" t="s">
        <v>4</v>
      </c>
      <c r="AR9" s="19">
        <v>4072133</v>
      </c>
      <c r="AS9" s="19">
        <v>25244623</v>
      </c>
      <c r="AT9" s="19">
        <v>1653330</v>
      </c>
      <c r="AU9" s="19">
        <v>262890</v>
      </c>
      <c r="AV9" s="19"/>
      <c r="AW9" s="19"/>
      <c r="AX9" s="19" t="s">
        <v>4</v>
      </c>
      <c r="AY9" s="19">
        <v>3420990</v>
      </c>
      <c r="AZ9" s="19"/>
      <c r="BA9" s="19"/>
      <c r="BB9" s="19"/>
      <c r="BC9" s="19">
        <v>259942</v>
      </c>
      <c r="BD9" s="19"/>
      <c r="BE9" s="19">
        <v>2923935</v>
      </c>
      <c r="BF9" s="19">
        <v>217576</v>
      </c>
      <c r="BG9" s="19">
        <v>274296</v>
      </c>
      <c r="BH9" s="19">
        <v>831529</v>
      </c>
      <c r="BI9" s="19">
        <v>7183544</v>
      </c>
      <c r="BJ9" s="19">
        <v>3208382</v>
      </c>
      <c r="BK9" s="19"/>
      <c r="BL9" s="19"/>
      <c r="BM9" s="19"/>
      <c r="BN9" s="19"/>
      <c r="BO9" s="19">
        <v>1176152</v>
      </c>
      <c r="BP9" s="19"/>
      <c r="BQ9" s="19" t="s">
        <v>96</v>
      </c>
      <c r="BR9" s="19"/>
      <c r="BS9" s="19">
        <v>7727746</v>
      </c>
      <c r="BT9" s="19">
        <v>7691270</v>
      </c>
      <c r="BU9" s="19"/>
      <c r="BV9" s="19">
        <v>33915359</v>
      </c>
      <c r="BW9" s="19"/>
      <c r="BX9" s="19">
        <v>6210881</v>
      </c>
      <c r="BY9" s="19">
        <v>7446806</v>
      </c>
      <c r="BZ9" s="19">
        <v>49720945</v>
      </c>
      <c r="CA9" s="19">
        <v>11872753</v>
      </c>
      <c r="CB9" s="19"/>
      <c r="CC9" s="19">
        <v>14169000</v>
      </c>
      <c r="CD9" s="19"/>
      <c r="CE9" s="19"/>
      <c r="CF9" s="19">
        <v>5899010</v>
      </c>
      <c r="CG9" s="19"/>
      <c r="CH9" s="19"/>
      <c r="CI9" s="19" t="s">
        <v>89</v>
      </c>
      <c r="CJ9" s="19"/>
      <c r="CK9" s="19"/>
      <c r="CL9" s="19"/>
      <c r="CM9" s="19"/>
      <c r="CN9" s="19">
        <v>494877</v>
      </c>
      <c r="CO9" s="19">
        <v>29231516</v>
      </c>
      <c r="CP9" s="19">
        <v>6317806</v>
      </c>
      <c r="CQ9" s="19" t="s">
        <v>96</v>
      </c>
      <c r="CR9" s="19">
        <v>19472120</v>
      </c>
      <c r="CS9" s="19">
        <v>1564036</v>
      </c>
      <c r="CT9" s="19">
        <v>180000</v>
      </c>
      <c r="CU9" s="19"/>
      <c r="CV9" s="19">
        <v>201294</v>
      </c>
      <c r="CW9" s="19">
        <v>16390233</v>
      </c>
      <c r="CX9" s="19">
        <v>952000</v>
      </c>
      <c r="CY9" s="19">
        <v>5456280</v>
      </c>
      <c r="CZ9" s="19">
        <v>51830</v>
      </c>
      <c r="DA9" s="19">
        <v>39694129</v>
      </c>
      <c r="DB9" s="19"/>
      <c r="DC9" s="19">
        <v>8843502</v>
      </c>
      <c r="DD9" s="19"/>
      <c r="DE9" s="19"/>
      <c r="DF9" s="19">
        <v>421572</v>
      </c>
      <c r="DG9" s="19">
        <v>397277</v>
      </c>
      <c r="DH9" s="19"/>
      <c r="DI9" s="19">
        <v>4511100</v>
      </c>
      <c r="DJ9" s="19">
        <v>308167</v>
      </c>
      <c r="DK9" s="19">
        <v>1178182</v>
      </c>
      <c r="DL9" s="19"/>
      <c r="DM9" s="19">
        <v>10305306</v>
      </c>
      <c r="DN9" s="19"/>
      <c r="DO9" s="19">
        <v>2561414</v>
      </c>
      <c r="DP9" s="19"/>
      <c r="DQ9" s="19">
        <v>1184799</v>
      </c>
      <c r="DR9" s="19">
        <v>2534400</v>
      </c>
      <c r="DS9" s="19">
        <v>1860636</v>
      </c>
      <c r="DT9" s="19">
        <v>59472686</v>
      </c>
      <c r="DU9" s="19">
        <v>51880</v>
      </c>
      <c r="DV9" s="19">
        <v>59502636</v>
      </c>
      <c r="DW9" s="19">
        <v>12070422</v>
      </c>
      <c r="DX9" s="19">
        <v>99940</v>
      </c>
      <c r="DY9" s="19">
        <v>1172523</v>
      </c>
      <c r="DZ9" s="19">
        <v>26691760</v>
      </c>
      <c r="EA9" s="19"/>
      <c r="EB9" s="19">
        <v>459655568</v>
      </c>
      <c r="EC9" s="19">
        <v>1134920</v>
      </c>
      <c r="ED9" s="19"/>
      <c r="EE9" s="19">
        <v>27014062</v>
      </c>
      <c r="EF9" s="19">
        <v>114660</v>
      </c>
      <c r="EG9" s="19">
        <v>45716528</v>
      </c>
      <c r="EH9" s="19">
        <v>79397</v>
      </c>
      <c r="EI9" s="19">
        <v>57521251</v>
      </c>
      <c r="EJ9" s="19">
        <v>2988136</v>
      </c>
      <c r="EK9" s="19" t="s">
        <v>89</v>
      </c>
      <c r="EL9" s="19">
        <v>37554581</v>
      </c>
      <c r="EM9" s="19">
        <v>2050233</v>
      </c>
      <c r="EN9" s="19">
        <v>11551061</v>
      </c>
      <c r="EO9" s="19">
        <v>23434520</v>
      </c>
      <c r="EP9" s="19"/>
      <c r="EQ9" s="19"/>
      <c r="ER9" s="19">
        <v>478824587</v>
      </c>
      <c r="ES9" s="19">
        <v>1981779</v>
      </c>
      <c r="ET9" s="19">
        <v>64892790</v>
      </c>
      <c r="EU9" s="19">
        <v>40000</v>
      </c>
      <c r="EV9" s="19"/>
      <c r="EW9" s="19"/>
      <c r="EX9" s="19">
        <v>5614936</v>
      </c>
      <c r="EY9" s="19">
        <v>264730270</v>
      </c>
      <c r="EZ9" s="19">
        <v>793854</v>
      </c>
      <c r="FA9" s="19"/>
      <c r="FB9" s="19">
        <v>14022575</v>
      </c>
      <c r="FC9" s="19"/>
      <c r="FD9" s="19">
        <v>171800</v>
      </c>
      <c r="FE9" s="19">
        <v>369762700</v>
      </c>
      <c r="FF9" s="19"/>
      <c r="FG9" s="19"/>
      <c r="FH9" s="19">
        <v>3265200</v>
      </c>
      <c r="FI9" s="19">
        <v>1929919</v>
      </c>
      <c r="FJ9" s="19">
        <v>1887131</v>
      </c>
      <c r="FK9" s="19">
        <v>15232999</v>
      </c>
      <c r="FL9" s="19">
        <v>607410</v>
      </c>
      <c r="FM9" s="19"/>
      <c r="FN9" s="19">
        <v>3234548</v>
      </c>
      <c r="FO9" s="19"/>
      <c r="FP9" s="19"/>
      <c r="FQ9" s="19"/>
      <c r="FR9" s="19">
        <v>1380214</v>
      </c>
      <c r="FS9" s="19">
        <v>1616801</v>
      </c>
      <c r="FT9" s="19">
        <v>1871100</v>
      </c>
      <c r="FU9" s="19" t="s">
        <v>152</v>
      </c>
      <c r="FV9" s="19">
        <v>44000000</v>
      </c>
      <c r="FW9" s="19">
        <v>675781</v>
      </c>
      <c r="FX9" s="19">
        <v>457361</v>
      </c>
      <c r="FY9" s="19">
        <v>11789493</v>
      </c>
      <c r="FZ9" s="19">
        <v>6643647</v>
      </c>
      <c r="GA9" s="19">
        <v>1371770</v>
      </c>
      <c r="GB9" s="19">
        <v>2748170</v>
      </c>
      <c r="GC9" s="19">
        <v>347826</v>
      </c>
      <c r="GD9" s="19" t="s">
        <v>96</v>
      </c>
      <c r="GE9" s="19">
        <v>437719</v>
      </c>
      <c r="GF9" s="19">
        <v>1406000</v>
      </c>
      <c r="GG9" s="19">
        <v>26144932</v>
      </c>
      <c r="GH9" s="19">
        <v>2242453</v>
      </c>
      <c r="GI9" s="19">
        <v>12270</v>
      </c>
      <c r="GJ9" s="19"/>
      <c r="GK9" s="19">
        <v>1143570</v>
      </c>
      <c r="GL9" s="19"/>
      <c r="GM9" s="19"/>
      <c r="GN9" s="19">
        <v>4248088</v>
      </c>
      <c r="GO9" s="19">
        <v>46621030</v>
      </c>
      <c r="GP9" s="19">
        <v>11034566</v>
      </c>
      <c r="GQ9" s="19">
        <v>411260</v>
      </c>
      <c r="GR9" s="19">
        <v>10656455</v>
      </c>
      <c r="GS9" s="19">
        <v>11692765</v>
      </c>
      <c r="GT9" s="19">
        <v>12270</v>
      </c>
      <c r="GU9" s="19">
        <v>40690</v>
      </c>
      <c r="GV9" s="19" t="s">
        <v>89</v>
      </c>
      <c r="GW9" s="19">
        <v>18008295</v>
      </c>
      <c r="GX9" s="19">
        <v>39964072</v>
      </c>
      <c r="GY9" s="19">
        <v>9613209</v>
      </c>
      <c r="GZ9" s="19"/>
      <c r="HA9" s="19">
        <v>30787598</v>
      </c>
      <c r="HB9" s="19">
        <v>17500</v>
      </c>
      <c r="HC9" s="19">
        <v>8630318</v>
      </c>
      <c r="HD9" s="19" t="s">
        <v>89</v>
      </c>
      <c r="HE9" s="19">
        <v>5509590</v>
      </c>
      <c r="HF9" s="19">
        <v>1739199</v>
      </c>
      <c r="HG9" s="19">
        <v>2024000</v>
      </c>
      <c r="HH9" s="19"/>
      <c r="HI9" s="19">
        <v>230600</v>
      </c>
      <c r="HJ9" s="19"/>
      <c r="HK9" s="19">
        <v>775030</v>
      </c>
      <c r="HL9" s="19">
        <v>1177419</v>
      </c>
      <c r="HM9" s="19"/>
      <c r="HN9" s="19">
        <v>448175</v>
      </c>
      <c r="HO9" s="19">
        <v>5000000</v>
      </c>
      <c r="HP9" s="19" t="s">
        <v>89</v>
      </c>
    </row>
    <row r="10" spans="1:224">
      <c r="A10" s="7" t="s">
        <v>5</v>
      </c>
      <c r="B10" s="13" t="s">
        <v>135</v>
      </c>
      <c r="C10" s="19">
        <v>3079170</v>
      </c>
      <c r="D10" s="19">
        <v>3179623</v>
      </c>
      <c r="E10" s="19">
        <v>4540019</v>
      </c>
      <c r="F10" s="19">
        <v>8940662</v>
      </c>
      <c r="G10" s="19">
        <v>943690</v>
      </c>
      <c r="H10" s="19"/>
      <c r="I10" s="19">
        <v>338559952</v>
      </c>
      <c r="J10" s="19" t="s">
        <v>4</v>
      </c>
      <c r="K10" s="19">
        <v>3944272</v>
      </c>
      <c r="L10" s="19">
        <v>14826291</v>
      </c>
      <c r="M10" s="19" t="s">
        <v>96</v>
      </c>
      <c r="N10" s="19">
        <v>10442597</v>
      </c>
      <c r="O10" s="19">
        <v>16290628</v>
      </c>
      <c r="P10" s="19"/>
      <c r="Q10" s="19"/>
      <c r="R10" s="19">
        <v>22370</v>
      </c>
      <c r="S10" s="19">
        <v>437998003</v>
      </c>
      <c r="T10" s="19" t="s">
        <v>96</v>
      </c>
      <c r="U10" s="19">
        <v>5943927</v>
      </c>
      <c r="V10" s="19">
        <v>160667878</v>
      </c>
      <c r="W10" s="19">
        <v>57974</v>
      </c>
      <c r="X10" s="19">
        <v>428408383</v>
      </c>
      <c r="Y10" s="19">
        <v>1734722</v>
      </c>
      <c r="Z10" s="19">
        <v>49010706</v>
      </c>
      <c r="AA10" s="19">
        <v>28587513</v>
      </c>
      <c r="AB10" s="19">
        <v>1360470</v>
      </c>
      <c r="AC10" s="19">
        <v>6973757</v>
      </c>
      <c r="AD10" s="19">
        <v>13984660</v>
      </c>
      <c r="AE10" s="19">
        <v>1762600</v>
      </c>
      <c r="AF10" s="19">
        <v>1681970</v>
      </c>
      <c r="AG10" s="19">
        <v>1233907</v>
      </c>
      <c r="AH10" s="19">
        <v>9498396</v>
      </c>
      <c r="AI10" s="19">
        <v>31062773</v>
      </c>
      <c r="AJ10" s="19">
        <v>48302109</v>
      </c>
      <c r="AK10" s="19" t="s">
        <v>89</v>
      </c>
      <c r="AL10" s="19">
        <v>2139312</v>
      </c>
      <c r="AM10" s="19" t="s">
        <v>4</v>
      </c>
      <c r="AN10" s="19">
        <v>25214366</v>
      </c>
      <c r="AO10" s="19">
        <v>8946822</v>
      </c>
      <c r="AP10" s="19">
        <v>900000</v>
      </c>
      <c r="AQ10" s="19" t="s">
        <v>4</v>
      </c>
      <c r="AR10" s="19">
        <v>20292242</v>
      </c>
      <c r="AS10" s="19">
        <v>556975725</v>
      </c>
      <c r="AT10" s="19">
        <v>29328172</v>
      </c>
      <c r="AU10" s="19">
        <v>84934590</v>
      </c>
      <c r="AV10" s="19"/>
      <c r="AW10" s="19">
        <v>7053789</v>
      </c>
      <c r="AX10" s="19" t="s">
        <v>4</v>
      </c>
      <c r="AY10" s="19">
        <v>455932</v>
      </c>
      <c r="AZ10" s="19">
        <v>24192427</v>
      </c>
      <c r="BA10" s="19">
        <v>182069629</v>
      </c>
      <c r="BB10" s="19"/>
      <c r="BC10" s="19">
        <v>981680</v>
      </c>
      <c r="BD10" s="19">
        <v>45510523</v>
      </c>
      <c r="BE10" s="19">
        <v>333279</v>
      </c>
      <c r="BF10" s="19">
        <v>21526640</v>
      </c>
      <c r="BG10" s="19">
        <v>14184899</v>
      </c>
      <c r="BH10" s="19">
        <v>1800</v>
      </c>
      <c r="BI10" s="19">
        <v>7839130</v>
      </c>
      <c r="BJ10" s="19">
        <v>195381453</v>
      </c>
      <c r="BK10" s="19">
        <v>1790570</v>
      </c>
      <c r="BL10" s="19"/>
      <c r="BM10" s="19">
        <v>17896282</v>
      </c>
      <c r="BN10" s="19">
        <v>2686701</v>
      </c>
      <c r="BO10" s="19"/>
      <c r="BP10" s="19"/>
      <c r="BQ10" s="19" t="s">
        <v>96</v>
      </c>
      <c r="BR10" s="19">
        <v>3065900</v>
      </c>
      <c r="BS10" s="19">
        <v>210248</v>
      </c>
      <c r="BT10" s="19">
        <v>1628944</v>
      </c>
      <c r="BU10" s="19">
        <v>19784972</v>
      </c>
      <c r="BV10" s="19">
        <v>233669329</v>
      </c>
      <c r="BW10" s="19">
        <v>2404876</v>
      </c>
      <c r="BX10" s="19"/>
      <c r="BY10" s="19">
        <v>8228813</v>
      </c>
      <c r="BZ10" s="19">
        <v>2027000</v>
      </c>
      <c r="CA10" s="19">
        <v>8827500</v>
      </c>
      <c r="CB10" s="19">
        <v>2758512</v>
      </c>
      <c r="CC10" s="19">
        <v>1318800</v>
      </c>
      <c r="CD10" s="19"/>
      <c r="CE10" s="19"/>
      <c r="CF10" s="19">
        <v>201471509</v>
      </c>
      <c r="CG10" s="19"/>
      <c r="CH10" s="19">
        <v>7351622</v>
      </c>
      <c r="CI10" s="19" t="s">
        <v>89</v>
      </c>
      <c r="CJ10" s="19">
        <v>2388000</v>
      </c>
      <c r="CK10" s="19">
        <v>4848188</v>
      </c>
      <c r="CL10" s="19">
        <v>15153284</v>
      </c>
      <c r="CM10" s="19">
        <v>2292118</v>
      </c>
      <c r="CN10" s="19">
        <v>19056780</v>
      </c>
      <c r="CO10" s="19">
        <v>6745589</v>
      </c>
      <c r="CP10" s="19">
        <v>88281783</v>
      </c>
      <c r="CQ10" s="19" t="s">
        <v>96</v>
      </c>
      <c r="CR10" s="19">
        <v>45161777</v>
      </c>
      <c r="CS10" s="19">
        <v>68401691</v>
      </c>
      <c r="CT10" s="19">
        <v>10508077</v>
      </c>
      <c r="CU10" s="19"/>
      <c r="CV10" s="19">
        <v>1457062</v>
      </c>
      <c r="CW10" s="19">
        <v>38505086</v>
      </c>
      <c r="CX10" s="19">
        <v>10904314</v>
      </c>
      <c r="CY10" s="19">
        <v>3204694</v>
      </c>
      <c r="CZ10" s="19">
        <v>12818707</v>
      </c>
      <c r="DA10" s="19"/>
      <c r="DB10" s="19">
        <v>4417110</v>
      </c>
      <c r="DC10" s="19"/>
      <c r="DD10" s="19">
        <v>306986</v>
      </c>
      <c r="DE10" s="19"/>
      <c r="DF10" s="19">
        <v>10794450</v>
      </c>
      <c r="DG10" s="19">
        <v>357327998</v>
      </c>
      <c r="DH10" s="19">
        <v>11119323</v>
      </c>
      <c r="DI10" s="19">
        <v>10442350</v>
      </c>
      <c r="DJ10" s="19"/>
      <c r="DK10" s="19">
        <v>48855600</v>
      </c>
      <c r="DL10" s="19">
        <v>64143857</v>
      </c>
      <c r="DM10" s="19">
        <v>2095800</v>
      </c>
      <c r="DN10" s="19">
        <v>14252135</v>
      </c>
      <c r="DO10" s="19">
        <v>1108209</v>
      </c>
      <c r="DP10" s="19">
        <v>2353327</v>
      </c>
      <c r="DQ10" s="19">
        <v>41602061</v>
      </c>
      <c r="DR10" s="19">
        <v>175561794</v>
      </c>
      <c r="DS10" s="19">
        <v>3649059</v>
      </c>
      <c r="DT10" s="19">
        <v>5086420</v>
      </c>
      <c r="DU10" s="19"/>
      <c r="DV10" s="19">
        <v>1061712</v>
      </c>
      <c r="DW10" s="19">
        <v>11939575</v>
      </c>
      <c r="DX10" s="19">
        <v>37385727</v>
      </c>
      <c r="DY10" s="19">
        <v>20888691</v>
      </c>
      <c r="DZ10" s="19">
        <v>3500000</v>
      </c>
      <c r="EA10" s="19"/>
      <c r="EB10" s="19">
        <v>80920</v>
      </c>
      <c r="EC10" s="19">
        <v>1029950</v>
      </c>
      <c r="ED10" s="19">
        <v>87190</v>
      </c>
      <c r="EE10" s="19">
        <v>16113920</v>
      </c>
      <c r="EF10" s="19">
        <v>2892981</v>
      </c>
      <c r="EG10" s="19">
        <v>14800846</v>
      </c>
      <c r="EH10" s="19">
        <v>557444</v>
      </c>
      <c r="EI10" s="19">
        <v>22053950</v>
      </c>
      <c r="EJ10" s="19">
        <v>55000</v>
      </c>
      <c r="EK10" s="19" t="s">
        <v>89</v>
      </c>
      <c r="EL10" s="19"/>
      <c r="EM10" s="19">
        <v>9107285</v>
      </c>
      <c r="EN10" s="19">
        <v>19347928</v>
      </c>
      <c r="EO10" s="19">
        <v>5196336</v>
      </c>
      <c r="EP10" s="19"/>
      <c r="EQ10" s="19"/>
      <c r="ER10" s="19">
        <v>101317185</v>
      </c>
      <c r="ES10" s="19">
        <v>22374429</v>
      </c>
      <c r="ET10" s="19"/>
      <c r="EU10" s="19">
        <v>360508412</v>
      </c>
      <c r="EV10" s="19">
        <v>12545295</v>
      </c>
      <c r="EW10" s="19">
        <v>7763669</v>
      </c>
      <c r="EX10" s="19">
        <v>32605157</v>
      </c>
      <c r="EY10" s="19">
        <v>7945000</v>
      </c>
      <c r="EZ10" s="19">
        <v>5210160</v>
      </c>
      <c r="FA10" s="19"/>
      <c r="FB10" s="19">
        <v>3360465</v>
      </c>
      <c r="FC10" s="19">
        <v>8723991</v>
      </c>
      <c r="FD10" s="19">
        <v>1320000</v>
      </c>
      <c r="FE10" s="19"/>
      <c r="FF10" s="19"/>
      <c r="FG10" s="19">
        <v>6006276</v>
      </c>
      <c r="FH10" s="19">
        <v>5132000</v>
      </c>
      <c r="FI10" s="19">
        <v>3281800</v>
      </c>
      <c r="FJ10" s="19">
        <v>59620</v>
      </c>
      <c r="FK10" s="19">
        <v>46485770</v>
      </c>
      <c r="FL10" s="19">
        <v>1609622</v>
      </c>
      <c r="FM10" s="19">
        <v>660000</v>
      </c>
      <c r="FN10" s="19">
        <v>71106644</v>
      </c>
      <c r="FO10" s="19"/>
      <c r="FP10" s="19">
        <v>783337</v>
      </c>
      <c r="FQ10" s="19">
        <v>7516628</v>
      </c>
      <c r="FR10" s="19">
        <v>599500</v>
      </c>
      <c r="FS10" s="19">
        <v>997000</v>
      </c>
      <c r="FT10" s="19">
        <v>152742413</v>
      </c>
      <c r="FU10" s="19" t="s">
        <v>152</v>
      </c>
      <c r="FV10" s="19">
        <v>100932931</v>
      </c>
      <c r="FW10" s="19"/>
      <c r="FX10" s="19">
        <v>507268</v>
      </c>
      <c r="FY10" s="19">
        <v>25632093</v>
      </c>
      <c r="FZ10" s="19">
        <v>9429572</v>
      </c>
      <c r="GA10" s="19">
        <v>0</v>
      </c>
      <c r="GB10" s="19">
        <v>1760000</v>
      </c>
      <c r="GC10" s="19">
        <v>935010</v>
      </c>
      <c r="GD10" s="19" t="s">
        <v>96</v>
      </c>
      <c r="GE10" s="19">
        <v>91865</v>
      </c>
      <c r="GF10" s="19">
        <v>3128954</v>
      </c>
      <c r="GG10" s="19">
        <v>17158399</v>
      </c>
      <c r="GH10" s="19">
        <v>2746703</v>
      </c>
      <c r="GI10" s="19">
        <v>3227984</v>
      </c>
      <c r="GJ10" s="19"/>
      <c r="GK10" s="19"/>
      <c r="GL10" s="19">
        <v>1284499</v>
      </c>
      <c r="GM10" s="19"/>
      <c r="GN10" s="19">
        <v>1389133</v>
      </c>
      <c r="GO10" s="19">
        <v>48338124</v>
      </c>
      <c r="GP10" s="19">
        <v>74462037</v>
      </c>
      <c r="GQ10" s="19"/>
      <c r="GR10" s="19">
        <v>23816250</v>
      </c>
      <c r="GS10" s="19"/>
      <c r="GT10" s="19">
        <v>3227984</v>
      </c>
      <c r="GU10" s="19"/>
      <c r="GV10" s="19" t="s">
        <v>89</v>
      </c>
      <c r="GW10" s="19">
        <v>21534926</v>
      </c>
      <c r="GX10" s="19">
        <v>13044199</v>
      </c>
      <c r="GY10" s="19">
        <v>126844543</v>
      </c>
      <c r="GZ10" s="19">
        <v>11518550</v>
      </c>
      <c r="HA10" s="19">
        <v>3611480</v>
      </c>
      <c r="HB10" s="19">
        <v>229848</v>
      </c>
      <c r="HC10" s="19">
        <v>48428155</v>
      </c>
      <c r="HD10" s="19" t="s">
        <v>89</v>
      </c>
      <c r="HE10" s="19">
        <v>36440766</v>
      </c>
      <c r="HF10" s="19">
        <v>2487100</v>
      </c>
      <c r="HG10" s="19"/>
      <c r="HH10" s="19">
        <v>75271</v>
      </c>
      <c r="HI10" s="19">
        <v>17472427</v>
      </c>
      <c r="HJ10" s="19">
        <v>5423000</v>
      </c>
      <c r="HK10" s="19">
        <v>31950990</v>
      </c>
      <c r="HL10" s="19">
        <v>7341370</v>
      </c>
      <c r="HM10" s="19"/>
      <c r="HN10" s="19">
        <v>117336</v>
      </c>
      <c r="HO10" s="19">
        <v>13984562</v>
      </c>
      <c r="HP10" s="19" t="s">
        <v>89</v>
      </c>
    </row>
    <row r="11" spans="1:224">
      <c r="A11" s="7" t="s">
        <v>5</v>
      </c>
      <c r="B11" s="13" t="s">
        <v>40</v>
      </c>
      <c r="C11" s="19">
        <v>100000</v>
      </c>
      <c r="D11" s="19">
        <v>336386093</v>
      </c>
      <c r="E11" s="19">
        <v>8050200</v>
      </c>
      <c r="F11" s="19"/>
      <c r="G11" s="19">
        <v>5330000</v>
      </c>
      <c r="H11" s="19">
        <v>198100626</v>
      </c>
      <c r="I11" s="19">
        <v>40000000</v>
      </c>
      <c r="J11" s="19" t="s">
        <v>4</v>
      </c>
      <c r="K11" s="19">
        <v>30890</v>
      </c>
      <c r="L11" s="19"/>
      <c r="M11" s="19" t="s">
        <v>96</v>
      </c>
      <c r="N11" s="19"/>
      <c r="O11" s="19">
        <v>2434270</v>
      </c>
      <c r="P11" s="19">
        <v>24549892</v>
      </c>
      <c r="Q11" s="19"/>
      <c r="R11" s="19"/>
      <c r="S11" s="19"/>
      <c r="T11" s="19" t="s">
        <v>96</v>
      </c>
      <c r="U11" s="19"/>
      <c r="V11" s="19"/>
      <c r="W11" s="19"/>
      <c r="X11" s="19"/>
      <c r="Y11" s="19"/>
      <c r="Z11" s="19"/>
      <c r="AA11" s="19">
        <v>199524543</v>
      </c>
      <c r="AB11" s="19"/>
      <c r="AC11" s="19">
        <v>2195400</v>
      </c>
      <c r="AD11" s="19">
        <v>7900000</v>
      </c>
      <c r="AE11" s="19">
        <v>10383237</v>
      </c>
      <c r="AF11" s="19"/>
      <c r="AG11" s="19">
        <v>26467360</v>
      </c>
      <c r="AH11" s="19"/>
      <c r="AI11" s="19"/>
      <c r="AJ11" s="19">
        <v>43468</v>
      </c>
      <c r="AK11" s="19" t="s">
        <v>89</v>
      </c>
      <c r="AL11" s="19"/>
      <c r="AM11" s="19" t="s">
        <v>4</v>
      </c>
      <c r="AN11" s="19"/>
      <c r="AO11" s="19"/>
      <c r="AP11" s="19">
        <v>174120</v>
      </c>
      <c r="AQ11" s="19" t="s">
        <v>4</v>
      </c>
      <c r="AR11" s="19"/>
      <c r="AS11" s="19"/>
      <c r="AT11" s="19">
        <v>57890</v>
      </c>
      <c r="AU11" s="19"/>
      <c r="AV11" s="19"/>
      <c r="AW11" s="19"/>
      <c r="AX11" s="19" t="s">
        <v>4</v>
      </c>
      <c r="AY11" s="19"/>
      <c r="AZ11" s="19"/>
      <c r="BA11" s="19">
        <v>94700</v>
      </c>
      <c r="BB11" s="19">
        <v>392339</v>
      </c>
      <c r="BC11" s="19"/>
      <c r="BD11" s="19"/>
      <c r="BE11" s="19"/>
      <c r="BF11" s="19"/>
      <c r="BG11" s="19"/>
      <c r="BH11" s="19"/>
      <c r="BI11" s="19"/>
      <c r="BJ11" s="19"/>
      <c r="BK11" s="19">
        <v>4234509</v>
      </c>
      <c r="BL11" s="19">
        <v>2450770</v>
      </c>
      <c r="BM11" s="19">
        <v>33081300</v>
      </c>
      <c r="BN11" s="19"/>
      <c r="BO11" s="19"/>
      <c r="BP11" s="19"/>
      <c r="BQ11" s="19" t="s">
        <v>96</v>
      </c>
      <c r="BR11" s="19"/>
      <c r="BS11" s="19"/>
      <c r="BT11" s="19"/>
      <c r="BU11" s="19"/>
      <c r="BV11" s="19"/>
      <c r="BW11" s="19"/>
      <c r="BX11" s="19"/>
      <c r="BY11" s="19"/>
      <c r="BZ11" s="19">
        <v>432076540</v>
      </c>
      <c r="CA11" s="19">
        <v>71405297</v>
      </c>
      <c r="CB11" s="19"/>
      <c r="CC11" s="19">
        <v>5650</v>
      </c>
      <c r="CD11" s="19">
        <v>10086714</v>
      </c>
      <c r="CE11" s="19"/>
      <c r="CF11" s="19"/>
      <c r="CG11" s="19">
        <v>2084971</v>
      </c>
      <c r="CH11" s="19">
        <v>1203056</v>
      </c>
      <c r="CI11" s="19" t="s">
        <v>89</v>
      </c>
      <c r="CJ11" s="19"/>
      <c r="CK11" s="19"/>
      <c r="CL11" s="19">
        <v>13528400</v>
      </c>
      <c r="CM11" s="19"/>
      <c r="CN11" s="19"/>
      <c r="CO11" s="19"/>
      <c r="CP11" s="19">
        <v>10000000</v>
      </c>
      <c r="CQ11" s="19" t="s">
        <v>96</v>
      </c>
      <c r="CR11" s="19">
        <v>27320</v>
      </c>
      <c r="CS11" s="19">
        <v>53612486</v>
      </c>
      <c r="CT11" s="19"/>
      <c r="CU11" s="19"/>
      <c r="CV11" s="19"/>
      <c r="CW11" s="19"/>
      <c r="CX11" s="19">
        <v>2416220</v>
      </c>
      <c r="CY11" s="19"/>
      <c r="CZ11" s="19"/>
      <c r="DA11" s="19"/>
      <c r="DB11" s="19"/>
      <c r="DC11" s="19"/>
      <c r="DD11" s="19"/>
      <c r="DE11" s="19"/>
      <c r="DF11" s="19">
        <v>4127065</v>
      </c>
      <c r="DG11" s="19"/>
      <c r="DH11" s="19">
        <v>79900</v>
      </c>
      <c r="DI11" s="19"/>
      <c r="DJ11" s="19"/>
      <c r="DK11" s="19"/>
      <c r="DL11" s="19"/>
      <c r="DM11" s="19"/>
      <c r="DN11" s="19">
        <v>17620</v>
      </c>
      <c r="DO11" s="19"/>
      <c r="DP11" s="19"/>
      <c r="DQ11" s="19"/>
      <c r="DR11" s="19">
        <v>365770</v>
      </c>
      <c r="DS11" s="19"/>
      <c r="DT11" s="19"/>
      <c r="DU11" s="19"/>
      <c r="DV11" s="19"/>
      <c r="DW11" s="19">
        <v>52178750</v>
      </c>
      <c r="DX11" s="19"/>
      <c r="DY11" s="19">
        <v>25849348</v>
      </c>
      <c r="DZ11" s="19"/>
      <c r="EA11" s="19"/>
      <c r="EB11" s="19"/>
      <c r="EC11" s="19">
        <v>25252</v>
      </c>
      <c r="ED11" s="19"/>
      <c r="EE11" s="19"/>
      <c r="EF11" s="19">
        <v>202434</v>
      </c>
      <c r="EG11" s="19"/>
      <c r="EH11" s="19">
        <v>4693146</v>
      </c>
      <c r="EI11" s="19"/>
      <c r="EJ11" s="19">
        <v>15690</v>
      </c>
      <c r="EK11" s="19" t="s">
        <v>89</v>
      </c>
      <c r="EL11" s="19"/>
      <c r="EM11" s="19"/>
      <c r="EN11" s="19"/>
      <c r="EO11" s="19">
        <v>1084750</v>
      </c>
      <c r="EP11" s="19">
        <v>10335150</v>
      </c>
      <c r="EQ11" s="19"/>
      <c r="ER11" s="19">
        <v>339451769</v>
      </c>
      <c r="ES11" s="19">
        <v>7037622</v>
      </c>
      <c r="ET11" s="19">
        <v>5796302</v>
      </c>
      <c r="EU11" s="19"/>
      <c r="EV11" s="19"/>
      <c r="EW11" s="19">
        <v>2974991</v>
      </c>
      <c r="EX11" s="19">
        <v>62587814</v>
      </c>
      <c r="EY11" s="19"/>
      <c r="EZ11" s="19"/>
      <c r="FA11" s="19">
        <v>8430</v>
      </c>
      <c r="FB11" s="19">
        <v>1790</v>
      </c>
      <c r="FC11" s="19">
        <v>5610</v>
      </c>
      <c r="FD11" s="19">
        <v>31806917</v>
      </c>
      <c r="FE11" s="19">
        <v>423442710</v>
      </c>
      <c r="FF11" s="19">
        <v>1430</v>
      </c>
      <c r="FG11" s="19"/>
      <c r="FH11" s="19">
        <v>1001190</v>
      </c>
      <c r="FI11" s="19"/>
      <c r="FJ11" s="19">
        <v>28514390</v>
      </c>
      <c r="FK11" s="19"/>
      <c r="FL11" s="19"/>
      <c r="FM11" s="19"/>
      <c r="FN11" s="19">
        <v>18464797</v>
      </c>
      <c r="FO11" s="19"/>
      <c r="FP11" s="19">
        <v>2622517</v>
      </c>
      <c r="FQ11" s="19">
        <v>14202340</v>
      </c>
      <c r="FR11" s="19"/>
      <c r="FS11" s="19"/>
      <c r="FT11" s="19">
        <v>40145039</v>
      </c>
      <c r="FU11" s="19" t="s">
        <v>152</v>
      </c>
      <c r="FV11" s="19"/>
      <c r="FW11" s="19"/>
      <c r="FX11" s="19"/>
      <c r="FY11" s="19"/>
      <c r="FZ11" s="19"/>
      <c r="GA11" s="19">
        <v>0</v>
      </c>
      <c r="GB11" s="19">
        <v>0</v>
      </c>
      <c r="GC11" s="19">
        <v>11634350</v>
      </c>
      <c r="GD11" s="19" t="s">
        <v>96</v>
      </c>
      <c r="GE11" s="19"/>
      <c r="GF11" s="19">
        <v>7415527</v>
      </c>
      <c r="GG11" s="19"/>
      <c r="GH11" s="19"/>
      <c r="GI11" s="19"/>
      <c r="GJ11" s="19"/>
      <c r="GK11" s="19"/>
      <c r="GL11" s="19"/>
      <c r="GM11" s="19"/>
      <c r="GN11" s="19"/>
      <c r="GO11" s="19"/>
      <c r="GP11" s="19"/>
      <c r="GQ11" s="19"/>
      <c r="GR11" s="19"/>
      <c r="GS11" s="19"/>
      <c r="GT11" s="19"/>
      <c r="GU11" s="19"/>
      <c r="GV11" s="19" t="s">
        <v>89</v>
      </c>
      <c r="GW11" s="19"/>
      <c r="GX11" s="19">
        <v>121371</v>
      </c>
      <c r="GY11" s="19"/>
      <c r="GZ11" s="19">
        <v>508950</v>
      </c>
      <c r="HA11" s="19"/>
      <c r="HB11" s="19"/>
      <c r="HC11" s="19">
        <v>231190526</v>
      </c>
      <c r="HD11" s="19" t="s">
        <v>89</v>
      </c>
      <c r="HE11" s="19"/>
      <c r="HF11" s="19">
        <v>8548725</v>
      </c>
      <c r="HG11" s="19">
        <v>510</v>
      </c>
      <c r="HH11" s="19">
        <v>25000000</v>
      </c>
      <c r="HI11" s="19">
        <v>960169</v>
      </c>
      <c r="HJ11" s="19"/>
      <c r="HK11" s="19"/>
      <c r="HL11" s="19"/>
      <c r="HM11" s="19"/>
      <c r="HN11" s="19"/>
      <c r="HO11" s="19"/>
      <c r="HP11" s="19" t="s">
        <v>89</v>
      </c>
    </row>
    <row r="12" spans="1:224">
      <c r="A12" s="7" t="s">
        <v>5</v>
      </c>
      <c r="B12" s="14" t="s">
        <v>30</v>
      </c>
      <c r="C12" s="19"/>
      <c r="D12" s="19">
        <v>64963780</v>
      </c>
      <c r="E12" s="19">
        <v>13390950</v>
      </c>
      <c r="F12" s="19"/>
      <c r="G12" s="19">
        <v>151792710</v>
      </c>
      <c r="H12" s="19"/>
      <c r="I12" s="19"/>
      <c r="J12" s="19" t="s">
        <v>4</v>
      </c>
      <c r="K12" s="19">
        <v>253853087</v>
      </c>
      <c r="L12" s="19">
        <v>773003218</v>
      </c>
      <c r="M12" s="19" t="s">
        <v>96</v>
      </c>
      <c r="N12" s="19"/>
      <c r="O12" s="19">
        <v>102709611</v>
      </c>
      <c r="P12" s="19">
        <v>80807087</v>
      </c>
      <c r="Q12" s="19">
        <v>123933427</v>
      </c>
      <c r="R12" s="19">
        <v>51403900</v>
      </c>
      <c r="S12" s="19">
        <v>131201230</v>
      </c>
      <c r="T12" s="19" t="s">
        <v>96</v>
      </c>
      <c r="U12" s="19">
        <v>36024751</v>
      </c>
      <c r="V12" s="19"/>
      <c r="W12" s="19"/>
      <c r="X12" s="19"/>
      <c r="Y12" s="19"/>
      <c r="Z12" s="19">
        <v>334845900</v>
      </c>
      <c r="AA12" s="19">
        <v>862233154</v>
      </c>
      <c r="AB12" s="19"/>
      <c r="AC12" s="19">
        <v>2542100</v>
      </c>
      <c r="AD12" s="19">
        <v>14757000</v>
      </c>
      <c r="AE12" s="19">
        <v>57550000</v>
      </c>
      <c r="AF12" s="19"/>
      <c r="AG12" s="19"/>
      <c r="AH12" s="19">
        <v>35191580</v>
      </c>
      <c r="AI12" s="19">
        <v>87550000</v>
      </c>
      <c r="AJ12" s="19">
        <v>470923239</v>
      </c>
      <c r="AK12" s="19" t="s">
        <v>89</v>
      </c>
      <c r="AL12" s="19">
        <v>753240</v>
      </c>
      <c r="AM12" s="19" t="s">
        <v>4</v>
      </c>
      <c r="AN12" s="19">
        <v>3542650</v>
      </c>
      <c r="AO12" s="19"/>
      <c r="AP12" s="19">
        <v>4916452</v>
      </c>
      <c r="AQ12" s="19" t="s">
        <v>4</v>
      </c>
      <c r="AR12" s="19">
        <v>76324500</v>
      </c>
      <c r="AS12" s="19"/>
      <c r="AT12" s="19">
        <v>185725267</v>
      </c>
      <c r="AU12" s="19"/>
      <c r="AV12" s="19"/>
      <c r="AW12" s="19">
        <v>16693062</v>
      </c>
      <c r="AX12" s="19" t="s">
        <v>4</v>
      </c>
      <c r="AY12" s="19">
        <v>18894000</v>
      </c>
      <c r="AZ12" s="19"/>
      <c r="BA12" s="19">
        <v>404053184</v>
      </c>
      <c r="BB12" s="19"/>
      <c r="BC12" s="19">
        <v>212825000</v>
      </c>
      <c r="BD12" s="19"/>
      <c r="BE12" s="19">
        <v>382255000</v>
      </c>
      <c r="BF12" s="19">
        <v>446515140</v>
      </c>
      <c r="BG12" s="19">
        <v>535217056</v>
      </c>
      <c r="BH12" s="19">
        <v>66785141</v>
      </c>
      <c r="BI12" s="19">
        <v>45920040</v>
      </c>
      <c r="BJ12" s="19">
        <v>114585996</v>
      </c>
      <c r="BK12" s="19">
        <v>187277900</v>
      </c>
      <c r="BL12" s="19">
        <v>19232400</v>
      </c>
      <c r="BM12" s="19"/>
      <c r="BN12" s="19"/>
      <c r="BO12" s="19">
        <v>269298288</v>
      </c>
      <c r="BP12" s="19"/>
      <c r="BQ12" s="19" t="s">
        <v>96</v>
      </c>
      <c r="BR12" s="19"/>
      <c r="BS12" s="19">
        <v>9121620</v>
      </c>
      <c r="BT12" s="19">
        <v>4502370</v>
      </c>
      <c r="BU12" s="19">
        <v>219536060</v>
      </c>
      <c r="BV12" s="19"/>
      <c r="BW12" s="19"/>
      <c r="BX12" s="19"/>
      <c r="BY12" s="19">
        <v>72456557</v>
      </c>
      <c r="BZ12" s="19">
        <v>68601925</v>
      </c>
      <c r="CA12" s="19"/>
      <c r="CB12" s="19">
        <v>69701671</v>
      </c>
      <c r="CC12" s="19">
        <v>14035700</v>
      </c>
      <c r="CD12" s="19">
        <v>76323148</v>
      </c>
      <c r="CE12" s="19">
        <v>168165230</v>
      </c>
      <c r="CF12" s="19">
        <v>114622079</v>
      </c>
      <c r="CG12" s="19"/>
      <c r="CH12" s="19">
        <v>19395600</v>
      </c>
      <c r="CI12" s="19" t="s">
        <v>89</v>
      </c>
      <c r="CJ12" s="19">
        <v>438081300</v>
      </c>
      <c r="CK12" s="19">
        <v>163357301</v>
      </c>
      <c r="CL12" s="19">
        <v>74039100</v>
      </c>
      <c r="CM12" s="19"/>
      <c r="CN12" s="19"/>
      <c r="CO12" s="19"/>
      <c r="CP12" s="19">
        <v>850684118</v>
      </c>
      <c r="CQ12" s="19" t="s">
        <v>96</v>
      </c>
      <c r="CR12" s="19">
        <v>282586500</v>
      </c>
      <c r="CS12" s="19"/>
      <c r="CT12" s="19"/>
      <c r="CU12" s="19"/>
      <c r="CV12" s="19"/>
      <c r="CW12" s="19">
        <v>48446612</v>
      </c>
      <c r="CX12" s="19"/>
      <c r="CY12" s="19">
        <v>50631850</v>
      </c>
      <c r="CZ12" s="19"/>
      <c r="DA12" s="19"/>
      <c r="DB12" s="19"/>
      <c r="DC12" s="19"/>
      <c r="DD12" s="19">
        <v>817360</v>
      </c>
      <c r="DE12" s="19"/>
      <c r="DF12" s="19">
        <v>9062520</v>
      </c>
      <c r="DG12" s="19"/>
      <c r="DH12" s="19">
        <v>26128262</v>
      </c>
      <c r="DI12" s="19">
        <v>229931610</v>
      </c>
      <c r="DJ12" s="19"/>
      <c r="DK12" s="19">
        <v>809875070</v>
      </c>
      <c r="DL12" s="19"/>
      <c r="DM12" s="19">
        <v>817565210</v>
      </c>
      <c r="DN12" s="19">
        <v>9366291</v>
      </c>
      <c r="DO12" s="19"/>
      <c r="DP12" s="19">
        <v>32337423</v>
      </c>
      <c r="DQ12" s="19">
        <v>72588600</v>
      </c>
      <c r="DR12" s="19">
        <v>72965900</v>
      </c>
      <c r="DS12" s="19"/>
      <c r="DT12" s="19"/>
      <c r="DU12" s="19"/>
      <c r="DV12" s="19"/>
      <c r="DW12" s="19">
        <v>8800000</v>
      </c>
      <c r="DX12" s="19"/>
      <c r="DY12" s="19">
        <v>84646034</v>
      </c>
      <c r="DZ12" s="19">
        <v>425300000</v>
      </c>
      <c r="EA12" s="19"/>
      <c r="EB12" s="19"/>
      <c r="EC12" s="19">
        <v>149652653</v>
      </c>
      <c r="ED12" s="19"/>
      <c r="EE12" s="19">
        <v>19421400</v>
      </c>
      <c r="EF12" s="19">
        <v>80534100</v>
      </c>
      <c r="EG12" s="19">
        <v>868091113</v>
      </c>
      <c r="EH12" s="19"/>
      <c r="EI12" s="19"/>
      <c r="EJ12" s="19"/>
      <c r="EK12" s="19" t="s">
        <v>89</v>
      </c>
      <c r="EL12" s="19">
        <v>120062975</v>
      </c>
      <c r="EM12" s="19">
        <v>9493000</v>
      </c>
      <c r="EN12" s="19"/>
      <c r="EO12" s="19">
        <v>10250220</v>
      </c>
      <c r="EP12" s="19">
        <v>160380191</v>
      </c>
      <c r="EQ12" s="19"/>
      <c r="ER12" s="19">
        <v>19828003</v>
      </c>
      <c r="ES12" s="19">
        <v>433305384</v>
      </c>
      <c r="ET12" s="19"/>
      <c r="EU12" s="19"/>
      <c r="EV12" s="19">
        <v>157687790</v>
      </c>
      <c r="EW12" s="19">
        <v>60150500</v>
      </c>
      <c r="EX12" s="19">
        <v>16955869</v>
      </c>
      <c r="EY12" s="19"/>
      <c r="EZ12" s="19">
        <v>5502767</v>
      </c>
      <c r="FA12" s="19">
        <v>5656000</v>
      </c>
      <c r="FB12" s="19">
        <v>45736472</v>
      </c>
      <c r="FC12" s="19">
        <v>88136963</v>
      </c>
      <c r="FD12" s="19">
        <v>10000000</v>
      </c>
      <c r="FE12" s="19">
        <v>111123726</v>
      </c>
      <c r="FF12" s="19"/>
      <c r="FG12" s="19">
        <v>201139667</v>
      </c>
      <c r="FH12" s="19"/>
      <c r="FI12" s="19">
        <v>44940000</v>
      </c>
      <c r="FJ12" s="19"/>
      <c r="FK12" s="19">
        <v>18650000</v>
      </c>
      <c r="FL12" s="19"/>
      <c r="FM12" s="19"/>
      <c r="FN12" s="19"/>
      <c r="FO12" s="19"/>
      <c r="FP12" s="19"/>
      <c r="FQ12" s="19">
        <v>0</v>
      </c>
      <c r="FR12" s="19">
        <v>30312670</v>
      </c>
      <c r="FS12" s="19"/>
      <c r="FT12" s="19">
        <v>588146765</v>
      </c>
      <c r="FU12" s="19" t="s">
        <v>152</v>
      </c>
      <c r="FV12" s="19"/>
      <c r="FW12" s="19">
        <v>195448163</v>
      </c>
      <c r="FX12" s="19"/>
      <c r="FY12" s="19">
        <v>146988219</v>
      </c>
      <c r="FZ12" s="19"/>
      <c r="GA12" s="19">
        <v>0</v>
      </c>
      <c r="GB12" s="19">
        <v>2800000</v>
      </c>
      <c r="GC12" s="19"/>
      <c r="GD12" s="19" t="s">
        <v>96</v>
      </c>
      <c r="GE12" s="19">
        <v>223040</v>
      </c>
      <c r="GF12" s="19"/>
      <c r="GG12" s="19">
        <v>17335453</v>
      </c>
      <c r="GH12" s="19"/>
      <c r="GI12" s="19">
        <v>137381310</v>
      </c>
      <c r="GJ12" s="19"/>
      <c r="GK12" s="19"/>
      <c r="GL12" s="19">
        <v>10845680</v>
      </c>
      <c r="GM12" s="19"/>
      <c r="GN12" s="19">
        <v>4011420</v>
      </c>
      <c r="GO12" s="19">
        <v>197700000</v>
      </c>
      <c r="GP12" s="19">
        <v>966070300</v>
      </c>
      <c r="GQ12" s="19">
        <v>18860230</v>
      </c>
      <c r="GR12" s="19">
        <v>128721100</v>
      </c>
      <c r="GS12" s="19"/>
      <c r="GT12" s="19">
        <v>137381310</v>
      </c>
      <c r="GU12" s="19"/>
      <c r="GV12" s="19" t="s">
        <v>89</v>
      </c>
      <c r="GW12" s="19">
        <v>357439250</v>
      </c>
      <c r="GX12" s="19">
        <v>402083060</v>
      </c>
      <c r="GY12" s="19">
        <v>21614724</v>
      </c>
      <c r="GZ12" s="19">
        <v>38301030</v>
      </c>
      <c r="HA12" s="19">
        <v>28144409</v>
      </c>
      <c r="HB12" s="19"/>
      <c r="HC12" s="19"/>
      <c r="HD12" s="19" t="s">
        <v>89</v>
      </c>
      <c r="HE12" s="19">
        <v>26713326</v>
      </c>
      <c r="HF12" s="19"/>
      <c r="HG12" s="19"/>
      <c r="HH12" s="19">
        <v>780545</v>
      </c>
      <c r="HI12" s="19"/>
      <c r="HJ12" s="19">
        <v>146429700</v>
      </c>
      <c r="HK12" s="19">
        <v>336398017</v>
      </c>
      <c r="HL12" s="19"/>
      <c r="HM12" s="19"/>
      <c r="HN12" s="19"/>
      <c r="HO12" s="19">
        <v>9915040</v>
      </c>
      <c r="HP12" s="19" t="s">
        <v>89</v>
      </c>
    </row>
    <row r="13" spans="1:224">
      <c r="A13" s="7" t="s">
        <v>5</v>
      </c>
      <c r="B13" s="14" t="s">
        <v>66</v>
      </c>
      <c r="C13" s="19"/>
      <c r="D13" s="19">
        <v>0</v>
      </c>
      <c r="E13" s="19"/>
      <c r="F13" s="19"/>
      <c r="G13" s="19"/>
      <c r="H13" s="19"/>
      <c r="I13" s="19"/>
      <c r="J13" s="19" t="s">
        <v>4</v>
      </c>
      <c r="K13" s="19"/>
      <c r="L13" s="19"/>
      <c r="M13" s="19" t="s">
        <v>96</v>
      </c>
      <c r="N13" s="19"/>
      <c r="O13" s="19"/>
      <c r="P13" s="19"/>
      <c r="Q13" s="19"/>
      <c r="R13" s="19"/>
      <c r="S13" s="19"/>
      <c r="T13" s="19" t="s">
        <v>96</v>
      </c>
      <c r="U13" s="19"/>
      <c r="V13" s="19"/>
      <c r="W13" s="19"/>
      <c r="X13" s="19"/>
      <c r="Y13" s="19"/>
      <c r="Z13" s="19"/>
      <c r="AA13" s="19"/>
      <c r="AB13" s="19"/>
      <c r="AC13" s="19"/>
      <c r="AD13" s="19"/>
      <c r="AE13" s="19"/>
      <c r="AF13" s="19"/>
      <c r="AG13" s="19"/>
      <c r="AH13" s="19"/>
      <c r="AI13" s="19"/>
      <c r="AJ13" s="19"/>
      <c r="AK13" s="19" t="s">
        <v>89</v>
      </c>
      <c r="AL13" s="19"/>
      <c r="AM13" s="19" t="s">
        <v>4</v>
      </c>
      <c r="AN13" s="19"/>
      <c r="AO13" s="19"/>
      <c r="AP13" s="19"/>
      <c r="AQ13" s="19" t="s">
        <v>4</v>
      </c>
      <c r="AR13" s="19"/>
      <c r="AS13" s="19"/>
      <c r="AT13" s="19"/>
      <c r="AU13" s="19"/>
      <c r="AV13" s="19"/>
      <c r="AW13" s="19"/>
      <c r="AX13" s="19" t="s">
        <v>4</v>
      </c>
      <c r="AY13" s="19"/>
      <c r="AZ13" s="19"/>
      <c r="BA13" s="19"/>
      <c r="BB13" s="19"/>
      <c r="BC13" s="19"/>
      <c r="BD13" s="19"/>
      <c r="BE13" s="19"/>
      <c r="BF13" s="19"/>
      <c r="BG13" s="19"/>
      <c r="BH13" s="19"/>
      <c r="BI13" s="19"/>
      <c r="BJ13" s="19"/>
      <c r="BK13" s="19"/>
      <c r="BL13" s="19"/>
      <c r="BM13" s="19"/>
      <c r="BN13" s="19"/>
      <c r="BO13" s="19"/>
      <c r="BP13" s="19"/>
      <c r="BQ13" s="19" t="s">
        <v>96</v>
      </c>
      <c r="BR13" s="19"/>
      <c r="BS13" s="19"/>
      <c r="BT13" s="19"/>
      <c r="BU13" s="19"/>
      <c r="BV13" s="19"/>
      <c r="BW13" s="19"/>
      <c r="BX13" s="19"/>
      <c r="BY13" s="19"/>
      <c r="BZ13" s="19"/>
      <c r="CA13" s="19"/>
      <c r="CB13" s="19"/>
      <c r="CC13" s="19"/>
      <c r="CD13" s="19"/>
      <c r="CE13" s="19"/>
      <c r="CF13" s="19"/>
      <c r="CG13" s="19"/>
      <c r="CH13" s="19"/>
      <c r="CI13" s="19" t="s">
        <v>89</v>
      </c>
      <c r="CJ13" s="19"/>
      <c r="CK13" s="19"/>
      <c r="CL13" s="19"/>
      <c r="CM13" s="19"/>
      <c r="CN13" s="19"/>
      <c r="CO13" s="19"/>
      <c r="CP13" s="19"/>
      <c r="CQ13" s="19" t="s">
        <v>96</v>
      </c>
      <c r="CR13" s="19"/>
      <c r="CS13" s="19"/>
      <c r="CT13" s="19"/>
      <c r="CU13" s="19"/>
      <c r="CV13" s="19"/>
      <c r="CW13" s="19"/>
      <c r="CX13" s="19"/>
      <c r="CY13" s="19"/>
      <c r="CZ13" s="19"/>
      <c r="DA13" s="19"/>
      <c r="DB13" s="19"/>
      <c r="DC13" s="19"/>
      <c r="DD13" s="19"/>
      <c r="DE13" s="19"/>
      <c r="DF13" s="19"/>
      <c r="DG13" s="19"/>
      <c r="DH13" s="19"/>
      <c r="DI13" s="19"/>
      <c r="DJ13" s="19"/>
      <c r="DK13" s="19"/>
      <c r="DL13" s="19"/>
      <c r="DM13" s="19"/>
      <c r="DN13" s="19"/>
      <c r="DO13" s="19"/>
      <c r="DP13" s="19"/>
      <c r="DQ13" s="19"/>
      <c r="DR13" s="19"/>
      <c r="DS13" s="19"/>
      <c r="DT13" s="19"/>
      <c r="DU13" s="19"/>
      <c r="DV13" s="19"/>
      <c r="DW13" s="19"/>
      <c r="DX13" s="19">
        <v>4522160</v>
      </c>
      <c r="DY13" s="19"/>
      <c r="DZ13" s="19"/>
      <c r="EA13" s="19"/>
      <c r="EB13" s="19"/>
      <c r="EC13" s="19"/>
      <c r="ED13" s="19"/>
      <c r="EE13" s="19"/>
      <c r="EF13" s="19"/>
      <c r="EG13" s="19"/>
      <c r="EH13" s="19"/>
      <c r="EI13" s="19"/>
      <c r="EJ13" s="19"/>
      <c r="EK13" s="19" t="s">
        <v>89</v>
      </c>
      <c r="EL13" s="19"/>
      <c r="EM13" s="19"/>
      <c r="EN13" s="19"/>
      <c r="EO13" s="19"/>
      <c r="EP13" s="19"/>
      <c r="EQ13" s="19"/>
      <c r="ER13" s="19"/>
      <c r="ES13" s="19"/>
      <c r="ET13" s="19"/>
      <c r="EU13" s="19"/>
      <c r="EV13" s="19"/>
      <c r="EW13" s="19"/>
      <c r="EX13" s="19"/>
      <c r="EY13" s="19"/>
      <c r="EZ13" s="19"/>
      <c r="FA13" s="19"/>
      <c r="FB13" s="19"/>
      <c r="FC13" s="19"/>
      <c r="FD13" s="19"/>
      <c r="FE13" s="19"/>
      <c r="FF13" s="19"/>
      <c r="FG13" s="19"/>
      <c r="FH13" s="19"/>
      <c r="FI13" s="19"/>
      <c r="FJ13" s="19"/>
      <c r="FK13" s="19"/>
      <c r="FL13" s="19"/>
      <c r="FM13" s="19"/>
      <c r="FN13" s="19"/>
      <c r="FO13" s="19"/>
      <c r="FP13" s="19"/>
      <c r="FQ13" s="19"/>
      <c r="FR13" s="19"/>
      <c r="FS13" s="19"/>
      <c r="FT13" s="19"/>
      <c r="FU13" s="19" t="s">
        <v>152</v>
      </c>
      <c r="FV13" s="19"/>
      <c r="FW13" s="19"/>
      <c r="FX13" s="19"/>
      <c r="FY13" s="19"/>
      <c r="FZ13" s="19"/>
      <c r="GA13" s="19">
        <v>0</v>
      </c>
      <c r="GB13" s="19"/>
      <c r="GC13" s="19"/>
      <c r="GD13" s="19" t="s">
        <v>96</v>
      </c>
      <c r="GE13" s="19"/>
      <c r="GF13" s="19"/>
      <c r="GG13" s="19"/>
      <c r="GH13" s="19"/>
      <c r="GI13" s="19"/>
      <c r="GJ13" s="19"/>
      <c r="GK13" s="19"/>
      <c r="GL13" s="19"/>
      <c r="GM13" s="19"/>
      <c r="GN13" s="19"/>
      <c r="GO13" s="19"/>
      <c r="GP13" s="19"/>
      <c r="GQ13" s="19"/>
      <c r="GR13" s="19"/>
      <c r="GS13" s="19"/>
      <c r="GT13" s="19"/>
      <c r="GU13" s="19"/>
      <c r="GV13" s="19" t="s">
        <v>89</v>
      </c>
      <c r="GW13" s="19"/>
      <c r="GX13" s="19"/>
      <c r="GY13" s="19"/>
      <c r="GZ13" s="19"/>
      <c r="HA13" s="19"/>
      <c r="HB13" s="19"/>
      <c r="HC13" s="19"/>
      <c r="HD13" s="19" t="s">
        <v>89</v>
      </c>
      <c r="HE13" s="19"/>
      <c r="HF13" s="19"/>
      <c r="HG13" s="19"/>
      <c r="HH13" s="19"/>
      <c r="HI13" s="19"/>
      <c r="HJ13" s="19"/>
      <c r="HK13" s="19"/>
      <c r="HL13" s="19"/>
      <c r="HM13" s="19"/>
      <c r="HN13" s="19"/>
      <c r="HO13" s="19"/>
      <c r="HP13" s="19" t="s">
        <v>89</v>
      </c>
    </row>
    <row r="14" spans="1:224">
      <c r="A14" s="7" t="s">
        <v>5</v>
      </c>
      <c r="B14" s="8" t="s">
        <v>19</v>
      </c>
      <c r="C14" s="19">
        <v>72028376</v>
      </c>
      <c r="D14" s="19">
        <v>940823404</v>
      </c>
      <c r="E14" s="19">
        <v>458399370</v>
      </c>
      <c r="F14" s="19">
        <v>1161507906</v>
      </c>
      <c r="G14" s="19">
        <v>17067167</v>
      </c>
      <c r="H14" s="19">
        <v>922087597</v>
      </c>
      <c r="I14" s="19">
        <v>2754272122</v>
      </c>
      <c r="J14" s="19" t="s">
        <v>4</v>
      </c>
      <c r="K14" s="19">
        <v>256289593</v>
      </c>
      <c r="L14" s="19">
        <v>82594428</v>
      </c>
      <c r="M14" s="19" t="s">
        <v>96</v>
      </c>
      <c r="N14" s="19">
        <v>152398018</v>
      </c>
      <c r="O14" s="19">
        <v>1777453341</v>
      </c>
      <c r="P14" s="19">
        <v>1485265264</v>
      </c>
      <c r="Q14" s="19">
        <v>35236370</v>
      </c>
      <c r="R14" s="19">
        <v>178237896</v>
      </c>
      <c r="S14" s="19">
        <v>3151234652</v>
      </c>
      <c r="T14" s="19" t="s">
        <v>96</v>
      </c>
      <c r="U14" s="19">
        <v>283431546</v>
      </c>
      <c r="V14" s="19">
        <v>39791176</v>
      </c>
      <c r="W14" s="19">
        <v>254853336</v>
      </c>
      <c r="X14" s="19">
        <v>4942739505</v>
      </c>
      <c r="Y14" s="19">
        <v>276382076</v>
      </c>
      <c r="Z14" s="19">
        <v>659105001</v>
      </c>
      <c r="AA14" s="19">
        <v>1243603467</v>
      </c>
      <c r="AB14" s="19">
        <v>9751431</v>
      </c>
      <c r="AC14" s="19">
        <v>1300786897</v>
      </c>
      <c r="AD14" s="19">
        <v>2393132456</v>
      </c>
      <c r="AE14" s="19">
        <v>5153854375</v>
      </c>
      <c r="AF14" s="19">
        <v>594207184</v>
      </c>
      <c r="AG14" s="19">
        <v>444270926</v>
      </c>
      <c r="AH14" s="19">
        <v>457786068</v>
      </c>
      <c r="AI14" s="19">
        <v>287432173</v>
      </c>
      <c r="AJ14" s="19">
        <v>258727446</v>
      </c>
      <c r="AK14" s="19" t="s">
        <v>89</v>
      </c>
      <c r="AL14" s="19">
        <v>1921095320</v>
      </c>
      <c r="AM14" s="19" t="s">
        <v>4</v>
      </c>
      <c r="AN14" s="19">
        <v>532399479</v>
      </c>
      <c r="AO14" s="19">
        <v>257368595</v>
      </c>
      <c r="AP14" s="19">
        <v>72591294</v>
      </c>
      <c r="AQ14" s="19" t="s">
        <v>4</v>
      </c>
      <c r="AR14" s="19">
        <v>146472768</v>
      </c>
      <c r="AS14" s="19">
        <v>106961188</v>
      </c>
      <c r="AT14" s="19">
        <v>1884168333</v>
      </c>
      <c r="AU14" s="19">
        <v>1429648060</v>
      </c>
      <c r="AV14" s="19">
        <v>139904956</v>
      </c>
      <c r="AW14" s="19">
        <v>621240203</v>
      </c>
      <c r="AX14" s="19" t="s">
        <v>4</v>
      </c>
      <c r="AY14" s="19">
        <v>482981889</v>
      </c>
      <c r="AZ14" s="19">
        <v>270197497</v>
      </c>
      <c r="BA14" s="19">
        <v>1316360699</v>
      </c>
      <c r="BB14" s="19">
        <v>20715156</v>
      </c>
      <c r="BC14" s="19">
        <v>801095569</v>
      </c>
      <c r="BD14" s="19">
        <v>20293900</v>
      </c>
      <c r="BE14" s="19">
        <v>1482933137</v>
      </c>
      <c r="BF14" s="19">
        <v>1144373104</v>
      </c>
      <c r="BG14" s="19">
        <v>421231758</v>
      </c>
      <c r="BH14" s="19">
        <v>732531965</v>
      </c>
      <c r="BI14" s="19">
        <v>51720224</v>
      </c>
      <c r="BJ14" s="19">
        <v>67340274</v>
      </c>
      <c r="BK14" s="19">
        <v>198785654</v>
      </c>
      <c r="BL14" s="19">
        <v>102673554</v>
      </c>
      <c r="BM14" s="19">
        <v>769494815</v>
      </c>
      <c r="BN14" s="19">
        <v>30434570</v>
      </c>
      <c r="BO14" s="19">
        <v>78166940</v>
      </c>
      <c r="BP14" s="19">
        <v>21391756</v>
      </c>
      <c r="BQ14" s="19" t="s">
        <v>96</v>
      </c>
      <c r="BR14" s="19">
        <v>166586367</v>
      </c>
      <c r="BS14" s="19">
        <v>59138993</v>
      </c>
      <c r="BT14" s="19">
        <v>21567147</v>
      </c>
      <c r="BU14" s="19">
        <v>306360837</v>
      </c>
      <c r="BV14" s="19">
        <v>321064</v>
      </c>
      <c r="BW14" s="19">
        <v>17356619</v>
      </c>
      <c r="BX14" s="19">
        <v>59984672</v>
      </c>
      <c r="BY14" s="19">
        <v>333328986</v>
      </c>
      <c r="BZ14" s="19">
        <v>18667802</v>
      </c>
      <c r="CA14" s="19">
        <v>525096656</v>
      </c>
      <c r="CB14" s="19">
        <v>170204029</v>
      </c>
      <c r="CC14" s="19">
        <v>3050000</v>
      </c>
      <c r="CD14" s="19">
        <v>30880089</v>
      </c>
      <c r="CE14" s="19">
        <v>90746000</v>
      </c>
      <c r="CF14" s="19">
        <v>36544982</v>
      </c>
      <c r="CG14" s="19">
        <v>141635189</v>
      </c>
      <c r="CH14" s="19">
        <v>5475300</v>
      </c>
      <c r="CI14" s="19" t="s">
        <v>89</v>
      </c>
      <c r="CJ14" s="19">
        <v>80254901</v>
      </c>
      <c r="CK14" s="19">
        <v>5757125500</v>
      </c>
      <c r="CL14" s="19">
        <v>577809991</v>
      </c>
      <c r="CM14" s="19">
        <v>665767912</v>
      </c>
      <c r="CN14" s="19">
        <v>47887968</v>
      </c>
      <c r="CO14" s="19">
        <v>56658009</v>
      </c>
      <c r="CP14" s="19">
        <v>210735197</v>
      </c>
      <c r="CQ14" s="19" t="s">
        <v>96</v>
      </c>
      <c r="CR14" s="19">
        <v>146686984</v>
      </c>
      <c r="CS14" s="19">
        <v>1109399807</v>
      </c>
      <c r="CT14" s="19">
        <v>120476195</v>
      </c>
      <c r="CU14" s="19">
        <v>180904037</v>
      </c>
      <c r="CV14" s="19">
        <v>0</v>
      </c>
      <c r="CW14" s="19">
        <v>603681007</v>
      </c>
      <c r="CX14" s="19">
        <v>201289758</v>
      </c>
      <c r="CY14" s="19">
        <v>462417462</v>
      </c>
      <c r="CZ14" s="19">
        <v>76759585</v>
      </c>
      <c r="DA14" s="19">
        <v>45604468</v>
      </c>
      <c r="DB14" s="19">
        <v>33736549</v>
      </c>
      <c r="DC14" s="19">
        <v>5748783</v>
      </c>
      <c r="DD14" s="19">
        <v>133973679</v>
      </c>
      <c r="DE14" s="19">
        <v>832952887</v>
      </c>
      <c r="DF14" s="19">
        <v>30074909</v>
      </c>
      <c r="DG14" s="19">
        <v>239030759</v>
      </c>
      <c r="DH14" s="19">
        <v>51800452</v>
      </c>
      <c r="DI14" s="19">
        <v>2022746244</v>
      </c>
      <c r="DJ14" s="19">
        <v>5854948</v>
      </c>
      <c r="DK14" s="19">
        <v>1149374394</v>
      </c>
      <c r="DL14" s="19">
        <v>15042051</v>
      </c>
      <c r="DM14" s="19">
        <v>342692035</v>
      </c>
      <c r="DN14" s="19">
        <v>135362114</v>
      </c>
      <c r="DO14" s="19">
        <v>53909329</v>
      </c>
      <c r="DP14" s="19">
        <v>706232605</v>
      </c>
      <c r="DQ14" s="19">
        <v>45397986</v>
      </c>
      <c r="DR14" s="19">
        <v>36434682</v>
      </c>
      <c r="DS14" s="19">
        <v>69447487</v>
      </c>
      <c r="DT14" s="19">
        <v>307633387</v>
      </c>
      <c r="DU14" s="19">
        <v>32956827</v>
      </c>
      <c r="DV14" s="19">
        <v>81120250</v>
      </c>
      <c r="DW14" s="19">
        <v>380226480</v>
      </c>
      <c r="DX14" s="19">
        <v>129565553</v>
      </c>
      <c r="DY14" s="19">
        <v>144832147</v>
      </c>
      <c r="DZ14" s="19">
        <v>77997793</v>
      </c>
      <c r="EA14" s="19">
        <v>63571210</v>
      </c>
      <c r="EB14" s="19">
        <v>1035095959</v>
      </c>
      <c r="EC14" s="19">
        <v>9615760</v>
      </c>
      <c r="ED14" s="19">
        <v>42022547</v>
      </c>
      <c r="EE14" s="19">
        <v>168800711</v>
      </c>
      <c r="EF14" s="19">
        <v>3027748055</v>
      </c>
      <c r="EG14" s="19">
        <v>2990954798</v>
      </c>
      <c r="EH14" s="19">
        <v>3499617848</v>
      </c>
      <c r="EI14" s="19">
        <v>383182843</v>
      </c>
      <c r="EJ14" s="19">
        <v>14809443</v>
      </c>
      <c r="EK14" s="19" t="s">
        <v>89</v>
      </c>
      <c r="EL14" s="19">
        <v>563390990</v>
      </c>
      <c r="EM14" s="19">
        <v>124312907</v>
      </c>
      <c r="EN14" s="19">
        <v>692358417</v>
      </c>
      <c r="EO14" s="19">
        <v>363261232</v>
      </c>
      <c r="EP14" s="19">
        <v>351437779</v>
      </c>
      <c r="EQ14" s="19">
        <v>10000000</v>
      </c>
      <c r="ER14" s="19">
        <v>1207731362</v>
      </c>
      <c r="ES14" s="19">
        <v>68045016</v>
      </c>
      <c r="ET14" s="19">
        <v>89420461</v>
      </c>
      <c r="EU14" s="19">
        <v>3427798</v>
      </c>
      <c r="EV14" s="19">
        <v>1600000</v>
      </c>
      <c r="EW14" s="19">
        <v>37889324</v>
      </c>
      <c r="EX14" s="19">
        <v>229092273</v>
      </c>
      <c r="EY14" s="19">
        <v>3006870146</v>
      </c>
      <c r="EZ14" s="19">
        <v>302811683</v>
      </c>
      <c r="FA14" s="19">
        <v>2143650666</v>
      </c>
      <c r="FB14" s="19">
        <v>200364168</v>
      </c>
      <c r="FC14" s="19">
        <v>541787397</v>
      </c>
      <c r="FD14" s="19">
        <v>87876786</v>
      </c>
      <c r="FE14" s="19">
        <v>426364942</v>
      </c>
      <c r="FF14" s="19">
        <v>28027517</v>
      </c>
      <c r="FG14" s="19">
        <v>107789257</v>
      </c>
      <c r="FH14" s="19">
        <v>77986572</v>
      </c>
      <c r="FI14" s="19">
        <v>3445714</v>
      </c>
      <c r="FJ14" s="19">
        <v>26326224</v>
      </c>
      <c r="FK14" s="19">
        <v>309027741</v>
      </c>
      <c r="FL14" s="19">
        <v>23569752</v>
      </c>
      <c r="FM14" s="19">
        <v>1680000</v>
      </c>
      <c r="FN14" s="19">
        <v>367025409</v>
      </c>
      <c r="FO14" s="19">
        <v>0</v>
      </c>
      <c r="FP14" s="19">
        <v>75504999</v>
      </c>
      <c r="FQ14" s="19">
        <v>50689535</v>
      </c>
      <c r="FR14" s="19">
        <v>53280144</v>
      </c>
      <c r="FS14" s="19">
        <v>0</v>
      </c>
      <c r="FT14" s="19">
        <v>136538320</v>
      </c>
      <c r="FU14" s="19" t="s">
        <v>152</v>
      </c>
      <c r="FV14" s="19">
        <v>963707950</v>
      </c>
      <c r="FW14" s="19">
        <v>12955345</v>
      </c>
      <c r="FX14" s="19">
        <v>11213538</v>
      </c>
      <c r="FY14" s="19">
        <v>162952000</v>
      </c>
      <c r="FZ14" s="19">
        <v>28576914</v>
      </c>
      <c r="GA14" s="19">
        <v>8693235</v>
      </c>
      <c r="GB14" s="19">
        <v>0</v>
      </c>
      <c r="GC14" s="19">
        <v>35434111</v>
      </c>
      <c r="GD14" s="19" t="s">
        <v>96</v>
      </c>
      <c r="GE14" s="19">
        <v>0</v>
      </c>
      <c r="GF14" s="19">
        <v>16409334</v>
      </c>
      <c r="GG14" s="19">
        <v>228035315</v>
      </c>
      <c r="GH14" s="19">
        <v>6440000</v>
      </c>
      <c r="GI14" s="19">
        <v>35504114</v>
      </c>
      <c r="GJ14" s="19">
        <v>15140310</v>
      </c>
      <c r="GK14" s="19">
        <v>31297780</v>
      </c>
      <c r="GL14" s="19">
        <v>19367279</v>
      </c>
      <c r="GM14" s="19">
        <v>83686874</v>
      </c>
      <c r="GN14" s="19">
        <v>772672075</v>
      </c>
      <c r="GO14" s="19">
        <v>703291938</v>
      </c>
      <c r="GP14" s="19">
        <v>1943568414</v>
      </c>
      <c r="GQ14" s="19">
        <v>31842753</v>
      </c>
      <c r="GR14" s="19">
        <v>259785778</v>
      </c>
      <c r="GS14" s="19">
        <v>495000</v>
      </c>
      <c r="GT14" s="19">
        <v>35504114</v>
      </c>
      <c r="GU14" s="19">
        <v>80000000</v>
      </c>
      <c r="GV14" s="19" t="s">
        <v>89</v>
      </c>
      <c r="GW14" s="19">
        <v>1185386875</v>
      </c>
      <c r="GX14" s="19">
        <v>142698525</v>
      </c>
      <c r="GY14" s="19">
        <v>65825584</v>
      </c>
      <c r="GZ14" s="19">
        <v>57497140</v>
      </c>
      <c r="HA14" s="19">
        <v>172211148</v>
      </c>
      <c r="HB14" s="19">
        <v>33132465</v>
      </c>
      <c r="HC14" s="19">
        <v>109819970</v>
      </c>
      <c r="HD14" s="19" t="s">
        <v>89</v>
      </c>
      <c r="HE14" s="19">
        <v>46340131</v>
      </c>
      <c r="HF14" s="19">
        <v>266473798</v>
      </c>
      <c r="HG14" s="19">
        <v>29745419</v>
      </c>
      <c r="HH14" s="19">
        <v>34597984</v>
      </c>
      <c r="HI14" s="19">
        <v>335514085</v>
      </c>
      <c r="HJ14" s="19">
        <v>285743921</v>
      </c>
      <c r="HK14" s="19">
        <v>467975286</v>
      </c>
      <c r="HL14" s="19">
        <v>96396893</v>
      </c>
      <c r="HM14" s="19">
        <v>95093528</v>
      </c>
      <c r="HN14" s="19">
        <v>343984753</v>
      </c>
      <c r="HO14" s="19">
        <v>87781926</v>
      </c>
      <c r="HP14" s="19" t="s">
        <v>89</v>
      </c>
    </row>
    <row r="15" spans="1:224">
      <c r="A15" s="7" t="s">
        <v>5</v>
      </c>
      <c r="B15" s="11" t="s">
        <v>8</v>
      </c>
      <c r="C15" s="19">
        <v>0</v>
      </c>
      <c r="D15" s="19">
        <v>5000000</v>
      </c>
      <c r="E15" s="19">
        <v>67840065</v>
      </c>
      <c r="F15" s="19">
        <v>33000000</v>
      </c>
      <c r="G15" s="19">
        <v>0</v>
      </c>
      <c r="H15" s="19">
        <v>9860000</v>
      </c>
      <c r="I15" s="19">
        <v>218000000</v>
      </c>
      <c r="J15" s="19" t="s">
        <v>4</v>
      </c>
      <c r="K15" s="19">
        <v>0</v>
      </c>
      <c r="L15" s="19">
        <v>0</v>
      </c>
      <c r="M15" s="19" t="s">
        <v>96</v>
      </c>
      <c r="N15" s="19">
        <v>0</v>
      </c>
      <c r="O15" s="19">
        <v>121660354</v>
      </c>
      <c r="P15" s="19">
        <v>14760000</v>
      </c>
      <c r="Q15" s="19">
        <v>0</v>
      </c>
      <c r="R15" s="19">
        <v>15800000</v>
      </c>
      <c r="S15" s="19">
        <v>157981707</v>
      </c>
      <c r="T15" s="19" t="s">
        <v>96</v>
      </c>
      <c r="U15" s="19">
        <v>3360000</v>
      </c>
      <c r="V15" s="19">
        <v>0</v>
      </c>
      <c r="W15" s="19">
        <v>199501754</v>
      </c>
      <c r="X15" s="19">
        <v>215600167</v>
      </c>
      <c r="Y15" s="19">
        <v>20000000</v>
      </c>
      <c r="Z15" s="19">
        <v>176929633</v>
      </c>
      <c r="AA15" s="19">
        <v>293579348</v>
      </c>
      <c r="AB15" s="19">
        <v>0</v>
      </c>
      <c r="AC15" s="19">
        <v>18000000</v>
      </c>
      <c r="AD15" s="19">
        <v>105161807</v>
      </c>
      <c r="AE15" s="19">
        <v>0</v>
      </c>
      <c r="AF15" s="19">
        <v>0</v>
      </c>
      <c r="AG15" s="19">
        <v>34935791</v>
      </c>
      <c r="AH15" s="19">
        <v>137000000</v>
      </c>
      <c r="AI15" s="19">
        <v>0</v>
      </c>
      <c r="AJ15" s="19">
        <v>0</v>
      </c>
      <c r="AK15" s="19" t="s">
        <v>89</v>
      </c>
      <c r="AL15" s="19">
        <v>106935176</v>
      </c>
      <c r="AM15" s="19" t="s">
        <v>4</v>
      </c>
      <c r="AN15" s="19">
        <v>0</v>
      </c>
      <c r="AO15" s="19">
        <v>0</v>
      </c>
      <c r="AP15" s="19">
        <v>30000000</v>
      </c>
      <c r="AQ15" s="19" t="s">
        <v>4</v>
      </c>
      <c r="AR15" s="19">
        <v>20000000</v>
      </c>
      <c r="AS15" s="19">
        <v>0</v>
      </c>
      <c r="AT15" s="19">
        <v>0</v>
      </c>
      <c r="AU15" s="19">
        <v>30487000</v>
      </c>
      <c r="AV15" s="19">
        <v>0</v>
      </c>
      <c r="AW15" s="19">
        <v>0</v>
      </c>
      <c r="AX15" s="19" t="s">
        <v>4</v>
      </c>
      <c r="AY15" s="19">
        <v>200863303</v>
      </c>
      <c r="AZ15" s="19">
        <v>55981982</v>
      </c>
      <c r="BA15" s="19">
        <v>16391667</v>
      </c>
      <c r="BB15" s="19">
        <v>0</v>
      </c>
      <c r="BC15" s="19">
        <v>0</v>
      </c>
      <c r="BD15" s="19">
        <v>505157</v>
      </c>
      <c r="BE15" s="19">
        <v>0</v>
      </c>
      <c r="BF15" s="19">
        <v>0</v>
      </c>
      <c r="BG15" s="19">
        <v>0</v>
      </c>
      <c r="BH15" s="19">
        <v>7013623</v>
      </c>
      <c r="BI15" s="19">
        <v>0</v>
      </c>
      <c r="BJ15" s="19">
        <v>1100000</v>
      </c>
      <c r="BK15" s="19">
        <v>0</v>
      </c>
      <c r="BL15" s="19">
        <v>9875000</v>
      </c>
      <c r="BM15" s="19">
        <v>65389427</v>
      </c>
      <c r="BN15" s="19">
        <v>1873773</v>
      </c>
      <c r="BO15" s="19">
        <v>4631331</v>
      </c>
      <c r="BP15" s="19">
        <v>0</v>
      </c>
      <c r="BQ15" s="19" t="s">
        <v>96</v>
      </c>
      <c r="BR15" s="19">
        <v>0</v>
      </c>
      <c r="BS15" s="19">
        <v>50000</v>
      </c>
      <c r="BT15" s="19">
        <v>0</v>
      </c>
      <c r="BU15" s="19">
        <v>0</v>
      </c>
      <c r="BV15" s="19">
        <v>0</v>
      </c>
      <c r="BW15" s="19">
        <v>0</v>
      </c>
      <c r="BX15" s="19">
        <v>0</v>
      </c>
      <c r="BY15" s="19">
        <v>88972500</v>
      </c>
      <c r="BZ15" s="19">
        <v>0</v>
      </c>
      <c r="CA15" s="19">
        <v>5400000</v>
      </c>
      <c r="CB15" s="19">
        <v>87000000</v>
      </c>
      <c r="CC15" s="19">
        <v>3050000</v>
      </c>
      <c r="CD15" s="19">
        <v>300000</v>
      </c>
      <c r="CE15" s="19">
        <v>0</v>
      </c>
      <c r="CF15" s="19">
        <v>0</v>
      </c>
      <c r="CG15" s="19">
        <v>75110000</v>
      </c>
      <c r="CH15" s="19">
        <v>0</v>
      </c>
      <c r="CI15" s="19" t="s">
        <v>89</v>
      </c>
      <c r="CJ15" s="19">
        <v>2069705</v>
      </c>
      <c r="CK15" s="19">
        <v>18400000</v>
      </c>
      <c r="CL15" s="19">
        <v>1000000</v>
      </c>
      <c r="CM15" s="19">
        <v>326301490</v>
      </c>
      <c r="CN15" s="19">
        <v>16828</v>
      </c>
      <c r="CO15" s="19">
        <v>0</v>
      </c>
      <c r="CP15" s="19">
        <v>10300000</v>
      </c>
      <c r="CQ15" s="19" t="s">
        <v>96</v>
      </c>
      <c r="CR15" s="19">
        <v>0</v>
      </c>
      <c r="CS15" s="19">
        <v>152285680</v>
      </c>
      <c r="CT15" s="19">
        <v>0</v>
      </c>
      <c r="CU15" s="19">
        <v>131070006</v>
      </c>
      <c r="CV15" s="19">
        <v>0</v>
      </c>
      <c r="CW15" s="19">
        <v>0</v>
      </c>
      <c r="CX15" s="19">
        <v>0</v>
      </c>
      <c r="CY15" s="19">
        <v>135855502</v>
      </c>
      <c r="CZ15" s="19">
        <v>0</v>
      </c>
      <c r="DA15" s="19">
        <v>0</v>
      </c>
      <c r="DB15" s="19">
        <v>0</v>
      </c>
      <c r="DC15" s="19">
        <v>0</v>
      </c>
      <c r="DD15" s="19">
        <v>0</v>
      </c>
      <c r="DE15" s="19">
        <v>2200000</v>
      </c>
      <c r="DF15" s="19">
        <v>9000000</v>
      </c>
      <c r="DG15" s="19">
        <v>0</v>
      </c>
      <c r="DH15" s="19">
        <v>0</v>
      </c>
      <c r="DI15" s="19">
        <v>3000000</v>
      </c>
      <c r="DJ15" s="19">
        <v>3000000</v>
      </c>
      <c r="DK15" s="19">
        <v>1000000</v>
      </c>
      <c r="DL15" s="19">
        <v>0</v>
      </c>
      <c r="DM15" s="19">
        <v>0</v>
      </c>
      <c r="DN15" s="19">
        <v>6000000</v>
      </c>
      <c r="DO15" s="19">
        <v>7200000</v>
      </c>
      <c r="DP15" s="19">
        <v>0</v>
      </c>
      <c r="DQ15" s="19">
        <v>0</v>
      </c>
      <c r="DR15" s="19">
        <v>0</v>
      </c>
      <c r="DS15" s="19">
        <v>0</v>
      </c>
      <c r="DT15" s="19">
        <v>0</v>
      </c>
      <c r="DU15" s="19">
        <v>0</v>
      </c>
      <c r="DV15" s="19">
        <v>0</v>
      </c>
      <c r="DW15" s="19">
        <v>115906790</v>
      </c>
      <c r="DX15" s="19">
        <v>0</v>
      </c>
      <c r="DY15" s="19">
        <v>0</v>
      </c>
      <c r="DZ15" s="19">
        <v>51751880</v>
      </c>
      <c r="EA15" s="19">
        <v>0</v>
      </c>
      <c r="EB15" s="19">
        <v>0</v>
      </c>
      <c r="EC15" s="19">
        <v>0</v>
      </c>
      <c r="ED15" s="19">
        <v>0</v>
      </c>
      <c r="EE15" s="19">
        <v>0</v>
      </c>
      <c r="EF15" s="19">
        <v>0</v>
      </c>
      <c r="EG15" s="19">
        <v>90000000</v>
      </c>
      <c r="EH15" s="19">
        <v>0</v>
      </c>
      <c r="EI15" s="19">
        <v>0</v>
      </c>
      <c r="EJ15" s="19">
        <v>0</v>
      </c>
      <c r="EK15" s="19" t="s">
        <v>89</v>
      </c>
      <c r="EL15" s="19">
        <v>0</v>
      </c>
      <c r="EM15" s="19">
        <v>0</v>
      </c>
      <c r="EN15" s="19">
        <v>2500000</v>
      </c>
      <c r="EO15" s="19">
        <v>45100000</v>
      </c>
      <c r="EP15" s="19">
        <v>0</v>
      </c>
      <c r="EQ15" s="19">
        <v>0</v>
      </c>
      <c r="ER15" s="19">
        <v>2984000</v>
      </c>
      <c r="ES15" s="19">
        <v>0</v>
      </c>
      <c r="ET15" s="19">
        <v>0</v>
      </c>
      <c r="EU15" s="19">
        <v>0</v>
      </c>
      <c r="EV15" s="19">
        <v>0</v>
      </c>
      <c r="EW15" s="19">
        <v>7500000</v>
      </c>
      <c r="EX15" s="19">
        <v>0</v>
      </c>
      <c r="EY15" s="19">
        <v>220406743</v>
      </c>
      <c r="EZ15" s="19">
        <v>0</v>
      </c>
      <c r="FA15" s="19">
        <v>5000000</v>
      </c>
      <c r="FB15" s="19">
        <v>0</v>
      </c>
      <c r="FC15" s="19">
        <v>12601810</v>
      </c>
      <c r="FD15" s="19">
        <v>0</v>
      </c>
      <c r="FE15" s="19">
        <v>8499997</v>
      </c>
      <c r="FF15" s="19">
        <v>28027517</v>
      </c>
      <c r="FG15" s="19">
        <v>0</v>
      </c>
      <c r="FH15" s="19">
        <v>0</v>
      </c>
      <c r="FI15" s="19">
        <v>0</v>
      </c>
      <c r="FJ15" s="19">
        <v>0</v>
      </c>
      <c r="FK15" s="19">
        <v>217932</v>
      </c>
      <c r="FL15" s="19">
        <v>0</v>
      </c>
      <c r="FM15" s="19">
        <v>0</v>
      </c>
      <c r="FN15" s="19">
        <v>34038000</v>
      </c>
      <c r="FO15" s="19">
        <v>0</v>
      </c>
      <c r="FP15" s="19">
        <v>0</v>
      </c>
      <c r="FQ15" s="19">
        <v>0</v>
      </c>
      <c r="FR15" s="19">
        <v>0</v>
      </c>
      <c r="FS15" s="19">
        <v>0</v>
      </c>
      <c r="FT15" s="19">
        <v>238560</v>
      </c>
      <c r="FU15" s="19" t="s">
        <v>152</v>
      </c>
      <c r="FV15" s="19">
        <v>0</v>
      </c>
      <c r="FW15" s="19">
        <v>0</v>
      </c>
      <c r="FX15" s="19">
        <v>0</v>
      </c>
      <c r="FY15" s="19">
        <v>0</v>
      </c>
      <c r="FZ15" s="19">
        <v>0</v>
      </c>
      <c r="GA15" s="19">
        <v>0</v>
      </c>
      <c r="GB15" s="19"/>
      <c r="GC15" s="19">
        <v>0</v>
      </c>
      <c r="GD15" s="19" t="s">
        <v>96</v>
      </c>
      <c r="GE15" s="19">
        <v>0</v>
      </c>
      <c r="GF15" s="19">
        <v>0</v>
      </c>
      <c r="GG15" s="19">
        <v>0</v>
      </c>
      <c r="GH15" s="19">
        <v>0</v>
      </c>
      <c r="GI15" s="19"/>
      <c r="GJ15" s="19"/>
      <c r="GK15" s="19"/>
      <c r="GL15" s="19"/>
      <c r="GM15" s="19"/>
      <c r="GN15" s="19"/>
      <c r="GO15" s="19"/>
      <c r="GP15" s="19">
        <v>214296230</v>
      </c>
      <c r="GQ15" s="19"/>
      <c r="GR15" s="19"/>
      <c r="GS15" s="19"/>
      <c r="GT15" s="19"/>
      <c r="GU15" s="19"/>
      <c r="GV15" s="19" t="s">
        <v>89</v>
      </c>
      <c r="GW15" s="19"/>
      <c r="GX15" s="19">
        <v>9744990</v>
      </c>
      <c r="GY15" s="19"/>
      <c r="GZ15" s="19"/>
      <c r="HA15" s="19"/>
      <c r="HB15" s="19">
        <v>10279064</v>
      </c>
      <c r="HC15" s="19"/>
      <c r="HD15" s="19" t="s">
        <v>89</v>
      </c>
      <c r="HE15" s="19"/>
      <c r="HF15" s="19">
        <v>3300000</v>
      </c>
      <c r="HG15" s="19"/>
      <c r="HH15" s="19"/>
      <c r="HI15" s="19">
        <v>330000000</v>
      </c>
      <c r="HJ15" s="19"/>
      <c r="HK15" s="19"/>
      <c r="HL15" s="19"/>
      <c r="HM15" s="19"/>
      <c r="HN15" s="19">
        <v>297595056</v>
      </c>
      <c r="HO15" s="19">
        <v>1000000</v>
      </c>
      <c r="HP15" s="19" t="s">
        <v>89</v>
      </c>
    </row>
    <row r="16" spans="1:224">
      <c r="A16" s="7" t="s">
        <v>5</v>
      </c>
      <c r="B16" s="11" t="s">
        <v>151</v>
      </c>
      <c r="C16" s="19">
        <v>24725376</v>
      </c>
      <c r="D16" s="19">
        <v>935823404</v>
      </c>
      <c r="E16" s="19">
        <v>390559305</v>
      </c>
      <c r="F16" s="19">
        <v>1091215832</v>
      </c>
      <c r="G16" s="19">
        <v>10657167</v>
      </c>
      <c r="H16" s="19">
        <v>26414597</v>
      </c>
      <c r="I16" s="19">
        <v>2052300122</v>
      </c>
      <c r="J16" s="19" t="s">
        <v>4</v>
      </c>
      <c r="K16" s="19">
        <v>252695593</v>
      </c>
      <c r="L16" s="19">
        <v>38384428</v>
      </c>
      <c r="M16" s="19" t="s">
        <v>96</v>
      </c>
      <c r="N16" s="19">
        <v>4579389</v>
      </c>
      <c r="O16" s="19">
        <v>1476605839</v>
      </c>
      <c r="P16" s="19">
        <v>1082516520</v>
      </c>
      <c r="Q16" s="19">
        <v>5460615</v>
      </c>
      <c r="R16" s="19">
        <v>51320896</v>
      </c>
      <c r="S16" s="19">
        <v>2936372070</v>
      </c>
      <c r="T16" s="19" t="s">
        <v>96</v>
      </c>
      <c r="U16" s="19">
        <v>105233091</v>
      </c>
      <c r="V16" s="19">
        <v>3611176</v>
      </c>
      <c r="W16" s="19">
        <v>10551301</v>
      </c>
      <c r="X16" s="19">
        <v>4707139338</v>
      </c>
      <c r="Y16" s="19">
        <v>63197277</v>
      </c>
      <c r="Z16" s="19">
        <v>117404368</v>
      </c>
      <c r="AA16" s="19">
        <v>387674119</v>
      </c>
      <c r="AB16" s="19">
        <v>9750431</v>
      </c>
      <c r="AC16" s="19">
        <v>1282346657</v>
      </c>
      <c r="AD16" s="19">
        <v>2254970649</v>
      </c>
      <c r="AE16" s="19">
        <v>4766853375</v>
      </c>
      <c r="AF16" s="19">
        <v>568207184</v>
      </c>
      <c r="AG16" s="19">
        <v>69183137</v>
      </c>
      <c r="AH16" s="19">
        <v>193942484</v>
      </c>
      <c r="AI16" s="19">
        <v>185484493</v>
      </c>
      <c r="AJ16" s="19">
        <v>23823706</v>
      </c>
      <c r="AK16" s="19" t="s">
        <v>89</v>
      </c>
      <c r="AL16" s="19">
        <v>1732198862</v>
      </c>
      <c r="AM16" s="19" t="s">
        <v>4</v>
      </c>
      <c r="AN16" s="19">
        <v>418539987</v>
      </c>
      <c r="AO16" s="19">
        <v>22779128</v>
      </c>
      <c r="AP16" s="19">
        <v>17265869</v>
      </c>
      <c r="AQ16" s="19" t="s">
        <v>4</v>
      </c>
      <c r="AR16" s="19">
        <v>71658768</v>
      </c>
      <c r="AS16" s="19">
        <v>61957188</v>
      </c>
      <c r="AT16" s="19">
        <v>1809454133</v>
      </c>
      <c r="AU16" s="19">
        <v>940465060</v>
      </c>
      <c r="AV16" s="19">
        <v>19904956</v>
      </c>
      <c r="AW16" s="19">
        <v>620240203</v>
      </c>
      <c r="AX16" s="19" t="s">
        <v>4</v>
      </c>
      <c r="AY16" s="19">
        <v>235033043</v>
      </c>
      <c r="AZ16" s="19">
        <v>142451114</v>
      </c>
      <c r="BA16" s="19">
        <v>823918839</v>
      </c>
      <c r="BB16" s="19">
        <v>0</v>
      </c>
      <c r="BC16" s="19">
        <v>800818669</v>
      </c>
      <c r="BD16" s="19">
        <v>1472360</v>
      </c>
      <c r="BE16" s="19">
        <v>873775042</v>
      </c>
      <c r="BF16" s="19">
        <v>463417130</v>
      </c>
      <c r="BG16" s="19">
        <v>36131783</v>
      </c>
      <c r="BH16" s="19">
        <v>725248675</v>
      </c>
      <c r="BI16" s="19">
        <v>3187603</v>
      </c>
      <c r="BJ16" s="19">
        <v>32965273</v>
      </c>
      <c r="BK16" s="19">
        <v>130097827</v>
      </c>
      <c r="BL16" s="19">
        <v>6110814</v>
      </c>
      <c r="BM16" s="19">
        <v>700758891</v>
      </c>
      <c r="BN16" s="19">
        <v>23257640</v>
      </c>
      <c r="BO16" s="19">
        <v>10263864</v>
      </c>
      <c r="BP16" s="19">
        <v>13971756</v>
      </c>
      <c r="BQ16" s="19" t="s">
        <v>96</v>
      </c>
      <c r="BR16" s="19">
        <v>54100240</v>
      </c>
      <c r="BS16" s="19">
        <v>23988993</v>
      </c>
      <c r="BT16" s="19">
        <v>21567147</v>
      </c>
      <c r="BU16" s="19">
        <v>41934356</v>
      </c>
      <c r="BV16" s="19">
        <v>321064</v>
      </c>
      <c r="BW16" s="19">
        <v>17356619</v>
      </c>
      <c r="BX16" s="19">
        <v>13559672</v>
      </c>
      <c r="BY16" s="19">
        <v>80408407</v>
      </c>
      <c r="BZ16" s="19">
        <v>1427802</v>
      </c>
      <c r="CA16" s="19">
        <v>288943299</v>
      </c>
      <c r="CB16" s="19">
        <v>41560692</v>
      </c>
      <c r="CC16" s="19">
        <v>0</v>
      </c>
      <c r="CD16" s="19">
        <v>30580089</v>
      </c>
      <c r="CE16" s="19">
        <v>17000</v>
      </c>
      <c r="CF16" s="19">
        <v>3421492</v>
      </c>
      <c r="CG16" s="19">
        <v>63525189</v>
      </c>
      <c r="CH16" s="19">
        <v>3145825</v>
      </c>
      <c r="CI16" s="19" t="s">
        <v>89</v>
      </c>
      <c r="CJ16" s="19">
        <v>26784396</v>
      </c>
      <c r="CK16" s="19">
        <v>5565975500</v>
      </c>
      <c r="CL16" s="19">
        <v>547980654</v>
      </c>
      <c r="CM16" s="19">
        <v>139466422</v>
      </c>
      <c r="CN16" s="19">
        <v>40158740</v>
      </c>
      <c r="CO16" s="19">
        <v>26148675</v>
      </c>
      <c r="CP16" s="19">
        <v>61290561</v>
      </c>
      <c r="CQ16" s="19" t="s">
        <v>96</v>
      </c>
      <c r="CR16" s="19">
        <v>36861074</v>
      </c>
      <c r="CS16" s="19">
        <v>177324742</v>
      </c>
      <c r="CT16" s="19">
        <v>20166095</v>
      </c>
      <c r="CU16" s="19">
        <v>49594031</v>
      </c>
      <c r="CV16" s="19">
        <v>0</v>
      </c>
      <c r="CW16" s="19">
        <v>249793007</v>
      </c>
      <c r="CX16" s="19">
        <v>62872758</v>
      </c>
      <c r="CY16" s="19">
        <v>193312123</v>
      </c>
      <c r="CZ16" s="19">
        <v>42189585</v>
      </c>
      <c r="DA16" s="19">
        <v>5254258</v>
      </c>
      <c r="DB16" s="19">
        <v>12806549</v>
      </c>
      <c r="DC16" s="19">
        <v>5748783</v>
      </c>
      <c r="DD16" s="19">
        <v>93973679</v>
      </c>
      <c r="DE16" s="19">
        <v>798872287</v>
      </c>
      <c r="DF16" s="19">
        <v>11074909</v>
      </c>
      <c r="DG16" s="19">
        <v>95202879</v>
      </c>
      <c r="DH16" s="19">
        <v>12281439</v>
      </c>
      <c r="DI16" s="19">
        <v>2013448502</v>
      </c>
      <c r="DJ16" s="19">
        <v>1582219</v>
      </c>
      <c r="DK16" s="19">
        <v>490123227</v>
      </c>
      <c r="DL16" s="19">
        <v>12437907</v>
      </c>
      <c r="DM16" s="19">
        <v>57969090</v>
      </c>
      <c r="DN16" s="19">
        <v>1174594</v>
      </c>
      <c r="DO16" s="19">
        <v>10696049</v>
      </c>
      <c r="DP16" s="19">
        <v>651360760</v>
      </c>
      <c r="DQ16" s="19">
        <v>25397986</v>
      </c>
      <c r="DR16" s="19">
        <v>1817272</v>
      </c>
      <c r="DS16" s="19">
        <v>69447487</v>
      </c>
      <c r="DT16" s="19">
        <v>185294557</v>
      </c>
      <c r="DU16" s="19">
        <v>11853311</v>
      </c>
      <c r="DV16" s="19">
        <v>860250</v>
      </c>
      <c r="DW16" s="19">
        <v>182941994</v>
      </c>
      <c r="DX16" s="19">
        <v>49592229</v>
      </c>
      <c r="DY16" s="19">
        <v>32332147</v>
      </c>
      <c r="DZ16" s="19">
        <v>13045913</v>
      </c>
      <c r="EA16" s="19">
        <v>33571210</v>
      </c>
      <c r="EB16" s="19">
        <v>1028788959</v>
      </c>
      <c r="EC16" s="19">
        <v>0</v>
      </c>
      <c r="ED16" s="19">
        <v>22022547</v>
      </c>
      <c r="EE16" s="19">
        <v>163895011</v>
      </c>
      <c r="EF16" s="19">
        <v>2935568366</v>
      </c>
      <c r="EG16" s="19">
        <v>1136663779</v>
      </c>
      <c r="EH16" s="19">
        <v>3466823302</v>
      </c>
      <c r="EI16" s="19">
        <v>136748321</v>
      </c>
      <c r="EJ16" s="19">
        <v>11142776</v>
      </c>
      <c r="EK16" s="19" t="s">
        <v>89</v>
      </c>
      <c r="EL16" s="19">
        <v>405540990</v>
      </c>
      <c r="EM16" s="19">
        <v>19312907</v>
      </c>
      <c r="EN16" s="19">
        <v>182356417</v>
      </c>
      <c r="EO16" s="19">
        <v>154278788</v>
      </c>
      <c r="EP16" s="19">
        <v>351437779</v>
      </c>
      <c r="EQ16" s="19">
        <v>0</v>
      </c>
      <c r="ER16" s="19">
        <v>1200346346</v>
      </c>
      <c r="ES16" s="19">
        <v>26201443</v>
      </c>
      <c r="ET16" s="19">
        <v>13306363</v>
      </c>
      <c r="EU16" s="19">
        <v>3208798</v>
      </c>
      <c r="EV16" s="19">
        <v>0</v>
      </c>
      <c r="EW16" s="19">
        <v>5189324</v>
      </c>
      <c r="EX16" s="19">
        <v>40068816</v>
      </c>
      <c r="EY16" s="19">
        <v>2777298403</v>
      </c>
      <c r="EZ16" s="19">
        <v>170237895</v>
      </c>
      <c r="FA16" s="19">
        <v>2087241666</v>
      </c>
      <c r="FB16" s="19">
        <v>188164168</v>
      </c>
      <c r="FC16" s="19">
        <v>289540447</v>
      </c>
      <c r="FD16" s="19">
        <v>67876786</v>
      </c>
      <c r="FE16" s="19">
        <v>85317100</v>
      </c>
      <c r="FF16" s="19">
        <v>0</v>
      </c>
      <c r="FG16" s="19">
        <v>33708623</v>
      </c>
      <c r="FH16" s="19">
        <v>44672405</v>
      </c>
      <c r="FI16" s="19">
        <v>1005714</v>
      </c>
      <c r="FJ16" s="19">
        <v>15736224</v>
      </c>
      <c r="FK16" s="19">
        <v>224223809</v>
      </c>
      <c r="FL16" s="19">
        <v>12849632</v>
      </c>
      <c r="FM16" s="19">
        <v>0</v>
      </c>
      <c r="FN16" s="19">
        <v>137131367</v>
      </c>
      <c r="FO16" s="19">
        <v>0</v>
      </c>
      <c r="FP16" s="19">
        <v>4721453</v>
      </c>
      <c r="FQ16" s="19">
        <v>45693935</v>
      </c>
      <c r="FR16" s="19">
        <v>0</v>
      </c>
      <c r="FS16" s="19">
        <v>0</v>
      </c>
      <c r="FT16" s="19">
        <v>101144536</v>
      </c>
      <c r="FU16" s="19" t="s">
        <v>152</v>
      </c>
      <c r="FV16" s="19">
        <v>268155476</v>
      </c>
      <c r="FW16" s="19">
        <v>2955345</v>
      </c>
      <c r="FX16" s="19">
        <v>6751938</v>
      </c>
      <c r="FY16" s="19">
        <v>0</v>
      </c>
      <c r="FZ16" s="19">
        <v>27952714</v>
      </c>
      <c r="GA16" s="19">
        <v>0</v>
      </c>
      <c r="GB16" s="19"/>
      <c r="GC16" s="19">
        <v>1722131</v>
      </c>
      <c r="GD16" s="19" t="s">
        <v>96</v>
      </c>
      <c r="GE16" s="19">
        <v>0</v>
      </c>
      <c r="GF16" s="19">
        <v>14797334</v>
      </c>
      <c r="GG16" s="19">
        <v>189109315</v>
      </c>
      <c r="GH16" s="19">
        <v>0</v>
      </c>
      <c r="GI16" s="19">
        <v>3100614</v>
      </c>
      <c r="GJ16" s="19">
        <v>15140310</v>
      </c>
      <c r="GK16" s="19">
        <v>11092780</v>
      </c>
      <c r="GL16" s="19">
        <v>19367279</v>
      </c>
      <c r="GM16" s="19">
        <v>68186874</v>
      </c>
      <c r="GN16" s="19">
        <v>111659000</v>
      </c>
      <c r="GO16" s="19">
        <v>178521310</v>
      </c>
      <c r="GP16" s="19">
        <v>1601013211</v>
      </c>
      <c r="GQ16" s="19">
        <v>22582853</v>
      </c>
      <c r="GR16" s="19">
        <v>140285778</v>
      </c>
      <c r="GS16" s="19"/>
      <c r="GT16" s="19">
        <v>3100614</v>
      </c>
      <c r="GU16" s="19"/>
      <c r="GV16" s="19" t="s">
        <v>89</v>
      </c>
      <c r="GW16" s="19">
        <v>219102730</v>
      </c>
      <c r="GX16" s="19">
        <v>127295535</v>
      </c>
      <c r="GY16" s="19">
        <v>12023843</v>
      </c>
      <c r="GZ16" s="19">
        <v>25699684</v>
      </c>
      <c r="HA16" s="19">
        <v>116433140</v>
      </c>
      <c r="HB16" s="19">
        <v>21293257</v>
      </c>
      <c r="HC16" s="19">
        <v>79630000</v>
      </c>
      <c r="HD16" s="19" t="s">
        <v>89</v>
      </c>
      <c r="HE16" s="19">
        <v>12388800</v>
      </c>
      <c r="HF16" s="19">
        <v>193173798</v>
      </c>
      <c r="HG16" s="19">
        <v>29745419</v>
      </c>
      <c r="HH16" s="19">
        <v>6597984</v>
      </c>
      <c r="HI16" s="19">
        <v>4835465</v>
      </c>
      <c r="HJ16" s="19">
        <v>263365041</v>
      </c>
      <c r="HK16" s="19">
        <v>357524055</v>
      </c>
      <c r="HL16" s="19">
        <v>25715075</v>
      </c>
      <c r="HM16" s="19">
        <v>60093528</v>
      </c>
      <c r="HN16" s="19">
        <v>1056363</v>
      </c>
      <c r="HO16" s="19">
        <v>58131926</v>
      </c>
      <c r="HP16" s="19" t="s">
        <v>89</v>
      </c>
    </row>
    <row r="17" spans="1:224">
      <c r="A17" s="7" t="s">
        <v>5</v>
      </c>
      <c r="B17" s="11" t="s">
        <v>27</v>
      </c>
      <c r="C17" s="19">
        <v>3000</v>
      </c>
      <c r="D17" s="19">
        <v>0</v>
      </c>
      <c r="E17" s="19">
        <v>0</v>
      </c>
      <c r="F17" s="19">
        <v>37292074</v>
      </c>
      <c r="G17" s="19">
        <v>360000</v>
      </c>
      <c r="H17" s="19">
        <v>80000</v>
      </c>
      <c r="I17" s="19">
        <v>0</v>
      </c>
      <c r="J17" s="19" t="s">
        <v>4</v>
      </c>
      <c r="K17" s="19">
        <v>534000</v>
      </c>
      <c r="L17" s="19">
        <v>0</v>
      </c>
      <c r="M17" s="19" t="s">
        <v>96</v>
      </c>
      <c r="N17" s="19">
        <v>145702629</v>
      </c>
      <c r="O17" s="19">
        <v>50098300</v>
      </c>
      <c r="P17" s="19">
        <v>19418814</v>
      </c>
      <c r="Q17" s="19">
        <v>29001765</v>
      </c>
      <c r="R17" s="19">
        <v>5850000</v>
      </c>
      <c r="S17" s="19">
        <v>13081375</v>
      </c>
      <c r="T17" s="19" t="s">
        <v>96</v>
      </c>
      <c r="U17" s="19">
        <v>0</v>
      </c>
      <c r="V17" s="19">
        <v>36180000</v>
      </c>
      <c r="W17" s="19">
        <v>44800281</v>
      </c>
      <c r="X17" s="19">
        <v>0</v>
      </c>
      <c r="Y17" s="19">
        <v>155102799</v>
      </c>
      <c r="Z17" s="19">
        <v>2750000</v>
      </c>
      <c r="AA17" s="19">
        <v>0</v>
      </c>
      <c r="AB17" s="19">
        <v>1000</v>
      </c>
      <c r="AC17" s="19">
        <v>440240</v>
      </c>
      <c r="AD17" s="19">
        <v>0</v>
      </c>
      <c r="AE17" s="19">
        <v>1000</v>
      </c>
      <c r="AF17" s="19">
        <v>0</v>
      </c>
      <c r="AG17" s="19">
        <v>331051998</v>
      </c>
      <c r="AH17" s="19">
        <v>47681584</v>
      </c>
      <c r="AI17" s="19">
        <v>61629680</v>
      </c>
      <c r="AJ17" s="19">
        <v>104441740</v>
      </c>
      <c r="AK17" s="19" t="s">
        <v>89</v>
      </c>
      <c r="AL17" s="19">
        <v>40237399</v>
      </c>
      <c r="AM17" s="19" t="s">
        <v>4</v>
      </c>
      <c r="AN17" s="19">
        <v>62065492</v>
      </c>
      <c r="AO17" s="19">
        <v>154589467</v>
      </c>
      <c r="AP17" s="19">
        <v>25325425</v>
      </c>
      <c r="AQ17" s="19" t="s">
        <v>4</v>
      </c>
      <c r="AR17" s="19">
        <v>52514000</v>
      </c>
      <c r="AS17" s="19">
        <v>4000</v>
      </c>
      <c r="AT17" s="19">
        <v>74414200</v>
      </c>
      <c r="AU17" s="19">
        <v>1000000</v>
      </c>
      <c r="AV17" s="19">
        <v>0</v>
      </c>
      <c r="AW17" s="19">
        <v>0</v>
      </c>
      <c r="AX17" s="19" t="s">
        <v>4</v>
      </c>
      <c r="AY17" s="19">
        <v>47085543</v>
      </c>
      <c r="AZ17" s="19">
        <v>16064401</v>
      </c>
      <c r="BA17" s="19">
        <v>99864693</v>
      </c>
      <c r="BB17" s="19">
        <v>10715156</v>
      </c>
      <c r="BC17" s="19">
        <v>0</v>
      </c>
      <c r="BD17" s="19">
        <v>14816383</v>
      </c>
      <c r="BE17" s="19">
        <v>598158095</v>
      </c>
      <c r="BF17" s="19">
        <v>628871374</v>
      </c>
      <c r="BG17" s="19">
        <v>15999975</v>
      </c>
      <c r="BH17" s="19">
        <v>269667</v>
      </c>
      <c r="BI17" s="19">
        <v>11437621</v>
      </c>
      <c r="BJ17" s="19">
        <v>9225001</v>
      </c>
      <c r="BK17" s="19">
        <v>56687827</v>
      </c>
      <c r="BL17" s="19">
        <v>6537740</v>
      </c>
      <c r="BM17" s="19">
        <v>3346497</v>
      </c>
      <c r="BN17" s="19">
        <v>5303157</v>
      </c>
      <c r="BO17" s="19">
        <v>62771745</v>
      </c>
      <c r="BP17" s="19">
        <v>7150000</v>
      </c>
      <c r="BQ17" s="19" t="s">
        <v>96</v>
      </c>
      <c r="BR17" s="19">
        <v>926127</v>
      </c>
      <c r="BS17" s="19">
        <v>0</v>
      </c>
      <c r="BT17" s="19">
        <v>0</v>
      </c>
      <c r="BU17" s="19">
        <v>227805077</v>
      </c>
      <c r="BV17" s="19">
        <v>0</v>
      </c>
      <c r="BW17" s="19">
        <v>0</v>
      </c>
      <c r="BX17" s="19">
        <v>45225000</v>
      </c>
      <c r="BY17" s="19">
        <v>98908379</v>
      </c>
      <c r="BZ17" s="19">
        <v>0</v>
      </c>
      <c r="CA17" s="19">
        <v>72453357</v>
      </c>
      <c r="CB17" s="19">
        <v>1623337</v>
      </c>
      <c r="CC17" s="19">
        <v>0</v>
      </c>
      <c r="CD17" s="19">
        <v>0</v>
      </c>
      <c r="CE17" s="19">
        <v>30729000</v>
      </c>
      <c r="CF17" s="19">
        <v>2823490</v>
      </c>
      <c r="CG17" s="19">
        <v>0</v>
      </c>
      <c r="CH17" s="19">
        <v>1725475</v>
      </c>
      <c r="CI17" s="19" t="s">
        <v>89</v>
      </c>
      <c r="CJ17" s="19">
        <v>38400800</v>
      </c>
      <c r="CK17" s="19">
        <v>0</v>
      </c>
      <c r="CL17" s="19">
        <v>28829337</v>
      </c>
      <c r="CM17" s="19">
        <v>0</v>
      </c>
      <c r="CN17" s="19">
        <v>2610000</v>
      </c>
      <c r="CO17" s="19">
        <v>509334</v>
      </c>
      <c r="CP17" s="19">
        <v>44163636</v>
      </c>
      <c r="CQ17" s="19" t="s">
        <v>96</v>
      </c>
      <c r="CR17" s="19">
        <v>0</v>
      </c>
      <c r="CS17" s="19">
        <v>755999385</v>
      </c>
      <c r="CT17" s="19">
        <v>860100</v>
      </c>
      <c r="CU17" s="19">
        <v>0</v>
      </c>
      <c r="CV17" s="19">
        <v>0</v>
      </c>
      <c r="CW17" s="19">
        <v>0</v>
      </c>
      <c r="CX17" s="19">
        <v>38117000</v>
      </c>
      <c r="CY17" s="19">
        <v>26547837</v>
      </c>
      <c r="CZ17" s="19">
        <v>0</v>
      </c>
      <c r="DA17" s="19">
        <v>0</v>
      </c>
      <c r="DB17" s="19">
        <v>0</v>
      </c>
      <c r="DC17" s="19">
        <v>0</v>
      </c>
      <c r="DD17" s="19">
        <v>0</v>
      </c>
      <c r="DE17" s="19">
        <v>0</v>
      </c>
      <c r="DF17" s="19">
        <v>0</v>
      </c>
      <c r="DG17" s="19">
        <v>83527880</v>
      </c>
      <c r="DH17" s="19">
        <v>39519013</v>
      </c>
      <c r="DI17" s="19">
        <v>6297742</v>
      </c>
      <c r="DJ17" s="19">
        <v>1272729</v>
      </c>
      <c r="DK17" s="19">
        <v>590706167</v>
      </c>
      <c r="DL17" s="19">
        <v>504144</v>
      </c>
      <c r="DM17" s="19">
        <v>0</v>
      </c>
      <c r="DN17" s="19">
        <v>125187520</v>
      </c>
      <c r="DO17" s="19">
        <v>312000</v>
      </c>
      <c r="DP17" s="19">
        <v>1323545</v>
      </c>
      <c r="DQ17" s="19">
        <v>0</v>
      </c>
      <c r="DR17" s="19">
        <v>1064120</v>
      </c>
      <c r="DS17" s="19">
        <v>0</v>
      </c>
      <c r="DT17" s="19">
        <v>89749955</v>
      </c>
      <c r="DU17" s="19">
        <v>11103516</v>
      </c>
      <c r="DV17" s="19">
        <v>0</v>
      </c>
      <c r="DW17" s="19">
        <v>6077696</v>
      </c>
      <c r="DX17" s="19">
        <v>17796824</v>
      </c>
      <c r="DY17" s="19">
        <v>0</v>
      </c>
      <c r="DZ17" s="19">
        <v>0</v>
      </c>
      <c r="EA17" s="19">
        <v>0</v>
      </c>
      <c r="EB17" s="19">
        <v>0</v>
      </c>
      <c r="EC17" s="19">
        <v>9453760</v>
      </c>
      <c r="ED17" s="19">
        <v>0</v>
      </c>
      <c r="EE17" s="19">
        <v>0</v>
      </c>
      <c r="EF17" s="19">
        <v>42179689</v>
      </c>
      <c r="EG17" s="19">
        <v>1369121019</v>
      </c>
      <c r="EH17" s="19">
        <v>7494546</v>
      </c>
      <c r="EI17" s="19">
        <v>2134522</v>
      </c>
      <c r="EJ17" s="19">
        <v>466667</v>
      </c>
      <c r="EK17" s="19" t="s">
        <v>89</v>
      </c>
      <c r="EL17" s="19">
        <v>0</v>
      </c>
      <c r="EM17" s="19">
        <v>0</v>
      </c>
      <c r="EN17" s="19">
        <v>5502000</v>
      </c>
      <c r="EO17" s="19">
        <v>27177884</v>
      </c>
      <c r="EP17" s="19">
        <v>0</v>
      </c>
      <c r="EQ17" s="19">
        <v>0</v>
      </c>
      <c r="ER17" s="19">
        <v>4401016</v>
      </c>
      <c r="ES17" s="19">
        <v>11676573</v>
      </c>
      <c r="ET17" s="19">
        <v>76114098</v>
      </c>
      <c r="EU17" s="19">
        <v>19000</v>
      </c>
      <c r="EV17" s="19">
        <v>0</v>
      </c>
      <c r="EW17" s="19">
        <v>0</v>
      </c>
      <c r="EX17" s="19">
        <v>36404667</v>
      </c>
      <c r="EY17" s="19">
        <v>0</v>
      </c>
      <c r="EZ17" s="19">
        <v>31573788</v>
      </c>
      <c r="FA17" s="19">
        <v>22650000</v>
      </c>
      <c r="FB17" s="19">
        <v>12000000</v>
      </c>
      <c r="FC17" s="19">
        <v>40900000</v>
      </c>
      <c r="FD17" s="19">
        <v>0</v>
      </c>
      <c r="FE17" s="19">
        <v>44269345</v>
      </c>
      <c r="FF17" s="19">
        <v>0</v>
      </c>
      <c r="FG17" s="19">
        <v>25580634</v>
      </c>
      <c r="FH17" s="19">
        <v>13314167</v>
      </c>
      <c r="FI17" s="19">
        <v>0</v>
      </c>
      <c r="FJ17" s="19">
        <v>0</v>
      </c>
      <c r="FK17" s="19">
        <v>0</v>
      </c>
      <c r="FL17" s="19">
        <v>320120</v>
      </c>
      <c r="FM17" s="19">
        <v>0</v>
      </c>
      <c r="FN17" s="19">
        <v>195856042</v>
      </c>
      <c r="FO17" s="19">
        <v>0</v>
      </c>
      <c r="FP17" s="19">
        <v>70783546</v>
      </c>
      <c r="FQ17" s="19">
        <v>4995600</v>
      </c>
      <c r="FR17" s="19">
        <v>27280144</v>
      </c>
      <c r="FS17" s="19">
        <v>0</v>
      </c>
      <c r="FT17" s="19">
        <v>4238224</v>
      </c>
      <c r="FU17" s="19" t="s">
        <v>152</v>
      </c>
      <c r="FV17" s="19">
        <v>666549714</v>
      </c>
      <c r="FW17" s="19">
        <v>0</v>
      </c>
      <c r="FX17" s="19">
        <v>0</v>
      </c>
      <c r="FY17" s="19">
        <v>110600000</v>
      </c>
      <c r="FZ17" s="19">
        <v>0</v>
      </c>
      <c r="GA17" s="19">
        <v>5093235</v>
      </c>
      <c r="GB17" s="19"/>
      <c r="GC17" s="19">
        <v>33511980</v>
      </c>
      <c r="GD17" s="19" t="s">
        <v>96</v>
      </c>
      <c r="GE17" s="19">
        <v>0</v>
      </c>
      <c r="GF17" s="19">
        <v>0</v>
      </c>
      <c r="GG17" s="19">
        <v>586000</v>
      </c>
      <c r="GH17" s="19">
        <v>0</v>
      </c>
      <c r="GI17" s="19">
        <v>0</v>
      </c>
      <c r="GJ17" s="19">
        <v>0</v>
      </c>
      <c r="GK17" s="19">
        <v>0</v>
      </c>
      <c r="GL17" s="19">
        <v>0</v>
      </c>
      <c r="GM17" s="19">
        <v>0</v>
      </c>
      <c r="GN17" s="19">
        <v>121626075</v>
      </c>
      <c r="GO17" s="19">
        <v>478690628</v>
      </c>
      <c r="GP17" s="19">
        <v>120718473</v>
      </c>
      <c r="GQ17" s="19">
        <v>0</v>
      </c>
      <c r="GR17" s="19">
        <v>21500000</v>
      </c>
      <c r="GS17" s="19">
        <v>495000</v>
      </c>
      <c r="GT17" s="19">
        <v>0</v>
      </c>
      <c r="GU17" s="19">
        <v>0</v>
      </c>
      <c r="GV17" s="19" t="s">
        <v>89</v>
      </c>
      <c r="GW17" s="19">
        <v>964754145</v>
      </c>
      <c r="GX17" s="19">
        <v>0</v>
      </c>
      <c r="GY17" s="19">
        <v>8801741</v>
      </c>
      <c r="GZ17" s="19">
        <v>13709456</v>
      </c>
      <c r="HA17" s="19">
        <v>2548008</v>
      </c>
      <c r="HB17" s="19">
        <v>1560144</v>
      </c>
      <c r="HC17" s="19">
        <v>14289970</v>
      </c>
      <c r="HD17" s="19" t="s">
        <v>89</v>
      </c>
      <c r="HE17" s="19">
        <v>18951331</v>
      </c>
      <c r="HF17" s="19">
        <v>0</v>
      </c>
      <c r="HG17" s="19">
        <v>0</v>
      </c>
      <c r="HH17" s="19">
        <v>0</v>
      </c>
      <c r="HI17" s="19">
        <v>678620</v>
      </c>
      <c r="HJ17" s="19">
        <v>0</v>
      </c>
      <c r="HK17" s="19">
        <v>43627231</v>
      </c>
      <c r="HL17" s="19">
        <v>19681818</v>
      </c>
      <c r="HM17" s="19">
        <v>0</v>
      </c>
      <c r="HN17" s="19">
        <v>43333334</v>
      </c>
      <c r="HO17" s="19">
        <v>16800000</v>
      </c>
      <c r="HP17" s="19" t="s">
        <v>89</v>
      </c>
    </row>
    <row r="18" spans="1:224">
      <c r="A18" s="7" t="s">
        <v>5</v>
      </c>
      <c r="B18" s="12" t="s">
        <v>54</v>
      </c>
      <c r="C18" s="19">
        <v>3000</v>
      </c>
      <c r="D18" s="19">
        <v>0</v>
      </c>
      <c r="E18" s="19"/>
      <c r="F18" s="19"/>
      <c r="G18" s="19"/>
      <c r="H18" s="19">
        <v>80000</v>
      </c>
      <c r="I18" s="19"/>
      <c r="J18" s="19" t="s">
        <v>4</v>
      </c>
      <c r="K18" s="19"/>
      <c r="L18" s="19"/>
      <c r="M18" s="19" t="s">
        <v>96</v>
      </c>
      <c r="N18" s="19"/>
      <c r="O18" s="19"/>
      <c r="P18" s="19"/>
      <c r="Q18" s="19">
        <v>2068698</v>
      </c>
      <c r="R18" s="19">
        <v>5850000</v>
      </c>
      <c r="S18" s="19">
        <v>7575758</v>
      </c>
      <c r="T18" s="19" t="s">
        <v>96</v>
      </c>
      <c r="U18" s="19"/>
      <c r="V18" s="19">
        <v>1800000</v>
      </c>
      <c r="W18" s="19"/>
      <c r="X18" s="19"/>
      <c r="Y18" s="19">
        <v>20305789</v>
      </c>
      <c r="Z18" s="19"/>
      <c r="AA18" s="19"/>
      <c r="AB18" s="19">
        <v>1000</v>
      </c>
      <c r="AC18" s="19"/>
      <c r="AD18" s="19"/>
      <c r="AE18" s="19"/>
      <c r="AF18" s="19"/>
      <c r="AG18" s="19">
        <v>189949998</v>
      </c>
      <c r="AH18" s="19">
        <v>45543918</v>
      </c>
      <c r="AI18" s="19"/>
      <c r="AJ18" s="19"/>
      <c r="AK18" s="19" t="s">
        <v>89</v>
      </c>
      <c r="AL18" s="19"/>
      <c r="AM18" s="19" t="s">
        <v>4</v>
      </c>
      <c r="AN18" s="19">
        <v>10347876</v>
      </c>
      <c r="AO18" s="19">
        <v>505000</v>
      </c>
      <c r="AP18" s="19">
        <v>325425</v>
      </c>
      <c r="AQ18" s="19" t="s">
        <v>4</v>
      </c>
      <c r="AR18" s="19"/>
      <c r="AS18" s="19"/>
      <c r="AT18" s="19"/>
      <c r="AU18" s="19"/>
      <c r="AV18" s="19"/>
      <c r="AW18" s="19"/>
      <c r="AX18" s="19" t="s">
        <v>4</v>
      </c>
      <c r="AY18" s="19"/>
      <c r="AZ18" s="19"/>
      <c r="BA18" s="19">
        <v>93864693</v>
      </c>
      <c r="BB18" s="19"/>
      <c r="BC18" s="19"/>
      <c r="BD18" s="19">
        <v>4145455</v>
      </c>
      <c r="BE18" s="19"/>
      <c r="BF18" s="19"/>
      <c r="BG18" s="19">
        <v>7352333</v>
      </c>
      <c r="BH18" s="19">
        <v>3000</v>
      </c>
      <c r="BI18" s="19"/>
      <c r="BJ18" s="19">
        <v>3916667</v>
      </c>
      <c r="BK18" s="19"/>
      <c r="BL18" s="19"/>
      <c r="BM18" s="19"/>
      <c r="BN18" s="19">
        <v>1035455</v>
      </c>
      <c r="BO18" s="19">
        <v>3359500</v>
      </c>
      <c r="BP18" s="19">
        <v>7150000</v>
      </c>
      <c r="BQ18" s="19" t="s">
        <v>96</v>
      </c>
      <c r="BR18" s="19"/>
      <c r="BS18" s="19"/>
      <c r="BT18" s="19"/>
      <c r="BU18" s="19"/>
      <c r="BV18" s="19"/>
      <c r="BW18" s="19"/>
      <c r="BX18" s="19"/>
      <c r="BY18" s="19">
        <v>97826857</v>
      </c>
      <c r="BZ18" s="19"/>
      <c r="CA18" s="19">
        <v>72093357</v>
      </c>
      <c r="CB18" s="19"/>
      <c r="CC18" s="19"/>
      <c r="CD18" s="19"/>
      <c r="CE18" s="19"/>
      <c r="CF18" s="19"/>
      <c r="CG18" s="19"/>
      <c r="CH18" s="19"/>
      <c r="CI18" s="19" t="s">
        <v>89</v>
      </c>
      <c r="CJ18" s="19"/>
      <c r="CK18" s="19"/>
      <c r="CL18" s="19"/>
      <c r="CM18" s="19"/>
      <c r="CN18" s="19"/>
      <c r="CO18" s="19">
        <v>509334</v>
      </c>
      <c r="CP18" s="19">
        <v>43963636</v>
      </c>
      <c r="CQ18" s="19" t="s">
        <v>96</v>
      </c>
      <c r="CR18" s="19"/>
      <c r="CS18" s="19"/>
      <c r="CT18" s="19"/>
      <c r="CU18" s="19"/>
      <c r="CV18" s="19"/>
      <c r="CW18" s="19"/>
      <c r="CX18" s="19">
        <v>38117000</v>
      </c>
      <c r="CY18" s="19">
        <v>26547837</v>
      </c>
      <c r="CZ18" s="19"/>
      <c r="DA18" s="19"/>
      <c r="DB18" s="19"/>
      <c r="DC18" s="19"/>
      <c r="DD18" s="19"/>
      <c r="DE18" s="19"/>
      <c r="DF18" s="19"/>
      <c r="DG18" s="19">
        <v>83527880</v>
      </c>
      <c r="DH18" s="19"/>
      <c r="DI18" s="19"/>
      <c r="DJ18" s="19"/>
      <c r="DK18" s="19"/>
      <c r="DL18" s="19"/>
      <c r="DM18" s="19"/>
      <c r="DN18" s="19"/>
      <c r="DO18" s="19"/>
      <c r="DP18" s="19"/>
      <c r="DQ18" s="19"/>
      <c r="DR18" s="19"/>
      <c r="DS18" s="19"/>
      <c r="DT18" s="19"/>
      <c r="DU18" s="19">
        <v>11103516</v>
      </c>
      <c r="DV18" s="19"/>
      <c r="DW18" s="19"/>
      <c r="DX18" s="19"/>
      <c r="DY18" s="19"/>
      <c r="DZ18" s="19"/>
      <c r="EA18" s="19"/>
      <c r="EB18" s="19"/>
      <c r="EC18" s="19">
        <v>-3933334</v>
      </c>
      <c r="ED18" s="19"/>
      <c r="EE18" s="19"/>
      <c r="EF18" s="19"/>
      <c r="EG18" s="19"/>
      <c r="EH18" s="19">
        <v>7494546</v>
      </c>
      <c r="EI18" s="19"/>
      <c r="EJ18" s="19">
        <v>466667</v>
      </c>
      <c r="EK18" s="19" t="s">
        <v>89</v>
      </c>
      <c r="EL18" s="19"/>
      <c r="EM18" s="19"/>
      <c r="EN18" s="19"/>
      <c r="EO18" s="19"/>
      <c r="EP18" s="19"/>
      <c r="EQ18" s="19"/>
      <c r="ER18" s="19">
        <v>4401016</v>
      </c>
      <c r="ES18" s="19">
        <v>10125000</v>
      </c>
      <c r="ET18" s="19"/>
      <c r="EU18" s="19">
        <v>19000</v>
      </c>
      <c r="EV18" s="19"/>
      <c r="EW18" s="19"/>
      <c r="EX18" s="19">
        <v>6404667</v>
      </c>
      <c r="EY18" s="19"/>
      <c r="EZ18" s="19"/>
      <c r="FA18" s="19">
        <v>2250000</v>
      </c>
      <c r="FB18" s="19"/>
      <c r="FC18" s="19"/>
      <c r="FD18" s="19"/>
      <c r="FE18" s="19">
        <v>14201782</v>
      </c>
      <c r="FF18" s="19"/>
      <c r="FG18" s="19">
        <v>25015834</v>
      </c>
      <c r="FH18" s="19">
        <v>13314167</v>
      </c>
      <c r="FI18" s="19"/>
      <c r="FJ18" s="19"/>
      <c r="FK18" s="19"/>
      <c r="FL18" s="19"/>
      <c r="FM18" s="19"/>
      <c r="FN18" s="19">
        <v>2547304</v>
      </c>
      <c r="FO18" s="19"/>
      <c r="FP18" s="19"/>
      <c r="FQ18" s="19">
        <v>0</v>
      </c>
      <c r="FR18" s="19"/>
      <c r="FS18" s="19"/>
      <c r="FT18" s="19"/>
      <c r="FU18" s="19" t="s">
        <v>152</v>
      </c>
      <c r="FV18" s="19"/>
      <c r="FW18" s="19"/>
      <c r="FX18" s="19"/>
      <c r="FY18" s="19"/>
      <c r="FZ18" s="19"/>
      <c r="GA18" s="19">
        <v>0</v>
      </c>
      <c r="GB18" s="19"/>
      <c r="GC18" s="19"/>
      <c r="GD18" s="19" t="s">
        <v>96</v>
      </c>
      <c r="GE18" s="19"/>
      <c r="GF18" s="19"/>
      <c r="GG18" s="19"/>
      <c r="GH18" s="19"/>
      <c r="GI18" s="19"/>
      <c r="GJ18" s="19"/>
      <c r="GK18" s="19"/>
      <c r="GL18" s="19"/>
      <c r="GM18" s="19"/>
      <c r="GN18" s="19"/>
      <c r="GO18" s="19"/>
      <c r="GP18" s="19"/>
      <c r="GQ18" s="19"/>
      <c r="GR18" s="19"/>
      <c r="GS18" s="19"/>
      <c r="GT18" s="19"/>
      <c r="GU18" s="19"/>
      <c r="GV18" s="19" t="s">
        <v>89</v>
      </c>
      <c r="GW18" s="19"/>
      <c r="GX18" s="19"/>
      <c r="GY18" s="19"/>
      <c r="GZ18" s="19"/>
      <c r="HA18" s="19"/>
      <c r="HB18" s="19"/>
      <c r="HC18" s="19"/>
      <c r="HD18" s="19" t="s">
        <v>89</v>
      </c>
      <c r="HE18" s="19"/>
      <c r="HF18" s="19"/>
      <c r="HG18" s="19"/>
      <c r="HH18" s="19"/>
      <c r="HI18" s="19"/>
      <c r="HJ18" s="19"/>
      <c r="HK18" s="19">
        <v>17795639</v>
      </c>
      <c r="HL18" s="19">
        <v>19681818</v>
      </c>
      <c r="HM18" s="19"/>
      <c r="HN18" s="19">
        <v>43333334</v>
      </c>
      <c r="HO18" s="19"/>
      <c r="HP18" s="19" t="s">
        <v>89</v>
      </c>
    </row>
    <row r="19" spans="1:224">
      <c r="A19" s="7" t="s">
        <v>5</v>
      </c>
      <c r="B19" s="12" t="s">
        <v>74</v>
      </c>
      <c r="C19" s="19"/>
      <c r="D19" s="19"/>
      <c r="E19" s="19"/>
      <c r="F19" s="19"/>
      <c r="G19" s="19"/>
      <c r="H19" s="19"/>
      <c r="I19" s="19"/>
      <c r="J19" s="19" t="s">
        <v>4</v>
      </c>
      <c r="K19" s="19">
        <v>534000</v>
      </c>
      <c r="L19" s="19"/>
      <c r="M19" s="19" t="s">
        <v>96</v>
      </c>
      <c r="N19" s="19"/>
      <c r="O19" s="19"/>
      <c r="P19" s="19">
        <v>13720465</v>
      </c>
      <c r="Q19" s="19"/>
      <c r="R19" s="19"/>
      <c r="S19" s="19"/>
      <c r="T19" s="19" t="s">
        <v>96</v>
      </c>
      <c r="U19" s="19"/>
      <c r="V19" s="19"/>
      <c r="W19" s="19">
        <v>3304057</v>
      </c>
      <c r="X19" s="19"/>
      <c r="Y19" s="19"/>
      <c r="Z19" s="19"/>
      <c r="AA19" s="19"/>
      <c r="AB19" s="19"/>
      <c r="AC19" s="19">
        <v>440240</v>
      </c>
      <c r="AD19" s="19"/>
      <c r="AE19" s="19">
        <v>1000</v>
      </c>
      <c r="AF19" s="19"/>
      <c r="AG19" s="19"/>
      <c r="AH19" s="19"/>
      <c r="AI19" s="19">
        <v>9641680</v>
      </c>
      <c r="AJ19" s="19"/>
      <c r="AK19" s="19" t="s">
        <v>89</v>
      </c>
      <c r="AL19" s="19"/>
      <c r="AM19" s="19" t="s">
        <v>4</v>
      </c>
      <c r="AN19" s="19"/>
      <c r="AO19" s="19"/>
      <c r="AP19" s="19"/>
      <c r="AQ19" s="19" t="s">
        <v>4</v>
      </c>
      <c r="AR19" s="19">
        <v>1014000</v>
      </c>
      <c r="AS19" s="19"/>
      <c r="AT19" s="19">
        <v>74414200</v>
      </c>
      <c r="AU19" s="19">
        <v>1000000</v>
      </c>
      <c r="AV19" s="19"/>
      <c r="AW19" s="19"/>
      <c r="AX19" s="19" t="s">
        <v>4</v>
      </c>
      <c r="AY19" s="19"/>
      <c r="AZ19" s="19">
        <v>5500001</v>
      </c>
      <c r="BA19" s="19"/>
      <c r="BB19" s="19"/>
      <c r="BC19" s="19"/>
      <c r="BD19" s="19"/>
      <c r="BE19" s="19">
        <v>5400850</v>
      </c>
      <c r="BF19" s="19">
        <v>175612</v>
      </c>
      <c r="BG19" s="19"/>
      <c r="BH19" s="19"/>
      <c r="BI19" s="19">
        <v>2275620</v>
      </c>
      <c r="BJ19" s="19"/>
      <c r="BK19" s="19">
        <v>56687827</v>
      </c>
      <c r="BL19" s="19"/>
      <c r="BM19" s="19"/>
      <c r="BN19" s="19"/>
      <c r="BO19" s="19"/>
      <c r="BP19" s="19"/>
      <c r="BQ19" s="19" t="s">
        <v>96</v>
      </c>
      <c r="BR19" s="19"/>
      <c r="BS19" s="19"/>
      <c r="BT19" s="19"/>
      <c r="BU19" s="19">
        <v>15700776</v>
      </c>
      <c r="BV19" s="19"/>
      <c r="BW19" s="19"/>
      <c r="BX19" s="19"/>
      <c r="BY19" s="19"/>
      <c r="BZ19" s="19"/>
      <c r="CA19" s="19"/>
      <c r="CB19" s="19">
        <v>810334</v>
      </c>
      <c r="CC19" s="19"/>
      <c r="CD19" s="19"/>
      <c r="CE19" s="19"/>
      <c r="CF19" s="19"/>
      <c r="CG19" s="19"/>
      <c r="CH19" s="19">
        <v>1725475</v>
      </c>
      <c r="CI19" s="19" t="s">
        <v>89</v>
      </c>
      <c r="CJ19" s="19"/>
      <c r="CK19" s="19"/>
      <c r="CL19" s="19">
        <v>1565700</v>
      </c>
      <c r="CM19" s="19"/>
      <c r="CN19" s="19"/>
      <c r="CO19" s="19"/>
      <c r="CP19" s="19">
        <v>200000</v>
      </c>
      <c r="CQ19" s="19" t="s">
        <v>96</v>
      </c>
      <c r="CR19" s="19"/>
      <c r="CS19" s="19">
        <v>59617650</v>
      </c>
      <c r="CT19" s="19"/>
      <c r="CU19" s="19"/>
      <c r="CV19" s="19"/>
      <c r="CW19" s="19"/>
      <c r="CX19" s="19"/>
      <c r="CY19" s="19"/>
      <c r="CZ19" s="19"/>
      <c r="DA19" s="19"/>
      <c r="DB19" s="19"/>
      <c r="DC19" s="19"/>
      <c r="DD19" s="19"/>
      <c r="DE19" s="19"/>
      <c r="DF19" s="19"/>
      <c r="DG19" s="19"/>
      <c r="DH19" s="19"/>
      <c r="DI19" s="19">
        <v>6297742</v>
      </c>
      <c r="DJ19" s="19"/>
      <c r="DK19" s="19"/>
      <c r="DL19" s="19"/>
      <c r="DM19" s="19"/>
      <c r="DN19" s="19"/>
      <c r="DO19" s="19">
        <v>312000</v>
      </c>
      <c r="DP19" s="19">
        <v>1323545</v>
      </c>
      <c r="DQ19" s="19"/>
      <c r="DR19" s="19">
        <v>1064120</v>
      </c>
      <c r="DS19" s="19"/>
      <c r="DT19" s="19">
        <v>966667</v>
      </c>
      <c r="DU19" s="19"/>
      <c r="DV19" s="19"/>
      <c r="DW19" s="19">
        <v>6077696</v>
      </c>
      <c r="DX19" s="19"/>
      <c r="DY19" s="19"/>
      <c r="DZ19" s="19"/>
      <c r="EA19" s="19"/>
      <c r="EB19" s="19"/>
      <c r="EC19" s="19">
        <v>7978760</v>
      </c>
      <c r="ED19" s="19"/>
      <c r="EE19" s="19"/>
      <c r="EF19" s="19">
        <v>686000</v>
      </c>
      <c r="EG19" s="19">
        <v>1369121019</v>
      </c>
      <c r="EH19" s="19"/>
      <c r="EI19" s="19">
        <v>2134522</v>
      </c>
      <c r="EJ19" s="19"/>
      <c r="EK19" s="19" t="s">
        <v>89</v>
      </c>
      <c r="EL19" s="19"/>
      <c r="EM19" s="19"/>
      <c r="EN19" s="19"/>
      <c r="EO19" s="19">
        <v>27177884</v>
      </c>
      <c r="EP19" s="19"/>
      <c r="EQ19" s="19"/>
      <c r="ER19" s="19"/>
      <c r="ES19" s="19">
        <v>1551573</v>
      </c>
      <c r="ET19" s="19"/>
      <c r="EU19" s="19"/>
      <c r="EV19" s="19"/>
      <c r="EW19" s="19"/>
      <c r="EX19" s="19">
        <v>30000000</v>
      </c>
      <c r="EY19" s="19"/>
      <c r="EZ19" s="19">
        <v>31573788</v>
      </c>
      <c r="FA19" s="19">
        <v>20400000</v>
      </c>
      <c r="FB19" s="19">
        <v>8000000</v>
      </c>
      <c r="FC19" s="19"/>
      <c r="FD19" s="19"/>
      <c r="FE19" s="19">
        <v>30067563</v>
      </c>
      <c r="FF19" s="19"/>
      <c r="FG19" s="19">
        <v>564800</v>
      </c>
      <c r="FH19" s="19"/>
      <c r="FI19" s="19"/>
      <c r="FJ19" s="19"/>
      <c r="FK19" s="19"/>
      <c r="FL19" s="19">
        <v>320120</v>
      </c>
      <c r="FM19" s="19"/>
      <c r="FN19" s="19">
        <v>1500000</v>
      </c>
      <c r="FO19" s="19"/>
      <c r="FP19" s="19"/>
      <c r="FQ19" s="19">
        <v>4995600</v>
      </c>
      <c r="FR19" s="19"/>
      <c r="FS19" s="19"/>
      <c r="FT19" s="19">
        <v>4238224</v>
      </c>
      <c r="FU19" s="19" t="s">
        <v>152</v>
      </c>
      <c r="FV19" s="19">
        <v>15296374</v>
      </c>
      <c r="FW19" s="19"/>
      <c r="FX19" s="19"/>
      <c r="FY19" s="19">
        <v>95000000</v>
      </c>
      <c r="FZ19" s="19"/>
      <c r="GA19" s="19">
        <v>5093235</v>
      </c>
      <c r="GB19" s="19"/>
      <c r="GC19" s="19">
        <v>509340</v>
      </c>
      <c r="GD19" s="19" t="s">
        <v>96</v>
      </c>
      <c r="GE19" s="19"/>
      <c r="GF19" s="19"/>
      <c r="GG19" s="19">
        <v>586000</v>
      </c>
      <c r="GH19" s="19"/>
      <c r="GI19" s="19"/>
      <c r="GJ19" s="19"/>
      <c r="GK19" s="19"/>
      <c r="GL19" s="19"/>
      <c r="GM19" s="19"/>
      <c r="GN19" s="19">
        <v>121626075</v>
      </c>
      <c r="GO19" s="19">
        <v>10000000</v>
      </c>
      <c r="GP19" s="19"/>
      <c r="GQ19" s="19"/>
      <c r="GR19" s="19">
        <v>21500000</v>
      </c>
      <c r="GS19" s="19"/>
      <c r="GT19" s="19"/>
      <c r="GU19" s="19"/>
      <c r="GV19" s="19" t="s">
        <v>89</v>
      </c>
      <c r="GW19" s="19">
        <v>3100000</v>
      </c>
      <c r="GX19" s="19"/>
      <c r="GY19" s="19">
        <v>8801741</v>
      </c>
      <c r="GZ19" s="19">
        <v>9345820</v>
      </c>
      <c r="HA19" s="19">
        <v>178592</v>
      </c>
      <c r="HB19" s="19">
        <v>1560144</v>
      </c>
      <c r="HC19" s="19">
        <v>14289970</v>
      </c>
      <c r="HD19" s="19" t="s">
        <v>89</v>
      </c>
      <c r="HE19" s="19">
        <v>11951331</v>
      </c>
      <c r="HF19" s="19"/>
      <c r="HG19" s="19"/>
      <c r="HH19" s="19"/>
      <c r="HI19" s="19">
        <v>678620</v>
      </c>
      <c r="HJ19" s="19"/>
      <c r="HK19" s="19">
        <v>25831592</v>
      </c>
      <c r="HL19" s="19"/>
      <c r="HM19" s="19"/>
      <c r="HN19" s="19"/>
      <c r="HO19" s="19"/>
      <c r="HP19" s="19" t="s">
        <v>89</v>
      </c>
    </row>
    <row r="20" spans="1:224">
      <c r="A20" s="7" t="s">
        <v>5</v>
      </c>
      <c r="B20" s="12" t="s">
        <v>137</v>
      </c>
      <c r="C20" s="19"/>
      <c r="D20" s="19"/>
      <c r="E20" s="19"/>
      <c r="F20" s="19"/>
      <c r="G20" s="19"/>
      <c r="H20" s="19"/>
      <c r="I20" s="19"/>
      <c r="J20" s="19" t="s">
        <v>4</v>
      </c>
      <c r="K20" s="19"/>
      <c r="L20" s="19"/>
      <c r="M20" s="19" t="s">
        <v>96</v>
      </c>
      <c r="N20" s="19">
        <v>145702629</v>
      </c>
      <c r="O20" s="19">
        <v>50098300</v>
      </c>
      <c r="P20" s="19"/>
      <c r="Q20" s="19">
        <v>10933067</v>
      </c>
      <c r="R20" s="19"/>
      <c r="S20" s="19"/>
      <c r="T20" s="19" t="s">
        <v>96</v>
      </c>
      <c r="U20" s="19"/>
      <c r="V20" s="19">
        <v>34380000</v>
      </c>
      <c r="W20" s="19">
        <v>41496224</v>
      </c>
      <c r="X20" s="19"/>
      <c r="Y20" s="19">
        <v>134797010</v>
      </c>
      <c r="Z20" s="19">
        <v>2750000</v>
      </c>
      <c r="AA20" s="19"/>
      <c r="AB20" s="19"/>
      <c r="AC20" s="19"/>
      <c r="AD20" s="19"/>
      <c r="AE20" s="19"/>
      <c r="AF20" s="19"/>
      <c r="AG20" s="19">
        <v>88650000</v>
      </c>
      <c r="AH20" s="19"/>
      <c r="AI20" s="19">
        <v>51988000</v>
      </c>
      <c r="AJ20" s="19">
        <v>104441740</v>
      </c>
      <c r="AK20" s="19" t="s">
        <v>89</v>
      </c>
      <c r="AL20" s="19"/>
      <c r="AM20" s="19" t="s">
        <v>4</v>
      </c>
      <c r="AN20" s="19">
        <v>49920951</v>
      </c>
      <c r="AO20" s="19">
        <v>133181424</v>
      </c>
      <c r="AP20" s="19"/>
      <c r="AQ20" s="19" t="s">
        <v>4</v>
      </c>
      <c r="AR20" s="19">
        <v>51500000</v>
      </c>
      <c r="AS20" s="19"/>
      <c r="AT20" s="19"/>
      <c r="AU20" s="19"/>
      <c r="AV20" s="19"/>
      <c r="AW20" s="19"/>
      <c r="AX20" s="19" t="s">
        <v>4</v>
      </c>
      <c r="AY20" s="19">
        <v>43245543</v>
      </c>
      <c r="AZ20" s="19"/>
      <c r="BA20" s="19"/>
      <c r="BB20" s="19"/>
      <c r="BC20" s="19"/>
      <c r="BD20" s="19">
        <v>9887334</v>
      </c>
      <c r="BE20" s="19">
        <v>592757245</v>
      </c>
      <c r="BF20" s="19">
        <v>628695762</v>
      </c>
      <c r="BG20" s="19"/>
      <c r="BH20" s="19">
        <v>266667</v>
      </c>
      <c r="BI20" s="19">
        <v>9162001</v>
      </c>
      <c r="BJ20" s="19">
        <v>5308334</v>
      </c>
      <c r="BK20" s="19"/>
      <c r="BL20" s="19">
        <v>6537740</v>
      </c>
      <c r="BM20" s="19"/>
      <c r="BN20" s="19">
        <v>3737501</v>
      </c>
      <c r="BO20" s="19">
        <v>57281844</v>
      </c>
      <c r="BP20" s="19"/>
      <c r="BQ20" s="19" t="s">
        <v>96</v>
      </c>
      <c r="BR20" s="19"/>
      <c r="BS20" s="19"/>
      <c r="BT20" s="19"/>
      <c r="BU20" s="19">
        <v>212104301</v>
      </c>
      <c r="BV20" s="19"/>
      <c r="BW20" s="19"/>
      <c r="BX20" s="19">
        <v>45225000</v>
      </c>
      <c r="BY20" s="19"/>
      <c r="BZ20" s="19"/>
      <c r="CA20" s="19"/>
      <c r="CB20" s="19">
        <v>813003</v>
      </c>
      <c r="CC20" s="19"/>
      <c r="CD20" s="19"/>
      <c r="CE20" s="19">
        <v>30729000</v>
      </c>
      <c r="CF20" s="19"/>
      <c r="CG20" s="19"/>
      <c r="CH20" s="19"/>
      <c r="CI20" s="19" t="s">
        <v>89</v>
      </c>
      <c r="CJ20" s="19">
        <v>38400800</v>
      </c>
      <c r="CK20" s="19"/>
      <c r="CL20" s="19">
        <v>27263637</v>
      </c>
      <c r="CM20" s="19"/>
      <c r="CN20" s="19"/>
      <c r="CO20" s="19"/>
      <c r="CP20" s="19"/>
      <c r="CQ20" s="19" t="s">
        <v>96</v>
      </c>
      <c r="CR20" s="19"/>
      <c r="CS20" s="19">
        <v>696381735</v>
      </c>
      <c r="CT20" s="19">
        <v>860100</v>
      </c>
      <c r="CU20" s="19"/>
      <c r="CV20" s="19"/>
      <c r="CW20" s="19"/>
      <c r="CX20" s="19"/>
      <c r="CY20" s="19"/>
      <c r="CZ20" s="19"/>
      <c r="DA20" s="19"/>
      <c r="DB20" s="19"/>
      <c r="DC20" s="19"/>
      <c r="DD20" s="19"/>
      <c r="DE20" s="19"/>
      <c r="DF20" s="19"/>
      <c r="DG20" s="19"/>
      <c r="DH20" s="19">
        <v>39068273</v>
      </c>
      <c r="DI20" s="19"/>
      <c r="DJ20" s="19">
        <v>1272729</v>
      </c>
      <c r="DK20" s="19">
        <v>2860000</v>
      </c>
      <c r="DL20" s="19">
        <v>504144</v>
      </c>
      <c r="DM20" s="19"/>
      <c r="DN20" s="19">
        <v>125187520</v>
      </c>
      <c r="DO20" s="19"/>
      <c r="DP20" s="19"/>
      <c r="DQ20" s="19"/>
      <c r="DR20" s="19"/>
      <c r="DS20" s="19"/>
      <c r="DT20" s="19">
        <v>88783288</v>
      </c>
      <c r="DU20" s="19"/>
      <c r="DV20" s="19"/>
      <c r="DW20" s="19"/>
      <c r="DX20" s="19">
        <v>17796824</v>
      </c>
      <c r="DY20" s="19"/>
      <c r="DZ20" s="19"/>
      <c r="EA20" s="19"/>
      <c r="EB20" s="19"/>
      <c r="EC20" s="19">
        <v>5408334</v>
      </c>
      <c r="ED20" s="19"/>
      <c r="EE20" s="19"/>
      <c r="EF20" s="19">
        <v>41493689</v>
      </c>
      <c r="EG20" s="19"/>
      <c r="EH20" s="19"/>
      <c r="EI20" s="19"/>
      <c r="EJ20" s="19"/>
      <c r="EK20" s="19" t="s">
        <v>89</v>
      </c>
      <c r="EL20" s="19"/>
      <c r="EM20" s="19"/>
      <c r="EN20" s="19">
        <v>5502000</v>
      </c>
      <c r="EO20" s="19"/>
      <c r="EP20" s="19"/>
      <c r="EQ20" s="19"/>
      <c r="ER20" s="19"/>
      <c r="ES20" s="19"/>
      <c r="ET20" s="19">
        <v>76114098</v>
      </c>
      <c r="EU20" s="19"/>
      <c r="EV20" s="19"/>
      <c r="EW20" s="19"/>
      <c r="EX20" s="19"/>
      <c r="EY20" s="19"/>
      <c r="EZ20" s="19"/>
      <c r="FA20" s="19"/>
      <c r="FB20" s="19">
        <v>4000000</v>
      </c>
      <c r="FC20" s="19">
        <v>40900000</v>
      </c>
      <c r="FD20" s="19"/>
      <c r="FE20" s="19"/>
      <c r="FF20" s="19"/>
      <c r="FG20" s="19"/>
      <c r="FH20" s="19"/>
      <c r="FI20" s="19"/>
      <c r="FJ20" s="19"/>
      <c r="FK20" s="19"/>
      <c r="FL20" s="19"/>
      <c r="FM20" s="19"/>
      <c r="FN20" s="19">
        <v>191198738</v>
      </c>
      <c r="FO20" s="19"/>
      <c r="FP20" s="19">
        <v>70783546</v>
      </c>
      <c r="FQ20" s="19">
        <v>0</v>
      </c>
      <c r="FR20" s="19">
        <v>27280144</v>
      </c>
      <c r="FS20" s="19"/>
      <c r="FT20" s="19"/>
      <c r="FU20" s="19" t="s">
        <v>152</v>
      </c>
      <c r="FV20" s="19">
        <v>651253340</v>
      </c>
      <c r="FW20" s="19"/>
      <c r="FX20" s="19"/>
      <c r="FY20" s="19">
        <v>15600000</v>
      </c>
      <c r="FZ20" s="19"/>
      <c r="GA20" s="19" t="s">
        <v>121</v>
      </c>
      <c r="GB20" s="19"/>
      <c r="GC20" s="19">
        <v>33002640</v>
      </c>
      <c r="GD20" s="19" t="s">
        <v>96</v>
      </c>
      <c r="GE20" s="19"/>
      <c r="GF20" s="19"/>
      <c r="GG20" s="19"/>
      <c r="GH20" s="19"/>
      <c r="GI20" s="19"/>
      <c r="GJ20" s="19"/>
      <c r="GK20" s="19"/>
      <c r="GL20" s="19"/>
      <c r="GM20" s="19"/>
      <c r="GN20" s="19"/>
      <c r="GO20" s="19">
        <v>468690628</v>
      </c>
      <c r="GP20" s="19">
        <v>120718473</v>
      </c>
      <c r="GQ20" s="19"/>
      <c r="GR20" s="19"/>
      <c r="GS20" s="19"/>
      <c r="GT20" s="19"/>
      <c r="GU20" s="19"/>
      <c r="GV20" s="19" t="s">
        <v>89</v>
      </c>
      <c r="GW20" s="19">
        <v>961654145</v>
      </c>
      <c r="GX20" s="19"/>
      <c r="GY20" s="19"/>
      <c r="GZ20" s="19">
        <v>4363636</v>
      </c>
      <c r="HA20" s="19">
        <v>2369416</v>
      </c>
      <c r="HB20" s="19"/>
      <c r="HC20" s="19"/>
      <c r="HD20" s="19" t="s">
        <v>89</v>
      </c>
      <c r="HE20" s="19">
        <v>7000000</v>
      </c>
      <c r="HF20" s="19"/>
      <c r="HG20" s="19"/>
      <c r="HH20" s="19"/>
      <c r="HI20" s="19"/>
      <c r="HJ20" s="19"/>
      <c r="HK20" s="19"/>
      <c r="HL20" s="19"/>
      <c r="HM20" s="19"/>
      <c r="HN20" s="19"/>
      <c r="HO20" s="19">
        <v>16800000</v>
      </c>
      <c r="HP20" s="19" t="s">
        <v>89</v>
      </c>
    </row>
    <row r="21" spans="1:224">
      <c r="A21" s="7" t="s">
        <v>5</v>
      </c>
      <c r="B21" s="12" t="s">
        <v>39</v>
      </c>
      <c r="C21" s="19"/>
      <c r="D21" s="19"/>
      <c r="E21" s="19"/>
      <c r="F21" s="19">
        <v>37292074</v>
      </c>
      <c r="G21" s="19">
        <v>360000</v>
      </c>
      <c r="H21" s="19"/>
      <c r="I21" s="19"/>
      <c r="J21" s="19" t="s">
        <v>4</v>
      </c>
      <c r="K21" s="19"/>
      <c r="L21" s="19"/>
      <c r="M21" s="19" t="s">
        <v>96</v>
      </c>
      <c r="N21" s="19"/>
      <c r="O21" s="19"/>
      <c r="P21" s="19">
        <v>5698349</v>
      </c>
      <c r="Q21" s="19">
        <v>16000000</v>
      </c>
      <c r="R21" s="19"/>
      <c r="S21" s="19">
        <v>5505617</v>
      </c>
      <c r="T21" s="19" t="s">
        <v>96</v>
      </c>
      <c r="U21" s="19"/>
      <c r="V21" s="19"/>
      <c r="W21" s="19"/>
      <c r="X21" s="19"/>
      <c r="Y21" s="19"/>
      <c r="Z21" s="19"/>
      <c r="AA21" s="19"/>
      <c r="AB21" s="19"/>
      <c r="AC21" s="19"/>
      <c r="AD21" s="19"/>
      <c r="AE21" s="19"/>
      <c r="AF21" s="19"/>
      <c r="AG21" s="19">
        <v>52452000</v>
      </c>
      <c r="AH21" s="19">
        <v>2137666</v>
      </c>
      <c r="AI21" s="19"/>
      <c r="AJ21" s="19"/>
      <c r="AK21" s="19" t="s">
        <v>89</v>
      </c>
      <c r="AL21" s="19">
        <v>40237399</v>
      </c>
      <c r="AM21" s="19" t="s">
        <v>4</v>
      </c>
      <c r="AN21" s="19">
        <v>1796665</v>
      </c>
      <c r="AO21" s="19">
        <v>20903043</v>
      </c>
      <c r="AP21" s="19">
        <v>25000000</v>
      </c>
      <c r="AQ21" s="19" t="s">
        <v>4</v>
      </c>
      <c r="AR21" s="19"/>
      <c r="AS21" s="19">
        <v>4000</v>
      </c>
      <c r="AT21" s="19"/>
      <c r="AU21" s="19"/>
      <c r="AV21" s="19"/>
      <c r="AW21" s="19"/>
      <c r="AX21" s="19" t="s">
        <v>4</v>
      </c>
      <c r="AY21" s="19">
        <v>3840000</v>
      </c>
      <c r="AZ21" s="19">
        <v>10564400</v>
      </c>
      <c r="BA21" s="19">
        <v>6000000</v>
      </c>
      <c r="BB21" s="19">
        <v>10715156</v>
      </c>
      <c r="BC21" s="19"/>
      <c r="BD21" s="19">
        <v>783594</v>
      </c>
      <c r="BE21" s="19"/>
      <c r="BF21" s="19"/>
      <c r="BG21" s="19">
        <v>8647642</v>
      </c>
      <c r="BH21" s="19"/>
      <c r="BI21" s="19"/>
      <c r="BJ21" s="19"/>
      <c r="BK21" s="19"/>
      <c r="BL21" s="19"/>
      <c r="BM21" s="19">
        <v>3346497</v>
      </c>
      <c r="BN21" s="19">
        <v>530201</v>
      </c>
      <c r="BO21" s="19">
        <v>2130401</v>
      </c>
      <c r="BP21" s="19"/>
      <c r="BQ21" s="19" t="s">
        <v>96</v>
      </c>
      <c r="BR21" s="19">
        <v>926127</v>
      </c>
      <c r="BS21" s="19"/>
      <c r="BT21" s="19"/>
      <c r="BU21" s="19"/>
      <c r="BV21" s="19"/>
      <c r="BW21" s="19"/>
      <c r="BX21" s="19"/>
      <c r="BY21" s="19">
        <v>1081522</v>
      </c>
      <c r="BZ21" s="19"/>
      <c r="CA21" s="19">
        <v>360000</v>
      </c>
      <c r="CB21" s="19"/>
      <c r="CC21" s="19"/>
      <c r="CD21" s="19"/>
      <c r="CE21" s="19"/>
      <c r="CF21" s="19">
        <v>2823490</v>
      </c>
      <c r="CG21" s="19"/>
      <c r="CH21" s="19"/>
      <c r="CI21" s="19" t="s">
        <v>89</v>
      </c>
      <c r="CJ21" s="19"/>
      <c r="CK21" s="19"/>
      <c r="CL21" s="19"/>
      <c r="CM21" s="19"/>
      <c r="CN21" s="19">
        <v>2610000</v>
      </c>
      <c r="CO21" s="19"/>
      <c r="CP21" s="19"/>
      <c r="CQ21" s="19" t="s">
        <v>96</v>
      </c>
      <c r="CR21" s="19"/>
      <c r="CS21" s="19"/>
      <c r="CT21" s="19"/>
      <c r="CU21" s="19"/>
      <c r="CV21" s="19"/>
      <c r="CW21" s="19"/>
      <c r="CX21" s="19"/>
      <c r="CY21" s="19"/>
      <c r="CZ21" s="19"/>
      <c r="DA21" s="19"/>
      <c r="DB21" s="19"/>
      <c r="DC21" s="19"/>
      <c r="DD21" s="19"/>
      <c r="DE21" s="19"/>
      <c r="DF21" s="19"/>
      <c r="DG21" s="19"/>
      <c r="DH21" s="19">
        <v>450740</v>
      </c>
      <c r="DI21" s="19"/>
      <c r="DJ21" s="19"/>
      <c r="DK21" s="19">
        <v>587846167</v>
      </c>
      <c r="DL21" s="19"/>
      <c r="DM21" s="19"/>
      <c r="DN21" s="19"/>
      <c r="DO21" s="19"/>
      <c r="DP21" s="19"/>
      <c r="DQ21" s="19"/>
      <c r="DR21" s="19"/>
      <c r="DS21" s="19"/>
      <c r="DT21" s="19"/>
      <c r="DU21" s="19"/>
      <c r="DV21" s="19"/>
      <c r="DW21" s="19"/>
      <c r="DX21" s="19"/>
      <c r="DY21" s="19"/>
      <c r="DZ21" s="19"/>
      <c r="EA21" s="19"/>
      <c r="EB21" s="19"/>
      <c r="EC21" s="19"/>
      <c r="ED21" s="19"/>
      <c r="EE21" s="19"/>
      <c r="EF21" s="19"/>
      <c r="EG21" s="19"/>
      <c r="EH21" s="19"/>
      <c r="EI21" s="19"/>
      <c r="EJ21" s="19"/>
      <c r="EK21" s="19" t="s">
        <v>89</v>
      </c>
      <c r="EL21" s="19"/>
      <c r="EM21" s="19"/>
      <c r="EN21" s="19"/>
      <c r="EO21" s="19"/>
      <c r="EP21" s="19"/>
      <c r="EQ21" s="19"/>
      <c r="ER21" s="19"/>
      <c r="ES21" s="19"/>
      <c r="ET21" s="19"/>
      <c r="EU21" s="19"/>
      <c r="EV21" s="19"/>
      <c r="EW21" s="19"/>
      <c r="EX21" s="19"/>
      <c r="EY21" s="19"/>
      <c r="EZ21" s="19"/>
      <c r="FA21" s="19"/>
      <c r="FB21" s="19"/>
      <c r="FC21" s="19"/>
      <c r="FD21" s="19"/>
      <c r="FE21" s="19"/>
      <c r="FF21" s="19"/>
      <c r="FG21" s="19"/>
      <c r="FH21" s="19"/>
      <c r="FI21" s="19"/>
      <c r="FJ21" s="19"/>
      <c r="FK21" s="19"/>
      <c r="FL21" s="19"/>
      <c r="FM21" s="19"/>
      <c r="FN21" s="19">
        <v>610000</v>
      </c>
      <c r="FO21" s="19"/>
      <c r="FP21" s="19"/>
      <c r="FQ21" s="19">
        <v>0</v>
      </c>
      <c r="FR21" s="19"/>
      <c r="FS21" s="19"/>
      <c r="FT21" s="19"/>
      <c r="FU21" s="19" t="s">
        <v>152</v>
      </c>
      <c r="FV21" s="19"/>
      <c r="FW21" s="19"/>
      <c r="FX21" s="19"/>
      <c r="FY21" s="19"/>
      <c r="FZ21" s="19"/>
      <c r="GA21" s="19">
        <v>0</v>
      </c>
      <c r="GB21" s="19">
        <v>0</v>
      </c>
      <c r="GC21" s="19"/>
      <c r="GD21" s="19" t="s">
        <v>96</v>
      </c>
      <c r="GE21" s="19"/>
      <c r="GF21" s="19"/>
      <c r="GG21" s="19"/>
      <c r="GH21" s="19"/>
      <c r="GI21" s="19"/>
      <c r="GJ21" s="19"/>
      <c r="GK21" s="19"/>
      <c r="GL21" s="19"/>
      <c r="GM21" s="19"/>
      <c r="GN21" s="19"/>
      <c r="GO21" s="19"/>
      <c r="GP21" s="19"/>
      <c r="GQ21" s="19"/>
      <c r="GR21" s="19"/>
      <c r="GS21" s="19">
        <v>495000</v>
      </c>
      <c r="GT21" s="19"/>
      <c r="GU21" s="19"/>
      <c r="GV21" s="19" t="s">
        <v>89</v>
      </c>
      <c r="GW21" s="19"/>
      <c r="GX21" s="19"/>
      <c r="GY21" s="19"/>
      <c r="GZ21" s="19"/>
      <c r="HA21" s="19"/>
      <c r="HB21" s="19"/>
      <c r="HC21" s="19"/>
      <c r="HD21" s="19" t="s">
        <v>89</v>
      </c>
      <c r="HE21" s="19"/>
      <c r="HF21" s="19"/>
      <c r="HG21" s="19"/>
      <c r="HH21" s="19"/>
      <c r="HI21" s="19"/>
      <c r="HJ21" s="19"/>
      <c r="HK21" s="19"/>
      <c r="HL21" s="19"/>
      <c r="HM21" s="19"/>
      <c r="HN21" s="19"/>
      <c r="HO21" s="19"/>
      <c r="HP21" s="19" t="s">
        <v>89</v>
      </c>
    </row>
    <row r="22" spans="1:224">
      <c r="A22" s="7" t="s">
        <v>5</v>
      </c>
      <c r="B22" s="11" t="s">
        <v>68</v>
      </c>
      <c r="C22" s="19">
        <v>47300000</v>
      </c>
      <c r="D22" s="19">
        <v>0</v>
      </c>
      <c r="E22" s="19">
        <v>0</v>
      </c>
      <c r="F22" s="19">
        <v>0</v>
      </c>
      <c r="G22" s="19">
        <v>6050000</v>
      </c>
      <c r="H22" s="19">
        <v>885733000</v>
      </c>
      <c r="I22" s="19">
        <v>483972000</v>
      </c>
      <c r="J22" s="19" t="s">
        <v>4</v>
      </c>
      <c r="K22" s="19">
        <v>3060000</v>
      </c>
      <c r="L22" s="19">
        <v>44210000</v>
      </c>
      <c r="M22" s="19" t="s">
        <v>96</v>
      </c>
      <c r="N22" s="19">
        <v>2116000</v>
      </c>
      <c r="O22" s="19">
        <v>129088848</v>
      </c>
      <c r="P22" s="19">
        <v>368569930</v>
      </c>
      <c r="Q22" s="19">
        <v>773990</v>
      </c>
      <c r="R22" s="19">
        <v>105267000</v>
      </c>
      <c r="S22" s="19">
        <v>43799500</v>
      </c>
      <c r="T22" s="19" t="s">
        <v>96</v>
      </c>
      <c r="U22" s="19">
        <v>174838455</v>
      </c>
      <c r="V22" s="19">
        <v>0</v>
      </c>
      <c r="W22" s="19">
        <v>0</v>
      </c>
      <c r="X22" s="19">
        <v>20000000</v>
      </c>
      <c r="Y22" s="19">
        <v>38082000</v>
      </c>
      <c r="Z22" s="19">
        <v>362021000</v>
      </c>
      <c r="AA22" s="19">
        <v>562350000</v>
      </c>
      <c r="AB22" s="19">
        <v>0</v>
      </c>
      <c r="AC22" s="19">
        <v>0</v>
      </c>
      <c r="AD22" s="19">
        <v>33000000</v>
      </c>
      <c r="AE22" s="19">
        <v>387000000</v>
      </c>
      <c r="AF22" s="19">
        <v>26000000</v>
      </c>
      <c r="AG22" s="19">
        <v>9100000</v>
      </c>
      <c r="AH22" s="19">
        <v>79162000</v>
      </c>
      <c r="AI22" s="19">
        <v>40318000</v>
      </c>
      <c r="AJ22" s="19">
        <v>130462000</v>
      </c>
      <c r="AK22" s="19" t="s">
        <v>89</v>
      </c>
      <c r="AL22" s="19">
        <v>41723883</v>
      </c>
      <c r="AM22" s="19" t="s">
        <v>4</v>
      </c>
      <c r="AN22" s="19">
        <v>51794000</v>
      </c>
      <c r="AO22" s="19">
        <v>80000000</v>
      </c>
      <c r="AP22" s="19">
        <v>0</v>
      </c>
      <c r="AQ22" s="19" t="s">
        <v>4</v>
      </c>
      <c r="AR22" s="19">
        <v>2300000</v>
      </c>
      <c r="AS22" s="19">
        <v>45000000</v>
      </c>
      <c r="AT22" s="19">
        <v>300000</v>
      </c>
      <c r="AU22" s="19">
        <v>457696000</v>
      </c>
      <c r="AV22" s="19">
        <v>120000000</v>
      </c>
      <c r="AW22" s="19">
        <v>1000000</v>
      </c>
      <c r="AX22" s="19" t="s">
        <v>4</v>
      </c>
      <c r="AY22" s="19">
        <v>0</v>
      </c>
      <c r="AZ22" s="19">
        <v>55700000</v>
      </c>
      <c r="BA22" s="19">
        <v>376185500</v>
      </c>
      <c r="BB22" s="19">
        <v>10000000</v>
      </c>
      <c r="BC22" s="19">
        <v>276900</v>
      </c>
      <c r="BD22" s="19">
        <v>3500000</v>
      </c>
      <c r="BE22" s="19">
        <v>11000000</v>
      </c>
      <c r="BF22" s="19">
        <v>52084600</v>
      </c>
      <c r="BG22" s="19">
        <v>369100000</v>
      </c>
      <c r="BH22" s="19">
        <v>0</v>
      </c>
      <c r="BI22" s="19">
        <v>37095000</v>
      </c>
      <c r="BJ22" s="19">
        <v>24050000</v>
      </c>
      <c r="BK22" s="19">
        <v>12000000</v>
      </c>
      <c r="BL22" s="19">
        <v>80150000</v>
      </c>
      <c r="BM22" s="19">
        <v>0</v>
      </c>
      <c r="BN22" s="19">
        <v>0</v>
      </c>
      <c r="BO22" s="19">
        <v>500000</v>
      </c>
      <c r="BP22" s="19">
        <v>270000</v>
      </c>
      <c r="BQ22" s="19" t="s">
        <v>96</v>
      </c>
      <c r="BR22" s="19">
        <v>111560000</v>
      </c>
      <c r="BS22" s="19">
        <v>35100000</v>
      </c>
      <c r="BT22" s="19">
        <v>0</v>
      </c>
      <c r="BU22" s="19">
        <v>36621404</v>
      </c>
      <c r="BV22" s="19">
        <v>0</v>
      </c>
      <c r="BW22" s="19">
        <v>0</v>
      </c>
      <c r="BX22" s="19">
        <v>1200000</v>
      </c>
      <c r="BY22" s="19">
        <v>65039700</v>
      </c>
      <c r="BZ22" s="19">
        <v>17240000</v>
      </c>
      <c r="CA22" s="19">
        <v>158300000</v>
      </c>
      <c r="CB22" s="19">
        <v>40020000</v>
      </c>
      <c r="CC22" s="19">
        <v>0</v>
      </c>
      <c r="CD22" s="19">
        <v>0</v>
      </c>
      <c r="CE22" s="19">
        <v>60000000</v>
      </c>
      <c r="CF22" s="19">
        <v>30300000</v>
      </c>
      <c r="CG22" s="19">
        <v>3000000</v>
      </c>
      <c r="CH22" s="19">
        <v>604000</v>
      </c>
      <c r="CI22" s="19" t="s">
        <v>89</v>
      </c>
      <c r="CJ22" s="19">
        <v>13000000</v>
      </c>
      <c r="CK22" s="19">
        <v>172750000</v>
      </c>
      <c r="CL22" s="19">
        <v>0</v>
      </c>
      <c r="CM22" s="19">
        <v>200000000</v>
      </c>
      <c r="CN22" s="19">
        <v>5102400</v>
      </c>
      <c r="CO22" s="19">
        <v>30000000</v>
      </c>
      <c r="CP22" s="19">
        <v>94981000</v>
      </c>
      <c r="CQ22" s="19" t="s">
        <v>96</v>
      </c>
      <c r="CR22" s="19">
        <v>109825910</v>
      </c>
      <c r="CS22" s="19">
        <v>23790000</v>
      </c>
      <c r="CT22" s="19">
        <v>99450000</v>
      </c>
      <c r="CU22" s="19">
        <v>240000</v>
      </c>
      <c r="CV22" s="19">
        <v>0</v>
      </c>
      <c r="CW22" s="19">
        <v>353888000</v>
      </c>
      <c r="CX22" s="19">
        <v>100300000</v>
      </c>
      <c r="CY22" s="19">
        <v>106702000</v>
      </c>
      <c r="CZ22" s="19">
        <v>34570000</v>
      </c>
      <c r="DA22" s="19">
        <v>40350210</v>
      </c>
      <c r="DB22" s="19">
        <v>20930000</v>
      </c>
      <c r="DC22" s="19">
        <v>0</v>
      </c>
      <c r="DD22" s="19">
        <v>40000000</v>
      </c>
      <c r="DE22" s="19">
        <v>31880600</v>
      </c>
      <c r="DF22" s="19">
        <v>10000000</v>
      </c>
      <c r="DG22" s="19">
        <v>60300000</v>
      </c>
      <c r="DH22" s="19">
        <v>0</v>
      </c>
      <c r="DI22" s="19">
        <v>0</v>
      </c>
      <c r="DJ22" s="19">
        <v>0</v>
      </c>
      <c r="DK22" s="19">
        <v>67545000</v>
      </c>
      <c r="DL22" s="19">
        <v>2100000</v>
      </c>
      <c r="DM22" s="19">
        <v>284722945</v>
      </c>
      <c r="DN22" s="19">
        <v>3000000</v>
      </c>
      <c r="DO22" s="19">
        <v>35701280</v>
      </c>
      <c r="DP22" s="19">
        <v>53548300</v>
      </c>
      <c r="DQ22" s="19">
        <v>20000000</v>
      </c>
      <c r="DR22" s="19">
        <v>33553290</v>
      </c>
      <c r="DS22" s="19">
        <v>0</v>
      </c>
      <c r="DT22" s="19">
        <v>32588875</v>
      </c>
      <c r="DU22" s="19">
        <v>10000000</v>
      </c>
      <c r="DV22" s="19">
        <v>80260000</v>
      </c>
      <c r="DW22" s="19">
        <v>75300000</v>
      </c>
      <c r="DX22" s="19">
        <v>62176500</v>
      </c>
      <c r="DY22" s="19">
        <v>112500000</v>
      </c>
      <c r="DZ22" s="19">
        <v>13200000</v>
      </c>
      <c r="EA22" s="19">
        <v>30000000</v>
      </c>
      <c r="EB22" s="19">
        <v>6307000</v>
      </c>
      <c r="EC22" s="19">
        <v>162000</v>
      </c>
      <c r="ED22" s="19">
        <v>20000000</v>
      </c>
      <c r="EE22" s="19">
        <v>4905700</v>
      </c>
      <c r="EF22" s="19">
        <v>50000000</v>
      </c>
      <c r="EG22" s="19">
        <v>395170000</v>
      </c>
      <c r="EH22" s="19">
        <v>25300000</v>
      </c>
      <c r="EI22" s="19">
        <v>244300000</v>
      </c>
      <c r="EJ22" s="19">
        <v>3200000</v>
      </c>
      <c r="EK22" s="19" t="s">
        <v>89</v>
      </c>
      <c r="EL22" s="19">
        <v>157850000</v>
      </c>
      <c r="EM22" s="19">
        <v>105000000</v>
      </c>
      <c r="EN22" s="19">
        <v>502000000</v>
      </c>
      <c r="EO22" s="19">
        <v>136704560</v>
      </c>
      <c r="EP22" s="19">
        <v>0</v>
      </c>
      <c r="EQ22" s="19">
        <v>10000000</v>
      </c>
      <c r="ER22" s="19">
        <v>0</v>
      </c>
      <c r="ES22" s="19">
        <v>30167000</v>
      </c>
      <c r="ET22" s="19">
        <v>0</v>
      </c>
      <c r="EU22" s="19">
        <v>200000</v>
      </c>
      <c r="EV22" s="19">
        <v>1600000</v>
      </c>
      <c r="EW22" s="19">
        <v>25200000</v>
      </c>
      <c r="EX22" s="19">
        <v>152618790</v>
      </c>
      <c r="EY22" s="19">
        <v>9165000</v>
      </c>
      <c r="EZ22" s="19">
        <v>101000000</v>
      </c>
      <c r="FA22" s="19">
        <v>28759000</v>
      </c>
      <c r="FB22" s="19">
        <v>200000</v>
      </c>
      <c r="FC22" s="19">
        <v>198745140</v>
      </c>
      <c r="FD22" s="19">
        <v>20000000</v>
      </c>
      <c r="FE22" s="19">
        <v>288278500</v>
      </c>
      <c r="FF22" s="19">
        <v>0</v>
      </c>
      <c r="FG22" s="19">
        <v>48500000</v>
      </c>
      <c r="FH22" s="19">
        <v>20000000</v>
      </c>
      <c r="FI22" s="19">
        <v>2440000</v>
      </c>
      <c r="FJ22" s="19">
        <v>10590000</v>
      </c>
      <c r="FK22" s="19">
        <v>84586000</v>
      </c>
      <c r="FL22" s="19">
        <v>10400000</v>
      </c>
      <c r="FM22" s="19">
        <v>1680000</v>
      </c>
      <c r="FN22" s="19">
        <v>0</v>
      </c>
      <c r="FO22" s="19">
        <v>0</v>
      </c>
      <c r="FP22" s="19">
        <v>0</v>
      </c>
      <c r="FQ22" s="19">
        <v>0</v>
      </c>
      <c r="FR22" s="19">
        <v>26000000</v>
      </c>
      <c r="FS22" s="19">
        <v>0</v>
      </c>
      <c r="FT22" s="19">
        <v>30917000</v>
      </c>
      <c r="FU22" s="19" t="s">
        <v>152</v>
      </c>
      <c r="FV22" s="19">
        <v>29002760</v>
      </c>
      <c r="FW22" s="19">
        <v>10000000</v>
      </c>
      <c r="FX22" s="19">
        <v>4461600</v>
      </c>
      <c r="FY22" s="19">
        <v>52352000</v>
      </c>
      <c r="FZ22" s="19">
        <v>624200</v>
      </c>
      <c r="GA22" s="19">
        <v>3600000</v>
      </c>
      <c r="GB22" s="19"/>
      <c r="GC22" s="19">
        <v>200000</v>
      </c>
      <c r="GD22" s="19" t="s">
        <v>96</v>
      </c>
      <c r="GE22" s="19">
        <v>0</v>
      </c>
      <c r="GF22" s="19">
        <v>1612000</v>
      </c>
      <c r="GG22" s="19">
        <v>38340000</v>
      </c>
      <c r="GH22" s="19">
        <v>6440000</v>
      </c>
      <c r="GI22" s="19">
        <v>32403500</v>
      </c>
      <c r="GJ22" s="19"/>
      <c r="GK22" s="19">
        <v>20205000</v>
      </c>
      <c r="GL22" s="19"/>
      <c r="GM22" s="19">
        <v>15500000</v>
      </c>
      <c r="GN22" s="19">
        <v>539387000</v>
      </c>
      <c r="GO22" s="19">
        <v>46080000</v>
      </c>
      <c r="GP22" s="19">
        <v>7540500</v>
      </c>
      <c r="GQ22" s="19">
        <v>9259900</v>
      </c>
      <c r="GR22" s="19">
        <v>98000000</v>
      </c>
      <c r="GS22" s="19"/>
      <c r="GT22" s="19">
        <v>32403500</v>
      </c>
      <c r="GU22" s="19">
        <v>80000000</v>
      </c>
      <c r="GV22" s="19" t="s">
        <v>89</v>
      </c>
      <c r="GW22" s="19">
        <v>1530000</v>
      </c>
      <c r="GX22" s="19">
        <v>5658000</v>
      </c>
      <c r="GY22" s="19">
        <v>45000000</v>
      </c>
      <c r="GZ22" s="19">
        <v>18088000</v>
      </c>
      <c r="HA22" s="19">
        <v>53230000</v>
      </c>
      <c r="HB22" s="19"/>
      <c r="HC22" s="19">
        <v>15900000</v>
      </c>
      <c r="HD22" s="19" t="s">
        <v>89</v>
      </c>
      <c r="HE22" s="19">
        <v>15000000</v>
      </c>
      <c r="HF22" s="19">
        <v>70000000</v>
      </c>
      <c r="HG22" s="19"/>
      <c r="HH22" s="19">
        <v>28000000</v>
      </c>
      <c r="HI22" s="19"/>
      <c r="HJ22" s="19">
        <v>22378880</v>
      </c>
      <c r="HK22" s="19">
        <v>66824000</v>
      </c>
      <c r="HL22" s="19">
        <v>51000000</v>
      </c>
      <c r="HM22" s="19">
        <v>35000000</v>
      </c>
      <c r="HN22" s="19">
        <v>2000000</v>
      </c>
      <c r="HO22" s="19">
        <v>11850000</v>
      </c>
      <c r="HP22" s="19" t="s">
        <v>89</v>
      </c>
    </row>
    <row r="23" spans="1:224">
      <c r="A23" s="7" t="s">
        <v>5</v>
      </c>
      <c r="B23" s="8" t="s">
        <v>109</v>
      </c>
      <c r="C23" s="19">
        <v>162309144</v>
      </c>
      <c r="D23" s="19">
        <v>827011187</v>
      </c>
      <c r="E23" s="19">
        <v>338288469</v>
      </c>
      <c r="F23" s="19">
        <v>638219397</v>
      </c>
      <c r="G23" s="19">
        <v>176163634</v>
      </c>
      <c r="H23" s="19">
        <v>926000000</v>
      </c>
      <c r="I23" s="19">
        <v>3188879757</v>
      </c>
      <c r="J23" s="19" t="s">
        <v>4</v>
      </c>
      <c r="K23" s="19">
        <v>341975898</v>
      </c>
      <c r="L23" s="19">
        <v>797136323</v>
      </c>
      <c r="M23" s="19" t="s">
        <v>96</v>
      </c>
      <c r="N23" s="19">
        <v>248927454</v>
      </c>
      <c r="O23" s="19">
        <v>1486934522</v>
      </c>
      <c r="P23" s="19">
        <v>1018772228</v>
      </c>
      <c r="Q23" s="19">
        <v>138743831</v>
      </c>
      <c r="R23" s="19">
        <v>345435860</v>
      </c>
      <c r="S23" s="19">
        <v>3536763234</v>
      </c>
      <c r="T23" s="19" t="s">
        <v>96</v>
      </c>
      <c r="U23" s="19">
        <v>585404114</v>
      </c>
      <c r="V23" s="19">
        <v>499637350</v>
      </c>
      <c r="W23" s="19">
        <v>753587176</v>
      </c>
      <c r="X23" s="19">
        <v>4099860570</v>
      </c>
      <c r="Y23" s="19">
        <v>95526668</v>
      </c>
      <c r="Z23" s="19">
        <v>908867871</v>
      </c>
      <c r="AA23" s="19">
        <v>3440718318</v>
      </c>
      <c r="AB23" s="19">
        <v>20168810</v>
      </c>
      <c r="AC23" s="19">
        <v>874429663</v>
      </c>
      <c r="AD23" s="19">
        <v>2979628873</v>
      </c>
      <c r="AE23" s="19">
        <v>5366483675</v>
      </c>
      <c r="AF23" s="19">
        <v>373503857</v>
      </c>
      <c r="AG23" s="19">
        <v>973587064</v>
      </c>
      <c r="AH23" s="19">
        <v>478841360</v>
      </c>
      <c r="AI23" s="19">
        <v>528941456</v>
      </c>
      <c r="AJ23" s="19">
        <v>392244587</v>
      </c>
      <c r="AK23" s="19" t="s">
        <v>89</v>
      </c>
      <c r="AL23" s="19">
        <v>2176596137</v>
      </c>
      <c r="AM23" s="19" t="s">
        <v>4</v>
      </c>
      <c r="AN23" s="19">
        <v>488089889</v>
      </c>
      <c r="AO23" s="19">
        <v>655039824</v>
      </c>
      <c r="AP23" s="19">
        <v>184124517</v>
      </c>
      <c r="AQ23" s="19" t="s">
        <v>4</v>
      </c>
      <c r="AR23" s="19">
        <v>175595067</v>
      </c>
      <c r="AS23" s="19">
        <v>1037313902</v>
      </c>
      <c r="AT23" s="19">
        <v>2283600698</v>
      </c>
      <c r="AU23" s="19">
        <v>2200853534</v>
      </c>
      <c r="AV23" s="19">
        <v>167917690</v>
      </c>
      <c r="AW23" s="19">
        <v>709001181</v>
      </c>
      <c r="AX23" s="19" t="s">
        <v>4</v>
      </c>
      <c r="AY23" s="19">
        <v>338167484</v>
      </c>
      <c r="AZ23" s="19">
        <v>448726118</v>
      </c>
      <c r="BA23" s="19">
        <v>2356485062</v>
      </c>
      <c r="BB23" s="19">
        <v>46041679</v>
      </c>
      <c r="BC23" s="19">
        <v>1160083803</v>
      </c>
      <c r="BD23" s="19">
        <v>146058134</v>
      </c>
      <c r="BE23" s="19">
        <v>1597751151</v>
      </c>
      <c r="BF23" s="19">
        <v>1202288400</v>
      </c>
      <c r="BG23" s="19">
        <v>825076985</v>
      </c>
      <c r="BH23" s="19">
        <v>720209095</v>
      </c>
      <c r="BI23" s="19">
        <v>45450628</v>
      </c>
      <c r="BJ23" s="19">
        <v>605784285</v>
      </c>
      <c r="BK23" s="19">
        <v>741095510</v>
      </c>
      <c r="BL23" s="19">
        <v>320208816</v>
      </c>
      <c r="BM23" s="19">
        <v>704328800</v>
      </c>
      <c r="BN23" s="19">
        <v>54536190</v>
      </c>
      <c r="BO23" s="19">
        <v>402439401</v>
      </c>
      <c r="BP23" s="19">
        <v>45180957</v>
      </c>
      <c r="BQ23" s="19" t="s">
        <v>96</v>
      </c>
      <c r="BR23" s="19">
        <v>235042367</v>
      </c>
      <c r="BS23" s="19">
        <v>62317548</v>
      </c>
      <c r="BT23" s="19">
        <v>36014700</v>
      </c>
      <c r="BU23" s="19">
        <v>873868694</v>
      </c>
      <c r="BV23" s="19">
        <v>199882514</v>
      </c>
      <c r="BW23" s="19">
        <v>41614314</v>
      </c>
      <c r="BX23" s="19">
        <v>75115550</v>
      </c>
      <c r="BY23" s="19">
        <v>1881216784</v>
      </c>
      <c r="BZ23" s="19">
        <v>51339900</v>
      </c>
      <c r="CA23" s="19">
        <v>865777332</v>
      </c>
      <c r="CB23" s="19">
        <v>222638704</v>
      </c>
      <c r="CC23" s="19">
        <v>98197267</v>
      </c>
      <c r="CD23" s="19">
        <v>600826049</v>
      </c>
      <c r="CE23" s="19">
        <v>86614829</v>
      </c>
      <c r="CF23" s="19">
        <v>1364425074</v>
      </c>
      <c r="CG23" s="19">
        <v>3298132</v>
      </c>
      <c r="CH23" s="19">
        <v>104443569</v>
      </c>
      <c r="CI23" s="19" t="s">
        <v>89</v>
      </c>
      <c r="CJ23" s="19">
        <v>559633750</v>
      </c>
      <c r="CK23" s="19">
        <v>5277801715</v>
      </c>
      <c r="CL23" s="19">
        <v>581712705</v>
      </c>
      <c r="CM23" s="19">
        <v>849652642</v>
      </c>
      <c r="CN23" s="19">
        <v>110843734</v>
      </c>
      <c r="CO23" s="19">
        <v>14769958</v>
      </c>
      <c r="CP23" s="19">
        <v>1443922177</v>
      </c>
      <c r="CQ23" s="19" t="s">
        <v>96</v>
      </c>
      <c r="CR23" s="19">
        <v>111054133</v>
      </c>
      <c r="CS23" s="19">
        <v>496095490</v>
      </c>
      <c r="CT23" s="19">
        <v>171482023</v>
      </c>
      <c r="CU23" s="19">
        <v>25728367</v>
      </c>
      <c r="CV23" s="19">
        <v>280581648</v>
      </c>
      <c r="CW23" s="19">
        <v>71088663</v>
      </c>
      <c r="CX23" s="19">
        <v>1794484253</v>
      </c>
      <c r="CY23" s="19">
        <v>2629517190</v>
      </c>
      <c r="CZ23" s="19">
        <v>144093213</v>
      </c>
      <c r="DA23" s="19">
        <v>66596814</v>
      </c>
      <c r="DB23" s="19">
        <v>181365754</v>
      </c>
      <c r="DC23" s="19">
        <v>135919806</v>
      </c>
      <c r="DD23" s="19">
        <v>178042116</v>
      </c>
      <c r="DE23" s="19">
        <v>260390131</v>
      </c>
      <c r="DF23" s="19">
        <v>44837006</v>
      </c>
      <c r="DG23" s="19">
        <v>379953673</v>
      </c>
      <c r="DH23" s="19">
        <v>202649416</v>
      </c>
      <c r="DI23" s="19">
        <v>2836528903</v>
      </c>
      <c r="DJ23" s="19">
        <v>18483850</v>
      </c>
      <c r="DK23" s="19">
        <v>1886788608</v>
      </c>
      <c r="DL23" s="19">
        <v>214256470</v>
      </c>
      <c r="DM23" s="19">
        <v>1097999688</v>
      </c>
      <c r="DN23" s="19">
        <v>260829459</v>
      </c>
      <c r="DO23" s="19">
        <v>42835779</v>
      </c>
      <c r="DP23" s="19">
        <v>1339938452</v>
      </c>
      <c r="DQ23" s="19">
        <v>346448862</v>
      </c>
      <c r="DR23" s="19">
        <v>212550667</v>
      </c>
      <c r="DS23" s="19">
        <v>212701792</v>
      </c>
      <c r="DT23" s="19">
        <v>283237500</v>
      </c>
      <c r="DU23" s="19">
        <v>140056714</v>
      </c>
      <c r="DV23" s="19">
        <v>4075470</v>
      </c>
      <c r="DW23" s="19">
        <v>237475876</v>
      </c>
      <c r="DX23" s="19">
        <v>760941371</v>
      </c>
      <c r="DY23" s="19">
        <v>221743224</v>
      </c>
      <c r="DZ23" s="19">
        <v>388360592</v>
      </c>
      <c r="EA23" s="19">
        <v>57914634</v>
      </c>
      <c r="EB23" s="19">
        <v>1416383627</v>
      </c>
      <c r="EC23" s="19">
        <v>152262464</v>
      </c>
      <c r="ED23" s="19">
        <v>131524854</v>
      </c>
      <c r="EE23" s="19">
        <v>241610473</v>
      </c>
      <c r="EF23" s="19">
        <v>2601339484</v>
      </c>
      <c r="EG23" s="19">
        <v>2935808821</v>
      </c>
      <c r="EH23" s="19">
        <v>3017855034</v>
      </c>
      <c r="EI23" s="19">
        <v>620731804</v>
      </c>
      <c r="EJ23" s="19">
        <v>50041413</v>
      </c>
      <c r="EK23" s="19" t="s">
        <v>89</v>
      </c>
      <c r="EL23" s="19">
        <v>1402371844</v>
      </c>
      <c r="EM23" s="19">
        <v>42503740</v>
      </c>
      <c r="EN23" s="19">
        <v>1057479589</v>
      </c>
      <c r="EO23" s="19">
        <v>681570196</v>
      </c>
      <c r="EP23" s="19">
        <v>14120424</v>
      </c>
      <c r="EQ23" s="19">
        <v>419130000</v>
      </c>
      <c r="ER23" s="19">
        <v>1624911517</v>
      </c>
      <c r="ES23" s="19">
        <v>465233108</v>
      </c>
      <c r="ET23" s="19">
        <v>93668247</v>
      </c>
      <c r="EU23" s="19">
        <v>1415927383</v>
      </c>
      <c r="EV23" s="19">
        <v>159440362</v>
      </c>
      <c r="EW23" s="19">
        <v>120963983</v>
      </c>
      <c r="EX23" s="19">
        <v>169445058</v>
      </c>
      <c r="EY23" s="19">
        <v>2532399574</v>
      </c>
      <c r="EZ23" s="19">
        <v>327553177</v>
      </c>
      <c r="FA23" s="19">
        <v>2357141974</v>
      </c>
      <c r="FB23" s="19">
        <v>301027802</v>
      </c>
      <c r="FC23" s="19">
        <v>854498407</v>
      </c>
      <c r="FD23" s="19">
        <v>141569470</v>
      </c>
      <c r="FE23" s="19">
        <v>2841329993</v>
      </c>
      <c r="FF23" s="19">
        <v>13242041</v>
      </c>
      <c r="FG23" s="19">
        <v>581814443</v>
      </c>
      <c r="FH23" s="19">
        <v>171057273</v>
      </c>
      <c r="FI23" s="19">
        <v>48782600</v>
      </c>
      <c r="FJ23" s="19">
        <v>7761139</v>
      </c>
      <c r="FK23" s="19">
        <v>459685917</v>
      </c>
      <c r="FL23" s="19">
        <v>212234170</v>
      </c>
      <c r="FM23" s="19">
        <v>8664737</v>
      </c>
      <c r="FN23" s="19">
        <v>6360338</v>
      </c>
      <c r="FO23" s="19">
        <v>38075068</v>
      </c>
      <c r="FP23" s="19">
        <v>212622866</v>
      </c>
      <c r="FQ23" s="19">
        <v>107695285</v>
      </c>
      <c r="FR23" s="19">
        <v>207441397</v>
      </c>
      <c r="FS23" s="19">
        <v>8842347</v>
      </c>
      <c r="FT23" s="19">
        <v>763425460</v>
      </c>
      <c r="FU23" s="19" t="s">
        <v>152</v>
      </c>
      <c r="FV23" s="19">
        <v>966518682</v>
      </c>
      <c r="FW23" s="19">
        <v>237769724</v>
      </c>
      <c r="FX23" s="19">
        <v>201341812</v>
      </c>
      <c r="FY23" s="19">
        <v>553970382</v>
      </c>
      <c r="FZ23" s="19">
        <v>533515227</v>
      </c>
      <c r="GA23" s="19">
        <v>51930451</v>
      </c>
      <c r="GB23" s="19">
        <v>4623781</v>
      </c>
      <c r="GC23" s="19">
        <v>268447472</v>
      </c>
      <c r="GD23" s="19" t="s">
        <v>96</v>
      </c>
      <c r="GE23" s="19">
        <v>16035877</v>
      </c>
      <c r="GF23" s="19">
        <v>11728494</v>
      </c>
      <c r="GG23" s="19">
        <v>436320795</v>
      </c>
      <c r="GH23" s="19">
        <v>453887210</v>
      </c>
      <c r="GI23" s="19">
        <v>147369683</v>
      </c>
      <c r="GJ23" s="19">
        <v>19000000</v>
      </c>
      <c r="GK23" s="19">
        <v>75167488</v>
      </c>
      <c r="GL23" s="19">
        <v>26083933</v>
      </c>
      <c r="GM23" s="19">
        <v>49884728</v>
      </c>
      <c r="GN23" s="19">
        <v>954503377</v>
      </c>
      <c r="GO23" s="19">
        <v>2417115706</v>
      </c>
      <c r="GP23" s="19">
        <v>3292679969</v>
      </c>
      <c r="GQ23" s="19">
        <v>42644326</v>
      </c>
      <c r="GR23" s="19">
        <v>376293674</v>
      </c>
      <c r="GS23" s="19">
        <v>777257128</v>
      </c>
      <c r="GT23" s="19">
        <v>147369683</v>
      </c>
      <c r="GU23" s="19">
        <v>20206410</v>
      </c>
      <c r="GV23" s="19" t="s">
        <v>89</v>
      </c>
      <c r="GW23" s="19">
        <v>1152642074</v>
      </c>
      <c r="GX23" s="19">
        <v>626268187</v>
      </c>
      <c r="GY23" s="19">
        <v>279864119</v>
      </c>
      <c r="GZ23" s="19">
        <v>62050900</v>
      </c>
      <c r="HA23" s="19">
        <v>654799541</v>
      </c>
      <c r="HB23" s="19">
        <v>50935959</v>
      </c>
      <c r="HC23" s="19">
        <v>421818210</v>
      </c>
      <c r="HD23" s="19" t="s">
        <v>89</v>
      </c>
      <c r="HE23" s="19">
        <v>402285745</v>
      </c>
      <c r="HF23" s="19">
        <v>500687325</v>
      </c>
      <c r="HG23" s="19">
        <v>26601322</v>
      </c>
      <c r="HH23" s="19">
        <v>16811068</v>
      </c>
      <c r="HI23" s="19">
        <v>362398587</v>
      </c>
      <c r="HJ23" s="19">
        <v>648739071</v>
      </c>
      <c r="HK23" s="19">
        <v>940654677</v>
      </c>
      <c r="HL23" s="19">
        <v>9082006</v>
      </c>
      <c r="HM23" s="19">
        <v>139875380</v>
      </c>
      <c r="HN23" s="19">
        <v>51398578</v>
      </c>
      <c r="HO23" s="19">
        <v>308533004</v>
      </c>
      <c r="HP23" s="19" t="s">
        <v>89</v>
      </c>
    </row>
    <row r="24" spans="1:224">
      <c r="A24" s="7" t="s">
        <v>5</v>
      </c>
      <c r="B24" s="8" t="s">
        <v>99</v>
      </c>
      <c r="C24" s="19">
        <v>162309144</v>
      </c>
      <c r="D24" s="19">
        <v>826516439</v>
      </c>
      <c r="E24" s="19">
        <v>71288469</v>
      </c>
      <c r="F24" s="19">
        <v>31219397</v>
      </c>
      <c r="G24" s="19">
        <v>20308722</v>
      </c>
      <c r="H24" s="19">
        <v>116000000</v>
      </c>
      <c r="I24" s="19">
        <v>286942730</v>
      </c>
      <c r="J24" s="19" t="s">
        <v>4</v>
      </c>
      <c r="K24" s="19">
        <v>341975898</v>
      </c>
      <c r="L24" s="19">
        <v>340341713</v>
      </c>
      <c r="M24" s="19" t="s">
        <v>96</v>
      </c>
      <c r="N24" s="19">
        <v>248927454</v>
      </c>
      <c r="O24" s="19">
        <v>266634083</v>
      </c>
      <c r="P24" s="19">
        <v>144354072</v>
      </c>
      <c r="Q24" s="19">
        <v>22903831</v>
      </c>
      <c r="R24" s="19">
        <v>152310860</v>
      </c>
      <c r="S24" s="19">
        <v>1118123513</v>
      </c>
      <c r="T24" s="19" t="s">
        <v>96</v>
      </c>
      <c r="U24" s="19">
        <v>135476812</v>
      </c>
      <c r="V24" s="19">
        <v>45785536</v>
      </c>
      <c r="W24" s="19">
        <v>49996334</v>
      </c>
      <c r="X24" s="19">
        <v>0</v>
      </c>
      <c r="Y24" s="19">
        <v>85526668</v>
      </c>
      <c r="Z24" s="19">
        <v>482648316</v>
      </c>
      <c r="AA24" s="19">
        <v>2619998318</v>
      </c>
      <c r="AB24" s="19">
        <v>20168810</v>
      </c>
      <c r="AC24" s="19">
        <v>274429663</v>
      </c>
      <c r="AD24" s="19">
        <v>99648873</v>
      </c>
      <c r="AE24" s="19">
        <v>593431441</v>
      </c>
      <c r="AF24" s="19">
        <v>18503857</v>
      </c>
      <c r="AG24" s="19">
        <v>637637247</v>
      </c>
      <c r="AH24" s="19">
        <v>358841360</v>
      </c>
      <c r="AI24" s="19">
        <v>253941452</v>
      </c>
      <c r="AJ24" s="19">
        <v>49721003</v>
      </c>
      <c r="AK24" s="19" t="s">
        <v>89</v>
      </c>
      <c r="AL24" s="19">
        <v>306591732</v>
      </c>
      <c r="AM24" s="19" t="s">
        <v>4</v>
      </c>
      <c r="AN24" s="19">
        <v>88089889</v>
      </c>
      <c r="AO24" s="19">
        <v>650899824</v>
      </c>
      <c r="AP24" s="19">
        <v>114601968</v>
      </c>
      <c r="AQ24" s="19" t="s">
        <v>4</v>
      </c>
      <c r="AR24" s="19">
        <v>175595067</v>
      </c>
      <c r="AS24" s="19">
        <v>1037313902</v>
      </c>
      <c r="AT24" s="19">
        <v>165488676</v>
      </c>
      <c r="AU24" s="19">
        <v>537314084</v>
      </c>
      <c r="AV24" s="19">
        <v>64571303</v>
      </c>
      <c r="AW24" s="19">
        <v>434001181</v>
      </c>
      <c r="AX24" s="19" t="s">
        <v>4</v>
      </c>
      <c r="AY24" s="19">
        <v>54027454</v>
      </c>
      <c r="AZ24" s="19">
        <v>148726118</v>
      </c>
      <c r="BA24" s="19">
        <v>1740539646</v>
      </c>
      <c r="BB24" s="19">
        <v>46041679</v>
      </c>
      <c r="BC24" s="19">
        <v>188076987</v>
      </c>
      <c r="BD24" s="19">
        <v>34531346</v>
      </c>
      <c r="BE24" s="19">
        <v>431544615</v>
      </c>
      <c r="BF24" s="19">
        <v>1067288400</v>
      </c>
      <c r="BG24" s="19">
        <v>414186928</v>
      </c>
      <c r="BH24" s="19">
        <v>120209095</v>
      </c>
      <c r="BI24" s="19">
        <v>45450628</v>
      </c>
      <c r="BJ24" s="19">
        <v>155063401</v>
      </c>
      <c r="BK24" s="19">
        <v>511095510</v>
      </c>
      <c r="BL24" s="19">
        <v>154178505</v>
      </c>
      <c r="BM24" s="19">
        <v>184928800</v>
      </c>
      <c r="BN24" s="19">
        <v>54536190</v>
      </c>
      <c r="BO24" s="19">
        <v>95049998</v>
      </c>
      <c r="BP24" s="19">
        <v>45180957</v>
      </c>
      <c r="BQ24" s="19" t="s">
        <v>96</v>
      </c>
      <c r="BR24" s="19">
        <v>138167367</v>
      </c>
      <c r="BS24" s="19">
        <v>62317548</v>
      </c>
      <c r="BT24" s="19">
        <v>36014700</v>
      </c>
      <c r="BU24" s="19">
        <v>60580854</v>
      </c>
      <c r="BV24" s="19">
        <v>199882514</v>
      </c>
      <c r="BW24" s="19">
        <v>41614314</v>
      </c>
      <c r="BX24" s="19">
        <v>75115550</v>
      </c>
      <c r="BY24" s="19">
        <v>1040884175</v>
      </c>
      <c r="BZ24" s="19">
        <v>51339900</v>
      </c>
      <c r="CA24" s="19">
        <v>33902341</v>
      </c>
      <c r="CB24" s="19">
        <v>79842301</v>
      </c>
      <c r="CC24" s="19">
        <v>98197267</v>
      </c>
      <c r="CD24" s="19">
        <v>600826049</v>
      </c>
      <c r="CE24" s="19">
        <v>32456829</v>
      </c>
      <c r="CF24" s="19">
        <v>1364425074</v>
      </c>
      <c r="CG24" s="19">
        <v>3298132</v>
      </c>
      <c r="CH24" s="19">
        <v>46111233</v>
      </c>
      <c r="CI24" s="19" t="s">
        <v>89</v>
      </c>
      <c r="CJ24" s="19">
        <v>473733750</v>
      </c>
      <c r="CK24" s="19">
        <v>1282334294</v>
      </c>
      <c r="CL24" s="19">
        <v>19839705</v>
      </c>
      <c r="CM24" s="19">
        <v>543652642</v>
      </c>
      <c r="CN24" s="19">
        <v>60632629</v>
      </c>
      <c r="CO24" s="19">
        <v>14522975</v>
      </c>
      <c r="CP24" s="19">
        <v>282508446</v>
      </c>
      <c r="CQ24" s="19" t="s">
        <v>96</v>
      </c>
      <c r="CR24" s="19">
        <v>111054133</v>
      </c>
      <c r="CS24" s="19">
        <v>131755490</v>
      </c>
      <c r="CT24" s="19">
        <v>56482023</v>
      </c>
      <c r="CU24" s="19">
        <v>1061381</v>
      </c>
      <c r="CV24" s="19">
        <v>184147271</v>
      </c>
      <c r="CW24" s="19">
        <v>71088663</v>
      </c>
      <c r="CX24" s="19">
        <v>1636473530</v>
      </c>
      <c r="CY24" s="19">
        <v>1484517196</v>
      </c>
      <c r="CZ24" s="19">
        <v>89485446</v>
      </c>
      <c r="DA24" s="19">
        <v>66596814</v>
      </c>
      <c r="DB24" s="19">
        <v>18459071</v>
      </c>
      <c r="DC24" s="19">
        <v>115646024</v>
      </c>
      <c r="DD24" s="19">
        <v>14042116</v>
      </c>
      <c r="DE24" s="19">
        <v>122950131</v>
      </c>
      <c r="DF24" s="19">
        <v>20517006</v>
      </c>
      <c r="DG24" s="19">
        <v>268703673</v>
      </c>
      <c r="DH24" s="19">
        <v>68762352</v>
      </c>
      <c r="DI24" s="19">
        <v>283168752</v>
      </c>
      <c r="DJ24" s="19">
        <v>18483850</v>
      </c>
      <c r="DK24" s="19">
        <v>941108608</v>
      </c>
      <c r="DL24" s="19">
        <v>214256470</v>
      </c>
      <c r="DM24" s="19">
        <v>1097999688</v>
      </c>
      <c r="DN24" s="19">
        <v>260829459</v>
      </c>
      <c r="DO24" s="19">
        <v>42835779</v>
      </c>
      <c r="DP24" s="19">
        <v>1339938452</v>
      </c>
      <c r="DQ24" s="19">
        <v>76448862</v>
      </c>
      <c r="DR24" s="19">
        <v>212550667</v>
      </c>
      <c r="DS24" s="19">
        <v>171138507</v>
      </c>
      <c r="DT24" s="19">
        <v>283237500</v>
      </c>
      <c r="DU24" s="19">
        <v>135056714</v>
      </c>
      <c r="DV24" s="19">
        <v>4075470</v>
      </c>
      <c r="DW24" s="19">
        <v>237475876</v>
      </c>
      <c r="DX24" s="19">
        <v>460941371</v>
      </c>
      <c r="DY24" s="19">
        <v>99289899</v>
      </c>
      <c r="DZ24" s="19">
        <v>71305103</v>
      </c>
      <c r="EA24" s="19">
        <v>7914634</v>
      </c>
      <c r="EB24" s="19">
        <v>306216955</v>
      </c>
      <c r="EC24" s="19">
        <v>152262464</v>
      </c>
      <c r="ED24" s="19">
        <v>131524854</v>
      </c>
      <c r="EE24" s="19">
        <v>73210473</v>
      </c>
      <c r="EF24" s="19">
        <v>323889034</v>
      </c>
      <c r="EG24" s="19">
        <v>2149071799</v>
      </c>
      <c r="EH24" s="19">
        <v>108055034</v>
      </c>
      <c r="EI24" s="19">
        <v>169058891</v>
      </c>
      <c r="EJ24" s="19">
        <v>19508544</v>
      </c>
      <c r="EK24" s="19" t="s">
        <v>89</v>
      </c>
      <c r="EL24" s="19">
        <v>888312587</v>
      </c>
      <c r="EM24" s="19">
        <v>42503740</v>
      </c>
      <c r="EN24" s="19">
        <v>764672735</v>
      </c>
      <c r="EO24" s="19">
        <v>107070196</v>
      </c>
      <c r="EP24" s="19">
        <v>14120424</v>
      </c>
      <c r="EQ24" s="19">
        <v>0</v>
      </c>
      <c r="ER24" s="19">
        <v>358036535</v>
      </c>
      <c r="ES24" s="19">
        <v>41900879</v>
      </c>
      <c r="ET24" s="19">
        <v>40345391</v>
      </c>
      <c r="EU24" s="19">
        <v>1329536192</v>
      </c>
      <c r="EV24" s="19">
        <v>27882234</v>
      </c>
      <c r="EW24" s="19">
        <v>110963983</v>
      </c>
      <c r="EX24" s="19">
        <v>169445058</v>
      </c>
      <c r="EY24" s="19">
        <v>2532399574</v>
      </c>
      <c r="EZ24" s="19">
        <v>135745248</v>
      </c>
      <c r="FA24" s="19">
        <v>279971507</v>
      </c>
      <c r="FB24" s="19">
        <v>301027802</v>
      </c>
      <c r="FC24" s="19">
        <v>451498407</v>
      </c>
      <c r="FD24" s="19">
        <v>41569470</v>
      </c>
      <c r="FE24" s="19">
        <v>1576273738</v>
      </c>
      <c r="FF24" s="19">
        <v>13242041</v>
      </c>
      <c r="FG24" s="19">
        <v>124069861</v>
      </c>
      <c r="FH24" s="19">
        <v>171057273</v>
      </c>
      <c r="FI24" s="19">
        <v>48782600</v>
      </c>
      <c r="FJ24" s="19">
        <v>7761139</v>
      </c>
      <c r="FK24" s="19">
        <v>363602611</v>
      </c>
      <c r="FL24" s="19">
        <v>12234170</v>
      </c>
      <c r="FM24" s="19">
        <v>8664737</v>
      </c>
      <c r="FN24" s="19">
        <v>6360338</v>
      </c>
      <c r="FO24" s="19">
        <v>22595068</v>
      </c>
      <c r="FP24" s="19">
        <v>12622866</v>
      </c>
      <c r="FQ24" s="19">
        <v>7695285</v>
      </c>
      <c r="FR24" s="19">
        <v>207441397</v>
      </c>
      <c r="FS24" s="19">
        <v>8842347</v>
      </c>
      <c r="FT24" s="19">
        <v>763425460</v>
      </c>
      <c r="FU24" s="19" t="s">
        <v>152</v>
      </c>
      <c r="FV24" s="19">
        <v>20718121</v>
      </c>
      <c r="FW24" s="19">
        <v>237769724</v>
      </c>
      <c r="FX24" s="19">
        <v>201341812</v>
      </c>
      <c r="FY24" s="19">
        <v>543970382</v>
      </c>
      <c r="FZ24" s="19">
        <v>533515227</v>
      </c>
      <c r="GA24" s="19">
        <v>35369777</v>
      </c>
      <c r="GB24" s="19">
        <v>4623781</v>
      </c>
      <c r="GC24" s="19">
        <v>268447472</v>
      </c>
      <c r="GD24" s="19" t="s">
        <v>96</v>
      </c>
      <c r="GE24" s="19">
        <v>16035877</v>
      </c>
      <c r="GF24" s="19">
        <v>11728494</v>
      </c>
      <c r="GG24" s="19">
        <v>299809128</v>
      </c>
      <c r="GH24" s="19">
        <v>123887210</v>
      </c>
      <c r="GI24" s="19">
        <v>39324683</v>
      </c>
      <c r="GJ24" s="19">
        <v>0</v>
      </c>
      <c r="GK24" s="19">
        <v>75167488</v>
      </c>
      <c r="GL24" s="19">
        <v>26083933</v>
      </c>
      <c r="GM24" s="19">
        <v>7382044</v>
      </c>
      <c r="GN24" s="19">
        <v>886273654</v>
      </c>
      <c r="GO24" s="19">
        <v>320793267</v>
      </c>
      <c r="GP24" s="19">
        <v>630134550</v>
      </c>
      <c r="GQ24" s="19">
        <v>42644326</v>
      </c>
      <c r="GR24" s="19">
        <v>36293674</v>
      </c>
      <c r="GS24" s="19">
        <v>777257128</v>
      </c>
      <c r="GT24" s="19">
        <v>39324683</v>
      </c>
      <c r="GU24" s="19">
        <v>314310</v>
      </c>
      <c r="GV24" s="19" t="s">
        <v>89</v>
      </c>
      <c r="GW24" s="19">
        <v>589181777</v>
      </c>
      <c r="GX24" s="19">
        <v>129508187</v>
      </c>
      <c r="GY24" s="19">
        <v>208265346</v>
      </c>
      <c r="GZ24" s="19">
        <v>62050900</v>
      </c>
      <c r="HA24" s="19">
        <v>402087117</v>
      </c>
      <c r="HB24" s="19">
        <v>50935959</v>
      </c>
      <c r="HC24" s="19">
        <v>21818210</v>
      </c>
      <c r="HD24" s="19" t="s">
        <v>89</v>
      </c>
      <c r="HE24" s="19">
        <v>102285745</v>
      </c>
      <c r="HF24" s="19">
        <v>336187325</v>
      </c>
      <c r="HG24" s="19">
        <v>16980934</v>
      </c>
      <c r="HH24" s="19">
        <v>16811068</v>
      </c>
      <c r="HI24" s="19">
        <v>312398587</v>
      </c>
      <c r="HJ24" s="19">
        <v>219408564</v>
      </c>
      <c r="HK24" s="19">
        <v>840654677</v>
      </c>
      <c r="HL24" s="19">
        <v>9082006</v>
      </c>
      <c r="HM24" s="19">
        <v>101900420</v>
      </c>
      <c r="HN24" s="19">
        <v>51398578</v>
      </c>
      <c r="HO24" s="19">
        <v>108642548</v>
      </c>
      <c r="HP24" s="19" t="s">
        <v>89</v>
      </c>
    </row>
    <row r="25" spans="1:224">
      <c r="A25" s="7" t="s">
        <v>5</v>
      </c>
      <c r="B25" s="11" t="s">
        <v>21</v>
      </c>
      <c r="C25" s="19"/>
      <c r="D25" s="19">
        <v>364557285</v>
      </c>
      <c r="E25" s="19">
        <v>35954813</v>
      </c>
      <c r="F25" s="19"/>
      <c r="G25" s="19"/>
      <c r="H25" s="19"/>
      <c r="I25" s="19"/>
      <c r="J25" s="19" t="s">
        <v>4</v>
      </c>
      <c r="K25" s="19">
        <v>299304628</v>
      </c>
      <c r="L25" s="19">
        <v>26275019</v>
      </c>
      <c r="M25" s="19" t="s">
        <v>96</v>
      </c>
      <c r="N25" s="19"/>
      <c r="O25" s="19">
        <v>77880824</v>
      </c>
      <c r="P25" s="19">
        <v>27288040</v>
      </c>
      <c r="Q25" s="19">
        <v>45100</v>
      </c>
      <c r="R25" s="19">
        <v>7914088</v>
      </c>
      <c r="S25" s="19">
        <v>419356143</v>
      </c>
      <c r="T25" s="19" t="s">
        <v>96</v>
      </c>
      <c r="U25" s="19"/>
      <c r="V25" s="19">
        <v>7315939</v>
      </c>
      <c r="W25" s="19">
        <v>513000</v>
      </c>
      <c r="X25" s="19"/>
      <c r="Y25" s="19"/>
      <c r="Z25" s="19">
        <v>12851398</v>
      </c>
      <c r="AA25" s="19">
        <v>329490076</v>
      </c>
      <c r="AB25" s="19"/>
      <c r="AC25" s="19">
        <v>45062198</v>
      </c>
      <c r="AD25" s="19">
        <v>21804300</v>
      </c>
      <c r="AE25" s="19">
        <v>51700000</v>
      </c>
      <c r="AF25" s="19">
        <v>334200</v>
      </c>
      <c r="AG25" s="19">
        <v>362672182</v>
      </c>
      <c r="AH25" s="19"/>
      <c r="AI25" s="19">
        <v>27310906</v>
      </c>
      <c r="AJ25" s="19">
        <v>5781273</v>
      </c>
      <c r="AK25" s="19" t="s">
        <v>89</v>
      </c>
      <c r="AL25" s="19"/>
      <c r="AM25" s="19" t="s">
        <v>4</v>
      </c>
      <c r="AN25" s="19">
        <v>3182400</v>
      </c>
      <c r="AO25" s="19">
        <v>51316902</v>
      </c>
      <c r="AP25" s="19"/>
      <c r="AQ25" s="19" t="s">
        <v>4</v>
      </c>
      <c r="AR25" s="19">
        <v>492800</v>
      </c>
      <c r="AS25" s="19"/>
      <c r="AT25" s="19"/>
      <c r="AU25" s="19">
        <v>5986750</v>
      </c>
      <c r="AV25" s="19"/>
      <c r="AW25" s="19">
        <v>280500</v>
      </c>
      <c r="AX25" s="19" t="s">
        <v>4</v>
      </c>
      <c r="AY25" s="19"/>
      <c r="AZ25" s="19">
        <v>7203542</v>
      </c>
      <c r="BA25" s="19">
        <v>1030333081</v>
      </c>
      <c r="BB25" s="19"/>
      <c r="BC25" s="19">
        <v>51917145</v>
      </c>
      <c r="BD25" s="19"/>
      <c r="BE25" s="19">
        <v>5239960</v>
      </c>
      <c r="BF25" s="19">
        <v>43073158</v>
      </c>
      <c r="BG25" s="19">
        <v>28255502</v>
      </c>
      <c r="BH25" s="19">
        <v>15478000</v>
      </c>
      <c r="BI25" s="19">
        <v>5045630</v>
      </c>
      <c r="BJ25" s="19">
        <v>35288870</v>
      </c>
      <c r="BK25" s="19">
        <v>78081190</v>
      </c>
      <c r="BL25" s="19">
        <v>26944446</v>
      </c>
      <c r="BM25" s="19">
        <v>5551179</v>
      </c>
      <c r="BN25" s="19">
        <v>880000</v>
      </c>
      <c r="BO25" s="19">
        <v>57599390</v>
      </c>
      <c r="BP25" s="19">
        <v>110000</v>
      </c>
      <c r="BQ25" s="19" t="s">
        <v>96</v>
      </c>
      <c r="BR25" s="19"/>
      <c r="BS25" s="19"/>
      <c r="BT25" s="19">
        <v>2636500</v>
      </c>
      <c r="BU25" s="19"/>
      <c r="BV25" s="19"/>
      <c r="BW25" s="19"/>
      <c r="BX25" s="19"/>
      <c r="BY25" s="19">
        <v>499670680</v>
      </c>
      <c r="BZ25" s="19">
        <v>18226223</v>
      </c>
      <c r="CA25" s="19"/>
      <c r="CB25" s="19"/>
      <c r="CC25" s="19"/>
      <c r="CD25" s="19"/>
      <c r="CE25" s="19"/>
      <c r="CF25" s="19"/>
      <c r="CG25" s="19"/>
      <c r="CH25" s="19"/>
      <c r="CI25" s="19" t="s">
        <v>89</v>
      </c>
      <c r="CJ25" s="19">
        <v>83165424</v>
      </c>
      <c r="CK25" s="19">
        <v>130658176</v>
      </c>
      <c r="CL25" s="19">
        <v>13264780</v>
      </c>
      <c r="CM25" s="19"/>
      <c r="CN25" s="19"/>
      <c r="CO25" s="19">
        <v>12166115</v>
      </c>
      <c r="CP25" s="19"/>
      <c r="CQ25" s="19" t="s">
        <v>96</v>
      </c>
      <c r="CR25" s="19">
        <v>20137350</v>
      </c>
      <c r="CS25" s="19">
        <v>21028332</v>
      </c>
      <c r="CT25" s="19"/>
      <c r="CU25" s="19"/>
      <c r="CV25" s="19"/>
      <c r="CW25" s="19"/>
      <c r="CX25" s="19"/>
      <c r="CY25" s="19">
        <v>737833183</v>
      </c>
      <c r="CZ25" s="19">
        <v>3500000</v>
      </c>
      <c r="DA25" s="19">
        <v>34290402</v>
      </c>
      <c r="DB25" s="19">
        <v>2395000</v>
      </c>
      <c r="DC25" s="19">
        <v>75715970</v>
      </c>
      <c r="DD25" s="19">
        <v>169400</v>
      </c>
      <c r="DE25" s="19">
        <v>863400</v>
      </c>
      <c r="DF25" s="19">
        <v>775300</v>
      </c>
      <c r="DG25" s="19"/>
      <c r="DH25" s="19"/>
      <c r="DI25" s="19">
        <v>157884288</v>
      </c>
      <c r="DJ25" s="19"/>
      <c r="DK25" s="19">
        <v>267906480</v>
      </c>
      <c r="DL25" s="19">
        <v>22600871</v>
      </c>
      <c r="DM25" s="19">
        <v>66159408</v>
      </c>
      <c r="DN25" s="19">
        <v>52644140</v>
      </c>
      <c r="DO25" s="19"/>
      <c r="DP25" s="19">
        <v>48935008</v>
      </c>
      <c r="DQ25" s="19">
        <v>21534327</v>
      </c>
      <c r="DR25" s="19">
        <v>2297250</v>
      </c>
      <c r="DS25" s="19">
        <v>8094252</v>
      </c>
      <c r="DT25" s="19">
        <v>30817250</v>
      </c>
      <c r="DU25" s="19"/>
      <c r="DV25" s="19"/>
      <c r="DW25" s="19">
        <v>122786960</v>
      </c>
      <c r="DX25" s="19">
        <v>1907254</v>
      </c>
      <c r="DY25" s="19">
        <v>12153137</v>
      </c>
      <c r="DZ25" s="19"/>
      <c r="EA25" s="19"/>
      <c r="EB25" s="19">
        <v>2222909</v>
      </c>
      <c r="EC25" s="19"/>
      <c r="ED25" s="19">
        <v>1407330</v>
      </c>
      <c r="EE25" s="19"/>
      <c r="EF25" s="19">
        <v>56381760</v>
      </c>
      <c r="EG25" s="19">
        <v>96519170</v>
      </c>
      <c r="EH25" s="19"/>
      <c r="EI25" s="19"/>
      <c r="EJ25" s="19">
        <v>20900</v>
      </c>
      <c r="EK25" s="19" t="s">
        <v>89</v>
      </c>
      <c r="EL25" s="19">
        <v>447074226</v>
      </c>
      <c r="EM25" s="19">
        <v>1420747</v>
      </c>
      <c r="EN25" s="19">
        <v>6013898</v>
      </c>
      <c r="EO25" s="19"/>
      <c r="EP25" s="19"/>
      <c r="EQ25" s="19"/>
      <c r="ER25" s="19"/>
      <c r="ES25" s="19">
        <v>14429534</v>
      </c>
      <c r="ET25" s="19"/>
      <c r="EU25" s="19"/>
      <c r="EV25" s="19"/>
      <c r="EW25" s="19">
        <v>7094686</v>
      </c>
      <c r="EX25" s="19">
        <v>290400</v>
      </c>
      <c r="EY25" s="19"/>
      <c r="EZ25" s="19">
        <v>6633626</v>
      </c>
      <c r="FA25" s="19"/>
      <c r="FB25" s="19">
        <v>41622091</v>
      </c>
      <c r="FC25" s="19">
        <v>104058154</v>
      </c>
      <c r="FD25" s="19"/>
      <c r="FE25" s="19">
        <v>1323911453</v>
      </c>
      <c r="FF25" s="19"/>
      <c r="FG25" s="19">
        <v>1927860</v>
      </c>
      <c r="FH25" s="19">
        <v>3321104</v>
      </c>
      <c r="FI25" s="19">
        <v>15777940</v>
      </c>
      <c r="FJ25" s="19">
        <v>878650</v>
      </c>
      <c r="FK25" s="19">
        <v>47577172</v>
      </c>
      <c r="FL25" s="19"/>
      <c r="FM25" s="19"/>
      <c r="FN25" s="19">
        <v>165000</v>
      </c>
      <c r="FO25" s="19"/>
      <c r="FP25" s="19"/>
      <c r="FQ25" s="19">
        <v>5388900</v>
      </c>
      <c r="FR25" s="19">
        <v>1506755</v>
      </c>
      <c r="FS25" s="19"/>
      <c r="FT25" s="19">
        <v>6562930</v>
      </c>
      <c r="FU25" s="19" t="s">
        <v>152</v>
      </c>
      <c r="FV25" s="19"/>
      <c r="FW25" s="19">
        <v>77762167</v>
      </c>
      <c r="FX25" s="19"/>
      <c r="FY25" s="19">
        <v>740394</v>
      </c>
      <c r="FZ25" s="19"/>
      <c r="GA25" s="19">
        <v>0</v>
      </c>
      <c r="GB25" s="19"/>
      <c r="GC25" s="19"/>
      <c r="GD25" s="19" t="s">
        <v>96</v>
      </c>
      <c r="GE25" s="19">
        <v>11709210</v>
      </c>
      <c r="GF25" s="19"/>
      <c r="GG25" s="19"/>
      <c r="GH25" s="19">
        <v>4051600</v>
      </c>
      <c r="GI25" s="19"/>
      <c r="GJ25" s="19"/>
      <c r="GK25" s="19">
        <v>1966233</v>
      </c>
      <c r="GL25" s="19"/>
      <c r="GM25" s="19"/>
      <c r="GN25" s="19"/>
      <c r="GO25" s="19">
        <v>62532820</v>
      </c>
      <c r="GP25" s="19">
        <v>362425360</v>
      </c>
      <c r="GQ25" s="19">
        <v>2000000</v>
      </c>
      <c r="GR25" s="19">
        <v>1360800</v>
      </c>
      <c r="GS25" s="19"/>
      <c r="GT25" s="19"/>
      <c r="GU25" s="19"/>
      <c r="GV25" s="19" t="s">
        <v>89</v>
      </c>
      <c r="GW25" s="19">
        <v>7722000</v>
      </c>
      <c r="GX25" s="19">
        <v>1862000</v>
      </c>
      <c r="GY25" s="19"/>
      <c r="GZ25" s="19">
        <v>24133465</v>
      </c>
      <c r="HA25" s="19"/>
      <c r="HB25" s="19"/>
      <c r="HC25" s="19"/>
      <c r="HD25" s="19" t="s">
        <v>89</v>
      </c>
      <c r="HE25" s="19">
        <v>219102</v>
      </c>
      <c r="HF25" s="19">
        <v>16500</v>
      </c>
      <c r="HG25" s="19"/>
      <c r="HH25" s="19">
        <v>3342180</v>
      </c>
      <c r="HI25" s="19">
        <v>275000000</v>
      </c>
      <c r="HJ25" s="19"/>
      <c r="HK25" s="19">
        <v>57935954</v>
      </c>
      <c r="HL25" s="19"/>
      <c r="HM25" s="19"/>
      <c r="HN25" s="19"/>
      <c r="HO25" s="19">
        <v>12147678</v>
      </c>
      <c r="HP25" s="19" t="s">
        <v>89</v>
      </c>
    </row>
    <row r="26" spans="1:224">
      <c r="A26" s="7" t="s">
        <v>5</v>
      </c>
      <c r="B26" s="11" t="s">
        <v>6</v>
      </c>
      <c r="C26" s="19"/>
      <c r="D26" s="19">
        <v>0</v>
      </c>
      <c r="E26" s="19"/>
      <c r="F26" s="19"/>
      <c r="G26" s="19">
        <v>13750002</v>
      </c>
      <c r="H26" s="19">
        <v>116000000</v>
      </c>
      <c r="I26" s="19"/>
      <c r="J26" s="19" t="s">
        <v>4</v>
      </c>
      <c r="K26" s="19"/>
      <c r="L26" s="19">
        <v>265499928</v>
      </c>
      <c r="M26" s="19" t="s">
        <v>96</v>
      </c>
      <c r="N26" s="19"/>
      <c r="O26" s="19"/>
      <c r="P26" s="19"/>
      <c r="Q26" s="19">
        <v>208169</v>
      </c>
      <c r="R26" s="19"/>
      <c r="S26" s="19">
        <v>530000000</v>
      </c>
      <c r="T26" s="19" t="s">
        <v>96</v>
      </c>
      <c r="U26" s="19"/>
      <c r="V26" s="19"/>
      <c r="W26" s="19">
        <v>42772973</v>
      </c>
      <c r="X26" s="19"/>
      <c r="Y26" s="19">
        <v>3302450</v>
      </c>
      <c r="Z26" s="19">
        <v>297036840</v>
      </c>
      <c r="AA26" s="19">
        <v>1874250000</v>
      </c>
      <c r="AB26" s="19"/>
      <c r="AC26" s="19"/>
      <c r="AD26" s="19"/>
      <c r="AE26" s="19">
        <v>12500000</v>
      </c>
      <c r="AF26" s="19"/>
      <c r="AG26" s="19">
        <v>109000000</v>
      </c>
      <c r="AH26" s="19"/>
      <c r="AI26" s="19">
        <v>180000000</v>
      </c>
      <c r="AJ26" s="19">
        <v>7000000</v>
      </c>
      <c r="AK26" s="19" t="s">
        <v>89</v>
      </c>
      <c r="AL26" s="19">
        <v>200000000</v>
      </c>
      <c r="AM26" s="19" t="s">
        <v>4</v>
      </c>
      <c r="AN26" s="19"/>
      <c r="AO26" s="19">
        <v>459000000</v>
      </c>
      <c r="AP26" s="19"/>
      <c r="AQ26" s="19" t="s">
        <v>4</v>
      </c>
      <c r="AR26" s="19">
        <v>166296662</v>
      </c>
      <c r="AS26" s="19">
        <v>646232333</v>
      </c>
      <c r="AT26" s="19">
        <v>55464259</v>
      </c>
      <c r="AU26" s="19">
        <v>245248058</v>
      </c>
      <c r="AV26" s="19">
        <v>40020200</v>
      </c>
      <c r="AW26" s="19">
        <v>117133133</v>
      </c>
      <c r="AX26" s="19" t="s">
        <v>4</v>
      </c>
      <c r="AY26" s="19"/>
      <c r="AZ26" s="19">
        <v>19701233</v>
      </c>
      <c r="BA26" s="19">
        <v>447911537</v>
      </c>
      <c r="BB26" s="19"/>
      <c r="BC26" s="19"/>
      <c r="BD26" s="19"/>
      <c r="BE26" s="19">
        <v>200000000</v>
      </c>
      <c r="BF26" s="19">
        <v>980000000</v>
      </c>
      <c r="BG26" s="19">
        <v>73101546</v>
      </c>
      <c r="BH26" s="19">
        <v>100000000</v>
      </c>
      <c r="BI26" s="19"/>
      <c r="BJ26" s="19">
        <v>34000000</v>
      </c>
      <c r="BK26" s="19">
        <v>380000000</v>
      </c>
      <c r="BL26" s="19"/>
      <c r="BM26" s="19"/>
      <c r="BN26" s="19"/>
      <c r="BO26" s="19">
        <v>13432930</v>
      </c>
      <c r="BP26" s="19">
        <v>42210000</v>
      </c>
      <c r="BQ26" s="19" t="s">
        <v>96</v>
      </c>
      <c r="BR26" s="19"/>
      <c r="BS26" s="19">
        <v>33500000</v>
      </c>
      <c r="BT26" s="19"/>
      <c r="BU26" s="19"/>
      <c r="BV26" s="19">
        <v>145672451</v>
      </c>
      <c r="BW26" s="19"/>
      <c r="BX26" s="19">
        <v>40295429</v>
      </c>
      <c r="BY26" s="19">
        <v>216319198</v>
      </c>
      <c r="BZ26" s="19"/>
      <c r="CA26" s="19"/>
      <c r="CB26" s="19"/>
      <c r="CC26" s="19"/>
      <c r="CD26" s="19"/>
      <c r="CE26" s="19">
        <v>4375015</v>
      </c>
      <c r="CF26" s="19">
        <v>1088625000</v>
      </c>
      <c r="CG26" s="19"/>
      <c r="CH26" s="19"/>
      <c r="CI26" s="19" t="s">
        <v>89</v>
      </c>
      <c r="CJ26" s="19">
        <v>95000000</v>
      </c>
      <c r="CK26" s="19">
        <v>759337626</v>
      </c>
      <c r="CL26" s="19"/>
      <c r="CM26" s="19">
        <v>5000000</v>
      </c>
      <c r="CN26" s="19"/>
      <c r="CO26" s="19"/>
      <c r="CP26" s="19">
        <v>93205515</v>
      </c>
      <c r="CQ26" s="19" t="s">
        <v>96</v>
      </c>
      <c r="CR26" s="19">
        <v>948914</v>
      </c>
      <c r="CS26" s="19"/>
      <c r="CT26" s="19"/>
      <c r="CU26" s="19"/>
      <c r="CV26" s="19"/>
      <c r="CW26" s="19"/>
      <c r="CX26" s="19"/>
      <c r="CY26" s="19">
        <v>2972611</v>
      </c>
      <c r="CZ26" s="19">
        <v>2744944</v>
      </c>
      <c r="DA26" s="19"/>
      <c r="DB26" s="19"/>
      <c r="DC26" s="19"/>
      <c r="DD26" s="19"/>
      <c r="DE26" s="19">
        <v>34745377</v>
      </c>
      <c r="DF26" s="19"/>
      <c r="DG26" s="19">
        <v>132075680</v>
      </c>
      <c r="DH26" s="19"/>
      <c r="DI26" s="19"/>
      <c r="DJ26" s="19">
        <v>8453094</v>
      </c>
      <c r="DK26" s="19">
        <v>379200000</v>
      </c>
      <c r="DL26" s="19">
        <v>121124189</v>
      </c>
      <c r="DM26" s="19">
        <v>1010330000</v>
      </c>
      <c r="DN26" s="19">
        <v>170482781</v>
      </c>
      <c r="DO26" s="19">
        <v>27852536</v>
      </c>
      <c r="DP26" s="19">
        <v>470000000</v>
      </c>
      <c r="DQ26" s="19"/>
      <c r="DR26" s="19">
        <v>175000000</v>
      </c>
      <c r="DS26" s="19">
        <v>121660000</v>
      </c>
      <c r="DT26" s="19">
        <v>199748384</v>
      </c>
      <c r="DU26" s="19"/>
      <c r="DV26" s="19"/>
      <c r="DW26" s="19"/>
      <c r="DX26" s="19">
        <v>300000000</v>
      </c>
      <c r="DY26" s="19"/>
      <c r="DZ26" s="19">
        <v>30000000</v>
      </c>
      <c r="EA26" s="19"/>
      <c r="EB26" s="19"/>
      <c r="EC26" s="19">
        <v>9469366</v>
      </c>
      <c r="ED26" s="19"/>
      <c r="EE26" s="19">
        <v>67382527</v>
      </c>
      <c r="EF26" s="19">
        <v>202592321</v>
      </c>
      <c r="EG26" s="19">
        <v>1340000000</v>
      </c>
      <c r="EH26" s="19"/>
      <c r="EI26" s="19"/>
      <c r="EJ26" s="19">
        <v>63910</v>
      </c>
      <c r="EK26" s="19" t="s">
        <v>89</v>
      </c>
      <c r="EL26" s="19">
        <v>180000000</v>
      </c>
      <c r="EM26" s="19"/>
      <c r="EN26" s="19">
        <v>100000000</v>
      </c>
      <c r="EO26" s="19"/>
      <c r="EP26" s="19"/>
      <c r="EQ26" s="19"/>
      <c r="ER26" s="19"/>
      <c r="ES26" s="19"/>
      <c r="ET26" s="19"/>
      <c r="EU26" s="19"/>
      <c r="EV26" s="19">
        <v>12119950</v>
      </c>
      <c r="EW26" s="19">
        <v>69458830</v>
      </c>
      <c r="EX26" s="19"/>
      <c r="EY26" s="19">
        <v>2190000000</v>
      </c>
      <c r="EZ26" s="19">
        <v>45000000</v>
      </c>
      <c r="FA26" s="19">
        <v>170469072</v>
      </c>
      <c r="FB26" s="19">
        <v>200000000</v>
      </c>
      <c r="FC26" s="19"/>
      <c r="FD26" s="19"/>
      <c r="FE26" s="19"/>
      <c r="FF26" s="19"/>
      <c r="FG26" s="19"/>
      <c r="FH26" s="19">
        <v>100000000</v>
      </c>
      <c r="FI26" s="19"/>
      <c r="FJ26" s="19"/>
      <c r="FK26" s="19">
        <v>79985070</v>
      </c>
      <c r="FL26" s="19"/>
      <c r="FM26" s="19">
        <v>6904440</v>
      </c>
      <c r="FN26" s="19">
        <v>0</v>
      </c>
      <c r="FO26" s="19"/>
      <c r="FP26" s="19"/>
      <c r="FQ26" s="19"/>
      <c r="FR26" s="19">
        <v>150000000</v>
      </c>
      <c r="FS26" s="19"/>
      <c r="FT26" s="19">
        <v>400000000</v>
      </c>
      <c r="FU26" s="19" t="s">
        <v>152</v>
      </c>
      <c r="FV26" s="19"/>
      <c r="FW26" s="19">
        <v>100000000</v>
      </c>
      <c r="FX26" s="19">
        <v>200000000</v>
      </c>
      <c r="FY26" s="19">
        <v>519988000</v>
      </c>
      <c r="FZ26" s="19">
        <v>505000000</v>
      </c>
      <c r="GA26" s="19">
        <v>0</v>
      </c>
      <c r="GB26" s="19"/>
      <c r="GC26" s="19">
        <v>215400000</v>
      </c>
      <c r="GD26" s="19" t="s">
        <v>96</v>
      </c>
      <c r="GE26" s="19"/>
      <c r="GF26" s="19"/>
      <c r="GG26" s="19"/>
      <c r="GH26" s="19"/>
      <c r="GI26" s="19"/>
      <c r="GJ26" s="19"/>
      <c r="GK26" s="19">
        <v>57142387</v>
      </c>
      <c r="GL26" s="19"/>
      <c r="GM26" s="19"/>
      <c r="GN26" s="19">
        <v>787600000</v>
      </c>
      <c r="GO26" s="19">
        <v>223799480</v>
      </c>
      <c r="GP26" s="19"/>
      <c r="GQ26" s="19">
        <v>33346841</v>
      </c>
      <c r="GR26" s="19"/>
      <c r="GS26" s="19">
        <v>753467964</v>
      </c>
      <c r="GT26" s="19"/>
      <c r="GU26" s="19"/>
      <c r="GV26" s="19" t="s">
        <v>89</v>
      </c>
      <c r="GW26" s="19">
        <v>500000000</v>
      </c>
      <c r="GX26" s="19">
        <v>94444480</v>
      </c>
      <c r="GY26" s="19"/>
      <c r="GZ26" s="19"/>
      <c r="HA26" s="19">
        <v>40000000</v>
      </c>
      <c r="HB26" s="19"/>
      <c r="HC26" s="19"/>
      <c r="HD26" s="19" t="s">
        <v>89</v>
      </c>
      <c r="HE26" s="19">
        <v>80000000</v>
      </c>
      <c r="HF26" s="19"/>
      <c r="HG26" s="19"/>
      <c r="HH26" s="19"/>
      <c r="HI26" s="19"/>
      <c r="HJ26" s="19"/>
      <c r="HK26" s="19">
        <v>670000000</v>
      </c>
      <c r="HL26" s="19"/>
      <c r="HM26" s="19">
        <v>100000000</v>
      </c>
      <c r="HN26" s="19">
        <v>50000000</v>
      </c>
      <c r="HO26" s="19"/>
      <c r="HP26" s="19" t="s">
        <v>89</v>
      </c>
    </row>
    <row r="27" spans="1:224">
      <c r="A27" s="7" t="s">
        <v>5</v>
      </c>
      <c r="B27" s="11" t="s">
        <v>147</v>
      </c>
      <c r="C27" s="19">
        <v>109619074</v>
      </c>
      <c r="D27" s="19">
        <v>110309678</v>
      </c>
      <c r="E27" s="19">
        <v>26153196</v>
      </c>
      <c r="F27" s="19"/>
      <c r="G27" s="19">
        <v>6438690</v>
      </c>
      <c r="H27" s="19"/>
      <c r="I27" s="19">
        <v>42713798</v>
      </c>
      <c r="J27" s="19" t="s">
        <v>4</v>
      </c>
      <c r="K27" s="19"/>
      <c r="L27" s="19">
        <v>28157641</v>
      </c>
      <c r="M27" s="19" t="s">
        <v>96</v>
      </c>
      <c r="N27" s="19">
        <v>70264254</v>
      </c>
      <c r="O27" s="19">
        <v>44762615</v>
      </c>
      <c r="P27" s="19">
        <v>93900040</v>
      </c>
      <c r="Q27" s="19">
        <v>1510049</v>
      </c>
      <c r="R27" s="19"/>
      <c r="S27" s="19">
        <v>152356318</v>
      </c>
      <c r="T27" s="19" t="s">
        <v>96</v>
      </c>
      <c r="U27" s="19">
        <v>83650663</v>
      </c>
      <c r="V27" s="19">
        <v>27829294</v>
      </c>
      <c r="W27" s="19">
        <v>5896530</v>
      </c>
      <c r="X27" s="19"/>
      <c r="Y27" s="19">
        <v>73822708</v>
      </c>
      <c r="Z27" s="19">
        <v>138976904</v>
      </c>
      <c r="AA27" s="19">
        <v>111804920</v>
      </c>
      <c r="AB27" s="19">
        <v>16303740</v>
      </c>
      <c r="AC27" s="19">
        <v>25787009</v>
      </c>
      <c r="AD27" s="19">
        <v>62615422</v>
      </c>
      <c r="AE27" s="19">
        <v>20452100</v>
      </c>
      <c r="AF27" s="19">
        <v>16183580</v>
      </c>
      <c r="AG27" s="19">
        <v>79815566</v>
      </c>
      <c r="AH27" s="19">
        <v>271926204</v>
      </c>
      <c r="AI27" s="19">
        <v>43843658</v>
      </c>
      <c r="AJ27" s="19">
        <v>23935763</v>
      </c>
      <c r="AK27" s="19" t="s">
        <v>89</v>
      </c>
      <c r="AL27" s="19">
        <v>71954422</v>
      </c>
      <c r="AM27" s="19" t="s">
        <v>4</v>
      </c>
      <c r="AN27" s="19">
        <v>35862365</v>
      </c>
      <c r="AO27" s="19">
        <v>23923891</v>
      </c>
      <c r="AP27" s="19">
        <v>34465932</v>
      </c>
      <c r="AQ27" s="19" t="s">
        <v>4</v>
      </c>
      <c r="AR27" s="19">
        <v>7624518</v>
      </c>
      <c r="AS27" s="19">
        <v>154625211</v>
      </c>
      <c r="AT27" s="19">
        <v>51934967</v>
      </c>
      <c r="AU27" s="19">
        <v>245353664</v>
      </c>
      <c r="AV27" s="19">
        <v>19298823</v>
      </c>
      <c r="AW27" s="19">
        <v>58256615</v>
      </c>
      <c r="AX27" s="19" t="s">
        <v>4</v>
      </c>
      <c r="AY27" s="19">
        <v>45463309</v>
      </c>
      <c r="AZ27" s="19">
        <v>108240410</v>
      </c>
      <c r="BA27" s="19">
        <v>56721128</v>
      </c>
      <c r="BB27" s="19">
        <v>873250</v>
      </c>
      <c r="BC27" s="19">
        <v>76639555</v>
      </c>
      <c r="BD27" s="19">
        <v>22470881</v>
      </c>
      <c r="BE27" s="19">
        <v>29943080</v>
      </c>
      <c r="BF27" s="19">
        <v>21142639</v>
      </c>
      <c r="BG27" s="19">
        <v>169191393</v>
      </c>
      <c r="BH27" s="19">
        <v>858515</v>
      </c>
      <c r="BI27" s="19">
        <v>20122108</v>
      </c>
      <c r="BJ27" s="19">
        <v>25453663</v>
      </c>
      <c r="BK27" s="19">
        <v>18569510</v>
      </c>
      <c r="BL27" s="19">
        <v>93373079</v>
      </c>
      <c r="BM27" s="19">
        <v>127071527</v>
      </c>
      <c r="BN27" s="19">
        <v>33183580</v>
      </c>
      <c r="BO27" s="19">
        <v>7787720</v>
      </c>
      <c r="BP27" s="19"/>
      <c r="BQ27" s="19" t="s">
        <v>96</v>
      </c>
      <c r="BR27" s="19">
        <v>40630910</v>
      </c>
      <c r="BS27" s="19">
        <v>6429308</v>
      </c>
      <c r="BT27" s="19">
        <v>4500158</v>
      </c>
      <c r="BU27" s="19">
        <v>58557614</v>
      </c>
      <c r="BV27" s="19">
        <v>45259732</v>
      </c>
      <c r="BW27" s="19">
        <v>40012713</v>
      </c>
      <c r="BX27" s="19">
        <v>31916758</v>
      </c>
      <c r="BY27" s="19">
        <v>74403513</v>
      </c>
      <c r="BZ27" s="19">
        <v>17590457</v>
      </c>
      <c r="CA27" s="19">
        <v>10909126</v>
      </c>
      <c r="CB27" s="19">
        <v>37772391</v>
      </c>
      <c r="CC27" s="19">
        <v>36257779</v>
      </c>
      <c r="CD27" s="19">
        <v>591340329</v>
      </c>
      <c r="CE27" s="19">
        <v>24353324</v>
      </c>
      <c r="CF27" s="19">
        <v>97714379</v>
      </c>
      <c r="CG27" s="19"/>
      <c r="CH27" s="19">
        <v>1198953</v>
      </c>
      <c r="CI27" s="19" t="s">
        <v>89</v>
      </c>
      <c r="CJ27" s="19">
        <v>153292685</v>
      </c>
      <c r="CK27" s="19">
        <v>251594762</v>
      </c>
      <c r="CL27" s="19">
        <v>2641424</v>
      </c>
      <c r="CM27" s="19">
        <v>469370750</v>
      </c>
      <c r="CN27" s="19">
        <v>58765319</v>
      </c>
      <c r="CO27" s="19">
        <v>3830</v>
      </c>
      <c r="CP27" s="19">
        <v>178998881</v>
      </c>
      <c r="CQ27" s="19" t="s">
        <v>96</v>
      </c>
      <c r="CR27" s="19">
        <v>60589230</v>
      </c>
      <c r="CS27" s="19">
        <v>48486585</v>
      </c>
      <c r="CT27" s="19">
        <v>47615403</v>
      </c>
      <c r="CU27" s="19"/>
      <c r="CV27" s="19">
        <v>93712931</v>
      </c>
      <c r="CW27" s="19">
        <v>53050033</v>
      </c>
      <c r="CX27" s="19">
        <v>89183043</v>
      </c>
      <c r="CY27" s="19">
        <v>676490247</v>
      </c>
      <c r="CZ27" s="19">
        <v>70702970</v>
      </c>
      <c r="DA27" s="19">
        <v>22065900</v>
      </c>
      <c r="DB27" s="19">
        <v>1605390</v>
      </c>
      <c r="DC27" s="19">
        <v>34483304</v>
      </c>
      <c r="DD27" s="19">
        <v>11769826</v>
      </c>
      <c r="DE27" s="19">
        <v>68580700</v>
      </c>
      <c r="DF27" s="19">
        <v>14142136</v>
      </c>
      <c r="DG27" s="19">
        <v>69045690</v>
      </c>
      <c r="DH27" s="19">
        <v>43731158</v>
      </c>
      <c r="DI27" s="19">
        <v>50047428</v>
      </c>
      <c r="DJ27" s="19">
        <v>4430614</v>
      </c>
      <c r="DK27" s="19">
        <v>218947249</v>
      </c>
      <c r="DL27" s="19">
        <v>11342467</v>
      </c>
      <c r="DM27" s="19">
        <v>17695270</v>
      </c>
      <c r="DN27" s="19">
        <v>29726480</v>
      </c>
      <c r="DO27" s="19">
        <v>14903873</v>
      </c>
      <c r="DP27" s="19">
        <v>453924119</v>
      </c>
      <c r="DQ27" s="19">
        <v>54914535</v>
      </c>
      <c r="DR27" s="19">
        <v>21171594</v>
      </c>
      <c r="DS27" s="19">
        <v>34225952</v>
      </c>
      <c r="DT27" s="19">
        <v>13836416</v>
      </c>
      <c r="DU27" s="19">
        <v>100000000</v>
      </c>
      <c r="DV27" s="19">
        <v>333680</v>
      </c>
      <c r="DW27" s="19">
        <v>62990598</v>
      </c>
      <c r="DX27" s="19">
        <v>145414617</v>
      </c>
      <c r="DY27" s="19">
        <v>24964273</v>
      </c>
      <c r="DZ27" s="19">
        <v>2377663</v>
      </c>
      <c r="EA27" s="19">
        <v>3265511</v>
      </c>
      <c r="EB27" s="19">
        <v>282891843</v>
      </c>
      <c r="EC27" s="19">
        <v>141874718</v>
      </c>
      <c r="ED27" s="19"/>
      <c r="EE27" s="19">
        <v>4292670</v>
      </c>
      <c r="EF27" s="19">
        <v>61667594</v>
      </c>
      <c r="EG27" s="19">
        <v>319988208</v>
      </c>
      <c r="EH27" s="19">
        <v>97045689</v>
      </c>
      <c r="EI27" s="19">
        <v>137131117</v>
      </c>
      <c r="EJ27" s="19">
        <v>16928874</v>
      </c>
      <c r="EK27" s="19" t="s">
        <v>89</v>
      </c>
      <c r="EL27" s="19">
        <v>152500341</v>
      </c>
      <c r="EM27" s="19">
        <v>34036309</v>
      </c>
      <c r="EN27" s="19">
        <v>594593765</v>
      </c>
      <c r="EO27" s="19">
        <v>94128876</v>
      </c>
      <c r="EP27" s="19"/>
      <c r="EQ27" s="19"/>
      <c r="ER27" s="19">
        <v>12850691</v>
      </c>
      <c r="ES27" s="19">
        <v>18753868</v>
      </c>
      <c r="ET27" s="19">
        <v>31289436</v>
      </c>
      <c r="EU27" s="19">
        <v>41697381</v>
      </c>
      <c r="EV27" s="19">
        <v>14302807</v>
      </c>
      <c r="EW27" s="19">
        <v>25440042</v>
      </c>
      <c r="EX27" s="19">
        <v>95315339</v>
      </c>
      <c r="EY27" s="19">
        <v>323822421</v>
      </c>
      <c r="EZ27" s="19">
        <v>3028490</v>
      </c>
      <c r="FA27" s="19">
        <v>77305378</v>
      </c>
      <c r="FB27" s="19">
        <v>28024715</v>
      </c>
      <c r="FC27" s="19">
        <v>72716924</v>
      </c>
      <c r="FD27" s="19">
        <v>28547787</v>
      </c>
      <c r="FE27" s="19">
        <v>239008899</v>
      </c>
      <c r="FF27" s="19">
        <v>10500206</v>
      </c>
      <c r="FG27" s="19">
        <v>80069393</v>
      </c>
      <c r="FH27" s="19"/>
      <c r="FI27" s="19">
        <v>32605820</v>
      </c>
      <c r="FJ27" s="19">
        <v>1533260</v>
      </c>
      <c r="FK27" s="19">
        <v>139858309</v>
      </c>
      <c r="FL27" s="19">
        <v>7778040</v>
      </c>
      <c r="FM27" s="19">
        <v>1442577</v>
      </c>
      <c r="FN27" s="19">
        <v>3897708</v>
      </c>
      <c r="FO27" s="19"/>
      <c r="FP27" s="19">
        <v>11783626</v>
      </c>
      <c r="FQ27" s="19">
        <v>1673755</v>
      </c>
      <c r="FR27" s="19">
        <v>29357332</v>
      </c>
      <c r="FS27" s="19">
        <v>3175382</v>
      </c>
      <c r="FT27" s="19">
        <v>88339084</v>
      </c>
      <c r="FU27" s="19" t="s">
        <v>152</v>
      </c>
      <c r="FV27" s="19"/>
      <c r="FW27" s="19">
        <v>10338568</v>
      </c>
      <c r="FX27" s="19">
        <v>881842</v>
      </c>
      <c r="FY27" s="19">
        <v>18109793</v>
      </c>
      <c r="FZ27" s="19">
        <v>25162878</v>
      </c>
      <c r="GA27" s="19">
        <v>13113960</v>
      </c>
      <c r="GB27" s="19">
        <v>4562680</v>
      </c>
      <c r="GC27" s="19">
        <v>47525772</v>
      </c>
      <c r="GD27" s="19" t="s">
        <v>96</v>
      </c>
      <c r="GE27" s="19">
        <v>4055337</v>
      </c>
      <c r="GF27" s="19">
        <v>11442494</v>
      </c>
      <c r="GG27" s="19">
        <v>1292417</v>
      </c>
      <c r="GH27" s="19">
        <v>5901895</v>
      </c>
      <c r="GI27" s="19">
        <v>11037840</v>
      </c>
      <c r="GJ27" s="19"/>
      <c r="GK27" s="19">
        <v>15866778</v>
      </c>
      <c r="GL27" s="19"/>
      <c r="GM27" s="19">
        <v>7160304</v>
      </c>
      <c r="GN27" s="19">
        <v>64506477</v>
      </c>
      <c r="GO27" s="19">
        <v>22079284</v>
      </c>
      <c r="GP27" s="19">
        <v>197330646</v>
      </c>
      <c r="GQ27" s="19"/>
      <c r="GR27" s="19">
        <v>29397104</v>
      </c>
      <c r="GS27" s="19"/>
      <c r="GT27" s="19">
        <v>11037840</v>
      </c>
      <c r="GU27" s="19">
        <v>40690</v>
      </c>
      <c r="GV27" s="19" t="s">
        <v>89</v>
      </c>
      <c r="GW27" s="19">
        <v>45106127</v>
      </c>
      <c r="GX27" s="19">
        <v>29224934</v>
      </c>
      <c r="GY27" s="19">
        <v>20867605</v>
      </c>
      <c r="GZ27" s="19">
        <v>28152387</v>
      </c>
      <c r="HA27" s="19">
        <v>239320973</v>
      </c>
      <c r="HB27" s="19">
        <v>38963544</v>
      </c>
      <c r="HC27" s="19">
        <v>20232180</v>
      </c>
      <c r="HD27" s="19" t="s">
        <v>89</v>
      </c>
      <c r="HE27" s="19">
        <v>14926893</v>
      </c>
      <c r="HF27" s="19">
        <v>308222805</v>
      </c>
      <c r="HG27" s="19">
        <v>1520030</v>
      </c>
      <c r="HH27" s="19">
        <v>10798588</v>
      </c>
      <c r="HI27" s="19">
        <v>14469820</v>
      </c>
      <c r="HJ27" s="19">
        <v>208915194</v>
      </c>
      <c r="HK27" s="19">
        <v>93963266</v>
      </c>
      <c r="HL27" s="19">
        <v>8140448</v>
      </c>
      <c r="HM27" s="19"/>
      <c r="HN27" s="19">
        <v>863288</v>
      </c>
      <c r="HO27" s="19">
        <v>71872610</v>
      </c>
      <c r="HP27" s="19" t="s">
        <v>89</v>
      </c>
    </row>
    <row r="28" spans="1:224">
      <c r="A28" s="7" t="s">
        <v>5</v>
      </c>
      <c r="B28" s="11" t="s">
        <v>150</v>
      </c>
      <c r="C28" s="19">
        <v>7542088</v>
      </c>
      <c r="D28" s="19">
        <v>15236083</v>
      </c>
      <c r="E28" s="19">
        <v>8880460</v>
      </c>
      <c r="F28" s="19">
        <v>31219397</v>
      </c>
      <c r="G28" s="19">
        <v>67230</v>
      </c>
      <c r="H28" s="19"/>
      <c r="I28" s="19">
        <v>57951634</v>
      </c>
      <c r="J28" s="19" t="s">
        <v>4</v>
      </c>
      <c r="K28" s="19">
        <v>42671270</v>
      </c>
      <c r="L28" s="19">
        <v>3132302</v>
      </c>
      <c r="M28" s="19" t="s">
        <v>96</v>
      </c>
      <c r="N28" s="19">
        <v>133228046</v>
      </c>
      <c r="O28" s="19">
        <v>142455044</v>
      </c>
      <c r="P28" s="19">
        <v>22895992</v>
      </c>
      <c r="Q28" s="19">
        <v>685100</v>
      </c>
      <c r="R28" s="19">
        <v>69699223</v>
      </c>
      <c r="S28" s="19">
        <v>16411052</v>
      </c>
      <c r="T28" s="19" t="s">
        <v>96</v>
      </c>
      <c r="U28" s="19">
        <v>39954013</v>
      </c>
      <c r="V28" s="19">
        <v>1280490</v>
      </c>
      <c r="W28" s="19">
        <v>813831</v>
      </c>
      <c r="X28" s="19"/>
      <c r="Y28" s="19">
        <v>4364510</v>
      </c>
      <c r="Z28" s="19">
        <v>33783174</v>
      </c>
      <c r="AA28" s="19">
        <v>43455570</v>
      </c>
      <c r="AB28" s="19">
        <v>3865070</v>
      </c>
      <c r="AC28" s="19">
        <v>56128886</v>
      </c>
      <c r="AD28" s="19">
        <v>6951201</v>
      </c>
      <c r="AE28" s="19">
        <v>3779341</v>
      </c>
      <c r="AF28" s="19">
        <v>1986077</v>
      </c>
      <c r="AG28" s="19">
        <v>86149499</v>
      </c>
      <c r="AH28" s="19">
        <v>10076320</v>
      </c>
      <c r="AI28" s="19">
        <v>2786888</v>
      </c>
      <c r="AJ28" s="19">
        <v>5310623</v>
      </c>
      <c r="AK28" s="19" t="s">
        <v>89</v>
      </c>
      <c r="AL28" s="19">
        <v>22987310</v>
      </c>
      <c r="AM28" s="19" t="s">
        <v>4</v>
      </c>
      <c r="AN28" s="19">
        <v>3315250</v>
      </c>
      <c r="AO28" s="19">
        <v>29459378</v>
      </c>
      <c r="AP28" s="19">
        <v>33173460</v>
      </c>
      <c r="AQ28" s="19" t="s">
        <v>4</v>
      </c>
      <c r="AR28" s="19">
        <v>1181087</v>
      </c>
      <c r="AS28" s="19">
        <v>187903717</v>
      </c>
      <c r="AT28" s="19">
        <v>58089450</v>
      </c>
      <c r="AU28" s="19">
        <v>14125612</v>
      </c>
      <c r="AV28" s="19">
        <v>252280</v>
      </c>
      <c r="AW28" s="19">
        <v>7449964</v>
      </c>
      <c r="AX28" s="19" t="s">
        <v>4</v>
      </c>
      <c r="AY28" s="19">
        <v>8564145</v>
      </c>
      <c r="AZ28" s="19">
        <v>12061966</v>
      </c>
      <c r="BA28" s="19">
        <v>170038492</v>
      </c>
      <c r="BB28" s="19">
        <v>5608429</v>
      </c>
      <c r="BC28" s="19">
        <v>49520287</v>
      </c>
      <c r="BD28" s="19">
        <v>12060465</v>
      </c>
      <c r="BE28" s="19">
        <v>9537935</v>
      </c>
      <c r="BF28" s="19">
        <v>23072603</v>
      </c>
      <c r="BG28" s="19">
        <v>52966250</v>
      </c>
      <c r="BH28" s="19">
        <v>3174990</v>
      </c>
      <c r="BI28" s="19">
        <v>20031290</v>
      </c>
      <c r="BJ28" s="19">
        <v>5345590</v>
      </c>
      <c r="BK28" s="19">
        <v>1144810</v>
      </c>
      <c r="BL28" s="19">
        <v>3860980</v>
      </c>
      <c r="BM28" s="19">
        <v>5679239</v>
      </c>
      <c r="BN28" s="19">
        <v>20472610</v>
      </c>
      <c r="BO28" s="19">
        <v>1229958</v>
      </c>
      <c r="BP28" s="19">
        <v>2860957</v>
      </c>
      <c r="BQ28" s="19" t="s">
        <v>96</v>
      </c>
      <c r="BR28" s="19">
        <v>23905587</v>
      </c>
      <c r="BS28" s="19">
        <v>3488240</v>
      </c>
      <c r="BT28" s="19">
        <v>1746690</v>
      </c>
      <c r="BU28" s="19">
        <v>2023240</v>
      </c>
      <c r="BV28" s="19">
        <v>874830</v>
      </c>
      <c r="BW28" s="19">
        <v>1601601</v>
      </c>
      <c r="BX28" s="19">
        <v>2746200</v>
      </c>
      <c r="BY28" s="19">
        <v>18281136</v>
      </c>
      <c r="BZ28" s="19">
        <v>15523220</v>
      </c>
      <c r="CA28" s="19">
        <v>22993215</v>
      </c>
      <c r="CB28" s="19">
        <v>1585000</v>
      </c>
      <c r="CC28" s="19">
        <v>1426640</v>
      </c>
      <c r="CD28" s="19">
        <v>9485720</v>
      </c>
      <c r="CE28" s="19">
        <v>3728490</v>
      </c>
      <c r="CF28" s="19">
        <v>1587200</v>
      </c>
      <c r="CG28" s="19">
        <v>3062405</v>
      </c>
      <c r="CH28" s="19">
        <v>572680</v>
      </c>
      <c r="CI28" s="19" t="s">
        <v>89</v>
      </c>
      <c r="CJ28" s="19">
        <v>13907984</v>
      </c>
      <c r="CK28" s="19">
        <v>17719473</v>
      </c>
      <c r="CL28" s="19">
        <v>3933501</v>
      </c>
      <c r="CM28" s="19">
        <v>39281892</v>
      </c>
      <c r="CN28" s="19">
        <v>1867310</v>
      </c>
      <c r="CO28" s="19">
        <v>2353030</v>
      </c>
      <c r="CP28" s="19">
        <v>10304050</v>
      </c>
      <c r="CQ28" s="19" t="s">
        <v>96</v>
      </c>
      <c r="CR28" s="19">
        <v>6164914</v>
      </c>
      <c r="CS28" s="19">
        <v>4077110</v>
      </c>
      <c r="CT28" s="19">
        <v>8316620</v>
      </c>
      <c r="CU28" s="19">
        <v>1061381</v>
      </c>
      <c r="CV28" s="19">
        <v>90434340</v>
      </c>
      <c r="CW28" s="19">
        <v>11941630</v>
      </c>
      <c r="CX28" s="19">
        <v>1545870402</v>
      </c>
      <c r="CY28" s="19">
        <v>66721155</v>
      </c>
      <c r="CZ28" s="19">
        <v>12537532</v>
      </c>
      <c r="DA28" s="19">
        <v>10240512</v>
      </c>
      <c r="DB28" s="19">
        <v>2776681</v>
      </c>
      <c r="DC28" s="19">
        <v>5446750</v>
      </c>
      <c r="DD28" s="19">
        <v>1937890</v>
      </c>
      <c r="DE28" s="19">
        <v>18760654</v>
      </c>
      <c r="DF28" s="19">
        <v>1899570</v>
      </c>
      <c r="DG28" s="19">
        <v>5581530</v>
      </c>
      <c r="DH28" s="19">
        <v>25031194</v>
      </c>
      <c r="DI28" s="19">
        <v>63957036</v>
      </c>
      <c r="DJ28" s="19">
        <v>5600142</v>
      </c>
      <c r="DK28" s="19">
        <v>4731580</v>
      </c>
      <c r="DL28" s="19">
        <v>11011570</v>
      </c>
      <c r="DM28" s="19">
        <v>3815010</v>
      </c>
      <c r="DN28" s="19">
        <v>7976058</v>
      </c>
      <c r="DO28" s="19">
        <v>79370</v>
      </c>
      <c r="DP28" s="19">
        <v>62203345</v>
      </c>
      <c r="DQ28" s="19"/>
      <c r="DR28" s="19">
        <v>13773123</v>
      </c>
      <c r="DS28" s="19">
        <v>3544550</v>
      </c>
      <c r="DT28" s="19">
        <v>38835450</v>
      </c>
      <c r="DU28" s="19">
        <v>15056714</v>
      </c>
      <c r="DV28" s="19">
        <v>3741790</v>
      </c>
      <c r="DW28" s="19">
        <v>43877068</v>
      </c>
      <c r="DX28" s="19">
        <v>13589500</v>
      </c>
      <c r="DY28" s="19">
        <v>41496362</v>
      </c>
      <c r="DZ28" s="19">
        <v>38927440</v>
      </c>
      <c r="EA28" s="19">
        <v>4649123</v>
      </c>
      <c r="EB28" s="19">
        <v>21102203</v>
      </c>
      <c r="EC28" s="19">
        <v>918380</v>
      </c>
      <c r="ED28" s="19">
        <v>3006596</v>
      </c>
      <c r="EE28" s="19">
        <v>1535276</v>
      </c>
      <c r="EF28" s="19">
        <v>2848279</v>
      </c>
      <c r="EG28" s="19">
        <v>13638070</v>
      </c>
      <c r="EH28" s="19">
        <v>740686</v>
      </c>
      <c r="EI28" s="19">
        <v>7177849</v>
      </c>
      <c r="EJ28" s="19">
        <v>2494860</v>
      </c>
      <c r="EK28" s="19" t="s">
        <v>89</v>
      </c>
      <c r="EL28" s="19">
        <v>100967132</v>
      </c>
      <c r="EM28" s="19">
        <v>7046684</v>
      </c>
      <c r="EN28" s="19">
        <v>50157228</v>
      </c>
      <c r="EO28" s="19">
        <v>12941320</v>
      </c>
      <c r="EP28" s="19">
        <v>14120424</v>
      </c>
      <c r="EQ28" s="19"/>
      <c r="ER28" s="19">
        <v>344342394</v>
      </c>
      <c r="ES28" s="19">
        <v>3465370</v>
      </c>
      <c r="ET28" s="19">
        <v>9055955</v>
      </c>
      <c r="EU28" s="19">
        <v>2685790</v>
      </c>
      <c r="EV28" s="19">
        <v>1459477</v>
      </c>
      <c r="EW28" s="19">
        <v>2820990</v>
      </c>
      <c r="EX28" s="19">
        <v>47823459</v>
      </c>
      <c r="EY28" s="19">
        <v>18577153</v>
      </c>
      <c r="EZ28" s="19">
        <v>6319965</v>
      </c>
      <c r="FA28" s="19">
        <v>10603061</v>
      </c>
      <c r="FB28" s="19">
        <v>10975970</v>
      </c>
      <c r="FC28" s="19">
        <v>268318679</v>
      </c>
      <c r="FD28" s="19">
        <v>7298683</v>
      </c>
      <c r="FE28" s="19">
        <v>5054270</v>
      </c>
      <c r="FF28" s="19">
        <v>2741835</v>
      </c>
      <c r="FG28" s="19">
        <v>31446608</v>
      </c>
      <c r="FH28" s="19">
        <v>24451920</v>
      </c>
      <c r="FI28" s="19">
        <v>398840</v>
      </c>
      <c r="FJ28" s="19">
        <v>5349229</v>
      </c>
      <c r="FK28" s="19">
        <v>11827680</v>
      </c>
      <c r="FL28" s="19">
        <v>907370</v>
      </c>
      <c r="FM28" s="19">
        <v>153920</v>
      </c>
      <c r="FN28" s="19">
        <v>0</v>
      </c>
      <c r="FO28" s="19">
        <v>799568</v>
      </c>
      <c r="FP28" s="19">
        <v>839240</v>
      </c>
      <c r="FQ28" s="19">
        <v>632630</v>
      </c>
      <c r="FR28" s="19">
        <v>2945260</v>
      </c>
      <c r="FS28" s="19">
        <v>250965</v>
      </c>
      <c r="FT28" s="19">
        <v>57378646</v>
      </c>
      <c r="FU28" s="19" t="s">
        <v>152</v>
      </c>
      <c r="FV28" s="19">
        <v>14278121</v>
      </c>
      <c r="FW28" s="19">
        <v>422220</v>
      </c>
      <c r="FX28" s="19">
        <v>459970</v>
      </c>
      <c r="FY28" s="19">
        <v>3132195</v>
      </c>
      <c r="FZ28" s="19">
        <v>3352349</v>
      </c>
      <c r="GA28" s="19">
        <v>872220</v>
      </c>
      <c r="GB28" s="19">
        <v>56701</v>
      </c>
      <c r="GC28" s="19">
        <v>5521700</v>
      </c>
      <c r="GD28" s="19" t="s">
        <v>96</v>
      </c>
      <c r="GE28" s="19">
        <v>271330</v>
      </c>
      <c r="GF28" s="19"/>
      <c r="GG28" s="19">
        <v>3679292</v>
      </c>
      <c r="GH28" s="19">
        <v>1476980</v>
      </c>
      <c r="GI28" s="19">
        <v>130660</v>
      </c>
      <c r="GJ28" s="19"/>
      <c r="GK28" s="19">
        <v>192090</v>
      </c>
      <c r="GL28" s="19">
        <v>12513933</v>
      </c>
      <c r="GM28" s="19">
        <v>221740</v>
      </c>
      <c r="GN28" s="19">
        <v>8144575</v>
      </c>
      <c r="GO28" s="19">
        <v>6997683</v>
      </c>
      <c r="GP28" s="19">
        <v>68019124</v>
      </c>
      <c r="GQ28" s="19">
        <v>5874485</v>
      </c>
      <c r="GR28" s="19">
        <v>3916870</v>
      </c>
      <c r="GS28" s="19">
        <v>2118043</v>
      </c>
      <c r="GT28" s="19">
        <v>130660</v>
      </c>
      <c r="GU28" s="19">
        <v>273620</v>
      </c>
      <c r="GV28" s="19" t="s">
        <v>89</v>
      </c>
      <c r="GW28" s="19">
        <v>4786630</v>
      </c>
      <c r="GX28" s="19">
        <v>2641690</v>
      </c>
      <c r="GY28" s="19">
        <v>9657240</v>
      </c>
      <c r="GZ28" s="19">
        <v>9414724</v>
      </c>
      <c r="HA28" s="19">
        <v>8875595</v>
      </c>
      <c r="HB28" s="19">
        <v>10627940</v>
      </c>
      <c r="HC28" s="19">
        <v>1046030</v>
      </c>
      <c r="HD28" s="19" t="s">
        <v>89</v>
      </c>
      <c r="HE28" s="19">
        <v>689750</v>
      </c>
      <c r="HF28" s="19">
        <v>27948020</v>
      </c>
      <c r="HG28" s="19">
        <v>929740</v>
      </c>
      <c r="HH28" s="19">
        <v>2670300</v>
      </c>
      <c r="HI28" s="19">
        <v>2428767</v>
      </c>
      <c r="HJ28" s="19">
        <v>6129370</v>
      </c>
      <c r="HK28" s="19">
        <v>15481080</v>
      </c>
      <c r="HL28" s="19">
        <v>941558</v>
      </c>
      <c r="HM28" s="19">
        <v>1900420</v>
      </c>
      <c r="HN28" s="19">
        <v>535290</v>
      </c>
      <c r="HO28" s="19">
        <v>24622260</v>
      </c>
      <c r="HP28" s="19" t="s">
        <v>89</v>
      </c>
    </row>
    <row r="29" spans="1:224">
      <c r="A29" s="7" t="s">
        <v>5</v>
      </c>
      <c r="B29" s="11" t="s">
        <v>13</v>
      </c>
      <c r="C29" s="19">
        <v>45021962</v>
      </c>
      <c r="D29" s="19">
        <v>27300</v>
      </c>
      <c r="E29" s="19"/>
      <c r="F29" s="19"/>
      <c r="G29" s="19">
        <v>52800</v>
      </c>
      <c r="H29" s="19"/>
      <c r="I29" s="19"/>
      <c r="J29" s="19" t="s">
        <v>4</v>
      </c>
      <c r="K29" s="19"/>
      <c r="L29" s="19"/>
      <c r="M29" s="19" t="s">
        <v>96</v>
      </c>
      <c r="N29" s="19"/>
      <c r="O29" s="19">
        <v>1535600</v>
      </c>
      <c r="P29" s="19"/>
      <c r="Q29" s="19"/>
      <c r="R29" s="19"/>
      <c r="S29" s="19"/>
      <c r="T29" s="19" t="s">
        <v>96</v>
      </c>
      <c r="U29" s="19"/>
      <c r="V29" s="19">
        <v>4945055</v>
      </c>
      <c r="W29" s="19"/>
      <c r="X29" s="19"/>
      <c r="Y29" s="19"/>
      <c r="Z29" s="19"/>
      <c r="AA29" s="19"/>
      <c r="AB29" s="19"/>
      <c r="AC29" s="19">
        <v>83909570</v>
      </c>
      <c r="AD29" s="19"/>
      <c r="AE29" s="19">
        <v>505000000</v>
      </c>
      <c r="AF29" s="19"/>
      <c r="AG29" s="19"/>
      <c r="AH29" s="19"/>
      <c r="AI29" s="19"/>
      <c r="AJ29" s="19">
        <v>7693344</v>
      </c>
      <c r="AK29" s="19" t="s">
        <v>89</v>
      </c>
      <c r="AL29" s="19"/>
      <c r="AM29" s="19" t="s">
        <v>4</v>
      </c>
      <c r="AN29" s="19">
        <v>45729874</v>
      </c>
      <c r="AO29" s="19">
        <v>9438641</v>
      </c>
      <c r="AP29" s="19"/>
      <c r="AQ29" s="19" t="s">
        <v>4</v>
      </c>
      <c r="AR29" s="19"/>
      <c r="AS29" s="19"/>
      <c r="AT29" s="19"/>
      <c r="AU29" s="19"/>
      <c r="AV29" s="19"/>
      <c r="AW29" s="19">
        <v>250679500</v>
      </c>
      <c r="AX29" s="19" t="s">
        <v>4</v>
      </c>
      <c r="AY29" s="19"/>
      <c r="AZ29" s="19">
        <v>1518967</v>
      </c>
      <c r="BA29" s="19"/>
      <c r="BB29" s="19">
        <v>39560000</v>
      </c>
      <c r="BC29" s="19"/>
      <c r="BD29" s="19"/>
      <c r="BE29" s="19">
        <v>24331640</v>
      </c>
      <c r="BF29" s="19"/>
      <c r="BG29" s="19"/>
      <c r="BH29" s="19"/>
      <c r="BI29" s="19">
        <v>251600</v>
      </c>
      <c r="BJ29" s="19">
        <v>54975278</v>
      </c>
      <c r="BK29" s="19">
        <v>20000000</v>
      </c>
      <c r="BL29" s="19">
        <v>30000000</v>
      </c>
      <c r="BM29" s="19"/>
      <c r="BN29" s="19"/>
      <c r="BO29" s="19">
        <v>15000000</v>
      </c>
      <c r="BP29" s="19"/>
      <c r="BQ29" s="19" t="s">
        <v>96</v>
      </c>
      <c r="BR29" s="19"/>
      <c r="BS29" s="19">
        <v>18900000</v>
      </c>
      <c r="BT29" s="19">
        <v>27111352</v>
      </c>
      <c r="BU29" s="19"/>
      <c r="BV29" s="19">
        <v>4260501</v>
      </c>
      <c r="BW29" s="19"/>
      <c r="BX29" s="19"/>
      <c r="BY29" s="19"/>
      <c r="BZ29" s="19"/>
      <c r="CA29" s="19"/>
      <c r="CB29" s="19">
        <v>40484910</v>
      </c>
      <c r="CC29" s="19">
        <v>100000</v>
      </c>
      <c r="CD29" s="19"/>
      <c r="CE29" s="19"/>
      <c r="CF29" s="19">
        <v>176498495</v>
      </c>
      <c r="CG29" s="19">
        <v>235727</v>
      </c>
      <c r="CH29" s="19">
        <v>12999748</v>
      </c>
      <c r="CI29" s="19" t="s">
        <v>89</v>
      </c>
      <c r="CJ29" s="19"/>
      <c r="CK29" s="19"/>
      <c r="CL29" s="19"/>
      <c r="CM29" s="19"/>
      <c r="CN29" s="19"/>
      <c r="CO29" s="19"/>
      <c r="CP29" s="19"/>
      <c r="CQ29" s="19" t="s">
        <v>96</v>
      </c>
      <c r="CR29" s="19">
        <v>8174067</v>
      </c>
      <c r="CS29" s="19"/>
      <c r="CT29" s="19"/>
      <c r="CU29" s="19"/>
      <c r="CV29" s="19"/>
      <c r="CW29" s="19"/>
      <c r="CX29" s="19"/>
      <c r="CY29" s="19"/>
      <c r="CZ29" s="19"/>
      <c r="DA29" s="19"/>
      <c r="DB29" s="19"/>
      <c r="DC29" s="19"/>
      <c r="DD29" s="19"/>
      <c r="DE29" s="19"/>
      <c r="DF29" s="19"/>
      <c r="DG29" s="19"/>
      <c r="DH29" s="19"/>
      <c r="DI29" s="19"/>
      <c r="DJ29" s="19"/>
      <c r="DK29" s="19"/>
      <c r="DL29" s="19"/>
      <c r="DM29" s="19"/>
      <c r="DN29" s="19"/>
      <c r="DO29" s="19"/>
      <c r="DP29" s="19">
        <v>6925865</v>
      </c>
      <c r="DQ29" s="19"/>
      <c r="DR29" s="19"/>
      <c r="DS29" s="19"/>
      <c r="DT29" s="19"/>
      <c r="DU29" s="19"/>
      <c r="DV29" s="19"/>
      <c r="DW29" s="19">
        <v>7821250</v>
      </c>
      <c r="DX29" s="19"/>
      <c r="DY29" s="19">
        <v>20676127</v>
      </c>
      <c r="DZ29" s="19"/>
      <c r="EA29" s="19"/>
      <c r="EB29" s="19"/>
      <c r="EC29" s="19"/>
      <c r="ED29" s="19">
        <v>127110928</v>
      </c>
      <c r="EE29" s="19"/>
      <c r="EF29" s="19"/>
      <c r="EG29" s="19"/>
      <c r="EH29" s="19"/>
      <c r="EI29" s="19"/>
      <c r="EJ29" s="19"/>
      <c r="EK29" s="19" t="s">
        <v>89</v>
      </c>
      <c r="EL29" s="19"/>
      <c r="EM29" s="19"/>
      <c r="EN29" s="19"/>
      <c r="EO29" s="19"/>
      <c r="EP29" s="19"/>
      <c r="EQ29" s="19"/>
      <c r="ER29" s="19"/>
      <c r="ES29" s="19"/>
      <c r="ET29" s="19"/>
      <c r="EU29" s="19"/>
      <c r="EV29" s="19"/>
      <c r="EW29" s="19">
        <v>6149435</v>
      </c>
      <c r="EX29" s="19">
        <v>25724360</v>
      </c>
      <c r="EY29" s="19"/>
      <c r="EZ29" s="19">
        <v>1192600</v>
      </c>
      <c r="FA29" s="19"/>
      <c r="FB29" s="19">
        <v>20405026</v>
      </c>
      <c r="FC29" s="19">
        <v>5000000</v>
      </c>
      <c r="FD29" s="19"/>
      <c r="FE29" s="19"/>
      <c r="FF29" s="19"/>
      <c r="FG29" s="19"/>
      <c r="FH29" s="19">
        <v>43284249</v>
      </c>
      <c r="FI29" s="19"/>
      <c r="FJ29" s="19"/>
      <c r="FK29" s="19"/>
      <c r="FL29" s="19">
        <v>3548760</v>
      </c>
      <c r="FM29" s="19"/>
      <c r="FN29" s="19">
        <v>0</v>
      </c>
      <c r="FO29" s="19">
        <v>20600000</v>
      </c>
      <c r="FP29" s="19"/>
      <c r="FQ29" s="19">
        <v>0</v>
      </c>
      <c r="FR29" s="19">
        <v>23632050</v>
      </c>
      <c r="FS29" s="19">
        <v>4820000</v>
      </c>
      <c r="FT29" s="19"/>
      <c r="FU29" s="19" t="s">
        <v>152</v>
      </c>
      <c r="FV29" s="19"/>
      <c r="FW29" s="19">
        <v>47871299</v>
      </c>
      <c r="FX29" s="19"/>
      <c r="FY29" s="19"/>
      <c r="FZ29" s="19"/>
      <c r="GA29" s="19">
        <v>5090000</v>
      </c>
      <c r="GB29" s="19">
        <v>4400</v>
      </c>
      <c r="GC29" s="19"/>
      <c r="GD29" s="19" t="s">
        <v>96</v>
      </c>
      <c r="GE29" s="19"/>
      <c r="GF29" s="19"/>
      <c r="GG29" s="19">
        <v>292245449</v>
      </c>
      <c r="GH29" s="19">
        <v>12456735</v>
      </c>
      <c r="GI29" s="19">
        <v>28156183</v>
      </c>
      <c r="GJ29" s="19"/>
      <c r="GK29" s="19"/>
      <c r="GL29" s="19">
        <v>13570000</v>
      </c>
      <c r="GM29" s="19"/>
      <c r="GN29" s="19">
        <v>26022602</v>
      </c>
      <c r="GO29" s="19"/>
      <c r="GP29" s="19"/>
      <c r="GQ29" s="19"/>
      <c r="GR29" s="19">
        <v>1608100</v>
      </c>
      <c r="GS29" s="19">
        <v>21200000</v>
      </c>
      <c r="GT29" s="19">
        <v>28156183</v>
      </c>
      <c r="GU29" s="19"/>
      <c r="GV29" s="19" t="s">
        <v>89</v>
      </c>
      <c r="GW29" s="19"/>
      <c r="GX29" s="19">
        <v>1335083</v>
      </c>
      <c r="GY29" s="19"/>
      <c r="GZ29" s="19">
        <v>350324</v>
      </c>
      <c r="HA29" s="19">
        <v>113890549</v>
      </c>
      <c r="HB29" s="19"/>
      <c r="HC29" s="19"/>
      <c r="HD29" s="19" t="s">
        <v>89</v>
      </c>
      <c r="HE29" s="19"/>
      <c r="HF29" s="19"/>
      <c r="HG29" s="19">
        <v>12162574</v>
      </c>
      <c r="HH29" s="19"/>
      <c r="HI29" s="19"/>
      <c r="HJ29" s="19"/>
      <c r="HK29" s="19">
        <v>108497</v>
      </c>
      <c r="HL29" s="19"/>
      <c r="HM29" s="19"/>
      <c r="HN29" s="19"/>
      <c r="HO29" s="19"/>
      <c r="HP29" s="19" t="s">
        <v>89</v>
      </c>
    </row>
    <row r="30" spans="1:224">
      <c r="A30" s="7" t="s">
        <v>5</v>
      </c>
      <c r="B30" s="11" t="s">
        <v>59</v>
      </c>
      <c r="C30" s="19">
        <v>126020</v>
      </c>
      <c r="D30" s="19">
        <v>336386093</v>
      </c>
      <c r="E30" s="19">
        <v>300000</v>
      </c>
      <c r="F30" s="19"/>
      <c r="G30" s="19"/>
      <c r="H30" s="19"/>
      <c r="I30" s="19">
        <v>186277298</v>
      </c>
      <c r="J30" s="19" t="s">
        <v>4</v>
      </c>
      <c r="K30" s="19"/>
      <c r="L30" s="19">
        <v>17276823</v>
      </c>
      <c r="M30" s="19" t="s">
        <v>96</v>
      </c>
      <c r="N30" s="19">
        <v>45435154</v>
      </c>
      <c r="O30" s="19"/>
      <c r="P30" s="19">
        <v>270000</v>
      </c>
      <c r="Q30" s="19">
        <v>20455413</v>
      </c>
      <c r="R30" s="19">
        <v>74697549</v>
      </c>
      <c r="S30" s="19"/>
      <c r="T30" s="19" t="s">
        <v>96</v>
      </c>
      <c r="U30" s="19">
        <v>11872136</v>
      </c>
      <c r="V30" s="19">
        <v>4414758</v>
      </c>
      <c r="W30" s="19"/>
      <c r="X30" s="19"/>
      <c r="Y30" s="19">
        <v>4037000</v>
      </c>
      <c r="Z30" s="19"/>
      <c r="AA30" s="19">
        <v>260997752</v>
      </c>
      <c r="AB30" s="19"/>
      <c r="AC30" s="19">
        <v>63542000</v>
      </c>
      <c r="AD30" s="19">
        <v>8277950</v>
      </c>
      <c r="AE30" s="19"/>
      <c r="AF30" s="19"/>
      <c r="AG30" s="19"/>
      <c r="AH30" s="19">
        <v>76838836</v>
      </c>
      <c r="AI30" s="19"/>
      <c r="AJ30" s="19"/>
      <c r="AK30" s="19" t="s">
        <v>89</v>
      </c>
      <c r="AL30" s="19">
        <v>11650000</v>
      </c>
      <c r="AM30" s="19" t="s">
        <v>4</v>
      </c>
      <c r="AN30" s="19"/>
      <c r="AO30" s="19">
        <v>77761012</v>
      </c>
      <c r="AP30" s="19">
        <v>46962576</v>
      </c>
      <c r="AQ30" s="19" t="s">
        <v>4</v>
      </c>
      <c r="AR30" s="19"/>
      <c r="AS30" s="19">
        <v>48552641</v>
      </c>
      <c r="AT30" s="19"/>
      <c r="AU30" s="19">
        <v>26600000</v>
      </c>
      <c r="AV30" s="19">
        <v>5000000</v>
      </c>
      <c r="AW30" s="19">
        <v>201469</v>
      </c>
      <c r="AX30" s="19" t="s">
        <v>4</v>
      </c>
      <c r="AY30" s="19"/>
      <c r="AZ30" s="19"/>
      <c r="BA30" s="19">
        <v>35535408</v>
      </c>
      <c r="BB30" s="19"/>
      <c r="BC30" s="19">
        <v>10000000</v>
      </c>
      <c r="BD30" s="19"/>
      <c r="BE30" s="19">
        <v>162492000</v>
      </c>
      <c r="BF30" s="19"/>
      <c r="BG30" s="19">
        <v>90672237</v>
      </c>
      <c r="BH30" s="19">
        <v>697590</v>
      </c>
      <c r="BI30" s="19"/>
      <c r="BJ30" s="19"/>
      <c r="BK30" s="19">
        <v>13300000</v>
      </c>
      <c r="BL30" s="19"/>
      <c r="BM30" s="19">
        <v>46626855</v>
      </c>
      <c r="BN30" s="19"/>
      <c r="BO30" s="19"/>
      <c r="BP30" s="19"/>
      <c r="BQ30" s="19" t="s">
        <v>96</v>
      </c>
      <c r="BR30" s="19">
        <v>73630870</v>
      </c>
      <c r="BS30" s="19"/>
      <c r="BT30" s="19">
        <v>20000</v>
      </c>
      <c r="BU30" s="19"/>
      <c r="BV30" s="19">
        <v>3815000</v>
      </c>
      <c r="BW30" s="19"/>
      <c r="BX30" s="19">
        <v>157163</v>
      </c>
      <c r="BY30" s="19">
        <v>232209648</v>
      </c>
      <c r="BZ30" s="19"/>
      <c r="CA30" s="19"/>
      <c r="CB30" s="19"/>
      <c r="CC30" s="19">
        <v>60412848</v>
      </c>
      <c r="CD30" s="19"/>
      <c r="CE30" s="19"/>
      <c r="CF30" s="19"/>
      <c r="CG30" s="19"/>
      <c r="CH30" s="19">
        <v>31339852</v>
      </c>
      <c r="CI30" s="19" t="s">
        <v>89</v>
      </c>
      <c r="CJ30" s="19">
        <v>128367657</v>
      </c>
      <c r="CK30" s="19">
        <v>123024257</v>
      </c>
      <c r="CL30" s="19"/>
      <c r="CM30" s="19">
        <v>30000000</v>
      </c>
      <c r="CN30" s="19"/>
      <c r="CO30" s="19"/>
      <c r="CP30" s="19"/>
      <c r="CQ30" s="19" t="s">
        <v>96</v>
      </c>
      <c r="CR30" s="19">
        <v>15039658</v>
      </c>
      <c r="CS30" s="19">
        <v>58163463</v>
      </c>
      <c r="CT30" s="19">
        <v>550000</v>
      </c>
      <c r="CU30" s="19"/>
      <c r="CV30" s="19"/>
      <c r="CW30" s="19">
        <v>6097000</v>
      </c>
      <c r="CX30" s="19">
        <v>1420085</v>
      </c>
      <c r="CY30" s="19">
        <v>500000</v>
      </c>
      <c r="CZ30" s="19"/>
      <c r="DA30" s="19"/>
      <c r="DB30" s="19">
        <v>11682000</v>
      </c>
      <c r="DC30" s="19"/>
      <c r="DD30" s="19">
        <v>165000</v>
      </c>
      <c r="DE30" s="19"/>
      <c r="DF30" s="19">
        <v>3700000</v>
      </c>
      <c r="DG30" s="19">
        <v>62000773</v>
      </c>
      <c r="DH30" s="19"/>
      <c r="DI30" s="19">
        <v>11280000</v>
      </c>
      <c r="DJ30" s="19"/>
      <c r="DK30" s="19">
        <v>70323299</v>
      </c>
      <c r="DL30" s="19">
        <v>48177373</v>
      </c>
      <c r="DM30" s="19"/>
      <c r="DN30" s="19"/>
      <c r="DO30" s="19"/>
      <c r="DP30" s="19">
        <v>297950115</v>
      </c>
      <c r="DQ30" s="19"/>
      <c r="DR30" s="19">
        <v>308700</v>
      </c>
      <c r="DS30" s="19">
        <v>3613753</v>
      </c>
      <c r="DT30" s="19"/>
      <c r="DU30" s="19">
        <v>20000000</v>
      </c>
      <c r="DV30" s="19"/>
      <c r="DW30" s="19"/>
      <c r="DX30" s="19">
        <v>30000</v>
      </c>
      <c r="DY30" s="19"/>
      <c r="DZ30" s="19"/>
      <c r="EA30" s="19"/>
      <c r="EB30" s="19"/>
      <c r="EC30" s="19"/>
      <c r="ED30" s="19"/>
      <c r="EE30" s="19"/>
      <c r="EF30" s="19">
        <v>399080</v>
      </c>
      <c r="EG30" s="19">
        <v>378926351</v>
      </c>
      <c r="EH30" s="19">
        <v>10268659</v>
      </c>
      <c r="EI30" s="19">
        <v>24749925</v>
      </c>
      <c r="EJ30" s="19"/>
      <c r="EK30" s="19" t="s">
        <v>89</v>
      </c>
      <c r="EL30" s="19">
        <v>7770888</v>
      </c>
      <c r="EM30" s="19"/>
      <c r="EN30" s="19">
        <v>13907844</v>
      </c>
      <c r="EO30" s="19"/>
      <c r="EP30" s="19"/>
      <c r="EQ30" s="19"/>
      <c r="ER30" s="19">
        <v>843450</v>
      </c>
      <c r="ES30" s="19">
        <v>5252107</v>
      </c>
      <c r="ET30" s="19"/>
      <c r="EU30" s="19">
        <v>1285153021</v>
      </c>
      <c r="EV30" s="19"/>
      <c r="EW30" s="19"/>
      <c r="EX30" s="19">
        <v>291500</v>
      </c>
      <c r="EY30" s="19"/>
      <c r="EZ30" s="19">
        <v>73570567</v>
      </c>
      <c r="FA30" s="19">
        <v>21593996</v>
      </c>
      <c r="FB30" s="19"/>
      <c r="FC30" s="19">
        <v>1404650</v>
      </c>
      <c r="FD30" s="19">
        <v>5723000</v>
      </c>
      <c r="FE30" s="19">
        <v>8299116</v>
      </c>
      <c r="FF30" s="19"/>
      <c r="FG30" s="19">
        <v>10626000</v>
      </c>
      <c r="FH30" s="19"/>
      <c r="FI30" s="19"/>
      <c r="FJ30" s="19"/>
      <c r="FK30" s="19">
        <v>84354380</v>
      </c>
      <c r="FL30" s="19"/>
      <c r="FM30" s="19">
        <v>163800</v>
      </c>
      <c r="FN30" s="19">
        <v>2297630</v>
      </c>
      <c r="FO30" s="19">
        <v>1195500</v>
      </c>
      <c r="FP30" s="19"/>
      <c r="FQ30" s="19">
        <v>0</v>
      </c>
      <c r="FR30" s="19"/>
      <c r="FS30" s="19">
        <v>596000</v>
      </c>
      <c r="FT30" s="19">
        <v>211144800</v>
      </c>
      <c r="FU30" s="19" t="s">
        <v>152</v>
      </c>
      <c r="FV30" s="19">
        <v>6440000</v>
      </c>
      <c r="FW30" s="19">
        <v>1375470</v>
      </c>
      <c r="FX30" s="19"/>
      <c r="FY30" s="19">
        <v>2000000</v>
      </c>
      <c r="FZ30" s="19"/>
      <c r="GA30" s="19">
        <v>16293597</v>
      </c>
      <c r="GB30" s="19">
        <v>0</v>
      </c>
      <c r="GC30" s="19"/>
      <c r="GD30" s="19" t="s">
        <v>96</v>
      </c>
      <c r="GE30" s="19"/>
      <c r="GF30" s="19">
        <v>286000</v>
      </c>
      <c r="GG30" s="19">
        <v>2591970</v>
      </c>
      <c r="GH30" s="19">
        <v>100000000</v>
      </c>
      <c r="GI30" s="19"/>
      <c r="GJ30" s="19"/>
      <c r="GK30" s="19"/>
      <c r="GL30" s="19"/>
      <c r="GM30" s="19"/>
      <c r="GN30" s="19"/>
      <c r="GO30" s="19">
        <v>5384000</v>
      </c>
      <c r="GP30" s="19">
        <v>2359420</v>
      </c>
      <c r="GQ30" s="19">
        <v>1423000</v>
      </c>
      <c r="GR30" s="19">
        <v>10800</v>
      </c>
      <c r="GS30" s="19">
        <v>471121</v>
      </c>
      <c r="GT30" s="19"/>
      <c r="GU30" s="19"/>
      <c r="GV30" s="19" t="s">
        <v>89</v>
      </c>
      <c r="GW30" s="19">
        <v>31567020</v>
      </c>
      <c r="GX30" s="19"/>
      <c r="GY30" s="19">
        <v>177740501</v>
      </c>
      <c r="GZ30" s="19"/>
      <c r="HA30" s="19"/>
      <c r="HB30" s="19">
        <v>1344475</v>
      </c>
      <c r="HC30" s="19">
        <v>540000</v>
      </c>
      <c r="HD30" s="19" t="s">
        <v>89</v>
      </c>
      <c r="HE30" s="19">
        <v>6450000</v>
      </c>
      <c r="HF30" s="19"/>
      <c r="HG30" s="19">
        <v>2368590</v>
      </c>
      <c r="HH30" s="19"/>
      <c r="HI30" s="19">
        <v>20500000</v>
      </c>
      <c r="HJ30" s="19">
        <v>4364000</v>
      </c>
      <c r="HK30" s="19">
        <v>3165880</v>
      </c>
      <c r="HL30" s="19"/>
      <c r="HM30" s="19"/>
      <c r="HN30" s="19"/>
      <c r="HO30" s="19"/>
      <c r="HP30" s="19" t="s">
        <v>89</v>
      </c>
    </row>
    <row r="31" spans="1:224">
      <c r="A31" s="7" t="s">
        <v>5</v>
      </c>
      <c r="B31" s="8" t="s">
        <v>18</v>
      </c>
      <c r="C31" s="19">
        <v>0</v>
      </c>
      <c r="D31" s="19">
        <v>494748</v>
      </c>
      <c r="E31" s="19">
        <v>267000000</v>
      </c>
      <c r="F31" s="19">
        <v>607000000</v>
      </c>
      <c r="G31" s="19">
        <v>155854912</v>
      </c>
      <c r="H31" s="19">
        <v>810000000</v>
      </c>
      <c r="I31" s="19">
        <v>2901937027</v>
      </c>
      <c r="J31" s="19" t="s">
        <v>4</v>
      </c>
      <c r="K31" s="19">
        <v>0</v>
      </c>
      <c r="L31" s="19">
        <v>456794610</v>
      </c>
      <c r="M31" s="19" t="s">
        <v>96</v>
      </c>
      <c r="N31" s="19">
        <v>0</v>
      </c>
      <c r="O31" s="19">
        <v>1220300439</v>
      </c>
      <c r="P31" s="19">
        <v>874418156</v>
      </c>
      <c r="Q31" s="19">
        <v>115840000</v>
      </c>
      <c r="R31" s="19">
        <v>193125000</v>
      </c>
      <c r="S31" s="19">
        <v>2418639721</v>
      </c>
      <c r="T31" s="19" t="s">
        <v>96</v>
      </c>
      <c r="U31" s="19">
        <v>449927302</v>
      </c>
      <c r="V31" s="19">
        <v>453851814</v>
      </c>
      <c r="W31" s="19">
        <v>703590842</v>
      </c>
      <c r="X31" s="19">
        <v>0</v>
      </c>
      <c r="Y31" s="19">
        <v>10000000</v>
      </c>
      <c r="Z31" s="19">
        <v>426219555</v>
      </c>
      <c r="AA31" s="19">
        <v>820720000</v>
      </c>
      <c r="AB31" s="19">
        <v>0</v>
      </c>
      <c r="AC31" s="19">
        <v>600000000</v>
      </c>
      <c r="AD31" s="19">
        <v>2879980000</v>
      </c>
      <c r="AE31" s="19">
        <v>4773052234</v>
      </c>
      <c r="AF31" s="19">
        <v>355000000</v>
      </c>
      <c r="AG31" s="19">
        <v>335949817</v>
      </c>
      <c r="AH31" s="19">
        <v>120000000</v>
      </c>
      <c r="AI31" s="19">
        <v>275000004</v>
      </c>
      <c r="AJ31" s="19">
        <v>342523584</v>
      </c>
      <c r="AK31" s="19" t="s">
        <v>89</v>
      </c>
      <c r="AL31" s="19">
        <v>1870004405</v>
      </c>
      <c r="AM31" s="19" t="s">
        <v>4</v>
      </c>
      <c r="AN31" s="19">
        <v>400000000</v>
      </c>
      <c r="AO31" s="19">
        <v>4140000</v>
      </c>
      <c r="AP31" s="19">
        <v>69522549</v>
      </c>
      <c r="AQ31" s="19" t="s">
        <v>4</v>
      </c>
      <c r="AR31" s="19">
        <v>0</v>
      </c>
      <c r="AS31" s="19">
        <v>0</v>
      </c>
      <c r="AT31" s="19">
        <v>2118112022</v>
      </c>
      <c r="AU31" s="19">
        <v>1663539450</v>
      </c>
      <c r="AV31" s="19">
        <v>103346387</v>
      </c>
      <c r="AW31" s="19">
        <v>275000000</v>
      </c>
      <c r="AX31" s="19" t="s">
        <v>4</v>
      </c>
      <c r="AY31" s="19">
        <v>284140030</v>
      </c>
      <c r="AZ31" s="19">
        <v>300000000</v>
      </c>
      <c r="BA31" s="19">
        <v>615945416</v>
      </c>
      <c r="BB31" s="19">
        <v>0</v>
      </c>
      <c r="BC31" s="19">
        <v>972006816</v>
      </c>
      <c r="BD31" s="19">
        <v>111526788</v>
      </c>
      <c r="BE31" s="19">
        <v>1166206536</v>
      </c>
      <c r="BF31" s="19">
        <v>135000000</v>
      </c>
      <c r="BG31" s="19">
        <v>410890057</v>
      </c>
      <c r="BH31" s="19">
        <v>600000000</v>
      </c>
      <c r="BI31" s="19">
        <v>0</v>
      </c>
      <c r="BJ31" s="19">
        <v>450720884</v>
      </c>
      <c r="BK31" s="19">
        <v>230000000</v>
      </c>
      <c r="BL31" s="19">
        <v>166030311</v>
      </c>
      <c r="BM31" s="19">
        <v>519400000</v>
      </c>
      <c r="BN31" s="19">
        <v>0</v>
      </c>
      <c r="BO31" s="19">
        <v>307389403</v>
      </c>
      <c r="BP31" s="19">
        <v>0</v>
      </c>
      <c r="BQ31" s="19" t="s">
        <v>96</v>
      </c>
      <c r="BR31" s="19">
        <v>96875000</v>
      </c>
      <c r="BS31" s="19">
        <v>0</v>
      </c>
      <c r="BT31" s="19">
        <v>0</v>
      </c>
      <c r="BU31" s="19">
        <v>813287840</v>
      </c>
      <c r="BV31" s="19">
        <v>0</v>
      </c>
      <c r="BW31" s="19">
        <v>0</v>
      </c>
      <c r="BX31" s="19">
        <v>0</v>
      </c>
      <c r="BY31" s="19">
        <v>840332609</v>
      </c>
      <c r="BZ31" s="19">
        <v>0</v>
      </c>
      <c r="CA31" s="19">
        <v>831874991</v>
      </c>
      <c r="CB31" s="19">
        <v>142796403</v>
      </c>
      <c r="CC31" s="19">
        <v>0</v>
      </c>
      <c r="CD31" s="19">
        <v>0</v>
      </c>
      <c r="CE31" s="19">
        <v>54158000</v>
      </c>
      <c r="CF31" s="19">
        <v>0</v>
      </c>
      <c r="CG31" s="19">
        <v>0</v>
      </c>
      <c r="CH31" s="19">
        <v>58332336</v>
      </c>
      <c r="CI31" s="19" t="s">
        <v>89</v>
      </c>
      <c r="CJ31" s="19">
        <v>85900000</v>
      </c>
      <c r="CK31" s="19">
        <v>3995467421</v>
      </c>
      <c r="CL31" s="19">
        <v>561873000</v>
      </c>
      <c r="CM31" s="19">
        <v>306000000</v>
      </c>
      <c r="CN31" s="19">
        <v>50211105</v>
      </c>
      <c r="CO31" s="19">
        <v>246983</v>
      </c>
      <c r="CP31" s="19">
        <v>1161413731</v>
      </c>
      <c r="CQ31" s="19" t="s">
        <v>96</v>
      </c>
      <c r="CR31" s="19">
        <v>0</v>
      </c>
      <c r="CS31" s="19">
        <v>364340000</v>
      </c>
      <c r="CT31" s="19">
        <v>115000000</v>
      </c>
      <c r="CU31" s="19">
        <v>24666986</v>
      </c>
      <c r="CV31" s="19">
        <v>96434377</v>
      </c>
      <c r="CW31" s="19">
        <v>0</v>
      </c>
      <c r="CX31" s="19">
        <v>158010723</v>
      </c>
      <c r="CY31" s="19">
        <v>1144999994</v>
      </c>
      <c r="CZ31" s="19">
        <v>54607767</v>
      </c>
      <c r="DA31" s="19">
        <v>0</v>
      </c>
      <c r="DB31" s="19">
        <v>162906683</v>
      </c>
      <c r="DC31" s="19">
        <v>20273782</v>
      </c>
      <c r="DD31" s="19">
        <v>164000000</v>
      </c>
      <c r="DE31" s="19">
        <v>137440000</v>
      </c>
      <c r="DF31" s="19">
        <v>24320000</v>
      </c>
      <c r="DG31" s="19">
        <v>111250000</v>
      </c>
      <c r="DH31" s="19">
        <v>133887064</v>
      </c>
      <c r="DI31" s="19">
        <v>2553360151</v>
      </c>
      <c r="DJ31" s="19">
        <v>0</v>
      </c>
      <c r="DK31" s="19">
        <v>945680000</v>
      </c>
      <c r="DL31" s="19">
        <v>0</v>
      </c>
      <c r="DM31" s="19">
        <v>0</v>
      </c>
      <c r="DN31" s="19">
        <v>0</v>
      </c>
      <c r="DO31" s="19">
        <v>0</v>
      </c>
      <c r="DP31" s="19">
        <v>0</v>
      </c>
      <c r="DQ31" s="19">
        <v>270000000</v>
      </c>
      <c r="DR31" s="19">
        <v>0</v>
      </c>
      <c r="DS31" s="19">
        <v>41563285</v>
      </c>
      <c r="DT31" s="19">
        <v>0</v>
      </c>
      <c r="DU31" s="19">
        <v>50000000</v>
      </c>
      <c r="DV31" s="19">
        <v>0</v>
      </c>
      <c r="DW31" s="19">
        <v>0</v>
      </c>
      <c r="DX31" s="19">
        <v>300000000</v>
      </c>
      <c r="DY31" s="19">
        <v>122453325</v>
      </c>
      <c r="DZ31" s="19">
        <v>317055489</v>
      </c>
      <c r="EA31" s="19">
        <v>50000000</v>
      </c>
      <c r="EB31" s="19">
        <v>1110166672</v>
      </c>
      <c r="EC31" s="19">
        <v>0</v>
      </c>
      <c r="ED31" s="19">
        <v>0</v>
      </c>
      <c r="EE31" s="19">
        <v>168400000</v>
      </c>
      <c r="EF31" s="19">
        <v>2277450450</v>
      </c>
      <c r="EG31" s="19">
        <v>786737022</v>
      </c>
      <c r="EH31" s="19">
        <v>2909800000</v>
      </c>
      <c r="EI31" s="19">
        <v>451672913</v>
      </c>
      <c r="EJ31" s="19">
        <v>30532869</v>
      </c>
      <c r="EK31" s="19" t="s">
        <v>89</v>
      </c>
      <c r="EL31" s="19">
        <v>514059257</v>
      </c>
      <c r="EM31" s="19">
        <v>0</v>
      </c>
      <c r="EN31" s="19">
        <v>292806854</v>
      </c>
      <c r="EO31" s="19">
        <v>574500000</v>
      </c>
      <c r="EP31" s="19">
        <v>0</v>
      </c>
      <c r="EQ31" s="19">
        <v>419130000</v>
      </c>
      <c r="ER31" s="19">
        <v>1266874982</v>
      </c>
      <c r="ES31" s="19">
        <v>423332229</v>
      </c>
      <c r="ET31" s="19">
        <v>53322856</v>
      </c>
      <c r="EU31" s="19">
        <v>86391191</v>
      </c>
      <c r="EV31" s="19">
        <v>131558128</v>
      </c>
      <c r="EW31" s="19">
        <v>10000000</v>
      </c>
      <c r="EX31" s="19">
        <v>0</v>
      </c>
      <c r="EY31" s="19">
        <v>0</v>
      </c>
      <c r="EZ31" s="19">
        <v>191807929</v>
      </c>
      <c r="FA31" s="19">
        <v>2077170467</v>
      </c>
      <c r="FB31" s="19">
        <v>0</v>
      </c>
      <c r="FC31" s="19">
        <v>403000000</v>
      </c>
      <c r="FD31" s="19">
        <v>100000000</v>
      </c>
      <c r="FE31" s="19">
        <v>1265056255</v>
      </c>
      <c r="FF31" s="19">
        <v>0</v>
      </c>
      <c r="FG31" s="19">
        <v>457744582</v>
      </c>
      <c r="FH31" s="19">
        <v>0</v>
      </c>
      <c r="FI31" s="19">
        <v>0</v>
      </c>
      <c r="FJ31" s="19">
        <v>0</v>
      </c>
      <c r="FK31" s="19">
        <v>96083306</v>
      </c>
      <c r="FL31" s="19">
        <v>200000000</v>
      </c>
      <c r="FM31" s="19">
        <v>0</v>
      </c>
      <c r="FN31" s="19">
        <v>0</v>
      </c>
      <c r="FO31" s="19">
        <v>15480000</v>
      </c>
      <c r="FP31" s="19">
        <v>200000000</v>
      </c>
      <c r="FQ31" s="19">
        <v>100000000</v>
      </c>
      <c r="FR31" s="19">
        <v>0</v>
      </c>
      <c r="FS31" s="19">
        <v>0</v>
      </c>
      <c r="FT31" s="19">
        <v>0</v>
      </c>
      <c r="FU31" s="19" t="s">
        <v>152</v>
      </c>
      <c r="FV31" s="19">
        <v>945800561</v>
      </c>
      <c r="FW31" s="19">
        <v>0</v>
      </c>
      <c r="FX31" s="19">
        <v>0</v>
      </c>
      <c r="FY31" s="19">
        <v>10000000</v>
      </c>
      <c r="FZ31" s="19">
        <v>0</v>
      </c>
      <c r="GA31" s="19">
        <v>16560674</v>
      </c>
      <c r="GB31" s="19">
        <v>0</v>
      </c>
      <c r="GC31" s="19">
        <v>0</v>
      </c>
      <c r="GD31" s="19" t="s">
        <v>96</v>
      </c>
      <c r="GE31" s="19">
        <v>0</v>
      </c>
      <c r="GF31" s="19">
        <v>0</v>
      </c>
      <c r="GG31" s="19">
        <v>136511667</v>
      </c>
      <c r="GH31" s="19">
        <v>330000000</v>
      </c>
      <c r="GI31" s="19">
        <v>108045000</v>
      </c>
      <c r="GJ31" s="19">
        <v>19000000</v>
      </c>
      <c r="GK31" s="19">
        <v>0</v>
      </c>
      <c r="GL31" s="19">
        <v>0</v>
      </c>
      <c r="GM31" s="19">
        <v>42502684</v>
      </c>
      <c r="GN31" s="19">
        <v>68229723</v>
      </c>
      <c r="GO31" s="19">
        <v>2096322439</v>
      </c>
      <c r="GP31" s="19">
        <v>2662545419</v>
      </c>
      <c r="GQ31" s="19">
        <v>0</v>
      </c>
      <c r="GR31" s="19">
        <v>340000000</v>
      </c>
      <c r="GS31" s="19">
        <v>0</v>
      </c>
      <c r="GT31" s="19">
        <v>108045000</v>
      </c>
      <c r="GU31" s="19">
        <v>19892100</v>
      </c>
      <c r="GV31" s="19" t="s">
        <v>89</v>
      </c>
      <c r="GW31" s="19">
        <v>563460297</v>
      </c>
      <c r="GX31" s="19">
        <v>496760000</v>
      </c>
      <c r="GY31" s="19">
        <v>71598773</v>
      </c>
      <c r="GZ31" s="19">
        <v>0</v>
      </c>
      <c r="HA31" s="19">
        <v>252712424</v>
      </c>
      <c r="HB31" s="19">
        <v>0</v>
      </c>
      <c r="HC31" s="19">
        <v>400000000</v>
      </c>
      <c r="HD31" s="19" t="s">
        <v>89</v>
      </c>
      <c r="HE31" s="19">
        <v>300000000</v>
      </c>
      <c r="HF31" s="19">
        <v>164500000</v>
      </c>
      <c r="HG31" s="19">
        <v>9620388</v>
      </c>
      <c r="HH31" s="19">
        <v>0</v>
      </c>
      <c r="HI31" s="19">
        <v>50000000</v>
      </c>
      <c r="HJ31" s="19">
        <v>429330507</v>
      </c>
      <c r="HK31" s="19">
        <v>100000000</v>
      </c>
      <c r="HL31" s="19">
        <v>0</v>
      </c>
      <c r="HM31" s="19">
        <v>37974960</v>
      </c>
      <c r="HN31" s="19">
        <v>0</v>
      </c>
      <c r="HO31" s="19">
        <v>199890456</v>
      </c>
      <c r="HP31" s="19" t="s">
        <v>89</v>
      </c>
    </row>
    <row r="32" spans="1:224">
      <c r="A32" s="7" t="s">
        <v>5</v>
      </c>
      <c r="B32" s="11" t="s">
        <v>15</v>
      </c>
      <c r="C32" s="19"/>
      <c r="D32" s="19"/>
      <c r="E32" s="19">
        <v>242000000</v>
      </c>
      <c r="F32" s="19">
        <v>500000000</v>
      </c>
      <c r="G32" s="19">
        <v>153854912</v>
      </c>
      <c r="H32" s="19">
        <v>660000000</v>
      </c>
      <c r="I32" s="19">
        <v>1131967027</v>
      </c>
      <c r="J32" s="19" t="s">
        <v>4</v>
      </c>
      <c r="K32" s="19"/>
      <c r="L32" s="19">
        <v>456794610</v>
      </c>
      <c r="M32" s="19" t="s">
        <v>96</v>
      </c>
      <c r="N32" s="19"/>
      <c r="O32" s="19">
        <v>978927819</v>
      </c>
      <c r="P32" s="19"/>
      <c r="Q32" s="19">
        <v>115840000</v>
      </c>
      <c r="R32" s="19">
        <v>93125000</v>
      </c>
      <c r="S32" s="19">
        <v>2089250000</v>
      </c>
      <c r="T32" s="19" t="s">
        <v>96</v>
      </c>
      <c r="U32" s="19"/>
      <c r="V32" s="19">
        <v>203851814</v>
      </c>
      <c r="W32" s="19">
        <v>666590842</v>
      </c>
      <c r="X32" s="19"/>
      <c r="Y32" s="19"/>
      <c r="Z32" s="19">
        <v>426219555</v>
      </c>
      <c r="AA32" s="19">
        <v>520720000</v>
      </c>
      <c r="AB32" s="19"/>
      <c r="AC32" s="19">
        <v>600000000</v>
      </c>
      <c r="AD32" s="19">
        <v>2879980000</v>
      </c>
      <c r="AE32" s="19">
        <v>4463052234</v>
      </c>
      <c r="AF32" s="19">
        <v>355000000</v>
      </c>
      <c r="AG32" s="19">
        <v>185949817</v>
      </c>
      <c r="AH32" s="19">
        <v>120000000</v>
      </c>
      <c r="AI32" s="19"/>
      <c r="AJ32" s="19">
        <v>338523584</v>
      </c>
      <c r="AK32" s="19" t="s">
        <v>89</v>
      </c>
      <c r="AL32" s="19">
        <v>1734589912</v>
      </c>
      <c r="AM32" s="19" t="s">
        <v>4</v>
      </c>
      <c r="AN32" s="19">
        <v>400000000</v>
      </c>
      <c r="AO32" s="19">
        <v>4140000</v>
      </c>
      <c r="AP32" s="19"/>
      <c r="AQ32" s="19" t="s">
        <v>4</v>
      </c>
      <c r="AR32" s="19"/>
      <c r="AS32" s="19"/>
      <c r="AT32" s="19">
        <v>2068112022</v>
      </c>
      <c r="AU32" s="19">
        <v>1469154450</v>
      </c>
      <c r="AV32" s="19">
        <v>100000000</v>
      </c>
      <c r="AW32" s="19">
        <v>275000000</v>
      </c>
      <c r="AX32" s="19" t="s">
        <v>4</v>
      </c>
      <c r="AY32" s="19">
        <v>284140030</v>
      </c>
      <c r="AZ32" s="19">
        <v>300000000</v>
      </c>
      <c r="BA32" s="19">
        <v>515945416</v>
      </c>
      <c r="BB32" s="19"/>
      <c r="BC32" s="19">
        <v>962006816</v>
      </c>
      <c r="BD32" s="19">
        <v>109999508</v>
      </c>
      <c r="BE32" s="19">
        <v>928175086</v>
      </c>
      <c r="BF32" s="19">
        <v>135000000</v>
      </c>
      <c r="BG32" s="19">
        <v>291666654</v>
      </c>
      <c r="BH32" s="19">
        <v>600000000</v>
      </c>
      <c r="BI32" s="19"/>
      <c r="BJ32" s="19">
        <v>190000000</v>
      </c>
      <c r="BK32" s="19">
        <v>230000000</v>
      </c>
      <c r="BL32" s="19">
        <v>158889277</v>
      </c>
      <c r="BM32" s="19">
        <v>519400000</v>
      </c>
      <c r="BN32" s="19"/>
      <c r="BO32" s="19">
        <v>301189403</v>
      </c>
      <c r="BP32" s="19"/>
      <c r="BQ32" s="19" t="s">
        <v>96</v>
      </c>
      <c r="BR32" s="19">
        <v>96875000</v>
      </c>
      <c r="BS32" s="19"/>
      <c r="BT32" s="19"/>
      <c r="BU32" s="19">
        <v>13287840</v>
      </c>
      <c r="BV32" s="19"/>
      <c r="BW32" s="19"/>
      <c r="BX32" s="19"/>
      <c r="BY32" s="19">
        <v>503633550</v>
      </c>
      <c r="BZ32" s="19"/>
      <c r="CA32" s="19">
        <v>821874991</v>
      </c>
      <c r="CB32" s="19">
        <v>142796403</v>
      </c>
      <c r="CC32" s="19"/>
      <c r="CD32" s="19"/>
      <c r="CE32" s="19">
        <v>54158000</v>
      </c>
      <c r="CF32" s="19"/>
      <c r="CG32" s="19"/>
      <c r="CH32" s="19">
        <v>58332336</v>
      </c>
      <c r="CI32" s="19" t="s">
        <v>89</v>
      </c>
      <c r="CJ32" s="19">
        <v>85900000</v>
      </c>
      <c r="CK32" s="19">
        <v>3698023330</v>
      </c>
      <c r="CL32" s="19">
        <v>540950000</v>
      </c>
      <c r="CM32" s="19">
        <v>306000000</v>
      </c>
      <c r="CN32" s="19">
        <v>50211105</v>
      </c>
      <c r="CO32" s="19"/>
      <c r="CP32" s="19">
        <v>1154397320</v>
      </c>
      <c r="CQ32" s="19" t="s">
        <v>96</v>
      </c>
      <c r="CR32" s="19"/>
      <c r="CS32" s="19">
        <v>364340000</v>
      </c>
      <c r="CT32" s="19">
        <v>115000000</v>
      </c>
      <c r="CU32" s="19"/>
      <c r="CV32" s="19">
        <v>95000000</v>
      </c>
      <c r="CW32" s="19"/>
      <c r="CX32" s="19"/>
      <c r="CY32" s="19">
        <v>1144999994</v>
      </c>
      <c r="CZ32" s="19">
        <v>54607767</v>
      </c>
      <c r="DA32" s="19"/>
      <c r="DB32" s="19">
        <v>162906683</v>
      </c>
      <c r="DC32" s="19">
        <v>2773782</v>
      </c>
      <c r="DD32" s="19">
        <v>120000000</v>
      </c>
      <c r="DE32" s="19">
        <v>137440000</v>
      </c>
      <c r="DF32" s="19">
        <v>24320000</v>
      </c>
      <c r="DG32" s="19">
        <v>11250000</v>
      </c>
      <c r="DH32" s="19">
        <v>100000000</v>
      </c>
      <c r="DI32" s="19">
        <v>2441360151</v>
      </c>
      <c r="DJ32" s="19"/>
      <c r="DK32" s="19">
        <v>895680000</v>
      </c>
      <c r="DL32" s="19"/>
      <c r="DM32" s="19"/>
      <c r="DN32" s="19"/>
      <c r="DO32" s="19"/>
      <c r="DP32" s="19"/>
      <c r="DQ32" s="19">
        <v>270000000</v>
      </c>
      <c r="DR32" s="19"/>
      <c r="DS32" s="19">
        <v>41563285</v>
      </c>
      <c r="DT32" s="19"/>
      <c r="DU32" s="19"/>
      <c r="DV32" s="19"/>
      <c r="DW32" s="19"/>
      <c r="DX32" s="19">
        <v>300000000</v>
      </c>
      <c r="DY32" s="19">
        <v>122453325</v>
      </c>
      <c r="DZ32" s="19">
        <v>317055489</v>
      </c>
      <c r="EA32" s="19">
        <v>50000000</v>
      </c>
      <c r="EB32" s="19">
        <v>1110166672</v>
      </c>
      <c r="EC32" s="19"/>
      <c r="ED32" s="19"/>
      <c r="EE32" s="19">
        <v>168400000</v>
      </c>
      <c r="EF32" s="19">
        <v>2272450450</v>
      </c>
      <c r="EG32" s="19">
        <v>580000000</v>
      </c>
      <c r="EH32" s="19">
        <v>2644000000</v>
      </c>
      <c r="EI32" s="19">
        <v>65945802</v>
      </c>
      <c r="EJ32" s="19"/>
      <c r="EK32" s="19" t="s">
        <v>89</v>
      </c>
      <c r="EL32" s="19"/>
      <c r="EM32" s="19"/>
      <c r="EN32" s="19"/>
      <c r="EO32" s="19">
        <v>425000000</v>
      </c>
      <c r="EP32" s="19"/>
      <c r="EQ32" s="19">
        <v>419130000</v>
      </c>
      <c r="ER32" s="19">
        <v>1266874982</v>
      </c>
      <c r="ES32" s="19">
        <v>423332229</v>
      </c>
      <c r="ET32" s="19">
        <v>30000000</v>
      </c>
      <c r="EU32" s="19"/>
      <c r="EV32" s="19">
        <v>131558128</v>
      </c>
      <c r="EW32" s="19"/>
      <c r="EX32" s="19"/>
      <c r="EY32" s="19"/>
      <c r="EZ32" s="19">
        <v>146667474</v>
      </c>
      <c r="FA32" s="19">
        <v>1201170467</v>
      </c>
      <c r="FB32" s="19"/>
      <c r="FC32" s="19">
        <v>203000000</v>
      </c>
      <c r="FD32" s="19">
        <v>100000000</v>
      </c>
      <c r="FE32" s="19">
        <v>1200000000</v>
      </c>
      <c r="FF32" s="19"/>
      <c r="FG32" s="19">
        <v>413333336</v>
      </c>
      <c r="FH32" s="19"/>
      <c r="FI32" s="19"/>
      <c r="FJ32" s="19"/>
      <c r="FK32" s="19">
        <v>96083306</v>
      </c>
      <c r="FL32" s="19">
        <v>200000000</v>
      </c>
      <c r="FM32" s="19"/>
      <c r="FN32" s="19">
        <v>0</v>
      </c>
      <c r="FO32" s="19">
        <v>15480000</v>
      </c>
      <c r="FP32" s="19">
        <v>200000000</v>
      </c>
      <c r="FQ32" s="19">
        <v>0</v>
      </c>
      <c r="FR32" s="19"/>
      <c r="FS32" s="19"/>
      <c r="FT32" s="19"/>
      <c r="FU32" s="19" t="s">
        <v>152</v>
      </c>
      <c r="FV32" s="19">
        <v>945800561</v>
      </c>
      <c r="FW32" s="19"/>
      <c r="FX32" s="19"/>
      <c r="FY32" s="19"/>
      <c r="FZ32" s="19"/>
      <c r="GA32" s="19">
        <v>16560674</v>
      </c>
      <c r="GB32" s="19"/>
      <c r="GC32" s="19"/>
      <c r="GD32" s="19" t="s">
        <v>96</v>
      </c>
      <c r="GE32" s="19"/>
      <c r="GF32" s="19"/>
      <c r="GG32" s="19">
        <v>136511667</v>
      </c>
      <c r="GH32" s="19">
        <v>330000000</v>
      </c>
      <c r="GI32" s="19">
        <v>108045000</v>
      </c>
      <c r="GJ32" s="19">
        <v>19000000</v>
      </c>
      <c r="GK32" s="19"/>
      <c r="GL32" s="19"/>
      <c r="GM32" s="19">
        <v>42502684</v>
      </c>
      <c r="GN32" s="19">
        <v>49842723</v>
      </c>
      <c r="GO32" s="19">
        <v>998022439</v>
      </c>
      <c r="GP32" s="19">
        <v>2315610000</v>
      </c>
      <c r="GQ32" s="19"/>
      <c r="GR32" s="19">
        <v>340000000</v>
      </c>
      <c r="GS32" s="19"/>
      <c r="GT32" s="19">
        <v>108045000</v>
      </c>
      <c r="GU32" s="19"/>
      <c r="GV32" s="19" t="s">
        <v>89</v>
      </c>
      <c r="GW32" s="19">
        <v>500000000</v>
      </c>
      <c r="GX32" s="19">
        <v>496760000</v>
      </c>
      <c r="GY32" s="19"/>
      <c r="GZ32" s="19"/>
      <c r="HA32" s="19">
        <v>252712424</v>
      </c>
      <c r="HB32" s="19"/>
      <c r="HC32" s="19">
        <v>400000000</v>
      </c>
      <c r="HD32" s="19" t="s">
        <v>89</v>
      </c>
      <c r="HE32" s="19">
        <v>300000000</v>
      </c>
      <c r="HF32" s="19">
        <v>164500000</v>
      </c>
      <c r="HG32" s="19"/>
      <c r="HH32" s="19"/>
      <c r="HI32" s="19"/>
      <c r="HJ32" s="19">
        <v>429330507</v>
      </c>
      <c r="HK32" s="19">
        <v>100000000</v>
      </c>
      <c r="HL32" s="19"/>
      <c r="HM32" s="19">
        <v>37974960</v>
      </c>
      <c r="HN32" s="19"/>
      <c r="HO32" s="19">
        <v>199890456</v>
      </c>
      <c r="HP32" s="19" t="s">
        <v>89</v>
      </c>
    </row>
    <row r="33" spans="1:224">
      <c r="A33" s="7" t="s">
        <v>5</v>
      </c>
      <c r="B33" s="11" t="s">
        <v>45</v>
      </c>
      <c r="C33" s="19"/>
      <c r="D33" s="19">
        <v>494748</v>
      </c>
      <c r="E33" s="19">
        <v>25000000</v>
      </c>
      <c r="F33" s="19">
        <v>107000000</v>
      </c>
      <c r="G33" s="19">
        <v>2000000</v>
      </c>
      <c r="H33" s="19">
        <v>150000000</v>
      </c>
      <c r="I33" s="19">
        <v>1769970000</v>
      </c>
      <c r="J33" s="19" t="s">
        <v>4</v>
      </c>
      <c r="K33" s="19"/>
      <c r="L33" s="19"/>
      <c r="M33" s="19" t="s">
        <v>96</v>
      </c>
      <c r="N33" s="19"/>
      <c r="O33" s="19">
        <v>241372620</v>
      </c>
      <c r="P33" s="19">
        <v>874418156</v>
      </c>
      <c r="Q33" s="19"/>
      <c r="R33" s="19">
        <v>100000000</v>
      </c>
      <c r="S33" s="19">
        <v>329389721</v>
      </c>
      <c r="T33" s="19" t="s">
        <v>96</v>
      </c>
      <c r="U33" s="19">
        <v>449927302</v>
      </c>
      <c r="V33" s="19">
        <v>250000000</v>
      </c>
      <c r="W33" s="19">
        <v>37000000</v>
      </c>
      <c r="X33" s="19"/>
      <c r="Y33" s="19">
        <v>10000000</v>
      </c>
      <c r="Z33" s="19"/>
      <c r="AA33" s="19">
        <v>300000000</v>
      </c>
      <c r="AB33" s="19"/>
      <c r="AC33" s="19"/>
      <c r="AD33" s="19"/>
      <c r="AE33" s="19">
        <v>310000000</v>
      </c>
      <c r="AF33" s="19"/>
      <c r="AG33" s="19">
        <v>150000000</v>
      </c>
      <c r="AH33" s="19"/>
      <c r="AI33" s="19">
        <v>275000004</v>
      </c>
      <c r="AJ33" s="19">
        <v>4000000</v>
      </c>
      <c r="AK33" s="19" t="s">
        <v>89</v>
      </c>
      <c r="AL33" s="19">
        <v>135414493</v>
      </c>
      <c r="AM33" s="19" t="s">
        <v>4</v>
      </c>
      <c r="AN33" s="19"/>
      <c r="AO33" s="19"/>
      <c r="AP33" s="19">
        <v>69522549</v>
      </c>
      <c r="AQ33" s="19" t="s">
        <v>4</v>
      </c>
      <c r="AR33" s="19"/>
      <c r="AS33" s="19"/>
      <c r="AT33" s="19">
        <v>50000000</v>
      </c>
      <c r="AU33" s="19">
        <v>194385000</v>
      </c>
      <c r="AV33" s="19">
        <v>3346387</v>
      </c>
      <c r="AW33" s="19"/>
      <c r="AX33" s="19" t="s">
        <v>4</v>
      </c>
      <c r="AY33" s="19"/>
      <c r="AZ33" s="19"/>
      <c r="BA33" s="19">
        <v>100000000</v>
      </c>
      <c r="BB33" s="19"/>
      <c r="BC33" s="19">
        <v>10000000</v>
      </c>
      <c r="BD33" s="19">
        <v>1527280</v>
      </c>
      <c r="BE33" s="19">
        <v>238031450</v>
      </c>
      <c r="BF33" s="19"/>
      <c r="BG33" s="19">
        <v>119223403</v>
      </c>
      <c r="BH33" s="19"/>
      <c r="BI33" s="19"/>
      <c r="BJ33" s="19">
        <v>260720884</v>
      </c>
      <c r="BK33" s="19"/>
      <c r="BL33" s="19">
        <v>7141034</v>
      </c>
      <c r="BM33" s="19"/>
      <c r="BN33" s="19"/>
      <c r="BO33" s="19">
        <v>6200000</v>
      </c>
      <c r="BP33" s="19"/>
      <c r="BQ33" s="19" t="s">
        <v>96</v>
      </c>
      <c r="BR33" s="19"/>
      <c r="BS33" s="19"/>
      <c r="BT33" s="19"/>
      <c r="BU33" s="19">
        <v>800000000</v>
      </c>
      <c r="BV33" s="19"/>
      <c r="BW33" s="19"/>
      <c r="BX33" s="19"/>
      <c r="BY33" s="19">
        <v>336699059</v>
      </c>
      <c r="BZ33" s="19"/>
      <c r="CA33" s="19">
        <v>10000000</v>
      </c>
      <c r="CB33" s="19"/>
      <c r="CC33" s="19"/>
      <c r="CD33" s="19"/>
      <c r="CE33" s="19"/>
      <c r="CF33" s="19"/>
      <c r="CG33" s="19"/>
      <c r="CH33" s="19"/>
      <c r="CI33" s="19" t="s">
        <v>89</v>
      </c>
      <c r="CJ33" s="19"/>
      <c r="CK33" s="19">
        <v>297444091</v>
      </c>
      <c r="CL33" s="19">
        <v>20923000</v>
      </c>
      <c r="CM33" s="19"/>
      <c r="CN33" s="19"/>
      <c r="CO33" s="19">
        <v>246983</v>
      </c>
      <c r="CP33" s="19">
        <v>7016411</v>
      </c>
      <c r="CQ33" s="19" t="s">
        <v>96</v>
      </c>
      <c r="CR33" s="19"/>
      <c r="CS33" s="19"/>
      <c r="CT33" s="19"/>
      <c r="CU33" s="19">
        <v>24666986</v>
      </c>
      <c r="CV33" s="19">
        <v>1434377</v>
      </c>
      <c r="CW33" s="19"/>
      <c r="CX33" s="19">
        <v>158010723</v>
      </c>
      <c r="CY33" s="19"/>
      <c r="CZ33" s="19"/>
      <c r="DA33" s="19"/>
      <c r="DB33" s="19"/>
      <c r="DC33" s="19">
        <v>17500000</v>
      </c>
      <c r="DD33" s="19">
        <v>44000000</v>
      </c>
      <c r="DE33" s="19"/>
      <c r="DF33" s="19"/>
      <c r="DG33" s="19">
        <v>100000000</v>
      </c>
      <c r="DH33" s="19">
        <v>33887064</v>
      </c>
      <c r="DI33" s="19">
        <v>112000000</v>
      </c>
      <c r="DJ33" s="19"/>
      <c r="DK33" s="19">
        <v>50000000</v>
      </c>
      <c r="DL33" s="19"/>
      <c r="DM33" s="19"/>
      <c r="DN33" s="19"/>
      <c r="DO33" s="19"/>
      <c r="DP33" s="19"/>
      <c r="DQ33" s="19"/>
      <c r="DR33" s="19"/>
      <c r="DS33" s="19"/>
      <c r="DT33" s="19"/>
      <c r="DU33" s="19">
        <v>50000000</v>
      </c>
      <c r="DV33" s="19"/>
      <c r="DW33" s="19"/>
      <c r="DX33" s="19"/>
      <c r="DY33" s="19"/>
      <c r="DZ33" s="19"/>
      <c r="EA33" s="19"/>
      <c r="EB33" s="19"/>
      <c r="EC33" s="19"/>
      <c r="ED33" s="19"/>
      <c r="EE33" s="19"/>
      <c r="EF33" s="19">
        <v>5000000</v>
      </c>
      <c r="EG33" s="19">
        <v>206737022</v>
      </c>
      <c r="EH33" s="19">
        <v>265800000</v>
      </c>
      <c r="EI33" s="19">
        <v>385727111</v>
      </c>
      <c r="EJ33" s="19">
        <v>30532869</v>
      </c>
      <c r="EK33" s="19" t="s">
        <v>89</v>
      </c>
      <c r="EL33" s="19">
        <v>514059257</v>
      </c>
      <c r="EM33" s="19"/>
      <c r="EN33" s="19">
        <v>292806854</v>
      </c>
      <c r="EO33" s="19">
        <v>149500000</v>
      </c>
      <c r="EP33" s="19"/>
      <c r="EQ33" s="19"/>
      <c r="ER33" s="19"/>
      <c r="ES33" s="19"/>
      <c r="ET33" s="19">
        <v>23322856</v>
      </c>
      <c r="EU33" s="19">
        <v>86391191</v>
      </c>
      <c r="EV33" s="19"/>
      <c r="EW33" s="19">
        <v>10000000</v>
      </c>
      <c r="EX33" s="19"/>
      <c r="EY33" s="19"/>
      <c r="EZ33" s="19">
        <v>45140455</v>
      </c>
      <c r="FA33" s="19">
        <v>876000000</v>
      </c>
      <c r="FB33" s="19"/>
      <c r="FC33" s="19">
        <v>200000000</v>
      </c>
      <c r="FD33" s="19"/>
      <c r="FE33" s="19">
        <v>65056255</v>
      </c>
      <c r="FF33" s="19"/>
      <c r="FG33" s="19">
        <v>44411246</v>
      </c>
      <c r="FH33" s="19"/>
      <c r="FI33" s="19"/>
      <c r="FJ33" s="19"/>
      <c r="FK33" s="19"/>
      <c r="FL33" s="19"/>
      <c r="FM33" s="19"/>
      <c r="FN33" s="19">
        <v>0</v>
      </c>
      <c r="FO33" s="19"/>
      <c r="FP33" s="19"/>
      <c r="FQ33" s="19">
        <v>100000000</v>
      </c>
      <c r="FR33" s="19"/>
      <c r="FS33" s="19"/>
      <c r="FT33" s="19"/>
      <c r="FU33" s="19" t="s">
        <v>152</v>
      </c>
      <c r="FV33" s="19"/>
      <c r="FW33" s="19"/>
      <c r="FX33" s="19"/>
      <c r="FY33" s="19">
        <v>10000000</v>
      </c>
      <c r="FZ33" s="19"/>
      <c r="GA33" s="19">
        <v>0</v>
      </c>
      <c r="GB33" s="19"/>
      <c r="GC33" s="19"/>
      <c r="GD33" s="19" t="s">
        <v>96</v>
      </c>
      <c r="GE33" s="19"/>
      <c r="GF33" s="19"/>
      <c r="GG33" s="19"/>
      <c r="GH33" s="19"/>
      <c r="GI33" s="19"/>
      <c r="GJ33" s="19"/>
      <c r="GK33" s="19"/>
      <c r="GL33" s="19"/>
      <c r="GM33" s="19"/>
      <c r="GN33" s="19">
        <v>18387000</v>
      </c>
      <c r="GO33" s="19">
        <v>1098300000</v>
      </c>
      <c r="GP33" s="19">
        <v>346935419</v>
      </c>
      <c r="GQ33" s="19"/>
      <c r="GR33" s="19"/>
      <c r="GS33" s="19"/>
      <c r="GT33" s="19"/>
      <c r="GU33" s="19">
        <v>19892100</v>
      </c>
      <c r="GV33" s="19" t="s">
        <v>89</v>
      </c>
      <c r="GW33" s="19">
        <v>63460297</v>
      </c>
      <c r="GX33" s="19"/>
      <c r="GY33" s="19">
        <v>71598773</v>
      </c>
      <c r="GZ33" s="19"/>
      <c r="HA33" s="19"/>
      <c r="HB33" s="19"/>
      <c r="HC33" s="19"/>
      <c r="HD33" s="19" t="s">
        <v>89</v>
      </c>
      <c r="HE33" s="19"/>
      <c r="HF33" s="19"/>
      <c r="HG33" s="19">
        <v>9620388</v>
      </c>
      <c r="HH33" s="19"/>
      <c r="HI33" s="19">
        <v>50000000</v>
      </c>
      <c r="HJ33" s="19"/>
      <c r="HK33" s="19"/>
      <c r="HL33" s="19"/>
      <c r="HM33" s="19"/>
      <c r="HN33" s="19"/>
      <c r="HO33" s="19"/>
      <c r="HP33" s="19" t="s">
        <v>89</v>
      </c>
    </row>
    <row r="34" spans="1:224">
      <c r="A34" s="7" t="s">
        <v>5</v>
      </c>
      <c r="B34" s="8" t="s">
        <v>110</v>
      </c>
      <c r="C34" s="19">
        <v>321051145</v>
      </c>
      <c r="D34" s="19">
        <v>1406252721</v>
      </c>
      <c r="E34" s="19">
        <v>377360879</v>
      </c>
      <c r="F34" s="19">
        <v>973521085</v>
      </c>
      <c r="G34" s="19">
        <v>28453512</v>
      </c>
      <c r="H34" s="19">
        <v>266893329</v>
      </c>
      <c r="I34" s="19">
        <v>813206932</v>
      </c>
      <c r="J34" s="19" t="s">
        <v>4</v>
      </c>
      <c r="K34" s="19">
        <v>666124528</v>
      </c>
      <c r="L34" s="19">
        <v>184671365</v>
      </c>
      <c r="M34" s="19" t="s">
        <v>96</v>
      </c>
      <c r="N34" s="19">
        <v>198495992</v>
      </c>
      <c r="O34" s="19">
        <v>1241189723</v>
      </c>
      <c r="P34" s="19">
        <v>1494818641</v>
      </c>
      <c r="Q34" s="19">
        <v>115675392</v>
      </c>
      <c r="R34" s="19">
        <v>74792815</v>
      </c>
      <c r="S34" s="19">
        <v>1622727289</v>
      </c>
      <c r="T34" s="19" t="s">
        <v>96</v>
      </c>
      <c r="U34" s="19">
        <v>2180472948</v>
      </c>
      <c r="V34" s="19">
        <v>-285886349</v>
      </c>
      <c r="W34" s="19">
        <v>-101808248</v>
      </c>
      <c r="X34" s="19">
        <v>2632294910</v>
      </c>
      <c r="Y34" s="19">
        <v>371763306</v>
      </c>
      <c r="Z34" s="19">
        <v>372821003</v>
      </c>
      <c r="AA34" s="19">
        <v>1315930431</v>
      </c>
      <c r="AB34" s="19">
        <v>220842775</v>
      </c>
      <c r="AC34" s="19">
        <v>555824796</v>
      </c>
      <c r="AD34" s="19">
        <v>659729722</v>
      </c>
      <c r="AE34" s="19">
        <v>644222095</v>
      </c>
      <c r="AF34" s="19">
        <v>410108353</v>
      </c>
      <c r="AG34" s="19">
        <v>-142021463</v>
      </c>
      <c r="AH34" s="19">
        <v>1120662843</v>
      </c>
      <c r="AI34" s="19">
        <v>110393668</v>
      </c>
      <c r="AJ34" s="19">
        <v>568779524</v>
      </c>
      <c r="AK34" s="19" t="s">
        <v>89</v>
      </c>
      <c r="AL34" s="19">
        <v>97711895</v>
      </c>
      <c r="AM34" s="19" t="s">
        <v>4</v>
      </c>
      <c r="AN34" s="19">
        <v>230061136</v>
      </c>
      <c r="AO34" s="19">
        <v>1275271486</v>
      </c>
      <c r="AP34" s="19">
        <v>560125814</v>
      </c>
      <c r="AQ34" s="19" t="s">
        <v>4</v>
      </c>
      <c r="AR34" s="19">
        <v>106954871</v>
      </c>
      <c r="AS34" s="19">
        <v>466579896</v>
      </c>
      <c r="AT34" s="19">
        <v>395127890</v>
      </c>
      <c r="AU34" s="19">
        <v>-649066060</v>
      </c>
      <c r="AV34" s="19">
        <v>237064378</v>
      </c>
      <c r="AW34" s="19">
        <v>15965914</v>
      </c>
      <c r="AX34" s="19" t="s">
        <v>4</v>
      </c>
      <c r="AY34" s="19">
        <v>290663937</v>
      </c>
      <c r="AZ34" s="19">
        <v>331484513</v>
      </c>
      <c r="BA34" s="19">
        <v>104403283</v>
      </c>
      <c r="BB34" s="19">
        <v>30225387</v>
      </c>
      <c r="BC34" s="19">
        <v>676966098</v>
      </c>
      <c r="BD34" s="19">
        <v>78719036</v>
      </c>
      <c r="BE34" s="19">
        <v>404421602</v>
      </c>
      <c r="BF34" s="19">
        <v>919821941</v>
      </c>
      <c r="BG34" s="19">
        <v>491577889</v>
      </c>
      <c r="BH34" s="19">
        <v>154252418</v>
      </c>
      <c r="BI34" s="19">
        <v>641714553</v>
      </c>
      <c r="BJ34" s="19">
        <v>155255274</v>
      </c>
      <c r="BK34" s="19">
        <v>164722251</v>
      </c>
      <c r="BL34" s="19">
        <v>291872212</v>
      </c>
      <c r="BM34" s="19">
        <v>405961341</v>
      </c>
      <c r="BN34" s="19">
        <v>206220250</v>
      </c>
      <c r="BO34" s="19">
        <v>107388093</v>
      </c>
      <c r="BP34" s="19">
        <v>8035176</v>
      </c>
      <c r="BQ34" s="19" t="s">
        <v>96</v>
      </c>
      <c r="BR34" s="19">
        <v>773346638</v>
      </c>
      <c r="BS34" s="19">
        <v>19195018</v>
      </c>
      <c r="BT34" s="19">
        <v>13725780</v>
      </c>
      <c r="BU34" s="19">
        <v>60519268</v>
      </c>
      <c r="BV34" s="19">
        <v>298969483</v>
      </c>
      <c r="BW34" s="19">
        <v>-4432094</v>
      </c>
      <c r="BX34" s="19">
        <v>163328469</v>
      </c>
      <c r="BY34" s="19">
        <v>-1090681437</v>
      </c>
      <c r="BZ34" s="19">
        <v>791294497</v>
      </c>
      <c r="CA34" s="19">
        <v>176485906</v>
      </c>
      <c r="CB34" s="19">
        <v>102256961</v>
      </c>
      <c r="CC34" s="19">
        <v>-8118235</v>
      </c>
      <c r="CD34" s="19">
        <v>237683944</v>
      </c>
      <c r="CE34" s="19">
        <v>285141970</v>
      </c>
      <c r="CF34" s="19">
        <v>-967969109</v>
      </c>
      <c r="CG34" s="19">
        <v>262026991</v>
      </c>
      <c r="CH34" s="19">
        <v>33982215</v>
      </c>
      <c r="CI34" s="19" t="s">
        <v>89</v>
      </c>
      <c r="CJ34" s="19">
        <v>66121818</v>
      </c>
      <c r="CK34" s="19">
        <v>817714641</v>
      </c>
      <c r="CL34" s="19">
        <v>177521769</v>
      </c>
      <c r="CM34" s="19">
        <v>1284821617</v>
      </c>
      <c r="CN34" s="19">
        <v>22282816</v>
      </c>
      <c r="CO34" s="19">
        <v>190714104</v>
      </c>
      <c r="CP34" s="19">
        <v>191996785</v>
      </c>
      <c r="CQ34" s="19" t="s">
        <v>96</v>
      </c>
      <c r="CR34" s="19">
        <v>605959442</v>
      </c>
      <c r="CS34" s="19">
        <v>1311689136</v>
      </c>
      <c r="CT34" s="19">
        <v>500123104</v>
      </c>
      <c r="CU34" s="19">
        <v>337819750</v>
      </c>
      <c r="CV34" s="19">
        <v>-259120861</v>
      </c>
      <c r="CW34" s="19">
        <v>1409162093</v>
      </c>
      <c r="CX34" s="19">
        <v>2113393991</v>
      </c>
      <c r="CY34" s="19">
        <v>866186439</v>
      </c>
      <c r="CZ34" s="19">
        <v>187327989</v>
      </c>
      <c r="DA34" s="19">
        <v>64947055</v>
      </c>
      <c r="DB34" s="19">
        <v>408948549</v>
      </c>
      <c r="DC34" s="19">
        <v>-52065785</v>
      </c>
      <c r="DD34" s="19">
        <v>32324503</v>
      </c>
      <c r="DE34" s="19">
        <v>649183567</v>
      </c>
      <c r="DF34" s="19">
        <v>32249136</v>
      </c>
      <c r="DG34" s="19">
        <v>229872578</v>
      </c>
      <c r="DH34" s="19">
        <v>75755710</v>
      </c>
      <c r="DI34" s="19">
        <v>787158409</v>
      </c>
      <c r="DJ34" s="19">
        <v>87411290</v>
      </c>
      <c r="DK34" s="19">
        <v>1008246052</v>
      </c>
      <c r="DL34" s="19">
        <v>4955639</v>
      </c>
      <c r="DM34" s="19">
        <v>323008148</v>
      </c>
      <c r="DN34" s="19">
        <v>14999553</v>
      </c>
      <c r="DO34" s="19">
        <v>85124158</v>
      </c>
      <c r="DP34" s="19">
        <v>255752242</v>
      </c>
      <c r="DQ34" s="19">
        <v>127124373</v>
      </c>
      <c r="DR34" s="19">
        <v>201108248</v>
      </c>
      <c r="DS34" s="19">
        <v>-45525711</v>
      </c>
      <c r="DT34" s="19">
        <v>552583251</v>
      </c>
      <c r="DU34" s="19">
        <v>107632255</v>
      </c>
      <c r="DV34" s="19">
        <v>561502189</v>
      </c>
      <c r="DW34" s="19">
        <v>719735562</v>
      </c>
      <c r="DX34" s="19">
        <v>1425294599</v>
      </c>
      <c r="DY34" s="19">
        <v>114825283</v>
      </c>
      <c r="DZ34" s="19">
        <v>571098136</v>
      </c>
      <c r="EA34" s="19">
        <v>26262787</v>
      </c>
      <c r="EB34" s="19">
        <v>302872435</v>
      </c>
      <c r="EC34" s="19">
        <v>49963144</v>
      </c>
      <c r="ED34" s="19">
        <v>-60527750</v>
      </c>
      <c r="EE34" s="19">
        <v>68505336</v>
      </c>
      <c r="EF34" s="19">
        <v>1209054078</v>
      </c>
      <c r="EG34" s="19">
        <v>1624671840</v>
      </c>
      <c r="EH34" s="19">
        <v>525629685</v>
      </c>
      <c r="EI34" s="19">
        <v>570759116</v>
      </c>
      <c r="EJ34" s="19">
        <v>117683384</v>
      </c>
      <c r="EK34" s="19" t="s">
        <v>89</v>
      </c>
      <c r="EL34" s="19">
        <v>1350202238</v>
      </c>
      <c r="EM34" s="19">
        <v>473825949</v>
      </c>
      <c r="EN34" s="19">
        <v>1258947377</v>
      </c>
      <c r="EO34" s="19">
        <v>246831873</v>
      </c>
      <c r="EP34" s="19">
        <v>672750696</v>
      </c>
      <c r="EQ34" s="19">
        <v>303828146</v>
      </c>
      <c r="ER34" s="19">
        <v>763693686</v>
      </c>
      <c r="ES34" s="19">
        <v>422500369</v>
      </c>
      <c r="ET34" s="19">
        <v>1257320792</v>
      </c>
      <c r="EU34" s="19">
        <v>313343872</v>
      </c>
      <c r="EV34" s="19">
        <v>32268437</v>
      </c>
      <c r="EW34" s="19">
        <v>17456731</v>
      </c>
      <c r="EX34" s="19">
        <v>661738622</v>
      </c>
      <c r="EY34" s="19">
        <v>1096059073</v>
      </c>
      <c r="EZ34" s="19">
        <v>181668183</v>
      </c>
      <c r="FA34" s="19">
        <v>100650727</v>
      </c>
      <c r="FB34" s="19">
        <v>26182038</v>
      </c>
      <c r="FC34" s="19">
        <v>98753600</v>
      </c>
      <c r="FD34" s="19">
        <v>89553033</v>
      </c>
      <c r="FE34" s="19">
        <v>437938772</v>
      </c>
      <c r="FF34" s="19">
        <v>35136264</v>
      </c>
      <c r="FG34" s="19">
        <v>305289064</v>
      </c>
      <c r="FH34" s="19">
        <v>20412621</v>
      </c>
      <c r="FI34" s="19">
        <v>38486399</v>
      </c>
      <c r="FJ34" s="19">
        <v>124963469</v>
      </c>
      <c r="FK34" s="19">
        <v>74660986</v>
      </c>
      <c r="FL34" s="19">
        <v>34995736</v>
      </c>
      <c r="FM34" s="19">
        <v>2111162</v>
      </c>
      <c r="FN34" s="19">
        <v>901425549</v>
      </c>
      <c r="FO34" s="19">
        <v>-26568672</v>
      </c>
      <c r="FP34" s="19">
        <v>43448161</v>
      </c>
      <c r="FQ34" s="19">
        <v>-8816043</v>
      </c>
      <c r="FR34" s="19">
        <v>755301</v>
      </c>
      <c r="FS34" s="19">
        <v>24367994</v>
      </c>
      <c r="FT34" s="19">
        <v>689720736</v>
      </c>
      <c r="FU34" s="19" t="s">
        <v>152</v>
      </c>
      <c r="FV34" s="19">
        <v>1030779298</v>
      </c>
      <c r="FW34" s="19">
        <v>49525286</v>
      </c>
      <c r="FX34" s="19">
        <v>-14941431</v>
      </c>
      <c r="FY34" s="19">
        <v>47398552</v>
      </c>
      <c r="FZ34" s="19">
        <v>-175918015</v>
      </c>
      <c r="GA34" s="19">
        <v>145770166</v>
      </c>
      <c r="GB34" s="19">
        <v>72414831</v>
      </c>
      <c r="GC34" s="19">
        <v>67223596</v>
      </c>
      <c r="GD34" s="19" t="s">
        <v>96</v>
      </c>
      <c r="GE34" s="19">
        <v>-7357914</v>
      </c>
      <c r="GF34" s="19">
        <v>41800777</v>
      </c>
      <c r="GG34" s="19">
        <v>45410740</v>
      </c>
      <c r="GH34" s="19">
        <v>-55718913</v>
      </c>
      <c r="GI34" s="19">
        <v>33557535</v>
      </c>
      <c r="GJ34" s="19">
        <v>93324384</v>
      </c>
      <c r="GK34" s="19">
        <v>-31719566</v>
      </c>
      <c r="GL34" s="19">
        <v>15702137</v>
      </c>
      <c r="GM34" s="19">
        <v>52204185</v>
      </c>
      <c r="GN34" s="19">
        <v>112819341</v>
      </c>
      <c r="GO34" s="19">
        <v>-1086519207</v>
      </c>
      <c r="GP34" s="19">
        <v>1246791225</v>
      </c>
      <c r="GQ34" s="19">
        <v>294917567</v>
      </c>
      <c r="GR34" s="19">
        <v>77048854</v>
      </c>
      <c r="GS34" s="19">
        <v>309766995</v>
      </c>
      <c r="GT34" s="19">
        <v>33557535</v>
      </c>
      <c r="GU34" s="19">
        <v>82028211</v>
      </c>
      <c r="GV34" s="19" t="s">
        <v>89</v>
      </c>
      <c r="GW34" s="19">
        <v>2100138195</v>
      </c>
      <c r="GX34" s="19">
        <v>156216208</v>
      </c>
      <c r="GY34" s="19">
        <v>495805212</v>
      </c>
      <c r="GZ34" s="19">
        <v>194194234</v>
      </c>
      <c r="HA34" s="19">
        <v>-396265177</v>
      </c>
      <c r="HB34" s="19">
        <v>182541889</v>
      </c>
      <c r="HC34" s="19">
        <v>-18356686</v>
      </c>
      <c r="HD34" s="19" t="s">
        <v>89</v>
      </c>
      <c r="HE34" s="19">
        <v>21108081</v>
      </c>
      <c r="HF34" s="19">
        <v>332923434</v>
      </c>
      <c r="HG34" s="19">
        <v>118682962</v>
      </c>
      <c r="HH34" s="19">
        <v>58115441</v>
      </c>
      <c r="HI34" s="19">
        <v>91610606</v>
      </c>
      <c r="HJ34" s="19">
        <v>235567422</v>
      </c>
      <c r="HK34" s="19">
        <v>1574378217</v>
      </c>
      <c r="HL34" s="19">
        <v>195473908</v>
      </c>
      <c r="HM34" s="19">
        <v>85177534</v>
      </c>
      <c r="HN34" s="19">
        <v>395165487</v>
      </c>
      <c r="HO34" s="19">
        <v>299334057</v>
      </c>
      <c r="HP34" s="19" t="s">
        <v>89</v>
      </c>
    </row>
    <row r="35" spans="1:224">
      <c r="A35" s="7" t="s">
        <v>5</v>
      </c>
      <c r="B35" s="8" t="s">
        <v>81</v>
      </c>
      <c r="C35" s="19">
        <v>150000000</v>
      </c>
      <c r="D35" s="19">
        <v>688602600</v>
      </c>
      <c r="E35" s="19">
        <v>117000000</v>
      </c>
      <c r="F35" s="19">
        <v>200000000</v>
      </c>
      <c r="G35" s="19">
        <v>30000000</v>
      </c>
      <c r="H35" s="19">
        <v>160441846</v>
      </c>
      <c r="I35" s="19">
        <v>439970000</v>
      </c>
      <c r="J35" s="19" t="s">
        <v>4</v>
      </c>
      <c r="K35" s="19">
        <v>763431000</v>
      </c>
      <c r="L35" s="19">
        <v>90000000</v>
      </c>
      <c r="M35" s="19" t="s">
        <v>96</v>
      </c>
      <c r="N35" s="19">
        <v>50000000</v>
      </c>
      <c r="O35" s="19">
        <v>1198762381</v>
      </c>
      <c r="P35" s="19">
        <v>1040788373</v>
      </c>
      <c r="Q35" s="19">
        <v>10000000</v>
      </c>
      <c r="R35" s="19">
        <v>60000000</v>
      </c>
      <c r="S35" s="19">
        <v>538889000</v>
      </c>
      <c r="T35" s="19" t="s">
        <v>96</v>
      </c>
      <c r="U35" s="19">
        <v>370000000</v>
      </c>
      <c r="V35" s="19">
        <v>110000000</v>
      </c>
      <c r="W35" s="19">
        <v>216190000</v>
      </c>
      <c r="X35" s="19">
        <v>100000000</v>
      </c>
      <c r="Y35" s="19">
        <v>110975000</v>
      </c>
      <c r="Z35" s="19">
        <v>500000000</v>
      </c>
      <c r="AA35" s="19">
        <v>250000000</v>
      </c>
      <c r="AB35" s="19">
        <v>89000000</v>
      </c>
      <c r="AC35" s="19">
        <v>30000000</v>
      </c>
      <c r="AD35" s="19">
        <v>170000000</v>
      </c>
      <c r="AE35" s="19">
        <v>100000000</v>
      </c>
      <c r="AF35" s="19">
        <v>20000000</v>
      </c>
      <c r="AG35" s="19">
        <v>341580000</v>
      </c>
      <c r="AH35" s="19">
        <v>55320000</v>
      </c>
      <c r="AI35" s="19">
        <v>67434000</v>
      </c>
      <c r="AJ35" s="19">
        <v>328820000</v>
      </c>
      <c r="AK35" s="19" t="s">
        <v>89</v>
      </c>
      <c r="AL35" s="19">
        <v>120000000</v>
      </c>
      <c r="AM35" s="19" t="s">
        <v>4</v>
      </c>
      <c r="AN35" s="19">
        <v>50000000</v>
      </c>
      <c r="AO35" s="19">
        <v>322280000</v>
      </c>
      <c r="AP35" s="19">
        <v>830000000</v>
      </c>
      <c r="AQ35" s="19" t="s">
        <v>4</v>
      </c>
      <c r="AR35" s="19">
        <v>50000000</v>
      </c>
      <c r="AS35" s="19">
        <v>50000000</v>
      </c>
      <c r="AT35" s="19">
        <v>200000000</v>
      </c>
      <c r="AU35" s="19">
        <v>250000000</v>
      </c>
      <c r="AV35" s="19">
        <v>161000000</v>
      </c>
      <c r="AW35" s="19">
        <v>5000000</v>
      </c>
      <c r="AX35" s="19" t="s">
        <v>4</v>
      </c>
      <c r="AY35" s="19">
        <v>231530601</v>
      </c>
      <c r="AZ35" s="19">
        <v>231950000</v>
      </c>
      <c r="BA35" s="19">
        <v>561300000</v>
      </c>
      <c r="BB35" s="19">
        <v>100000000</v>
      </c>
      <c r="BC35" s="19">
        <v>200000000</v>
      </c>
      <c r="BD35" s="19">
        <v>14290000</v>
      </c>
      <c r="BE35" s="19">
        <v>107250000</v>
      </c>
      <c r="BF35" s="19">
        <v>200000000</v>
      </c>
      <c r="BG35" s="19">
        <v>500000000</v>
      </c>
      <c r="BH35" s="19">
        <v>140500000</v>
      </c>
      <c r="BI35" s="19">
        <v>68526000</v>
      </c>
      <c r="BJ35" s="19">
        <v>5000000</v>
      </c>
      <c r="BK35" s="19">
        <v>150265000</v>
      </c>
      <c r="BL35" s="19">
        <v>120000000</v>
      </c>
      <c r="BM35" s="19">
        <v>2450000</v>
      </c>
      <c r="BN35" s="19">
        <v>11250000</v>
      </c>
      <c r="BO35" s="19">
        <v>100000000</v>
      </c>
      <c r="BP35" s="19">
        <v>5000000</v>
      </c>
      <c r="BQ35" s="19" t="s">
        <v>96</v>
      </c>
      <c r="BR35" s="19">
        <v>1188000</v>
      </c>
      <c r="BS35" s="19">
        <v>51240000</v>
      </c>
      <c r="BT35" s="19">
        <v>27204662</v>
      </c>
      <c r="BU35" s="19">
        <v>102715000</v>
      </c>
      <c r="BV35" s="19">
        <v>50000000</v>
      </c>
      <c r="BW35" s="19">
        <v>319000</v>
      </c>
      <c r="BX35" s="19">
        <v>10000000</v>
      </c>
      <c r="BY35" s="19">
        <v>70000000</v>
      </c>
      <c r="BZ35" s="19">
        <v>10000000</v>
      </c>
      <c r="CA35" s="19">
        <v>150000000</v>
      </c>
      <c r="CB35" s="19">
        <v>10000000</v>
      </c>
      <c r="CC35" s="19">
        <v>13550000</v>
      </c>
      <c r="CD35" s="19">
        <v>105215000</v>
      </c>
      <c r="CE35" s="19">
        <v>50000000</v>
      </c>
      <c r="CF35" s="19">
        <v>38460000</v>
      </c>
      <c r="CG35" s="19">
        <v>67550170</v>
      </c>
      <c r="CH35" s="19">
        <v>5000000</v>
      </c>
      <c r="CI35" s="19" t="s">
        <v>89</v>
      </c>
      <c r="CJ35" s="19">
        <v>30000000</v>
      </c>
      <c r="CK35" s="19">
        <v>400000000</v>
      </c>
      <c r="CL35" s="19">
        <v>164000000</v>
      </c>
      <c r="CM35" s="19">
        <v>150000000</v>
      </c>
      <c r="CN35" s="19">
        <v>2000000</v>
      </c>
      <c r="CO35" s="19">
        <v>101460000</v>
      </c>
      <c r="CP35" s="19">
        <v>300000000</v>
      </c>
      <c r="CQ35" s="19" t="s">
        <v>96</v>
      </c>
      <c r="CR35" s="19">
        <v>210000000</v>
      </c>
      <c r="CS35" s="19">
        <v>134491000</v>
      </c>
      <c r="CT35" s="19">
        <v>327339000</v>
      </c>
      <c r="CU35" s="19">
        <v>34116217</v>
      </c>
      <c r="CV35" s="19">
        <v>4400000</v>
      </c>
      <c r="CW35" s="19">
        <v>1094440000</v>
      </c>
      <c r="CX35" s="19">
        <v>363763500</v>
      </c>
      <c r="CY35" s="19">
        <v>260000000</v>
      </c>
      <c r="CZ35" s="19">
        <v>50000000</v>
      </c>
      <c r="DA35" s="19">
        <v>10000000</v>
      </c>
      <c r="DB35" s="19">
        <v>50000000</v>
      </c>
      <c r="DC35" s="19">
        <v>5000000</v>
      </c>
      <c r="DD35" s="19">
        <v>50000000</v>
      </c>
      <c r="DE35" s="19">
        <v>510000000</v>
      </c>
      <c r="DF35" s="19">
        <v>40000000</v>
      </c>
      <c r="DG35" s="19">
        <v>150000000</v>
      </c>
      <c r="DH35" s="19">
        <v>286000000</v>
      </c>
      <c r="DI35" s="19">
        <v>500000000</v>
      </c>
      <c r="DJ35" s="19">
        <v>13800000</v>
      </c>
      <c r="DK35" s="19">
        <v>150500000</v>
      </c>
      <c r="DL35" s="19">
        <v>11050000</v>
      </c>
      <c r="DM35" s="19">
        <v>300000000</v>
      </c>
      <c r="DN35" s="19">
        <v>25350000</v>
      </c>
      <c r="DO35" s="19">
        <v>10000000</v>
      </c>
      <c r="DP35" s="19">
        <v>50000000</v>
      </c>
      <c r="DQ35" s="19">
        <v>50000000</v>
      </c>
      <c r="DR35" s="19">
        <v>165870000</v>
      </c>
      <c r="DS35" s="19">
        <v>80000000</v>
      </c>
      <c r="DT35" s="19">
        <v>75000000</v>
      </c>
      <c r="DU35" s="19">
        <v>25000000</v>
      </c>
      <c r="DV35" s="19">
        <v>2000000</v>
      </c>
      <c r="DW35" s="19">
        <v>100000000</v>
      </c>
      <c r="DX35" s="19">
        <v>116665000</v>
      </c>
      <c r="DY35" s="19">
        <v>60000000</v>
      </c>
      <c r="DZ35" s="19">
        <v>200000000</v>
      </c>
      <c r="EA35" s="19">
        <v>5000000</v>
      </c>
      <c r="EB35" s="19">
        <v>130000000</v>
      </c>
      <c r="EC35" s="19">
        <v>3000000</v>
      </c>
      <c r="ED35" s="19">
        <v>1000000</v>
      </c>
      <c r="EE35" s="19">
        <v>50000000</v>
      </c>
      <c r="EF35" s="19">
        <v>500000000</v>
      </c>
      <c r="EG35" s="19">
        <v>20070700</v>
      </c>
      <c r="EH35" s="19">
        <v>550000000</v>
      </c>
      <c r="EI35" s="19">
        <v>8275500</v>
      </c>
      <c r="EJ35" s="19">
        <v>27800000</v>
      </c>
      <c r="EK35" s="19" t="s">
        <v>89</v>
      </c>
      <c r="EL35" s="19">
        <v>390962457</v>
      </c>
      <c r="EM35" s="19">
        <v>12500000</v>
      </c>
      <c r="EN35" s="19">
        <v>50000000</v>
      </c>
      <c r="EO35" s="19">
        <v>50000000</v>
      </c>
      <c r="EP35" s="19">
        <v>631685589</v>
      </c>
      <c r="EQ35" s="19">
        <v>10000000</v>
      </c>
      <c r="ER35" s="19">
        <v>1132862008</v>
      </c>
      <c r="ES35" s="19">
        <v>800000000</v>
      </c>
      <c r="ET35" s="19">
        <v>187029900</v>
      </c>
      <c r="EU35" s="19">
        <v>19625000</v>
      </c>
      <c r="EV35" s="19">
        <v>40000000</v>
      </c>
      <c r="EW35" s="19">
        <v>90000000</v>
      </c>
      <c r="EX35" s="19">
        <v>100000000</v>
      </c>
      <c r="EY35" s="19">
        <v>120000000</v>
      </c>
      <c r="EZ35" s="19">
        <v>422054891</v>
      </c>
      <c r="FA35" s="19">
        <v>75000000</v>
      </c>
      <c r="FB35" s="19"/>
      <c r="FC35" s="19">
        <v>108360000</v>
      </c>
      <c r="FD35" s="19">
        <v>1000000</v>
      </c>
      <c r="FE35" s="19">
        <v>100000000</v>
      </c>
      <c r="FF35" s="19">
        <v>1400000</v>
      </c>
      <c r="FG35" s="19">
        <v>50000000</v>
      </c>
      <c r="FH35" s="19">
        <v>50000000</v>
      </c>
      <c r="FI35" s="19">
        <v>10000000</v>
      </c>
      <c r="FJ35" s="19">
        <v>50000000</v>
      </c>
      <c r="FK35" s="19">
        <v>111000000</v>
      </c>
      <c r="FL35" s="19">
        <v>10000000</v>
      </c>
      <c r="FM35" s="19">
        <v>10000000</v>
      </c>
      <c r="FN35" s="19">
        <v>315609000</v>
      </c>
      <c r="FO35" s="19">
        <v>100000</v>
      </c>
      <c r="FP35" s="19">
        <v>23165000</v>
      </c>
      <c r="FQ35" s="19">
        <v>20300000</v>
      </c>
      <c r="FR35" s="19">
        <v>1000000</v>
      </c>
      <c r="FS35" s="19">
        <v>5000000</v>
      </c>
      <c r="FT35" s="19">
        <v>127280000</v>
      </c>
      <c r="FU35" s="19" t="s">
        <v>152</v>
      </c>
      <c r="FV35" s="19">
        <v>544142200</v>
      </c>
      <c r="FW35" s="19">
        <v>50000000</v>
      </c>
      <c r="FX35" s="19">
        <v>10870000</v>
      </c>
      <c r="FY35" s="19">
        <v>100000000</v>
      </c>
      <c r="FZ35" s="19">
        <v>31578800</v>
      </c>
      <c r="GA35" s="19">
        <v>15000000</v>
      </c>
      <c r="GB35" s="19">
        <v>85000000</v>
      </c>
      <c r="GC35" s="19">
        <v>10000000</v>
      </c>
      <c r="GD35" s="19" t="s">
        <v>96</v>
      </c>
      <c r="GE35" s="19">
        <v>10664500</v>
      </c>
      <c r="GF35" s="19">
        <v>25000000</v>
      </c>
      <c r="GG35" s="19">
        <v>300000000</v>
      </c>
      <c r="GH35" s="19">
        <v>30000000</v>
      </c>
      <c r="GI35" s="19">
        <v>50000000</v>
      </c>
      <c r="GJ35" s="19"/>
      <c r="GK35" s="19">
        <v>20000000</v>
      </c>
      <c r="GL35" s="19">
        <v>10000000</v>
      </c>
      <c r="GM35" s="19">
        <v>64400000</v>
      </c>
      <c r="GN35" s="19">
        <v>100000000</v>
      </c>
      <c r="GO35" s="19">
        <v>14167000</v>
      </c>
      <c r="GP35" s="19">
        <v>250000000</v>
      </c>
      <c r="GQ35" s="19">
        <v>1122200</v>
      </c>
      <c r="GR35" s="19">
        <v>10770000</v>
      </c>
      <c r="GS35" s="19">
        <v>330000000</v>
      </c>
      <c r="GT35" s="19">
        <v>50000000</v>
      </c>
      <c r="GU35" s="19">
        <v>81190000</v>
      </c>
      <c r="GV35" s="19" t="s">
        <v>89</v>
      </c>
      <c r="GW35" s="19">
        <v>223898500</v>
      </c>
      <c r="GX35" s="19">
        <v>150000000</v>
      </c>
      <c r="GY35" s="19">
        <v>510670000</v>
      </c>
      <c r="GZ35" s="19">
        <v>10000000</v>
      </c>
      <c r="HA35" s="19">
        <v>123400</v>
      </c>
      <c r="HB35" s="19">
        <v>12389064</v>
      </c>
      <c r="HC35" s="19">
        <v>200000000</v>
      </c>
      <c r="HD35" s="19" t="s">
        <v>89</v>
      </c>
      <c r="HE35" s="19">
        <v>34325000</v>
      </c>
      <c r="HF35" s="19">
        <v>50000000</v>
      </c>
      <c r="HG35" s="19">
        <v>50000000</v>
      </c>
      <c r="HH35" s="19">
        <v>120000000</v>
      </c>
      <c r="HI35" s="19">
        <v>300000000</v>
      </c>
      <c r="HJ35" s="19">
        <v>50000000</v>
      </c>
      <c r="HK35" s="19">
        <v>49455000</v>
      </c>
      <c r="HL35" s="19">
        <v>115682403</v>
      </c>
      <c r="HM35" s="19">
        <v>50000000</v>
      </c>
      <c r="HN35" s="19">
        <v>500000000</v>
      </c>
      <c r="HO35" s="19">
        <v>70000000</v>
      </c>
      <c r="HP35" s="19" t="s">
        <v>89</v>
      </c>
    </row>
    <row r="36" spans="1:224">
      <c r="A36" s="7" t="s">
        <v>5</v>
      </c>
      <c r="B36" s="8" t="s">
        <v>11</v>
      </c>
      <c r="C36" s="19">
        <v>0</v>
      </c>
      <c r="D36" s="19">
        <v>0</v>
      </c>
      <c r="E36" s="19">
        <v>0</v>
      </c>
      <c r="F36" s="19">
        <v>0</v>
      </c>
      <c r="G36" s="19">
        <v>0</v>
      </c>
      <c r="H36" s="19">
        <v>0</v>
      </c>
      <c r="I36" s="19">
        <v>0</v>
      </c>
      <c r="J36" s="19" t="s">
        <v>4</v>
      </c>
      <c r="K36" s="19">
        <v>0</v>
      </c>
      <c r="L36" s="19">
        <v>64083618</v>
      </c>
      <c r="M36" s="19" t="s">
        <v>96</v>
      </c>
      <c r="N36" s="19">
        <v>0</v>
      </c>
      <c r="O36" s="19">
        <v>0</v>
      </c>
      <c r="P36" s="19">
        <v>0</v>
      </c>
      <c r="Q36" s="19">
        <v>0</v>
      </c>
      <c r="R36" s="19">
        <v>0</v>
      </c>
      <c r="S36" s="19">
        <v>342268884</v>
      </c>
      <c r="T36" s="19" t="s">
        <v>96</v>
      </c>
      <c r="U36" s="19">
        <v>1530000000</v>
      </c>
      <c r="V36" s="19">
        <v>190000000</v>
      </c>
      <c r="W36" s="19">
        <v>354830100</v>
      </c>
      <c r="X36" s="19">
        <v>0</v>
      </c>
      <c r="Y36" s="19">
        <v>153650000</v>
      </c>
      <c r="Z36" s="19">
        <v>0</v>
      </c>
      <c r="AA36" s="19">
        <v>0</v>
      </c>
      <c r="AB36" s="19">
        <v>0</v>
      </c>
      <c r="AC36" s="19">
        <v>0</v>
      </c>
      <c r="AD36" s="19">
        <v>99580870</v>
      </c>
      <c r="AE36" s="19">
        <v>0</v>
      </c>
      <c r="AF36" s="19">
        <v>0</v>
      </c>
      <c r="AG36" s="19">
        <v>167006000</v>
      </c>
      <c r="AH36" s="19">
        <v>790076520</v>
      </c>
      <c r="AI36" s="19">
        <v>350082000</v>
      </c>
      <c r="AJ36" s="19">
        <v>0</v>
      </c>
      <c r="AK36" s="19" t="s">
        <v>89</v>
      </c>
      <c r="AL36" s="19">
        <v>0</v>
      </c>
      <c r="AM36" s="19" t="s">
        <v>4</v>
      </c>
      <c r="AN36" s="19">
        <v>0</v>
      </c>
      <c r="AO36" s="19">
        <v>2525278740</v>
      </c>
      <c r="AP36" s="19">
        <v>0</v>
      </c>
      <c r="AQ36" s="19" t="s">
        <v>4</v>
      </c>
      <c r="AR36" s="19">
        <v>0</v>
      </c>
      <c r="AS36" s="19">
        <v>0</v>
      </c>
      <c r="AT36" s="19">
        <v>0</v>
      </c>
      <c r="AU36" s="19">
        <v>0</v>
      </c>
      <c r="AV36" s="19">
        <v>0</v>
      </c>
      <c r="AW36" s="19">
        <v>0</v>
      </c>
      <c r="AX36" s="19" t="s">
        <v>4</v>
      </c>
      <c r="AY36" s="19">
        <v>0</v>
      </c>
      <c r="AZ36" s="19">
        <v>23050000</v>
      </c>
      <c r="BA36" s="19">
        <v>0</v>
      </c>
      <c r="BB36" s="19">
        <v>0</v>
      </c>
      <c r="BC36" s="19">
        <v>0</v>
      </c>
      <c r="BD36" s="19">
        <v>45709950</v>
      </c>
      <c r="BE36" s="19">
        <v>285048797</v>
      </c>
      <c r="BF36" s="19">
        <v>0</v>
      </c>
      <c r="BG36" s="19">
        <v>1700000000</v>
      </c>
      <c r="BH36" s="19">
        <v>0</v>
      </c>
      <c r="BI36" s="19">
        <v>0</v>
      </c>
      <c r="BJ36" s="19">
        <v>0</v>
      </c>
      <c r="BK36" s="19">
        <v>0</v>
      </c>
      <c r="BL36" s="19">
        <v>0</v>
      </c>
      <c r="BM36" s="19">
        <v>0</v>
      </c>
      <c r="BN36" s="19">
        <v>0</v>
      </c>
      <c r="BO36" s="19">
        <v>0</v>
      </c>
      <c r="BP36" s="19">
        <v>0</v>
      </c>
      <c r="BQ36" s="19" t="s">
        <v>96</v>
      </c>
      <c r="BR36" s="19">
        <v>39981396</v>
      </c>
      <c r="BS36" s="19">
        <v>0</v>
      </c>
      <c r="BT36" s="19">
        <v>0</v>
      </c>
      <c r="BU36" s="19">
        <v>0</v>
      </c>
      <c r="BV36" s="19">
        <v>0</v>
      </c>
      <c r="BW36" s="19">
        <v>0</v>
      </c>
      <c r="BX36" s="19">
        <v>0</v>
      </c>
      <c r="BY36" s="19">
        <v>57898253</v>
      </c>
      <c r="BZ36" s="19">
        <v>0</v>
      </c>
      <c r="CA36" s="19">
        <v>0</v>
      </c>
      <c r="CB36" s="19">
        <v>0</v>
      </c>
      <c r="CC36" s="19">
        <v>0</v>
      </c>
      <c r="CD36" s="19">
        <v>43419518</v>
      </c>
      <c r="CE36" s="19">
        <v>0</v>
      </c>
      <c r="CF36" s="19">
        <v>491540642</v>
      </c>
      <c r="CG36" s="19">
        <v>0</v>
      </c>
      <c r="CH36" s="19">
        <v>0</v>
      </c>
      <c r="CI36" s="19" t="s">
        <v>89</v>
      </c>
      <c r="CJ36" s="19">
        <v>0</v>
      </c>
      <c r="CK36" s="19">
        <v>0</v>
      </c>
      <c r="CL36" s="19">
        <v>0</v>
      </c>
      <c r="CM36" s="19">
        <v>0</v>
      </c>
      <c r="CN36" s="19">
        <v>0</v>
      </c>
      <c r="CO36" s="19">
        <v>0</v>
      </c>
      <c r="CP36" s="19">
        <v>0</v>
      </c>
      <c r="CQ36" s="19" t="s">
        <v>96</v>
      </c>
      <c r="CR36" s="19">
        <v>0</v>
      </c>
      <c r="CS36" s="19">
        <v>622431000</v>
      </c>
      <c r="CT36" s="19">
        <v>2968332894</v>
      </c>
      <c r="CU36" s="19">
        <v>0</v>
      </c>
      <c r="CV36" s="19">
        <v>0</v>
      </c>
      <c r="CW36" s="19">
        <v>0</v>
      </c>
      <c r="CX36" s="19">
        <v>3852603670</v>
      </c>
      <c r="CY36" s="19">
        <v>0</v>
      </c>
      <c r="CZ36" s="19">
        <v>0</v>
      </c>
      <c r="DA36" s="19">
        <v>0</v>
      </c>
      <c r="DB36" s="19">
        <v>0</v>
      </c>
      <c r="DC36" s="19">
        <v>0</v>
      </c>
      <c r="DD36" s="19">
        <v>0</v>
      </c>
      <c r="DE36" s="19">
        <v>0</v>
      </c>
      <c r="DF36" s="19">
        <v>0</v>
      </c>
      <c r="DG36" s="19">
        <v>0</v>
      </c>
      <c r="DH36" s="19">
        <v>54935520</v>
      </c>
      <c r="DI36" s="19">
        <v>0</v>
      </c>
      <c r="DJ36" s="19">
        <v>0</v>
      </c>
      <c r="DK36" s="19">
        <v>586600000</v>
      </c>
      <c r="DL36" s="19">
        <v>70083000</v>
      </c>
      <c r="DM36" s="19">
        <v>0</v>
      </c>
      <c r="DN36" s="19">
        <v>0</v>
      </c>
      <c r="DO36" s="19">
        <v>0</v>
      </c>
      <c r="DP36" s="19">
        <v>0</v>
      </c>
      <c r="DQ36" s="19">
        <v>0</v>
      </c>
      <c r="DR36" s="19">
        <v>0</v>
      </c>
      <c r="DS36" s="19">
        <v>0</v>
      </c>
      <c r="DT36" s="19">
        <v>0</v>
      </c>
      <c r="DU36" s="19">
        <v>0</v>
      </c>
      <c r="DV36" s="19">
        <v>0</v>
      </c>
      <c r="DW36" s="19">
        <v>0</v>
      </c>
      <c r="DX36" s="19">
        <v>983235000</v>
      </c>
      <c r="DY36" s="19">
        <v>0</v>
      </c>
      <c r="DZ36" s="19">
        <v>0</v>
      </c>
      <c r="EA36" s="19">
        <v>0</v>
      </c>
      <c r="EB36" s="19">
        <v>0</v>
      </c>
      <c r="EC36" s="19">
        <v>0</v>
      </c>
      <c r="ED36" s="19">
        <v>0</v>
      </c>
      <c r="EE36" s="19">
        <v>0</v>
      </c>
      <c r="EF36" s="19">
        <v>0</v>
      </c>
      <c r="EG36" s="19">
        <v>8506912949</v>
      </c>
      <c r="EH36" s="19">
        <v>0</v>
      </c>
      <c r="EI36" s="19">
        <v>940034575</v>
      </c>
      <c r="EJ36" s="19">
        <v>0</v>
      </c>
      <c r="EK36" s="19" t="s">
        <v>89</v>
      </c>
      <c r="EL36" s="19">
        <v>0</v>
      </c>
      <c r="EM36" s="19">
        <v>0</v>
      </c>
      <c r="EN36" s="19">
        <v>306835961</v>
      </c>
      <c r="EO36" s="19">
        <v>0</v>
      </c>
      <c r="EP36" s="19">
        <v>0</v>
      </c>
      <c r="EQ36" s="19">
        <v>0</v>
      </c>
      <c r="ER36" s="19">
        <v>0</v>
      </c>
      <c r="ES36" s="19">
        <v>0</v>
      </c>
      <c r="ET36" s="19">
        <v>1312910414</v>
      </c>
      <c r="EU36" s="19">
        <v>1420380500</v>
      </c>
      <c r="EV36" s="19">
        <v>0</v>
      </c>
      <c r="EW36" s="19">
        <v>0</v>
      </c>
      <c r="EX36" s="19">
        <v>0</v>
      </c>
      <c r="EY36" s="19">
        <v>0</v>
      </c>
      <c r="EZ36" s="19">
        <v>0</v>
      </c>
      <c r="FA36" s="19">
        <v>0</v>
      </c>
      <c r="FB36" s="19">
        <v>49160000</v>
      </c>
      <c r="FC36" s="19">
        <v>0</v>
      </c>
      <c r="FD36" s="19">
        <v>0</v>
      </c>
      <c r="FE36" s="19">
        <v>0</v>
      </c>
      <c r="FF36" s="19">
        <v>0</v>
      </c>
      <c r="FG36" s="19">
        <v>0</v>
      </c>
      <c r="FH36" s="19">
        <v>0</v>
      </c>
      <c r="FI36" s="19">
        <v>0</v>
      </c>
      <c r="FJ36" s="19">
        <v>0</v>
      </c>
      <c r="FK36" s="19">
        <v>0</v>
      </c>
      <c r="FL36" s="19">
        <v>0</v>
      </c>
      <c r="FM36" s="19">
        <v>0</v>
      </c>
      <c r="FN36" s="19">
        <v>1073918256</v>
      </c>
      <c r="FO36" s="19">
        <v>0</v>
      </c>
      <c r="FP36" s="19">
        <v>38607150</v>
      </c>
      <c r="FQ36" s="19">
        <v>29700000</v>
      </c>
      <c r="FR36" s="19">
        <v>0</v>
      </c>
      <c r="FS36" s="19">
        <v>29600000</v>
      </c>
      <c r="FT36" s="19">
        <v>231677760</v>
      </c>
      <c r="FU36" s="19" t="s">
        <v>152</v>
      </c>
      <c r="FV36" s="19">
        <v>622819909</v>
      </c>
      <c r="FW36" s="19">
        <v>0</v>
      </c>
      <c r="FX36" s="19">
        <v>29130000</v>
      </c>
      <c r="FY36" s="19">
        <v>254791019</v>
      </c>
      <c r="FZ36" s="19">
        <v>48016200</v>
      </c>
      <c r="GA36" s="19">
        <v>0</v>
      </c>
      <c r="GB36" s="19">
        <v>0</v>
      </c>
      <c r="GC36" s="19">
        <v>0</v>
      </c>
      <c r="GD36" s="19" t="s">
        <v>96</v>
      </c>
      <c r="GE36" s="19">
        <v>29336499</v>
      </c>
      <c r="GF36" s="19">
        <v>4000000</v>
      </c>
      <c r="GG36" s="19">
        <v>0</v>
      </c>
      <c r="GH36" s="19">
        <v>0</v>
      </c>
      <c r="GI36" s="19"/>
      <c r="GJ36" s="19">
        <v>15140310</v>
      </c>
      <c r="GK36" s="19"/>
      <c r="GL36" s="19"/>
      <c r="GM36" s="19"/>
      <c r="GN36" s="19"/>
      <c r="GO36" s="19">
        <v>1045963150</v>
      </c>
      <c r="GP36" s="19"/>
      <c r="GQ36" s="19">
        <v>299823810</v>
      </c>
      <c r="GR36" s="19">
        <v>49233800</v>
      </c>
      <c r="GS36" s="19"/>
      <c r="GT36" s="19"/>
      <c r="GU36" s="19"/>
      <c r="GV36" s="19" t="s">
        <v>89</v>
      </c>
      <c r="GW36" s="19">
        <v>2525497483</v>
      </c>
      <c r="GX36" s="19"/>
      <c r="GY36" s="19">
        <v>1103442031</v>
      </c>
      <c r="GZ36" s="19"/>
      <c r="HA36" s="19">
        <v>462306807</v>
      </c>
      <c r="HB36" s="19">
        <v>170152825</v>
      </c>
      <c r="HC36" s="19"/>
      <c r="HD36" s="19" t="s">
        <v>89</v>
      </c>
      <c r="HE36" s="19">
        <v>65793561</v>
      </c>
      <c r="HF36" s="19"/>
      <c r="HG36" s="19"/>
      <c r="HH36" s="19"/>
      <c r="HI36" s="19"/>
      <c r="HJ36" s="19"/>
      <c r="HK36" s="19">
        <v>2970836012</v>
      </c>
      <c r="HL36" s="19"/>
      <c r="HM36" s="19"/>
      <c r="HN36" s="19"/>
      <c r="HO36" s="19"/>
      <c r="HP36" s="19" t="s">
        <v>89</v>
      </c>
    </row>
    <row r="37" spans="1:224">
      <c r="A37" s="7" t="s">
        <v>5</v>
      </c>
      <c r="B37" s="8" t="s">
        <v>31</v>
      </c>
      <c r="C37" s="19">
        <v>0</v>
      </c>
      <c r="D37" s="19">
        <v>0</v>
      </c>
      <c r="E37" s="19">
        <v>0</v>
      </c>
      <c r="F37" s="19">
        <v>0</v>
      </c>
      <c r="G37" s="19">
        <v>0</v>
      </c>
      <c r="H37" s="19">
        <v>0</v>
      </c>
      <c r="I37" s="19">
        <v>-2500000</v>
      </c>
      <c r="J37" s="19" t="s">
        <v>4</v>
      </c>
      <c r="K37" s="19">
        <v>0</v>
      </c>
      <c r="L37" s="19">
        <v>-630240</v>
      </c>
      <c r="M37" s="19" t="s">
        <v>96</v>
      </c>
      <c r="N37" s="19">
        <v>0</v>
      </c>
      <c r="O37" s="19">
        <v>0</v>
      </c>
      <c r="P37" s="19">
        <v>0</v>
      </c>
      <c r="Q37" s="19">
        <v>0</v>
      </c>
      <c r="R37" s="19">
        <v>0</v>
      </c>
      <c r="S37" s="19">
        <v>0</v>
      </c>
      <c r="T37" s="19" t="s">
        <v>96</v>
      </c>
      <c r="U37" s="19">
        <v>3400000</v>
      </c>
      <c r="V37" s="19">
        <v>0</v>
      </c>
      <c r="W37" s="19">
        <v>0</v>
      </c>
      <c r="X37" s="19">
        <v>0</v>
      </c>
      <c r="Y37" s="19">
        <v>0</v>
      </c>
      <c r="Z37" s="19">
        <v>0</v>
      </c>
      <c r="AA37" s="19">
        <v>0</v>
      </c>
      <c r="AB37" s="19">
        <v>0</v>
      </c>
      <c r="AC37" s="19">
        <v>140063534</v>
      </c>
      <c r="AD37" s="19">
        <v>-816900</v>
      </c>
      <c r="AE37" s="19">
        <v>0</v>
      </c>
      <c r="AF37" s="19">
        <v>0</v>
      </c>
      <c r="AG37" s="19">
        <v>0</v>
      </c>
      <c r="AH37" s="19">
        <v>0</v>
      </c>
      <c r="AI37" s="19">
        <v>0</v>
      </c>
      <c r="AJ37" s="19">
        <v>0</v>
      </c>
      <c r="AK37" s="19" t="s">
        <v>89</v>
      </c>
      <c r="AL37" s="19">
        <v>0</v>
      </c>
      <c r="AM37" s="19" t="s">
        <v>4</v>
      </c>
      <c r="AN37" s="19">
        <v>0</v>
      </c>
      <c r="AO37" s="19">
        <v>0</v>
      </c>
      <c r="AP37" s="19">
        <v>0</v>
      </c>
      <c r="AQ37" s="19" t="s">
        <v>4</v>
      </c>
      <c r="AR37" s="19">
        <v>0</v>
      </c>
      <c r="AS37" s="19">
        <v>0</v>
      </c>
      <c r="AT37" s="19">
        <v>0</v>
      </c>
      <c r="AU37" s="19">
        <v>-3680980</v>
      </c>
      <c r="AV37" s="19">
        <v>0</v>
      </c>
      <c r="AW37" s="19">
        <v>0</v>
      </c>
      <c r="AX37" s="19" t="s">
        <v>4</v>
      </c>
      <c r="AY37" s="19">
        <v>0</v>
      </c>
      <c r="AZ37" s="19">
        <v>0</v>
      </c>
      <c r="BA37" s="19">
        <v>0</v>
      </c>
      <c r="BB37" s="19">
        <v>0</v>
      </c>
      <c r="BC37" s="19">
        <v>0</v>
      </c>
      <c r="BD37" s="19">
        <v>0</v>
      </c>
      <c r="BE37" s="19">
        <v>0</v>
      </c>
      <c r="BF37" s="19">
        <v>0</v>
      </c>
      <c r="BG37" s="19">
        <v>0</v>
      </c>
      <c r="BH37" s="19">
        <v>0</v>
      </c>
      <c r="BI37" s="19">
        <v>0</v>
      </c>
      <c r="BJ37" s="19">
        <v>0</v>
      </c>
      <c r="BK37" s="19">
        <v>0</v>
      </c>
      <c r="BL37" s="19">
        <v>0</v>
      </c>
      <c r="BM37" s="19">
        <v>0</v>
      </c>
      <c r="BN37" s="19">
        <v>0</v>
      </c>
      <c r="BO37" s="19">
        <v>0</v>
      </c>
      <c r="BP37" s="19">
        <v>0</v>
      </c>
      <c r="BQ37" s="19" t="s">
        <v>96</v>
      </c>
      <c r="BR37" s="19">
        <v>0</v>
      </c>
      <c r="BS37" s="19">
        <v>0</v>
      </c>
      <c r="BT37" s="19">
        <v>0</v>
      </c>
      <c r="BU37" s="19">
        <v>0</v>
      </c>
      <c r="BV37" s="19">
        <v>0</v>
      </c>
      <c r="BW37" s="19">
        <v>0</v>
      </c>
      <c r="BX37" s="19">
        <v>0</v>
      </c>
      <c r="BY37" s="19">
        <v>0</v>
      </c>
      <c r="BZ37" s="19">
        <v>0</v>
      </c>
      <c r="CA37" s="19">
        <v>0</v>
      </c>
      <c r="CB37" s="19">
        <v>0</v>
      </c>
      <c r="CC37" s="19">
        <v>0</v>
      </c>
      <c r="CD37" s="19">
        <v>0</v>
      </c>
      <c r="CE37" s="19">
        <v>0</v>
      </c>
      <c r="CF37" s="19">
        <v>0</v>
      </c>
      <c r="CG37" s="19">
        <v>0</v>
      </c>
      <c r="CH37" s="19">
        <v>0</v>
      </c>
      <c r="CI37" s="19" t="s">
        <v>89</v>
      </c>
      <c r="CJ37" s="19">
        <v>0</v>
      </c>
      <c r="CK37" s="19">
        <v>0</v>
      </c>
      <c r="CL37" s="19">
        <v>0</v>
      </c>
      <c r="CM37" s="19">
        <v>0</v>
      </c>
      <c r="CN37" s="19">
        <v>0</v>
      </c>
      <c r="CO37" s="19">
        <v>0</v>
      </c>
      <c r="CP37" s="19">
        <v>-21756240</v>
      </c>
      <c r="CQ37" s="19" t="s">
        <v>96</v>
      </c>
      <c r="CR37" s="19">
        <v>0</v>
      </c>
      <c r="CS37" s="19">
        <v>0</v>
      </c>
      <c r="CT37" s="19">
        <v>0</v>
      </c>
      <c r="CU37" s="19">
        <v>0</v>
      </c>
      <c r="CV37" s="19">
        <v>0</v>
      </c>
      <c r="CW37" s="19">
        <v>0</v>
      </c>
      <c r="CX37" s="19">
        <v>0</v>
      </c>
      <c r="CY37" s="19">
        <v>0</v>
      </c>
      <c r="CZ37" s="19">
        <v>0</v>
      </c>
      <c r="DA37" s="19">
        <v>0</v>
      </c>
      <c r="DB37" s="19">
        <v>0</v>
      </c>
      <c r="DC37" s="19">
        <v>0</v>
      </c>
      <c r="DD37" s="19">
        <v>0</v>
      </c>
      <c r="DE37" s="19">
        <v>0</v>
      </c>
      <c r="DF37" s="19">
        <v>0</v>
      </c>
      <c r="DG37" s="19">
        <v>0</v>
      </c>
      <c r="DH37" s="19">
        <v>0</v>
      </c>
      <c r="DI37" s="19">
        <v>0</v>
      </c>
      <c r="DJ37" s="19">
        <v>0</v>
      </c>
      <c r="DK37" s="19">
        <v>0</v>
      </c>
      <c r="DL37" s="19">
        <v>0</v>
      </c>
      <c r="DM37" s="19">
        <v>0</v>
      </c>
      <c r="DN37" s="19">
        <v>0</v>
      </c>
      <c r="DO37" s="19">
        <v>0</v>
      </c>
      <c r="DP37" s="19">
        <v>0</v>
      </c>
      <c r="DQ37" s="19">
        <v>0</v>
      </c>
      <c r="DR37" s="19">
        <v>0</v>
      </c>
      <c r="DS37" s="19">
        <v>0</v>
      </c>
      <c r="DT37" s="19">
        <v>0</v>
      </c>
      <c r="DU37" s="19">
        <v>0</v>
      </c>
      <c r="DV37" s="19">
        <v>0</v>
      </c>
      <c r="DW37" s="19">
        <v>0</v>
      </c>
      <c r="DX37" s="19">
        <v>0</v>
      </c>
      <c r="DY37" s="19">
        <v>0</v>
      </c>
      <c r="DZ37" s="19">
        <v>0</v>
      </c>
      <c r="EA37" s="19">
        <v>0</v>
      </c>
      <c r="EB37" s="19">
        <v>-632650</v>
      </c>
      <c r="EC37" s="19">
        <v>0</v>
      </c>
      <c r="ED37" s="19">
        <v>0</v>
      </c>
      <c r="EE37" s="19">
        <v>0</v>
      </c>
      <c r="EF37" s="19">
        <v>0</v>
      </c>
      <c r="EG37" s="19">
        <v>0</v>
      </c>
      <c r="EH37" s="19">
        <v>0</v>
      </c>
      <c r="EI37" s="19">
        <v>0</v>
      </c>
      <c r="EJ37" s="19">
        <v>0</v>
      </c>
      <c r="EK37" s="19" t="s">
        <v>89</v>
      </c>
      <c r="EL37" s="19">
        <v>0</v>
      </c>
      <c r="EM37" s="19">
        <v>0</v>
      </c>
      <c r="EN37" s="19">
        <v>0</v>
      </c>
      <c r="EO37" s="19">
        <v>0</v>
      </c>
      <c r="EP37" s="19">
        <v>0</v>
      </c>
      <c r="EQ37" s="19">
        <v>0</v>
      </c>
      <c r="ER37" s="19">
        <v>0</v>
      </c>
      <c r="ES37" s="19">
        <v>-8724240</v>
      </c>
      <c r="ET37" s="19">
        <v>0</v>
      </c>
      <c r="EU37" s="19">
        <v>0</v>
      </c>
      <c r="EV37" s="19">
        <v>0</v>
      </c>
      <c r="EW37" s="19">
        <v>0</v>
      </c>
      <c r="EX37" s="19">
        <v>0</v>
      </c>
      <c r="EY37" s="19">
        <v>0</v>
      </c>
      <c r="EZ37" s="19">
        <v>0</v>
      </c>
      <c r="FA37" s="19">
        <v>0</v>
      </c>
      <c r="FB37" s="19">
        <v>0</v>
      </c>
      <c r="FC37" s="19">
        <v>0</v>
      </c>
      <c r="FD37" s="19">
        <v>0</v>
      </c>
      <c r="FE37" s="19">
        <v>-226253614</v>
      </c>
      <c r="FF37" s="19">
        <v>0</v>
      </c>
      <c r="FG37" s="19">
        <v>0</v>
      </c>
      <c r="FH37" s="19">
        <v>0</v>
      </c>
      <c r="FI37" s="19">
        <v>0</v>
      </c>
      <c r="FJ37" s="19">
        <v>0</v>
      </c>
      <c r="FK37" s="19">
        <v>0</v>
      </c>
      <c r="FL37" s="19">
        <v>0</v>
      </c>
      <c r="FM37" s="19">
        <v>0</v>
      </c>
      <c r="FN37" s="19">
        <v>0</v>
      </c>
      <c r="FO37" s="19">
        <v>0</v>
      </c>
      <c r="FP37" s="19">
        <v>-4345871</v>
      </c>
      <c r="FQ37" s="19">
        <v>0</v>
      </c>
      <c r="FR37" s="19">
        <v>0</v>
      </c>
      <c r="FS37" s="19">
        <v>0</v>
      </c>
      <c r="FT37" s="19">
        <v>0</v>
      </c>
      <c r="FU37" s="19" t="s">
        <v>152</v>
      </c>
      <c r="FV37" s="19">
        <v>0</v>
      </c>
      <c r="FW37" s="19">
        <v>0</v>
      </c>
      <c r="FX37" s="19">
        <v>0</v>
      </c>
      <c r="FY37" s="19">
        <v>-869500</v>
      </c>
      <c r="FZ37" s="19">
        <v>0</v>
      </c>
      <c r="GA37" s="19">
        <v>-951480</v>
      </c>
      <c r="GB37" s="19">
        <v>-2323050</v>
      </c>
      <c r="GC37" s="19">
        <v>0</v>
      </c>
      <c r="GD37" s="19" t="s">
        <v>96</v>
      </c>
      <c r="GE37" s="19">
        <v>0</v>
      </c>
      <c r="GF37" s="19">
        <v>0</v>
      </c>
      <c r="GG37" s="19">
        <v>0</v>
      </c>
      <c r="GH37" s="19">
        <v>0</v>
      </c>
      <c r="GI37" s="19"/>
      <c r="GJ37" s="19"/>
      <c r="GK37" s="19"/>
      <c r="GL37" s="19"/>
      <c r="GM37" s="19"/>
      <c r="GN37" s="19">
        <v>-1044000</v>
      </c>
      <c r="GO37" s="19"/>
      <c r="GP37" s="19"/>
      <c r="GQ37" s="19"/>
      <c r="GR37" s="19"/>
      <c r="GS37" s="19"/>
      <c r="GT37" s="19"/>
      <c r="GU37" s="19"/>
      <c r="GV37" s="19" t="s">
        <v>89</v>
      </c>
      <c r="GW37" s="19"/>
      <c r="GX37" s="19"/>
      <c r="GY37" s="19"/>
      <c r="GZ37" s="19"/>
      <c r="HA37" s="19"/>
      <c r="HB37" s="19"/>
      <c r="HC37" s="19"/>
      <c r="HD37" s="19" t="s">
        <v>89</v>
      </c>
      <c r="HE37" s="19"/>
      <c r="HF37" s="19">
        <v>-900000</v>
      </c>
      <c r="HG37" s="19"/>
      <c r="HH37" s="19"/>
      <c r="HI37" s="19"/>
      <c r="HJ37" s="19"/>
      <c r="HK37" s="19"/>
      <c r="HL37" s="19"/>
      <c r="HM37" s="19"/>
      <c r="HN37" s="19"/>
      <c r="HO37" s="19"/>
      <c r="HP37" s="19" t="s">
        <v>89</v>
      </c>
    </row>
    <row r="38" spans="1:224">
      <c r="A38" s="7" t="s">
        <v>5</v>
      </c>
      <c r="B38" s="8" t="s">
        <v>56</v>
      </c>
      <c r="C38" s="19">
        <v>0</v>
      </c>
      <c r="D38" s="19">
        <v>0</v>
      </c>
      <c r="E38" s="19">
        <v>0</v>
      </c>
      <c r="F38" s="19">
        <v>0</v>
      </c>
      <c r="G38" s="19">
        <v>0</v>
      </c>
      <c r="H38" s="19">
        <v>0</v>
      </c>
      <c r="I38" s="19">
        <v>0</v>
      </c>
      <c r="J38" s="19" t="s">
        <v>4</v>
      </c>
      <c r="K38" s="19">
        <v>0</v>
      </c>
      <c r="L38" s="19">
        <v>0</v>
      </c>
      <c r="M38" s="19" t="s">
        <v>96</v>
      </c>
      <c r="N38" s="19">
        <v>0</v>
      </c>
      <c r="O38" s="19">
        <v>0</v>
      </c>
      <c r="P38" s="19">
        <v>0</v>
      </c>
      <c r="Q38" s="19">
        <v>0</v>
      </c>
      <c r="R38" s="19">
        <v>0</v>
      </c>
      <c r="S38" s="19">
        <v>0</v>
      </c>
      <c r="T38" s="19" t="s">
        <v>96</v>
      </c>
      <c r="U38" s="19">
        <v>0</v>
      </c>
      <c r="V38" s="19">
        <v>0</v>
      </c>
      <c r="W38" s="19">
        <v>0</v>
      </c>
      <c r="X38" s="19">
        <v>0</v>
      </c>
      <c r="Y38" s="19">
        <v>0</v>
      </c>
      <c r="Z38" s="19">
        <v>0</v>
      </c>
      <c r="AA38" s="19">
        <v>0</v>
      </c>
      <c r="AB38" s="19">
        <v>0</v>
      </c>
      <c r="AC38" s="19">
        <v>0</v>
      </c>
      <c r="AD38" s="19">
        <v>0</v>
      </c>
      <c r="AE38" s="19">
        <v>0</v>
      </c>
      <c r="AF38" s="19">
        <v>0</v>
      </c>
      <c r="AG38" s="19">
        <v>0</v>
      </c>
      <c r="AH38" s="19">
        <v>0</v>
      </c>
      <c r="AI38" s="19">
        <v>0</v>
      </c>
      <c r="AJ38" s="19">
        <v>0</v>
      </c>
      <c r="AK38" s="19" t="s">
        <v>89</v>
      </c>
      <c r="AL38" s="19">
        <v>0</v>
      </c>
      <c r="AM38" s="19" t="s">
        <v>4</v>
      </c>
      <c r="AN38" s="19">
        <v>0</v>
      </c>
      <c r="AO38" s="19">
        <v>0</v>
      </c>
      <c r="AP38" s="19">
        <v>0</v>
      </c>
      <c r="AQ38" s="19" t="s">
        <v>4</v>
      </c>
      <c r="AR38" s="19">
        <v>0</v>
      </c>
      <c r="AS38" s="19">
        <v>0</v>
      </c>
      <c r="AT38" s="19">
        <v>0</v>
      </c>
      <c r="AU38" s="19">
        <v>0</v>
      </c>
      <c r="AV38" s="19">
        <v>0</v>
      </c>
      <c r="AW38" s="19">
        <v>0</v>
      </c>
      <c r="AX38" s="19" t="s">
        <v>4</v>
      </c>
      <c r="AY38" s="19">
        <v>0</v>
      </c>
      <c r="AZ38" s="19">
        <v>0</v>
      </c>
      <c r="BA38" s="19">
        <v>0</v>
      </c>
      <c r="BB38" s="19">
        <v>0</v>
      </c>
      <c r="BC38" s="19">
        <v>0</v>
      </c>
      <c r="BD38" s="19">
        <v>0</v>
      </c>
      <c r="BE38" s="19">
        <v>0</v>
      </c>
      <c r="BF38" s="19">
        <v>0</v>
      </c>
      <c r="BG38" s="19">
        <v>0</v>
      </c>
      <c r="BH38" s="19">
        <v>0</v>
      </c>
      <c r="BI38" s="19">
        <v>0</v>
      </c>
      <c r="BJ38" s="19">
        <v>0</v>
      </c>
      <c r="BK38" s="19">
        <v>0</v>
      </c>
      <c r="BL38" s="19">
        <v>0</v>
      </c>
      <c r="BM38" s="19">
        <v>0</v>
      </c>
      <c r="BN38" s="19">
        <v>0</v>
      </c>
      <c r="BO38" s="19">
        <v>0</v>
      </c>
      <c r="BP38" s="19">
        <v>0</v>
      </c>
      <c r="BQ38" s="19" t="s">
        <v>96</v>
      </c>
      <c r="BR38" s="19">
        <v>0</v>
      </c>
      <c r="BS38" s="19">
        <v>0</v>
      </c>
      <c r="BT38" s="19">
        <v>0</v>
      </c>
      <c r="BU38" s="19">
        <v>0</v>
      </c>
      <c r="BV38" s="19">
        <v>0</v>
      </c>
      <c r="BW38" s="19">
        <v>0</v>
      </c>
      <c r="BX38" s="19">
        <v>0</v>
      </c>
      <c r="BY38" s="19">
        <v>0</v>
      </c>
      <c r="BZ38" s="19">
        <v>0</v>
      </c>
      <c r="CA38" s="19">
        <v>0</v>
      </c>
      <c r="CB38" s="19">
        <v>0</v>
      </c>
      <c r="CC38" s="19">
        <v>0</v>
      </c>
      <c r="CD38" s="19">
        <v>0</v>
      </c>
      <c r="CE38" s="19">
        <v>0</v>
      </c>
      <c r="CF38" s="19">
        <v>0</v>
      </c>
      <c r="CG38" s="19">
        <v>0</v>
      </c>
      <c r="CH38" s="19">
        <v>0</v>
      </c>
      <c r="CI38" s="19" t="s">
        <v>89</v>
      </c>
      <c r="CJ38" s="19">
        <v>0</v>
      </c>
      <c r="CK38" s="19">
        <v>371966060</v>
      </c>
      <c r="CL38" s="19">
        <v>0</v>
      </c>
      <c r="CM38" s="19">
        <v>0</v>
      </c>
      <c r="CN38" s="19">
        <v>0</v>
      </c>
      <c r="CO38" s="19">
        <v>0</v>
      </c>
      <c r="CP38" s="19">
        <v>0</v>
      </c>
      <c r="CQ38" s="19" t="s">
        <v>96</v>
      </c>
      <c r="CR38" s="19">
        <v>0</v>
      </c>
      <c r="CS38" s="19">
        <v>0</v>
      </c>
      <c r="CT38" s="19">
        <v>0</v>
      </c>
      <c r="CU38" s="19">
        <v>1492578</v>
      </c>
      <c r="CV38" s="19">
        <v>0</v>
      </c>
      <c r="CW38" s="19">
        <v>0</v>
      </c>
      <c r="CX38" s="19">
        <v>0</v>
      </c>
      <c r="CY38" s="19">
        <v>0</v>
      </c>
      <c r="CZ38" s="19">
        <v>0</v>
      </c>
      <c r="DA38" s="19">
        <v>0</v>
      </c>
      <c r="DB38" s="19">
        <v>0</v>
      </c>
      <c r="DC38" s="19">
        <v>0</v>
      </c>
      <c r="DD38" s="19">
        <v>0</v>
      </c>
      <c r="DE38" s="19">
        <v>0</v>
      </c>
      <c r="DF38" s="19">
        <v>0</v>
      </c>
      <c r="DG38" s="19">
        <v>0</v>
      </c>
      <c r="DH38" s="19">
        <v>0</v>
      </c>
      <c r="DI38" s="19">
        <v>0</v>
      </c>
      <c r="DJ38" s="19">
        <v>0</v>
      </c>
      <c r="DK38" s="19">
        <v>0</v>
      </c>
      <c r="DL38" s="19">
        <v>0</v>
      </c>
      <c r="DM38" s="19">
        <v>0</v>
      </c>
      <c r="DN38" s="19">
        <v>0</v>
      </c>
      <c r="DO38" s="19">
        <v>0</v>
      </c>
      <c r="DP38" s="19">
        <v>0</v>
      </c>
      <c r="DQ38" s="19">
        <v>0</v>
      </c>
      <c r="DR38" s="19">
        <v>0</v>
      </c>
      <c r="DS38" s="19">
        <v>0</v>
      </c>
      <c r="DT38" s="19">
        <v>0</v>
      </c>
      <c r="DU38" s="19">
        <v>0</v>
      </c>
      <c r="DV38" s="19">
        <v>0</v>
      </c>
      <c r="DW38" s="19">
        <v>0</v>
      </c>
      <c r="DX38" s="19">
        <v>0</v>
      </c>
      <c r="DY38" s="19">
        <v>0</v>
      </c>
      <c r="DZ38" s="19">
        <v>0</v>
      </c>
      <c r="EA38" s="19">
        <v>0</v>
      </c>
      <c r="EB38" s="19">
        <v>0</v>
      </c>
      <c r="EC38" s="19">
        <v>0</v>
      </c>
      <c r="ED38" s="19">
        <v>0</v>
      </c>
      <c r="EE38" s="19">
        <v>0</v>
      </c>
      <c r="EF38" s="19">
        <v>0</v>
      </c>
      <c r="EG38" s="19">
        <v>0</v>
      </c>
      <c r="EH38" s="19">
        <v>0</v>
      </c>
      <c r="EI38" s="19">
        <v>0</v>
      </c>
      <c r="EJ38" s="19">
        <v>0</v>
      </c>
      <c r="EK38" s="19" t="s">
        <v>89</v>
      </c>
      <c r="EL38" s="19">
        <v>0</v>
      </c>
      <c r="EM38" s="19">
        <v>0</v>
      </c>
      <c r="EN38" s="19">
        <v>0</v>
      </c>
      <c r="EO38" s="19">
        <v>0</v>
      </c>
      <c r="EP38" s="19">
        <v>0</v>
      </c>
      <c r="EQ38" s="19">
        <v>0</v>
      </c>
      <c r="ER38" s="19">
        <v>0</v>
      </c>
      <c r="ES38" s="19">
        <v>0</v>
      </c>
      <c r="ET38" s="19">
        <v>0</v>
      </c>
      <c r="EU38" s="19">
        <v>0</v>
      </c>
      <c r="EV38" s="19">
        <v>0</v>
      </c>
      <c r="EW38" s="19">
        <v>0</v>
      </c>
      <c r="EX38" s="19">
        <v>0</v>
      </c>
      <c r="EY38" s="19">
        <v>0</v>
      </c>
      <c r="EZ38" s="19">
        <v>0</v>
      </c>
      <c r="FA38" s="19">
        <v>0</v>
      </c>
      <c r="FB38" s="19">
        <v>0</v>
      </c>
      <c r="FC38" s="19">
        <v>0</v>
      </c>
      <c r="FD38" s="19">
        <v>0</v>
      </c>
      <c r="FE38" s="19">
        <v>0</v>
      </c>
      <c r="FF38" s="19">
        <v>0</v>
      </c>
      <c r="FG38" s="19">
        <v>0</v>
      </c>
      <c r="FH38" s="19">
        <v>0</v>
      </c>
      <c r="FI38" s="19">
        <v>0</v>
      </c>
      <c r="FJ38" s="19">
        <v>0</v>
      </c>
      <c r="FK38" s="19">
        <v>0</v>
      </c>
      <c r="FL38" s="19">
        <v>0</v>
      </c>
      <c r="FM38" s="19">
        <v>0</v>
      </c>
      <c r="FN38" s="19">
        <v>0</v>
      </c>
      <c r="FO38" s="19">
        <v>0</v>
      </c>
      <c r="FP38" s="19">
        <v>0</v>
      </c>
      <c r="FQ38" s="19">
        <v>0</v>
      </c>
      <c r="FR38" s="19">
        <v>0</v>
      </c>
      <c r="FS38" s="19">
        <v>0</v>
      </c>
      <c r="FT38" s="19">
        <v>0</v>
      </c>
      <c r="FU38" s="19" t="s">
        <v>152</v>
      </c>
      <c r="FV38" s="19">
        <v>0</v>
      </c>
      <c r="FW38" s="19">
        <v>0</v>
      </c>
      <c r="FX38" s="19">
        <v>0</v>
      </c>
      <c r="FY38" s="19">
        <v>0</v>
      </c>
      <c r="FZ38" s="19">
        <v>0</v>
      </c>
      <c r="GA38" s="19">
        <v>0</v>
      </c>
      <c r="GB38" s="19">
        <v>0</v>
      </c>
      <c r="GC38" s="19">
        <v>0</v>
      </c>
      <c r="GD38" s="19" t="s">
        <v>96</v>
      </c>
      <c r="GE38" s="19">
        <v>0</v>
      </c>
      <c r="GF38" s="19">
        <v>0</v>
      </c>
      <c r="GG38" s="19">
        <v>0</v>
      </c>
      <c r="GH38" s="19">
        <v>0</v>
      </c>
      <c r="GI38" s="19"/>
      <c r="GJ38" s="19"/>
      <c r="GK38" s="19"/>
      <c r="GL38" s="19"/>
      <c r="GM38" s="19"/>
      <c r="GN38" s="19"/>
      <c r="GO38" s="19"/>
      <c r="GP38" s="19"/>
      <c r="GQ38" s="19"/>
      <c r="GR38" s="19"/>
      <c r="GS38" s="19"/>
      <c r="GT38" s="19"/>
      <c r="GU38" s="19"/>
      <c r="GV38" s="19" t="s">
        <v>89</v>
      </c>
      <c r="GW38" s="19"/>
      <c r="GX38" s="19"/>
      <c r="GY38" s="19"/>
      <c r="GZ38" s="19"/>
      <c r="HA38" s="19"/>
      <c r="HB38" s="19"/>
      <c r="HC38" s="19"/>
      <c r="HD38" s="19" t="s">
        <v>89</v>
      </c>
      <c r="HE38" s="19"/>
      <c r="HF38" s="19"/>
      <c r="HG38" s="19"/>
      <c r="HH38" s="19"/>
      <c r="HI38" s="19"/>
      <c r="HJ38" s="19"/>
      <c r="HK38" s="19"/>
      <c r="HL38" s="19"/>
      <c r="HM38" s="19"/>
      <c r="HN38" s="19"/>
      <c r="HO38" s="19"/>
      <c r="HP38" s="19" t="s">
        <v>89</v>
      </c>
    </row>
    <row r="39" spans="1:224">
      <c r="A39" s="7" t="s">
        <v>5</v>
      </c>
      <c r="B39" s="8" t="s">
        <v>82</v>
      </c>
      <c r="C39" s="19">
        <v>171051145</v>
      </c>
      <c r="D39" s="19">
        <v>717650121</v>
      </c>
      <c r="E39" s="19">
        <v>260360879</v>
      </c>
      <c r="F39" s="19">
        <v>773521085</v>
      </c>
      <c r="G39" s="19">
        <v>-1546488</v>
      </c>
      <c r="H39" s="19">
        <v>106451483</v>
      </c>
      <c r="I39" s="19">
        <v>375736932</v>
      </c>
      <c r="J39" s="19" t="s">
        <v>4</v>
      </c>
      <c r="K39" s="19">
        <v>-97306472</v>
      </c>
      <c r="L39" s="19">
        <v>31217987</v>
      </c>
      <c r="M39" s="19" t="s">
        <v>96</v>
      </c>
      <c r="N39" s="19">
        <v>148495992</v>
      </c>
      <c r="O39" s="19">
        <v>42427342</v>
      </c>
      <c r="P39" s="19">
        <v>454030268</v>
      </c>
      <c r="Q39" s="19">
        <v>105675392</v>
      </c>
      <c r="R39" s="19">
        <v>14792815</v>
      </c>
      <c r="S39" s="19">
        <v>741569405</v>
      </c>
      <c r="T39" s="19" t="s">
        <v>96</v>
      </c>
      <c r="U39" s="19">
        <v>277072948</v>
      </c>
      <c r="V39" s="19">
        <v>-585886349</v>
      </c>
      <c r="W39" s="19">
        <v>-672828348</v>
      </c>
      <c r="X39" s="19">
        <v>2532294910</v>
      </c>
      <c r="Y39" s="19">
        <v>107138306</v>
      </c>
      <c r="Z39" s="19">
        <v>-127178997</v>
      </c>
      <c r="AA39" s="19">
        <v>1065930431</v>
      </c>
      <c r="AB39" s="19">
        <v>131842775</v>
      </c>
      <c r="AC39" s="19">
        <v>385761262</v>
      </c>
      <c r="AD39" s="19">
        <v>390965752</v>
      </c>
      <c r="AE39" s="19">
        <v>544222095</v>
      </c>
      <c r="AF39" s="19">
        <v>390108353</v>
      </c>
      <c r="AG39" s="19">
        <v>-650607463</v>
      </c>
      <c r="AH39" s="19">
        <v>275266323</v>
      </c>
      <c r="AI39" s="19">
        <v>-307122332</v>
      </c>
      <c r="AJ39" s="19">
        <v>239959524</v>
      </c>
      <c r="AK39" s="19" t="s">
        <v>89</v>
      </c>
      <c r="AL39" s="19">
        <v>-22288105</v>
      </c>
      <c r="AM39" s="19" t="s">
        <v>4</v>
      </c>
      <c r="AN39" s="19">
        <v>180061136</v>
      </c>
      <c r="AO39" s="19">
        <v>-1572287254</v>
      </c>
      <c r="AP39" s="19">
        <v>-269874186</v>
      </c>
      <c r="AQ39" s="19" t="s">
        <v>4</v>
      </c>
      <c r="AR39" s="19">
        <v>56954871</v>
      </c>
      <c r="AS39" s="19">
        <v>416579896</v>
      </c>
      <c r="AT39" s="19">
        <v>195127890</v>
      </c>
      <c r="AU39" s="19">
        <v>-895385080</v>
      </c>
      <c r="AV39" s="19">
        <v>76064378</v>
      </c>
      <c r="AW39" s="19">
        <v>10965914</v>
      </c>
      <c r="AX39" s="19" t="s">
        <v>4</v>
      </c>
      <c r="AY39" s="19">
        <v>59133336</v>
      </c>
      <c r="AZ39" s="19">
        <v>76484513</v>
      </c>
      <c r="BA39" s="19">
        <v>-456896717</v>
      </c>
      <c r="BB39" s="19">
        <v>-69774613</v>
      </c>
      <c r="BC39" s="19">
        <v>476966098</v>
      </c>
      <c r="BD39" s="19">
        <v>18719086</v>
      </c>
      <c r="BE39" s="19">
        <v>12122805</v>
      </c>
      <c r="BF39" s="19">
        <v>719821941</v>
      </c>
      <c r="BG39" s="19">
        <v>-1708422111</v>
      </c>
      <c r="BH39" s="19">
        <v>13752418</v>
      </c>
      <c r="BI39" s="19">
        <v>573188553</v>
      </c>
      <c r="BJ39" s="19">
        <v>150255274</v>
      </c>
      <c r="BK39" s="19">
        <v>14457251</v>
      </c>
      <c r="BL39" s="19">
        <v>171872212</v>
      </c>
      <c r="BM39" s="19">
        <v>403511341</v>
      </c>
      <c r="BN39" s="19">
        <v>194970250</v>
      </c>
      <c r="BO39" s="19">
        <v>7388093</v>
      </c>
      <c r="BP39" s="19">
        <v>3035176</v>
      </c>
      <c r="BQ39" s="19" t="s">
        <v>96</v>
      </c>
      <c r="BR39" s="19">
        <v>732177242</v>
      </c>
      <c r="BS39" s="19">
        <v>-32044982</v>
      </c>
      <c r="BT39" s="19">
        <v>-13478882</v>
      </c>
      <c r="BU39" s="19">
        <v>-42195732</v>
      </c>
      <c r="BV39" s="19">
        <v>248969483</v>
      </c>
      <c r="BW39" s="19">
        <v>-4751094</v>
      </c>
      <c r="BX39" s="19">
        <v>153328469</v>
      </c>
      <c r="BY39" s="19">
        <v>-1218579690</v>
      </c>
      <c r="BZ39" s="19">
        <v>781294497</v>
      </c>
      <c r="CA39" s="19">
        <v>26485906</v>
      </c>
      <c r="CB39" s="19">
        <v>92256961</v>
      </c>
      <c r="CC39" s="19">
        <v>-21668235</v>
      </c>
      <c r="CD39" s="19">
        <v>89049426</v>
      </c>
      <c r="CE39" s="19">
        <v>235141970</v>
      </c>
      <c r="CF39" s="19">
        <v>-1497969751</v>
      </c>
      <c r="CG39" s="19">
        <v>194476821</v>
      </c>
      <c r="CH39" s="19">
        <v>28982215</v>
      </c>
      <c r="CI39" s="19" t="s">
        <v>89</v>
      </c>
      <c r="CJ39" s="19">
        <v>36121818</v>
      </c>
      <c r="CK39" s="19">
        <v>45748581</v>
      </c>
      <c r="CL39" s="19">
        <v>13521769</v>
      </c>
      <c r="CM39" s="19">
        <v>1134821617</v>
      </c>
      <c r="CN39" s="19">
        <v>20282816</v>
      </c>
      <c r="CO39" s="19">
        <v>89254104</v>
      </c>
      <c r="CP39" s="19">
        <v>-86246975</v>
      </c>
      <c r="CQ39" s="19" t="s">
        <v>96</v>
      </c>
      <c r="CR39" s="19">
        <v>395959442</v>
      </c>
      <c r="CS39" s="19">
        <v>554767136</v>
      </c>
      <c r="CT39" s="19">
        <v>-2795548790</v>
      </c>
      <c r="CU39" s="19">
        <v>302210955</v>
      </c>
      <c r="CV39" s="19">
        <v>-263520861</v>
      </c>
      <c r="CW39" s="19">
        <v>314722093</v>
      </c>
      <c r="CX39" s="19">
        <v>-2102973179</v>
      </c>
      <c r="CY39" s="19">
        <v>606186439</v>
      </c>
      <c r="CZ39" s="19">
        <v>137327989</v>
      </c>
      <c r="DA39" s="19">
        <v>54947055</v>
      </c>
      <c r="DB39" s="19">
        <v>358948549</v>
      </c>
      <c r="DC39" s="19">
        <v>-57065785</v>
      </c>
      <c r="DD39" s="19">
        <v>-17675497</v>
      </c>
      <c r="DE39" s="19">
        <v>139183567</v>
      </c>
      <c r="DF39" s="19">
        <v>-7750864</v>
      </c>
      <c r="DG39" s="19">
        <v>79872578</v>
      </c>
      <c r="DH39" s="19">
        <v>-265179810</v>
      </c>
      <c r="DI39" s="19">
        <v>287158409</v>
      </c>
      <c r="DJ39" s="19">
        <v>73611290</v>
      </c>
      <c r="DK39" s="19">
        <v>271146052</v>
      </c>
      <c r="DL39" s="19">
        <v>-76177361</v>
      </c>
      <c r="DM39" s="19">
        <v>23008148</v>
      </c>
      <c r="DN39" s="19">
        <v>-10350447</v>
      </c>
      <c r="DO39" s="19">
        <v>75124158</v>
      </c>
      <c r="DP39" s="19">
        <v>205752242</v>
      </c>
      <c r="DQ39" s="19">
        <v>77124373</v>
      </c>
      <c r="DR39" s="19">
        <v>35238248</v>
      </c>
      <c r="DS39" s="19">
        <v>-125525711</v>
      </c>
      <c r="DT39" s="19">
        <v>477583251</v>
      </c>
      <c r="DU39" s="19">
        <v>82632255</v>
      </c>
      <c r="DV39" s="19">
        <v>559502189</v>
      </c>
      <c r="DW39" s="19">
        <v>619735562</v>
      </c>
      <c r="DX39" s="19">
        <v>325394599</v>
      </c>
      <c r="DY39" s="19">
        <v>54825283</v>
      </c>
      <c r="DZ39" s="19">
        <v>371098136</v>
      </c>
      <c r="EA39" s="19">
        <v>21262787</v>
      </c>
      <c r="EB39" s="19">
        <v>173505085</v>
      </c>
      <c r="EC39" s="19">
        <v>46963144</v>
      </c>
      <c r="ED39" s="19">
        <v>-61527750</v>
      </c>
      <c r="EE39" s="19">
        <v>18505336</v>
      </c>
      <c r="EF39" s="19">
        <v>709054078</v>
      </c>
      <c r="EG39" s="19">
        <v>-6902311809</v>
      </c>
      <c r="EH39" s="19">
        <v>-24370315</v>
      </c>
      <c r="EI39" s="19">
        <v>-377550959</v>
      </c>
      <c r="EJ39" s="19">
        <v>89883384</v>
      </c>
      <c r="EK39" s="19" t="s">
        <v>89</v>
      </c>
      <c r="EL39" s="19">
        <v>959239781</v>
      </c>
      <c r="EM39" s="19">
        <v>461325949</v>
      </c>
      <c r="EN39" s="19">
        <v>902111416</v>
      </c>
      <c r="EO39" s="19">
        <v>196831873</v>
      </c>
      <c r="EP39" s="19">
        <v>41065107</v>
      </c>
      <c r="EQ39" s="19">
        <v>293828146</v>
      </c>
      <c r="ER39" s="19">
        <v>-369168322</v>
      </c>
      <c r="ES39" s="19">
        <v>-368775391</v>
      </c>
      <c r="ET39" s="19">
        <v>-242619522</v>
      </c>
      <c r="EU39" s="19">
        <v>-1126661628</v>
      </c>
      <c r="EV39" s="19">
        <v>-7731563</v>
      </c>
      <c r="EW39" s="19">
        <v>-72543269</v>
      </c>
      <c r="EX39" s="19">
        <v>561738622</v>
      </c>
      <c r="EY39" s="19">
        <v>976059073</v>
      </c>
      <c r="EZ39" s="19">
        <v>-240386708</v>
      </c>
      <c r="FA39" s="19">
        <v>25650727</v>
      </c>
      <c r="FB39" s="19">
        <v>-22977962</v>
      </c>
      <c r="FC39" s="19">
        <v>-9606400</v>
      </c>
      <c r="FD39" s="19">
        <v>88553033</v>
      </c>
      <c r="FE39" s="19">
        <v>564192386</v>
      </c>
      <c r="FF39" s="19">
        <v>33736264</v>
      </c>
      <c r="FG39" s="19">
        <v>255289064</v>
      </c>
      <c r="FH39" s="19">
        <v>-29587379</v>
      </c>
      <c r="FI39" s="19">
        <v>28486399</v>
      </c>
      <c r="FJ39" s="19">
        <v>74963469</v>
      </c>
      <c r="FK39" s="19">
        <v>-36339014</v>
      </c>
      <c r="FL39" s="19">
        <v>24995736</v>
      </c>
      <c r="FM39" s="19">
        <v>-7888838</v>
      </c>
      <c r="FN39" s="19">
        <v>-488101707</v>
      </c>
      <c r="FO39" s="19">
        <v>-26668672</v>
      </c>
      <c r="FP39" s="19">
        <v>-13978118</v>
      </c>
      <c r="FQ39" s="19">
        <v>-58816043</v>
      </c>
      <c r="FR39" s="19">
        <v>-244699</v>
      </c>
      <c r="FS39" s="19">
        <v>-10232006</v>
      </c>
      <c r="FT39" s="19">
        <v>330762976</v>
      </c>
      <c r="FU39" s="19" t="s">
        <v>152</v>
      </c>
      <c r="FV39" s="19">
        <v>-136182811</v>
      </c>
      <c r="FW39" s="19">
        <v>-474714</v>
      </c>
      <c r="FX39" s="19">
        <v>-54941431</v>
      </c>
      <c r="FY39" s="19">
        <v>-306522967</v>
      </c>
      <c r="FZ39" s="19">
        <v>-255513015</v>
      </c>
      <c r="GA39" s="19">
        <v>131721646</v>
      </c>
      <c r="GB39" s="19">
        <v>-10262119</v>
      </c>
      <c r="GC39" s="19">
        <v>57223596</v>
      </c>
      <c r="GD39" s="19" t="s">
        <v>96</v>
      </c>
      <c r="GE39" s="19">
        <v>-47358913</v>
      </c>
      <c r="GF39" s="19">
        <v>12800777</v>
      </c>
      <c r="GG39" s="19">
        <v>-254589260</v>
      </c>
      <c r="GH39" s="19">
        <v>-85718913</v>
      </c>
      <c r="GI39" s="19">
        <v>-16442465</v>
      </c>
      <c r="GJ39" s="19">
        <v>78184074</v>
      </c>
      <c r="GK39" s="19">
        <v>-51719566</v>
      </c>
      <c r="GL39" s="19">
        <v>5702137</v>
      </c>
      <c r="GM39" s="19">
        <v>-12195815</v>
      </c>
      <c r="GN39" s="19">
        <v>13863341</v>
      </c>
      <c r="GO39" s="19">
        <v>-2146649357</v>
      </c>
      <c r="GP39" s="19">
        <v>996791225</v>
      </c>
      <c r="GQ39" s="19">
        <v>-6028443</v>
      </c>
      <c r="GR39" s="19">
        <v>17045054</v>
      </c>
      <c r="GS39" s="19">
        <v>-20233005</v>
      </c>
      <c r="GT39" s="19">
        <v>-16442465</v>
      </c>
      <c r="GU39" s="19">
        <v>838211</v>
      </c>
      <c r="GV39" s="19" t="s">
        <v>89</v>
      </c>
      <c r="GW39" s="19">
        <v>-649257788</v>
      </c>
      <c r="GX39" s="19">
        <v>6216208</v>
      </c>
      <c r="GY39" s="19">
        <v>-1118306819</v>
      </c>
      <c r="GZ39" s="19">
        <v>184194234</v>
      </c>
      <c r="HA39" s="19">
        <v>-858695384</v>
      </c>
      <c r="HB39" s="19"/>
      <c r="HC39" s="19">
        <v>-218356686</v>
      </c>
      <c r="HD39" s="19" t="s">
        <v>89</v>
      </c>
      <c r="HE39" s="19">
        <v>-79010480</v>
      </c>
      <c r="HF39" s="19">
        <v>283823434</v>
      </c>
      <c r="HG39" s="19">
        <v>68682962</v>
      </c>
      <c r="HH39" s="19">
        <v>-61884559</v>
      </c>
      <c r="HI39" s="19">
        <v>-208389394</v>
      </c>
      <c r="HJ39" s="19">
        <v>185567422</v>
      </c>
      <c r="HK39" s="19">
        <v>-1445912795</v>
      </c>
      <c r="HL39" s="19">
        <v>79791505</v>
      </c>
      <c r="HM39" s="19">
        <v>35177534</v>
      </c>
      <c r="HN39" s="19">
        <v>-104834513</v>
      </c>
      <c r="HO39" s="19">
        <v>229334057</v>
      </c>
      <c r="HP39" s="19" t="s">
        <v>89</v>
      </c>
    </row>
    <row r="40" spans="1:224">
      <c r="A40" s="9" t="s">
        <v>92</v>
      </c>
      <c r="B40" s="10" t="s">
        <v>85</v>
      </c>
      <c r="C40" s="19">
        <v>1380272347</v>
      </c>
      <c r="D40" s="19">
        <v>3152310437</v>
      </c>
      <c r="E40" s="19">
        <v>1173784890</v>
      </c>
      <c r="F40" s="19">
        <v>1738035556</v>
      </c>
      <c r="G40" s="19">
        <v>232687433</v>
      </c>
      <c r="H40" s="19">
        <v>5304450482</v>
      </c>
      <c r="I40" s="19">
        <v>6669133620</v>
      </c>
      <c r="J40" s="19" t="s">
        <v>4</v>
      </c>
      <c r="K40" s="19">
        <v>2768994338</v>
      </c>
      <c r="L40" s="19">
        <v>1011603121</v>
      </c>
      <c r="M40" s="19" t="s">
        <v>96</v>
      </c>
      <c r="N40" s="19">
        <v>835513147</v>
      </c>
      <c r="O40" s="19">
        <v>4755661744</v>
      </c>
      <c r="P40" s="19">
        <v>5501755620</v>
      </c>
      <c r="Q40" s="19">
        <v>275470642</v>
      </c>
      <c r="R40" s="19">
        <v>798969424</v>
      </c>
      <c r="S40" s="19">
        <v>6624576663</v>
      </c>
      <c r="T40" s="19" t="s">
        <v>96</v>
      </c>
      <c r="U40" s="19">
        <v>1673613428</v>
      </c>
      <c r="V40" s="19">
        <v>103847731</v>
      </c>
      <c r="W40" s="19">
        <v>391399204</v>
      </c>
      <c r="X40" s="19">
        <v>2309371920</v>
      </c>
      <c r="Y40" s="19">
        <v>721452281</v>
      </c>
      <c r="Z40" s="19">
        <v>1778581969</v>
      </c>
      <c r="AA40" s="19">
        <v>3395895287</v>
      </c>
      <c r="AB40" s="19">
        <v>518627053</v>
      </c>
      <c r="AC40" s="19">
        <v>1537637692</v>
      </c>
      <c r="AD40" s="19">
        <v>1773683434</v>
      </c>
      <c r="AE40" s="19">
        <v>1196743951</v>
      </c>
      <c r="AF40" s="19">
        <v>307955494</v>
      </c>
      <c r="AG40" s="19">
        <v>2083281328</v>
      </c>
      <c r="AH40" s="19">
        <v>1636640768</v>
      </c>
      <c r="AI40" s="19">
        <v>1145981149</v>
      </c>
      <c r="AJ40" s="19">
        <v>1189920384</v>
      </c>
      <c r="AK40" s="19" t="s">
        <v>89</v>
      </c>
      <c r="AL40" s="19">
        <v>1320956643</v>
      </c>
      <c r="AM40" s="19" t="s">
        <v>4</v>
      </c>
      <c r="AN40" s="19">
        <v>515675870</v>
      </c>
      <c r="AO40" s="19">
        <v>1727374859</v>
      </c>
      <c r="AP40" s="19">
        <v>807896761</v>
      </c>
      <c r="AQ40" s="19" t="s">
        <v>4</v>
      </c>
      <c r="AR40" s="19">
        <v>364236041</v>
      </c>
      <c r="AS40" s="19">
        <v>1221873695</v>
      </c>
      <c r="AT40" s="19">
        <v>3856536697</v>
      </c>
      <c r="AU40" s="19">
        <v>490055615</v>
      </c>
      <c r="AV40" s="19">
        <v>157515172</v>
      </c>
      <c r="AW40" s="19">
        <v>310212587</v>
      </c>
      <c r="AX40" s="19" t="s">
        <v>4</v>
      </c>
      <c r="AY40" s="19">
        <v>858748273</v>
      </c>
      <c r="AZ40" s="19">
        <v>1049311521</v>
      </c>
      <c r="BA40" s="19">
        <v>6068862630</v>
      </c>
      <c r="BB40" s="19">
        <v>94184042</v>
      </c>
      <c r="BC40" s="19">
        <v>3722432129</v>
      </c>
      <c r="BD40" s="19">
        <v>601875708</v>
      </c>
      <c r="BE40" s="19">
        <v>906358037</v>
      </c>
      <c r="BF40" s="19">
        <v>1817244254</v>
      </c>
      <c r="BG40" s="19">
        <v>2909474708</v>
      </c>
      <c r="BH40" s="19">
        <v>526871107</v>
      </c>
      <c r="BI40" s="19">
        <v>692320566</v>
      </c>
      <c r="BJ40" s="19">
        <v>691758262</v>
      </c>
      <c r="BK40" s="19">
        <v>721594321</v>
      </c>
      <c r="BL40" s="19">
        <v>1096521247</v>
      </c>
      <c r="BM40" s="19">
        <v>809830197</v>
      </c>
      <c r="BN40" s="19">
        <v>536475663</v>
      </c>
      <c r="BO40" s="19">
        <v>1387385102</v>
      </c>
      <c r="BP40" s="19">
        <v>68544027</v>
      </c>
      <c r="BQ40" s="19" t="s">
        <v>96</v>
      </c>
      <c r="BR40" s="19">
        <v>1469539831</v>
      </c>
      <c r="BS40" s="19">
        <v>148471702</v>
      </c>
      <c r="BT40" s="19">
        <v>145296573</v>
      </c>
      <c r="BU40" s="19">
        <v>116439703</v>
      </c>
      <c r="BV40" s="19">
        <v>229818185</v>
      </c>
      <c r="BW40" s="19">
        <v>763762204</v>
      </c>
      <c r="BX40" s="19">
        <v>732907732</v>
      </c>
      <c r="BY40" s="19">
        <v>5394977277</v>
      </c>
      <c r="BZ40" s="19">
        <v>1091340394</v>
      </c>
      <c r="CA40" s="19">
        <v>872725698</v>
      </c>
      <c r="CB40" s="19">
        <v>410052512</v>
      </c>
      <c r="CC40" s="19">
        <v>1312812941</v>
      </c>
      <c r="CD40" s="19">
        <v>1648790906</v>
      </c>
      <c r="CE40" s="19">
        <v>467854514</v>
      </c>
      <c r="CF40" s="19">
        <v>99835361</v>
      </c>
      <c r="CG40" s="19">
        <v>741177890</v>
      </c>
      <c r="CH40" s="19">
        <v>194845619</v>
      </c>
      <c r="CI40" s="19" t="s">
        <v>89</v>
      </c>
      <c r="CJ40" s="19">
        <v>187085310</v>
      </c>
      <c r="CK40" s="19">
        <v>2971480798</v>
      </c>
      <c r="CL40" s="19">
        <v>331859707</v>
      </c>
      <c r="CM40" s="19">
        <v>5894319663</v>
      </c>
      <c r="CN40" s="19">
        <v>246239083</v>
      </c>
      <c r="CO40" s="19">
        <v>226640660</v>
      </c>
      <c r="CP40" s="19">
        <v>3183860298</v>
      </c>
      <c r="CQ40" s="19" t="s">
        <v>96</v>
      </c>
      <c r="CR40" s="19">
        <v>2476966518</v>
      </c>
      <c r="CS40" s="19">
        <v>552386537</v>
      </c>
      <c r="CT40" s="19">
        <v>593342500</v>
      </c>
      <c r="CU40" s="19">
        <v>784938020</v>
      </c>
      <c r="CV40" s="19">
        <v>67967444</v>
      </c>
      <c r="CW40" s="19">
        <v>1879951293</v>
      </c>
      <c r="CX40" s="19">
        <v>910855194</v>
      </c>
      <c r="CY40" s="19">
        <v>15126957810</v>
      </c>
      <c r="CZ40" s="19">
        <v>1036553880</v>
      </c>
      <c r="DA40" s="19">
        <v>286515385</v>
      </c>
      <c r="DB40" s="19">
        <v>890656972</v>
      </c>
      <c r="DC40" s="19">
        <v>118629440</v>
      </c>
      <c r="DD40" s="19">
        <v>208491664</v>
      </c>
      <c r="DE40" s="19">
        <v>1247830915</v>
      </c>
      <c r="DF40" s="19">
        <v>113006746</v>
      </c>
      <c r="DG40" s="19">
        <v>1060947385</v>
      </c>
      <c r="DH40" s="19">
        <v>732538109</v>
      </c>
      <c r="DI40" s="19">
        <v>3526818514</v>
      </c>
      <c r="DJ40" s="19">
        <v>253321442</v>
      </c>
      <c r="DK40" s="19">
        <v>4410293242</v>
      </c>
      <c r="DL40" s="19">
        <v>344593865</v>
      </c>
      <c r="DM40" s="19">
        <v>2047473101</v>
      </c>
      <c r="DN40" s="19">
        <v>506737782</v>
      </c>
      <c r="DO40" s="19">
        <v>546513048</v>
      </c>
      <c r="DP40" s="19">
        <v>1615847830</v>
      </c>
      <c r="DQ40" s="19">
        <v>378102768</v>
      </c>
      <c r="DR40" s="19">
        <v>694357778</v>
      </c>
      <c r="DS40" s="19">
        <v>609690413</v>
      </c>
      <c r="DT40" s="19">
        <v>1098200753</v>
      </c>
      <c r="DU40" s="19">
        <v>296880438</v>
      </c>
      <c r="DV40" s="19">
        <f>DV43+DV44</f>
        <v>2546613314</v>
      </c>
      <c r="DW40" s="19">
        <v>1956646218</v>
      </c>
      <c r="DX40" s="19">
        <v>1299811349</v>
      </c>
      <c r="DY40" s="19">
        <v>698823175</v>
      </c>
      <c r="DZ40" s="19">
        <v>1808761263</v>
      </c>
      <c r="EA40" s="19">
        <v>153736308</v>
      </c>
      <c r="EB40" s="19">
        <v>4398037851</v>
      </c>
      <c r="EC40" s="19">
        <v>849580286</v>
      </c>
      <c r="ED40" s="19">
        <v>116979754</v>
      </c>
      <c r="EE40" s="19">
        <v>381485739</v>
      </c>
      <c r="EF40" s="19">
        <v>1434056002</v>
      </c>
      <c r="EG40" s="19">
        <v>463949174</v>
      </c>
      <c r="EH40" s="19">
        <v>254541522</v>
      </c>
      <c r="EI40" s="19">
        <v>2406963624</v>
      </c>
      <c r="EJ40" s="19">
        <v>107326563</v>
      </c>
      <c r="EK40" s="19" t="s">
        <v>89</v>
      </c>
      <c r="EL40" s="19">
        <v>5280089023</v>
      </c>
      <c r="EM40" s="19">
        <v>909209554</v>
      </c>
      <c r="EN40" s="19">
        <v>5962943463</v>
      </c>
      <c r="EO40" s="19">
        <v>2126660921</v>
      </c>
      <c r="EP40" s="19">
        <v>349432911</v>
      </c>
      <c r="EQ40" s="19">
        <v>3168793043</v>
      </c>
      <c r="ER40" s="19">
        <v>3599265542</v>
      </c>
      <c r="ES40" s="19">
        <v>841532282</v>
      </c>
      <c r="ET40" s="19">
        <v>70674184</v>
      </c>
      <c r="EU40" s="19">
        <v>676165858</v>
      </c>
      <c r="EV40" s="19">
        <v>237960095</v>
      </c>
      <c r="EW40" s="19">
        <v>419067314</v>
      </c>
      <c r="EX40" s="19">
        <v>1806820716</v>
      </c>
      <c r="EY40" s="19">
        <v>4398593086</v>
      </c>
      <c r="EZ40" s="19">
        <v>680513885</v>
      </c>
      <c r="FA40" s="19">
        <v>543174442</v>
      </c>
      <c r="FB40" s="19">
        <v>1242056696</v>
      </c>
      <c r="FC40" s="19">
        <v>1867105217</v>
      </c>
      <c r="FD40" s="19">
        <v>388668007</v>
      </c>
      <c r="FE40" s="19">
        <v>15197343314</v>
      </c>
      <c r="FF40" s="19">
        <v>241322101</v>
      </c>
      <c r="FG40" s="19">
        <v>878256503</v>
      </c>
      <c r="FH40" s="19">
        <v>165850552</v>
      </c>
      <c r="FI40" s="19">
        <v>352228633</v>
      </c>
      <c r="FJ40" s="19">
        <v>611148077</v>
      </c>
      <c r="FK40" s="19">
        <v>1385903148</v>
      </c>
      <c r="FL40" s="19">
        <v>8832248</v>
      </c>
      <c r="FM40" s="19">
        <v>45075912</v>
      </c>
      <c r="FN40" s="19">
        <v>11129469</v>
      </c>
      <c r="FO40" s="19">
        <v>13952727</v>
      </c>
      <c r="FP40" s="19">
        <v>45363636</v>
      </c>
      <c r="FQ40" s="19">
        <v>53077273</v>
      </c>
      <c r="FR40" s="19">
        <v>100246346</v>
      </c>
      <c r="FS40" s="19">
        <v>42516485</v>
      </c>
      <c r="FT40" s="19">
        <v>615626731</v>
      </c>
      <c r="FU40" s="19" t="s">
        <v>152</v>
      </c>
      <c r="FV40" s="19">
        <v>1903035400</v>
      </c>
      <c r="FW40" s="19">
        <v>801806734</v>
      </c>
      <c r="FX40" s="19">
        <v>21649235</v>
      </c>
      <c r="FY40" s="19">
        <v>912558061</v>
      </c>
      <c r="FZ40" s="19">
        <v>254113637</v>
      </c>
      <c r="GA40" s="19">
        <v>501300001</v>
      </c>
      <c r="GB40" s="19">
        <v>908186</v>
      </c>
      <c r="GC40" s="19">
        <v>194409271</v>
      </c>
      <c r="GD40" s="19" t="s">
        <v>96</v>
      </c>
      <c r="GE40" s="19">
        <v>52600521</v>
      </c>
      <c r="GF40" s="19">
        <v>65241669</v>
      </c>
      <c r="GG40" s="19">
        <v>260484432</v>
      </c>
      <c r="GH40" s="19">
        <v>176427652</v>
      </c>
      <c r="GI40" s="19">
        <v>156805972</v>
      </c>
      <c r="GJ40" s="19">
        <v>1228598660</v>
      </c>
      <c r="GK40" s="19">
        <v>35136981</v>
      </c>
      <c r="GL40" s="19">
        <v>205312947</v>
      </c>
      <c r="GM40" s="19">
        <v>177719558</v>
      </c>
      <c r="GN40" s="19">
        <v>259641034</v>
      </c>
      <c r="GO40" s="19">
        <v>233066947</v>
      </c>
      <c r="GP40" s="19">
        <v>8252844720</v>
      </c>
      <c r="GQ40" s="19">
        <v>203503999</v>
      </c>
      <c r="GR40" s="19">
        <v>224664441</v>
      </c>
      <c r="GS40" s="19">
        <v>56896695</v>
      </c>
      <c r="GT40" s="19">
        <v>156805972</v>
      </c>
      <c r="GU40" s="19">
        <v>0</v>
      </c>
      <c r="GV40" s="19" t="s">
        <v>89</v>
      </c>
      <c r="GW40" s="19">
        <v>487514566</v>
      </c>
      <c r="GX40" s="19">
        <v>1870517733</v>
      </c>
      <c r="GY40" s="19">
        <v>66005998</v>
      </c>
      <c r="GZ40" s="19">
        <v>550020605</v>
      </c>
      <c r="HA40" s="19">
        <v>787669704</v>
      </c>
      <c r="HB40" s="19">
        <v>165530431</v>
      </c>
      <c r="HC40" s="19">
        <v>2900000</v>
      </c>
      <c r="HD40" s="19" t="s">
        <v>89</v>
      </c>
      <c r="HE40" s="19">
        <v>452294682</v>
      </c>
      <c r="HF40" s="19">
        <v>4370867406</v>
      </c>
      <c r="HG40" s="19">
        <v>155427478</v>
      </c>
      <c r="HH40" s="19">
        <v>278673900</v>
      </c>
      <c r="HI40" s="19">
        <v>331110000</v>
      </c>
      <c r="HJ40" s="19">
        <v>1019689663</v>
      </c>
      <c r="HK40" s="19">
        <v>908035601</v>
      </c>
      <c r="HL40" s="19">
        <v>673186346</v>
      </c>
      <c r="HM40" s="19">
        <v>522019936</v>
      </c>
      <c r="HN40" s="19">
        <v>0</v>
      </c>
      <c r="HO40" s="19">
        <v>1094928191</v>
      </c>
      <c r="HP40" s="19" t="s">
        <v>89</v>
      </c>
    </row>
    <row r="41" spans="1:224">
      <c r="A41" s="9" t="s">
        <v>92</v>
      </c>
      <c r="B41" s="15" t="s">
        <v>12</v>
      </c>
      <c r="C41" s="19">
        <v>1374002347</v>
      </c>
      <c r="D41" s="19"/>
      <c r="E41" s="19"/>
      <c r="F41" s="19">
        <v>64030764</v>
      </c>
      <c r="G41" s="19"/>
      <c r="H41" s="19"/>
      <c r="I41" s="19"/>
      <c r="J41" s="19" t="s">
        <v>4</v>
      </c>
      <c r="K41" s="19"/>
      <c r="L41" s="19"/>
      <c r="M41" s="19" t="s">
        <v>96</v>
      </c>
      <c r="N41" s="19"/>
      <c r="O41" s="19"/>
      <c r="P41" s="19"/>
      <c r="Q41" s="19"/>
      <c r="R41" s="19">
        <v>102261256</v>
      </c>
      <c r="S41" s="19">
        <v>46625702</v>
      </c>
      <c r="T41" s="19" t="s">
        <v>96</v>
      </c>
      <c r="U41" s="19">
        <v>9633636</v>
      </c>
      <c r="V41" s="19"/>
      <c r="W41" s="19"/>
      <c r="X41" s="19"/>
      <c r="Y41" s="19"/>
      <c r="Z41" s="19"/>
      <c r="AA41" s="19"/>
      <c r="AB41" s="19"/>
      <c r="AC41" s="19"/>
      <c r="AD41" s="19"/>
      <c r="AE41" s="19"/>
      <c r="AF41" s="19">
        <v>14684094</v>
      </c>
      <c r="AG41" s="19"/>
      <c r="AH41" s="19">
        <v>657098765</v>
      </c>
      <c r="AI41" s="19">
        <v>1145981149</v>
      </c>
      <c r="AJ41" s="19">
        <v>1189920384</v>
      </c>
      <c r="AK41" s="19" t="s">
        <v>89</v>
      </c>
      <c r="AL41" s="19">
        <v>293257129</v>
      </c>
      <c r="AM41" s="19" t="s">
        <v>4</v>
      </c>
      <c r="AN41" s="19"/>
      <c r="AO41" s="19"/>
      <c r="AP41" s="19">
        <v>37506956</v>
      </c>
      <c r="AQ41" s="19" t="s">
        <v>4</v>
      </c>
      <c r="AR41" s="19">
        <v>364236041</v>
      </c>
      <c r="AS41" s="19"/>
      <c r="AT41" s="19"/>
      <c r="AU41" s="19"/>
      <c r="AV41" s="19"/>
      <c r="AW41" s="19"/>
      <c r="AX41" s="19" t="s">
        <v>4</v>
      </c>
      <c r="AY41" s="19"/>
      <c r="AZ41" s="19"/>
      <c r="BA41" s="19">
        <v>6068862630</v>
      </c>
      <c r="BB41" s="19"/>
      <c r="BC41" s="19">
        <v>300126516</v>
      </c>
      <c r="BD41" s="19">
        <v>249029686</v>
      </c>
      <c r="BE41" s="19"/>
      <c r="BF41" s="19">
        <v>367540533</v>
      </c>
      <c r="BG41" s="19"/>
      <c r="BH41" s="19">
        <v>19467662</v>
      </c>
      <c r="BI41" s="19">
        <v>692320566</v>
      </c>
      <c r="BJ41" s="19">
        <v>12437152</v>
      </c>
      <c r="BK41" s="19"/>
      <c r="BL41" s="19">
        <v>1096521247</v>
      </c>
      <c r="BM41" s="19"/>
      <c r="BN41" s="19"/>
      <c r="BO41" s="19">
        <v>1086650388</v>
      </c>
      <c r="BP41" s="19"/>
      <c r="BQ41" s="19" t="s">
        <v>96</v>
      </c>
      <c r="BR41" s="19"/>
      <c r="BS41" s="19">
        <v>148471702</v>
      </c>
      <c r="BT41" s="19">
        <v>110642050</v>
      </c>
      <c r="BU41" s="19"/>
      <c r="BV41" s="19"/>
      <c r="BW41" s="19"/>
      <c r="BX41" s="19"/>
      <c r="BY41" s="19">
        <v>5004843240</v>
      </c>
      <c r="BZ41" s="19">
        <v>1091340394</v>
      </c>
      <c r="CA41" s="19"/>
      <c r="CB41" s="19">
        <v>32186044</v>
      </c>
      <c r="CC41" s="19">
        <v>1308312941</v>
      </c>
      <c r="CD41" s="19"/>
      <c r="CE41" s="19"/>
      <c r="CF41" s="19"/>
      <c r="CG41" s="19"/>
      <c r="CH41" s="19">
        <v>194845619</v>
      </c>
      <c r="CI41" s="19" t="s">
        <v>89</v>
      </c>
      <c r="CJ41" s="19">
        <v>23459520</v>
      </c>
      <c r="CK41" s="19"/>
      <c r="CL41" s="19"/>
      <c r="CM41" s="19"/>
      <c r="CN41" s="19"/>
      <c r="CO41" s="19"/>
      <c r="CP41" s="19">
        <v>1042299324</v>
      </c>
      <c r="CQ41" s="19" t="s">
        <v>96</v>
      </c>
      <c r="CR41" s="19"/>
      <c r="CS41" s="19"/>
      <c r="CT41" s="19"/>
      <c r="CU41" s="19"/>
      <c r="CV41" s="19">
        <v>67967444</v>
      </c>
      <c r="CW41" s="19"/>
      <c r="CX41" s="19"/>
      <c r="CY41" s="19">
        <v>4539408904</v>
      </c>
      <c r="CZ41" s="19"/>
      <c r="DA41" s="19"/>
      <c r="DB41" s="19">
        <v>195640000</v>
      </c>
      <c r="DC41" s="19"/>
      <c r="DD41" s="19">
        <v>19617557</v>
      </c>
      <c r="DE41" s="19">
        <v>2033345</v>
      </c>
      <c r="DF41" s="19">
        <v>22558646</v>
      </c>
      <c r="DG41" s="19"/>
      <c r="DH41" s="19">
        <v>37608255</v>
      </c>
      <c r="DI41" s="19">
        <v>102412290</v>
      </c>
      <c r="DJ41" s="19"/>
      <c r="DK41" s="19">
        <v>263148756</v>
      </c>
      <c r="DL41" s="19"/>
      <c r="DM41" s="19">
        <v>1985076664</v>
      </c>
      <c r="DN41" s="19">
        <v>47031028</v>
      </c>
      <c r="DO41" s="19"/>
      <c r="DP41" s="19"/>
      <c r="DQ41" s="19"/>
      <c r="DR41" s="19"/>
      <c r="DS41" s="19"/>
      <c r="DT41" s="19">
        <v>237150711</v>
      </c>
      <c r="DU41" s="19"/>
      <c r="DV41" s="19"/>
      <c r="DW41" s="19">
        <v>598687208</v>
      </c>
      <c r="DX41" s="19"/>
      <c r="DY41" s="19"/>
      <c r="DZ41" s="19"/>
      <c r="EA41" s="19"/>
      <c r="EB41" s="19"/>
      <c r="EC41" s="19"/>
      <c r="ED41" s="19">
        <v>84360839</v>
      </c>
      <c r="EE41" s="19"/>
      <c r="EF41" s="19"/>
      <c r="EG41" s="19"/>
      <c r="EH41" s="19"/>
      <c r="EI41" s="19">
        <v>141537082</v>
      </c>
      <c r="EJ41" s="19"/>
      <c r="EK41" s="19" t="s">
        <v>89</v>
      </c>
      <c r="EL41" s="19"/>
      <c r="EM41" s="19"/>
      <c r="EN41" s="19"/>
      <c r="EO41" s="19"/>
      <c r="EP41" s="19"/>
      <c r="EQ41" s="19"/>
      <c r="ER41" s="19"/>
      <c r="ES41" s="19">
        <v>841532282</v>
      </c>
      <c r="ET41" s="19"/>
      <c r="EU41" s="19"/>
      <c r="EV41" s="19">
        <v>237960095</v>
      </c>
      <c r="EW41" s="19">
        <v>156166790</v>
      </c>
      <c r="EX41" s="19">
        <v>113778460</v>
      </c>
      <c r="EY41" s="19"/>
      <c r="EZ41" s="19">
        <v>18431512</v>
      </c>
      <c r="FA41" s="19"/>
      <c r="FB41" s="19">
        <v>901082050</v>
      </c>
      <c r="FC41" s="19">
        <v>1867105217</v>
      </c>
      <c r="FD41" s="19"/>
      <c r="FE41" s="19">
        <v>15197343314</v>
      </c>
      <c r="FF41" s="19"/>
      <c r="FG41" s="19">
        <v>878256503</v>
      </c>
      <c r="FH41" s="19">
        <v>54730678</v>
      </c>
      <c r="FI41" s="19">
        <v>352228633</v>
      </c>
      <c r="FJ41" s="19">
        <v>33898605</v>
      </c>
      <c r="FK41" s="19">
        <v>622193125</v>
      </c>
      <c r="FL41" s="19"/>
      <c r="FM41" s="19"/>
      <c r="FN41" s="19"/>
      <c r="FO41" s="19"/>
      <c r="FP41" s="19"/>
      <c r="FQ41" s="19">
        <v>0</v>
      </c>
      <c r="FR41" s="19">
        <v>100246346</v>
      </c>
      <c r="FS41" s="19">
        <v>6119273</v>
      </c>
      <c r="FT41" s="19"/>
      <c r="FU41" s="19" t="s">
        <v>152</v>
      </c>
      <c r="FV41" s="19"/>
      <c r="FW41" s="19">
        <v>532572720</v>
      </c>
      <c r="FX41" s="19"/>
      <c r="FY41" s="19">
        <v>713454431</v>
      </c>
      <c r="FZ41" s="19"/>
      <c r="GA41" s="19"/>
      <c r="GB41" s="19">
        <v>908186</v>
      </c>
      <c r="GC41" s="19"/>
      <c r="GD41" s="19" t="s">
        <v>96</v>
      </c>
      <c r="GE41" s="19">
        <v>8500000</v>
      </c>
      <c r="GF41" s="19"/>
      <c r="GG41" s="19"/>
      <c r="GH41" s="19">
        <v>34549050</v>
      </c>
      <c r="GI41" s="19">
        <v>70676221</v>
      </c>
      <c r="GJ41" s="19"/>
      <c r="GK41" s="19"/>
      <c r="GL41" s="19">
        <v>205312947</v>
      </c>
      <c r="GM41" s="19"/>
      <c r="GN41" s="19">
        <v>15827354</v>
      </c>
      <c r="GO41" s="19"/>
      <c r="GP41" s="19">
        <v>1538289472</v>
      </c>
      <c r="GQ41" s="19"/>
      <c r="GR41" s="19">
        <v>3089287</v>
      </c>
      <c r="GS41" s="19"/>
      <c r="GT41" s="19">
        <v>70676221</v>
      </c>
      <c r="GU41" s="19"/>
      <c r="GV41" s="19" t="s">
        <v>89</v>
      </c>
      <c r="GW41" s="19">
        <v>47190250</v>
      </c>
      <c r="GX41" s="19"/>
      <c r="GY41" s="19"/>
      <c r="GZ41" s="19"/>
      <c r="HA41" s="19">
        <v>781201621</v>
      </c>
      <c r="HB41" s="19"/>
      <c r="HC41" s="19"/>
      <c r="HD41" s="19" t="s">
        <v>89</v>
      </c>
      <c r="HE41" s="19">
        <v>452294682</v>
      </c>
      <c r="HF41" s="19"/>
      <c r="HG41" s="19"/>
      <c r="HH41" s="19">
        <v>278673900</v>
      </c>
      <c r="HI41" s="19"/>
      <c r="HJ41" s="19">
        <v>337721832</v>
      </c>
      <c r="HK41" s="19">
        <v>123229568</v>
      </c>
      <c r="HL41" s="19">
        <v>63682248</v>
      </c>
      <c r="HM41" s="19"/>
      <c r="HN41" s="19"/>
      <c r="HO41" s="19"/>
      <c r="HP41" s="19" t="s">
        <v>89</v>
      </c>
    </row>
    <row r="42" spans="1:224">
      <c r="A42" s="9" t="s">
        <v>92</v>
      </c>
      <c r="B42" s="15" t="s">
        <v>22</v>
      </c>
      <c r="C42" s="19"/>
      <c r="D42" s="19">
        <v>3152310437</v>
      </c>
      <c r="E42" s="19">
        <v>65002656</v>
      </c>
      <c r="F42" s="19"/>
      <c r="G42" s="19">
        <v>232687433</v>
      </c>
      <c r="H42" s="19"/>
      <c r="I42" s="19"/>
      <c r="J42" s="19" t="s">
        <v>4</v>
      </c>
      <c r="K42" s="19">
        <v>2768994338</v>
      </c>
      <c r="L42" s="19">
        <v>1011603121</v>
      </c>
      <c r="M42" s="19" t="s">
        <v>96</v>
      </c>
      <c r="N42" s="19">
        <v>728598606</v>
      </c>
      <c r="O42" s="19"/>
      <c r="P42" s="19"/>
      <c r="Q42" s="19">
        <v>257010723</v>
      </c>
      <c r="R42" s="19">
        <v>696708168</v>
      </c>
      <c r="S42" s="19">
        <v>6577950961</v>
      </c>
      <c r="T42" s="19" t="s">
        <v>96</v>
      </c>
      <c r="U42" s="19"/>
      <c r="V42" s="19">
        <v>100847731</v>
      </c>
      <c r="W42" s="19"/>
      <c r="X42" s="19"/>
      <c r="Y42" s="19"/>
      <c r="Z42" s="19"/>
      <c r="AA42" s="19">
        <v>3386564041</v>
      </c>
      <c r="AB42" s="19"/>
      <c r="AC42" s="19">
        <v>1537178124</v>
      </c>
      <c r="AD42" s="19">
        <v>1773683434</v>
      </c>
      <c r="AE42" s="19">
        <v>285147900</v>
      </c>
      <c r="AF42" s="19"/>
      <c r="AG42" s="19"/>
      <c r="AH42" s="19">
        <v>979542003</v>
      </c>
      <c r="AI42" s="19"/>
      <c r="AJ42" s="19"/>
      <c r="AK42" s="19" t="s">
        <v>89</v>
      </c>
      <c r="AL42" s="19">
        <v>410843021</v>
      </c>
      <c r="AM42" s="19" t="s">
        <v>4</v>
      </c>
      <c r="AN42" s="19">
        <v>5663629</v>
      </c>
      <c r="AO42" s="19"/>
      <c r="AP42" s="19"/>
      <c r="AQ42" s="19" t="s">
        <v>4</v>
      </c>
      <c r="AR42" s="19"/>
      <c r="AS42" s="19"/>
      <c r="AT42" s="19"/>
      <c r="AU42" s="19"/>
      <c r="AV42" s="19"/>
      <c r="AW42" s="19">
        <v>310212587</v>
      </c>
      <c r="AX42" s="19" t="s">
        <v>4</v>
      </c>
      <c r="AY42" s="19">
        <v>146659177</v>
      </c>
      <c r="AZ42" s="19">
        <v>1049311521</v>
      </c>
      <c r="BA42" s="19"/>
      <c r="BB42" s="19"/>
      <c r="BC42" s="19">
        <v>302962097</v>
      </c>
      <c r="BD42" s="19"/>
      <c r="BE42" s="19">
        <v>906358037</v>
      </c>
      <c r="BF42" s="19">
        <v>1449703721</v>
      </c>
      <c r="BG42" s="19"/>
      <c r="BH42" s="19">
        <v>507403445</v>
      </c>
      <c r="BI42" s="19"/>
      <c r="BJ42" s="19">
        <v>341759084</v>
      </c>
      <c r="BK42" s="19">
        <v>368330375</v>
      </c>
      <c r="BL42" s="19"/>
      <c r="BM42" s="19">
        <v>809221106</v>
      </c>
      <c r="BN42" s="19"/>
      <c r="BO42" s="19">
        <v>67717169</v>
      </c>
      <c r="BP42" s="19"/>
      <c r="BQ42" s="19" t="s">
        <v>96</v>
      </c>
      <c r="BR42" s="19">
        <v>1444582533</v>
      </c>
      <c r="BS42" s="19"/>
      <c r="BT42" s="19"/>
      <c r="BU42" s="19">
        <v>116439703</v>
      </c>
      <c r="BV42" s="19"/>
      <c r="BW42" s="19"/>
      <c r="BX42" s="19"/>
      <c r="BY42" s="19">
        <v>283422994</v>
      </c>
      <c r="BZ42" s="19"/>
      <c r="CA42" s="19"/>
      <c r="CB42" s="19"/>
      <c r="CC42" s="19"/>
      <c r="CD42" s="19">
        <v>1648790906</v>
      </c>
      <c r="CE42" s="19">
        <v>467854514</v>
      </c>
      <c r="CF42" s="19">
        <v>93153544</v>
      </c>
      <c r="CG42" s="19"/>
      <c r="CH42" s="19"/>
      <c r="CI42" s="19" t="s">
        <v>89</v>
      </c>
      <c r="CJ42" s="19">
        <v>163625790</v>
      </c>
      <c r="CK42" s="19">
        <v>2971480798</v>
      </c>
      <c r="CL42" s="19">
        <v>331859707</v>
      </c>
      <c r="CM42" s="19"/>
      <c r="CN42" s="19"/>
      <c r="CO42" s="19"/>
      <c r="CP42" s="19"/>
      <c r="CQ42" s="19" t="s">
        <v>96</v>
      </c>
      <c r="CR42" s="19"/>
      <c r="CS42" s="19">
        <v>552386537</v>
      </c>
      <c r="CT42" s="19"/>
      <c r="CU42" s="19"/>
      <c r="CV42" s="19"/>
      <c r="CW42" s="19"/>
      <c r="CX42" s="19"/>
      <c r="CY42" s="19"/>
      <c r="CZ42" s="19"/>
      <c r="DA42" s="19"/>
      <c r="DB42" s="19">
        <v>695016972</v>
      </c>
      <c r="DC42" s="19"/>
      <c r="DD42" s="19"/>
      <c r="DE42" s="19"/>
      <c r="DF42" s="19"/>
      <c r="DG42" s="19"/>
      <c r="DH42" s="19">
        <v>16883496</v>
      </c>
      <c r="DI42" s="19">
        <v>3354511024</v>
      </c>
      <c r="DJ42" s="19"/>
      <c r="DK42" s="19">
        <v>2434010593</v>
      </c>
      <c r="DL42" s="19"/>
      <c r="DM42" s="19"/>
      <c r="DN42" s="19">
        <v>355961349</v>
      </c>
      <c r="DO42" s="19"/>
      <c r="DP42" s="19">
        <v>1615847830</v>
      </c>
      <c r="DQ42" s="19">
        <v>302557333</v>
      </c>
      <c r="DR42" s="19">
        <v>694357778</v>
      </c>
      <c r="DS42" s="19"/>
      <c r="DT42" s="19"/>
      <c r="DU42" s="19"/>
      <c r="DV42" s="19"/>
      <c r="DW42" s="19">
        <v>1357959010</v>
      </c>
      <c r="DX42" s="19"/>
      <c r="DY42" s="19">
        <v>698823175</v>
      </c>
      <c r="DZ42" s="19"/>
      <c r="EA42" s="19"/>
      <c r="EB42" s="19">
        <v>18127300</v>
      </c>
      <c r="EC42" s="19">
        <v>828762969</v>
      </c>
      <c r="ED42" s="19"/>
      <c r="EE42" s="19">
        <v>315440200</v>
      </c>
      <c r="EF42" s="19">
        <v>1434056002</v>
      </c>
      <c r="EG42" s="19">
        <v>366954629</v>
      </c>
      <c r="EH42" s="19"/>
      <c r="EI42" s="19">
        <v>46467599</v>
      </c>
      <c r="EJ42" s="19"/>
      <c r="EK42" s="19" t="s">
        <v>89</v>
      </c>
      <c r="EL42" s="19">
        <v>5280089023</v>
      </c>
      <c r="EM42" s="19">
        <v>603313808</v>
      </c>
      <c r="EN42" s="19"/>
      <c r="EO42" s="19"/>
      <c r="EP42" s="19">
        <v>335631569</v>
      </c>
      <c r="EQ42" s="19"/>
      <c r="ER42" s="19"/>
      <c r="ES42" s="19"/>
      <c r="ET42" s="19"/>
      <c r="EU42" s="19"/>
      <c r="EV42" s="19"/>
      <c r="EW42" s="19"/>
      <c r="EX42" s="19"/>
      <c r="EY42" s="19"/>
      <c r="EZ42" s="19"/>
      <c r="FA42" s="19"/>
      <c r="FB42" s="19">
        <v>340974646</v>
      </c>
      <c r="FC42" s="19"/>
      <c r="FD42" s="19">
        <v>388668007</v>
      </c>
      <c r="FE42" s="19"/>
      <c r="FF42" s="19"/>
      <c r="FG42" s="19"/>
      <c r="FH42" s="19">
        <v>25653654</v>
      </c>
      <c r="FI42" s="19"/>
      <c r="FJ42" s="19"/>
      <c r="FK42" s="19">
        <v>435645514</v>
      </c>
      <c r="FL42" s="19">
        <v>8832248</v>
      </c>
      <c r="FM42" s="19"/>
      <c r="FN42" s="19"/>
      <c r="FO42" s="19"/>
      <c r="FP42" s="19"/>
      <c r="FQ42" s="19">
        <v>13000000</v>
      </c>
      <c r="FR42" s="19"/>
      <c r="FS42" s="19"/>
      <c r="FT42" s="19">
        <v>615626731</v>
      </c>
      <c r="FU42" s="19" t="s">
        <v>152</v>
      </c>
      <c r="FV42" s="19"/>
      <c r="FW42" s="19">
        <v>132907105</v>
      </c>
      <c r="FX42" s="19"/>
      <c r="FY42" s="19"/>
      <c r="FZ42" s="19"/>
      <c r="GA42" s="19"/>
      <c r="GB42" s="19"/>
      <c r="GC42" s="19"/>
      <c r="GD42" s="19" t="s">
        <v>96</v>
      </c>
      <c r="GE42" s="19"/>
      <c r="GF42" s="19">
        <v>37847124</v>
      </c>
      <c r="GG42" s="19">
        <v>228397235</v>
      </c>
      <c r="GH42" s="19">
        <v>141878602</v>
      </c>
      <c r="GI42" s="19">
        <v>86129751</v>
      </c>
      <c r="GJ42" s="19"/>
      <c r="GK42" s="19">
        <v>33981981</v>
      </c>
      <c r="GL42" s="19"/>
      <c r="GM42" s="19"/>
      <c r="GN42" s="19"/>
      <c r="GO42" s="19">
        <v>24922023</v>
      </c>
      <c r="GP42" s="19">
        <v>5673899056</v>
      </c>
      <c r="GQ42" s="19">
        <v>146637480</v>
      </c>
      <c r="GR42" s="19">
        <v>221575154</v>
      </c>
      <c r="GS42" s="19"/>
      <c r="GT42" s="19">
        <v>86129751</v>
      </c>
      <c r="GU42" s="19"/>
      <c r="GV42" s="19" t="s">
        <v>89</v>
      </c>
      <c r="GW42" s="19">
        <v>358313046</v>
      </c>
      <c r="GX42" s="19">
        <v>1857526234</v>
      </c>
      <c r="GY42" s="19">
        <v>19801799</v>
      </c>
      <c r="GZ42" s="19">
        <v>422071544</v>
      </c>
      <c r="HA42" s="19"/>
      <c r="HB42" s="19"/>
      <c r="HC42" s="19">
        <v>2900000</v>
      </c>
      <c r="HD42" s="19" t="s">
        <v>89</v>
      </c>
      <c r="HE42" s="19"/>
      <c r="HF42" s="19"/>
      <c r="HG42" s="19">
        <v>28365508</v>
      </c>
      <c r="HH42" s="19"/>
      <c r="HI42" s="19"/>
      <c r="HJ42" s="19">
        <v>681967831</v>
      </c>
      <c r="HK42" s="19">
        <v>784806033</v>
      </c>
      <c r="HL42" s="19"/>
      <c r="HM42" s="19"/>
      <c r="HN42" s="19"/>
      <c r="HO42" s="19">
        <v>748148662</v>
      </c>
      <c r="HP42" s="19" t="s">
        <v>89</v>
      </c>
    </row>
    <row r="43" spans="1:224">
      <c r="A43" s="9" t="s">
        <v>92</v>
      </c>
      <c r="B43" s="15" t="s">
        <v>28</v>
      </c>
      <c r="C43" s="19"/>
      <c r="D43" s="19"/>
      <c r="E43" s="19"/>
      <c r="F43" s="19">
        <v>1653194677</v>
      </c>
      <c r="G43" s="19"/>
      <c r="H43" s="19"/>
      <c r="I43" s="19">
        <v>6669133620</v>
      </c>
      <c r="J43" s="19" t="s">
        <v>4</v>
      </c>
      <c r="K43" s="19"/>
      <c r="L43" s="19"/>
      <c r="M43" s="19" t="s">
        <v>96</v>
      </c>
      <c r="N43" s="19"/>
      <c r="O43" s="19">
        <v>4755661744</v>
      </c>
      <c r="P43" s="19">
        <v>5501755620</v>
      </c>
      <c r="Q43" s="19">
        <v>18459919</v>
      </c>
      <c r="R43" s="19"/>
      <c r="S43" s="19"/>
      <c r="T43" s="19" t="s">
        <v>96</v>
      </c>
      <c r="U43" s="19">
        <v>1660234337</v>
      </c>
      <c r="V43" s="19">
        <v>3000000</v>
      </c>
      <c r="W43" s="19">
        <v>377785567</v>
      </c>
      <c r="X43" s="19">
        <v>2306715282</v>
      </c>
      <c r="Y43" s="19">
        <v>655073828</v>
      </c>
      <c r="Z43" s="19">
        <v>1778581969</v>
      </c>
      <c r="AA43" s="19"/>
      <c r="AB43" s="19">
        <v>518627053</v>
      </c>
      <c r="AC43" s="19"/>
      <c r="AD43" s="19"/>
      <c r="AE43" s="19">
        <v>911596051</v>
      </c>
      <c r="AF43" s="19">
        <v>293271400</v>
      </c>
      <c r="AG43" s="19">
        <v>2083281328</v>
      </c>
      <c r="AH43" s="19"/>
      <c r="AI43" s="19"/>
      <c r="AJ43" s="19"/>
      <c r="AK43" s="19" t="s">
        <v>89</v>
      </c>
      <c r="AL43" s="19">
        <v>530681192</v>
      </c>
      <c r="AM43" s="19" t="s">
        <v>4</v>
      </c>
      <c r="AN43" s="19">
        <v>510012241</v>
      </c>
      <c r="AO43" s="19">
        <v>1727374859</v>
      </c>
      <c r="AP43" s="19">
        <v>683199580</v>
      </c>
      <c r="AQ43" s="19" t="s">
        <v>172</v>
      </c>
      <c r="AR43" s="19"/>
      <c r="AS43" s="19">
        <v>1221873695</v>
      </c>
      <c r="AT43" s="19">
        <v>3818221808</v>
      </c>
      <c r="AU43" s="19">
        <v>270744277</v>
      </c>
      <c r="AV43" s="19">
        <v>157515172</v>
      </c>
      <c r="AW43" s="19"/>
      <c r="AX43" s="19" t="s">
        <v>4</v>
      </c>
      <c r="AY43" s="19">
        <v>712089096</v>
      </c>
      <c r="AZ43" s="19"/>
      <c r="BA43" s="19"/>
      <c r="BB43" s="19">
        <v>94184042</v>
      </c>
      <c r="BC43" s="19"/>
      <c r="BD43" s="19"/>
      <c r="BE43" s="19"/>
      <c r="BF43" s="19"/>
      <c r="BG43" s="19"/>
      <c r="BH43" s="19"/>
      <c r="BI43" s="19"/>
      <c r="BJ43" s="19">
        <v>61270591</v>
      </c>
      <c r="BK43" s="19"/>
      <c r="BL43" s="19"/>
      <c r="BM43" s="19">
        <v>609091</v>
      </c>
      <c r="BN43" s="19"/>
      <c r="BO43" s="19">
        <v>233017545</v>
      </c>
      <c r="BP43" s="19">
        <v>68544027</v>
      </c>
      <c r="BQ43" s="19" t="s">
        <v>4</v>
      </c>
      <c r="BR43" s="19">
        <v>24957298</v>
      </c>
      <c r="BS43" s="19"/>
      <c r="BT43" s="19">
        <v>34654523</v>
      </c>
      <c r="BU43" s="19"/>
      <c r="BV43" s="19">
        <v>229818185</v>
      </c>
      <c r="BW43" s="19">
        <v>763762204</v>
      </c>
      <c r="BX43" s="19">
        <v>601911335</v>
      </c>
      <c r="BY43" s="19"/>
      <c r="BZ43" s="19"/>
      <c r="CA43" s="19">
        <v>841671339</v>
      </c>
      <c r="CB43" s="19">
        <v>377866468</v>
      </c>
      <c r="CC43" s="19"/>
      <c r="CD43" s="19"/>
      <c r="CE43" s="19"/>
      <c r="CF43" s="19"/>
      <c r="CG43" s="19">
        <v>741177890</v>
      </c>
      <c r="CH43" s="19"/>
      <c r="CI43" s="19" t="s">
        <v>89</v>
      </c>
      <c r="CJ43" s="19"/>
      <c r="CK43" s="19"/>
      <c r="CL43" s="19"/>
      <c r="CM43" s="19">
        <v>5894319663</v>
      </c>
      <c r="CN43" s="19">
        <v>246239083</v>
      </c>
      <c r="CO43" s="19">
        <v>226640660</v>
      </c>
      <c r="CP43" s="19">
        <v>2141560974</v>
      </c>
      <c r="CQ43" s="19" t="s">
        <v>96</v>
      </c>
      <c r="CR43" s="19">
        <v>2476966518</v>
      </c>
      <c r="CS43" s="19"/>
      <c r="CT43" s="19">
        <v>593342500</v>
      </c>
      <c r="CU43" s="19">
        <v>784938020</v>
      </c>
      <c r="CV43" s="19"/>
      <c r="CW43" s="19">
        <v>1879951293</v>
      </c>
      <c r="CX43" s="19">
        <v>910855194</v>
      </c>
      <c r="CY43" s="19">
        <v>327610241</v>
      </c>
      <c r="CZ43" s="19">
        <v>1036553880</v>
      </c>
      <c r="DA43" s="19">
        <v>286515385</v>
      </c>
      <c r="DB43" s="19"/>
      <c r="DC43" s="19">
        <v>118629440</v>
      </c>
      <c r="DD43" s="19">
        <v>188874107</v>
      </c>
      <c r="DE43" s="19"/>
      <c r="DF43" s="19">
        <v>90448100</v>
      </c>
      <c r="DG43" s="19">
        <v>1030444991</v>
      </c>
      <c r="DH43" s="19">
        <v>678046358</v>
      </c>
      <c r="DI43" s="19"/>
      <c r="DJ43" s="19">
        <v>182785442</v>
      </c>
      <c r="DK43" s="19">
        <v>243328295</v>
      </c>
      <c r="DL43" s="19">
        <v>344593865</v>
      </c>
      <c r="DM43" s="19">
        <v>62396437</v>
      </c>
      <c r="DN43" s="19">
        <v>58363635</v>
      </c>
      <c r="DO43" s="19">
        <v>546513048</v>
      </c>
      <c r="DP43" s="19"/>
      <c r="DQ43" s="19"/>
      <c r="DR43" s="19"/>
      <c r="DS43" s="19"/>
      <c r="DT43" s="19">
        <v>861050042</v>
      </c>
      <c r="DU43" s="19">
        <v>287535408</v>
      </c>
      <c r="DV43" s="19">
        <f>236835343+901856370</f>
        <v>1138691713</v>
      </c>
      <c r="DW43" s="19"/>
      <c r="DX43" s="19">
        <v>1299811349</v>
      </c>
      <c r="DY43" s="19"/>
      <c r="DZ43" s="19">
        <v>1808761263</v>
      </c>
      <c r="EA43" s="19">
        <v>129273568</v>
      </c>
      <c r="EB43" s="19">
        <v>4379910551</v>
      </c>
      <c r="EC43" s="19"/>
      <c r="ED43" s="19"/>
      <c r="EE43" s="19">
        <v>66045539</v>
      </c>
      <c r="EF43" s="19"/>
      <c r="EG43" s="19">
        <v>96994545</v>
      </c>
      <c r="EH43" s="19">
        <v>108425040</v>
      </c>
      <c r="EI43" s="19">
        <v>2218958943</v>
      </c>
      <c r="EJ43" s="19">
        <v>107190200</v>
      </c>
      <c r="EK43" s="19" t="s">
        <v>89</v>
      </c>
      <c r="EL43" s="19"/>
      <c r="EM43" s="19"/>
      <c r="EN43" s="19">
        <v>5962943463</v>
      </c>
      <c r="EO43" s="19">
        <v>2126660921</v>
      </c>
      <c r="EP43" s="19">
        <v>13801342</v>
      </c>
      <c r="EQ43" s="19">
        <v>3059658713</v>
      </c>
      <c r="ER43" s="19">
        <v>3599265542</v>
      </c>
      <c r="ES43" s="19"/>
      <c r="ET43" s="19">
        <v>70674184</v>
      </c>
      <c r="EU43" s="19">
        <v>643112484</v>
      </c>
      <c r="EV43" s="19"/>
      <c r="EW43" s="19">
        <v>6932727</v>
      </c>
      <c r="EX43" s="19"/>
      <c r="EY43" s="19">
        <v>4398593086</v>
      </c>
      <c r="EZ43" s="19">
        <v>459911511</v>
      </c>
      <c r="FA43" s="19">
        <v>515401056</v>
      </c>
      <c r="FB43" s="19"/>
      <c r="FC43" s="19"/>
      <c r="FD43" s="19"/>
      <c r="FE43" s="19"/>
      <c r="FF43" s="19">
        <v>241322101</v>
      </c>
      <c r="FG43" s="19"/>
      <c r="FH43" s="19">
        <v>85466220</v>
      </c>
      <c r="FI43" s="19"/>
      <c r="FJ43" s="19"/>
      <c r="FK43" s="19">
        <v>323010719</v>
      </c>
      <c r="FL43" s="19"/>
      <c r="FM43" s="19">
        <v>33479790</v>
      </c>
      <c r="FN43" s="19"/>
      <c r="FO43" s="19">
        <v>13952727</v>
      </c>
      <c r="FP43" s="19">
        <v>45363636</v>
      </c>
      <c r="FQ43" s="19">
        <v>0</v>
      </c>
      <c r="FR43" s="19"/>
      <c r="FS43" s="19">
        <v>36397212</v>
      </c>
      <c r="FT43" s="19"/>
      <c r="FU43" s="19" t="s">
        <v>152</v>
      </c>
      <c r="FV43" s="19">
        <v>1903035400</v>
      </c>
      <c r="FW43" s="19">
        <v>136326909</v>
      </c>
      <c r="FX43" s="19">
        <v>21649235</v>
      </c>
      <c r="FY43" s="19">
        <v>199103630</v>
      </c>
      <c r="FZ43" s="19">
        <v>254113637</v>
      </c>
      <c r="GA43" s="19"/>
      <c r="GB43" s="19"/>
      <c r="GC43" s="19">
        <v>194409271</v>
      </c>
      <c r="GD43" s="19" t="s">
        <v>96</v>
      </c>
      <c r="GE43" s="19">
        <v>44100521</v>
      </c>
      <c r="GF43" s="19">
        <v>27394545</v>
      </c>
      <c r="GG43" s="19"/>
      <c r="GH43" s="19"/>
      <c r="GI43" s="19"/>
      <c r="GJ43" s="19">
        <v>443649660</v>
      </c>
      <c r="GK43" s="19">
        <v>1155000</v>
      </c>
      <c r="GL43" s="19"/>
      <c r="GM43" s="19">
        <v>177719558</v>
      </c>
      <c r="GN43" s="19"/>
      <c r="GO43" s="19">
        <v>208144924</v>
      </c>
      <c r="GP43" s="19">
        <v>545799981</v>
      </c>
      <c r="GQ43" s="19"/>
      <c r="GR43" s="19"/>
      <c r="GS43" s="19"/>
      <c r="GT43" s="19"/>
      <c r="GU43" s="19"/>
      <c r="GV43" s="19" t="s">
        <v>89</v>
      </c>
      <c r="GW43" s="19"/>
      <c r="GX43" s="19"/>
      <c r="GY43" s="19"/>
      <c r="GZ43" s="19">
        <v>103083635</v>
      </c>
      <c r="HA43" s="19"/>
      <c r="HB43" s="19">
        <v>165530431</v>
      </c>
      <c r="HC43" s="19"/>
      <c r="HD43" s="19" t="s">
        <v>89</v>
      </c>
      <c r="HE43" s="19"/>
      <c r="HF43" s="19">
        <v>4370867406</v>
      </c>
      <c r="HG43" s="19">
        <v>127061970</v>
      </c>
      <c r="HH43" s="19"/>
      <c r="HI43" s="19">
        <v>331110000</v>
      </c>
      <c r="HJ43" s="19"/>
      <c r="HK43" s="19"/>
      <c r="HL43" s="19">
        <v>8145360</v>
      </c>
      <c r="HM43" s="19">
        <v>522019936</v>
      </c>
      <c r="HN43" s="19"/>
      <c r="HO43" s="19">
        <v>153354528</v>
      </c>
      <c r="HP43" s="19" t="s">
        <v>89</v>
      </c>
    </row>
    <row r="44" spans="1:224">
      <c r="A44" s="9" t="s">
        <v>92</v>
      </c>
      <c r="B44" s="15" t="s">
        <v>24</v>
      </c>
      <c r="C44" s="19">
        <v>6270000</v>
      </c>
      <c r="D44" s="19"/>
      <c r="E44" s="19">
        <v>1108782234</v>
      </c>
      <c r="F44" s="19">
        <v>20810115</v>
      </c>
      <c r="G44" s="19"/>
      <c r="H44" s="19">
        <v>5304450482</v>
      </c>
      <c r="I44" s="19"/>
      <c r="J44" s="19" t="s">
        <v>4</v>
      </c>
      <c r="K44" s="19"/>
      <c r="L44" s="19"/>
      <c r="M44" s="19" t="s">
        <v>96</v>
      </c>
      <c r="N44" s="19">
        <v>106914541</v>
      </c>
      <c r="O44" s="19"/>
      <c r="P44" s="19"/>
      <c r="Q44" s="19"/>
      <c r="R44" s="19"/>
      <c r="S44" s="19"/>
      <c r="T44" s="19" t="s">
        <v>96</v>
      </c>
      <c r="U44" s="19">
        <v>3745455</v>
      </c>
      <c r="V44" s="19"/>
      <c r="W44" s="19">
        <v>13613637</v>
      </c>
      <c r="X44" s="19">
        <v>2656638</v>
      </c>
      <c r="Y44" s="19">
        <v>66378453</v>
      </c>
      <c r="Z44" s="19"/>
      <c r="AA44" s="19">
        <v>9331246</v>
      </c>
      <c r="AB44" s="19"/>
      <c r="AC44" s="19">
        <v>459568</v>
      </c>
      <c r="AD44" s="19"/>
      <c r="AE44" s="19"/>
      <c r="AF44" s="19"/>
      <c r="AG44" s="19"/>
      <c r="AH44" s="19"/>
      <c r="AI44" s="19"/>
      <c r="AJ44" s="19"/>
      <c r="AK44" s="19" t="s">
        <v>89</v>
      </c>
      <c r="AL44" s="19">
        <v>86175301</v>
      </c>
      <c r="AM44" s="19" t="s">
        <v>4</v>
      </c>
      <c r="AN44" s="19"/>
      <c r="AO44" s="19"/>
      <c r="AP44" s="19">
        <v>87190225</v>
      </c>
      <c r="AQ44" s="19" t="s">
        <v>172</v>
      </c>
      <c r="AR44" s="19"/>
      <c r="AS44" s="19"/>
      <c r="AT44" s="19">
        <v>38314889</v>
      </c>
      <c r="AU44" s="19">
        <v>219311338</v>
      </c>
      <c r="AV44" s="19"/>
      <c r="AW44" s="19"/>
      <c r="AX44" s="19" t="s">
        <v>4</v>
      </c>
      <c r="AY44" s="19"/>
      <c r="AZ44" s="19"/>
      <c r="BA44" s="19"/>
      <c r="BB44" s="19"/>
      <c r="BC44" s="19">
        <v>3119343516</v>
      </c>
      <c r="BD44" s="19">
        <v>352846022</v>
      </c>
      <c r="BE44" s="19"/>
      <c r="BF44" s="19"/>
      <c r="BG44" s="19"/>
      <c r="BH44" s="19"/>
      <c r="BI44" s="19"/>
      <c r="BJ44" s="19">
        <v>276291435</v>
      </c>
      <c r="BK44" s="19">
        <v>353263946</v>
      </c>
      <c r="BL44" s="19"/>
      <c r="BM44" s="19"/>
      <c r="BN44" s="19">
        <v>536475663</v>
      </c>
      <c r="BO44" s="19"/>
      <c r="BP44" s="19"/>
      <c r="BQ44" s="19" t="s">
        <v>4</v>
      </c>
      <c r="BR44" s="19"/>
      <c r="BS44" s="19"/>
      <c r="BT44" s="19"/>
      <c r="BU44" s="19"/>
      <c r="BV44" s="19"/>
      <c r="BW44" s="19"/>
      <c r="BX44" s="19">
        <v>130996397</v>
      </c>
      <c r="BY44" s="19">
        <v>106711043</v>
      </c>
      <c r="BZ44" s="19"/>
      <c r="CA44" s="19">
        <v>31054359</v>
      </c>
      <c r="CB44" s="19"/>
      <c r="CC44" s="19">
        <v>4500000</v>
      </c>
      <c r="CD44" s="19"/>
      <c r="CE44" s="19"/>
      <c r="CF44" s="19">
        <v>6681817</v>
      </c>
      <c r="CG44" s="19"/>
      <c r="CH44" s="19"/>
      <c r="CI44" s="19" t="s">
        <v>89</v>
      </c>
      <c r="CJ44" s="19"/>
      <c r="CK44" s="19"/>
      <c r="CL44" s="19"/>
      <c r="CM44" s="19"/>
      <c r="CN44" s="19"/>
      <c r="CO44" s="19"/>
      <c r="CP44" s="19"/>
      <c r="CQ44" s="19" t="s">
        <v>96</v>
      </c>
      <c r="CR44" s="19"/>
      <c r="CS44" s="19"/>
      <c r="CT44" s="19"/>
      <c r="CU44" s="19"/>
      <c r="CV44" s="19"/>
      <c r="CW44" s="19"/>
      <c r="CX44" s="19"/>
      <c r="CY44" s="19">
        <v>10259938665</v>
      </c>
      <c r="CZ44" s="19"/>
      <c r="DA44" s="19"/>
      <c r="DB44" s="19"/>
      <c r="DC44" s="19"/>
      <c r="DD44" s="19"/>
      <c r="DE44" s="19">
        <v>1245797570</v>
      </c>
      <c r="DF44" s="19"/>
      <c r="DG44" s="19">
        <v>30502394</v>
      </c>
      <c r="DH44" s="19"/>
      <c r="DI44" s="19">
        <v>69895200</v>
      </c>
      <c r="DJ44" s="19">
        <v>70536000</v>
      </c>
      <c r="DK44" s="19">
        <v>1469805598</v>
      </c>
      <c r="DL44" s="19"/>
      <c r="DM44" s="19"/>
      <c r="DN44" s="19">
        <v>45381770</v>
      </c>
      <c r="DO44" s="19"/>
      <c r="DP44" s="19"/>
      <c r="DQ44" s="19">
        <v>75545435</v>
      </c>
      <c r="DR44" s="19"/>
      <c r="DS44" s="19">
        <v>609690413</v>
      </c>
      <c r="DT44" s="19"/>
      <c r="DU44" s="19">
        <v>9345030</v>
      </c>
      <c r="DV44" s="19">
        <v>1407921601</v>
      </c>
      <c r="DW44" s="19"/>
      <c r="DX44" s="19"/>
      <c r="DY44" s="19"/>
      <c r="DZ44" s="19"/>
      <c r="EA44" s="19">
        <v>24462740</v>
      </c>
      <c r="EB44" s="19"/>
      <c r="EC44" s="19">
        <v>20817317</v>
      </c>
      <c r="ED44" s="19">
        <v>32618915</v>
      </c>
      <c r="EE44" s="19"/>
      <c r="EF44" s="19"/>
      <c r="EG44" s="19"/>
      <c r="EH44" s="19">
        <v>146116482</v>
      </c>
      <c r="EI44" s="19"/>
      <c r="EJ44" s="19">
        <v>136363</v>
      </c>
      <c r="EK44" s="19" t="s">
        <v>89</v>
      </c>
      <c r="EL44" s="19"/>
      <c r="EM44" s="19">
        <v>305895746</v>
      </c>
      <c r="EN44" s="19"/>
      <c r="EO44" s="19"/>
      <c r="EP44" s="19"/>
      <c r="EQ44" s="19">
        <v>109134330</v>
      </c>
      <c r="ER44" s="19"/>
      <c r="ES44" s="19"/>
      <c r="ET44" s="19"/>
      <c r="EU44" s="19">
        <v>33053374</v>
      </c>
      <c r="EV44" s="19"/>
      <c r="EW44" s="19">
        <v>255967797</v>
      </c>
      <c r="EX44" s="19">
        <v>1693042256</v>
      </c>
      <c r="EY44" s="19"/>
      <c r="EZ44" s="19">
        <v>202170862</v>
      </c>
      <c r="FA44" s="19">
        <v>27773386</v>
      </c>
      <c r="FB44" s="19"/>
      <c r="FC44" s="19"/>
      <c r="FD44" s="19"/>
      <c r="FE44" s="19"/>
      <c r="FF44" s="19"/>
      <c r="FG44" s="19"/>
      <c r="FH44" s="19"/>
      <c r="FI44" s="19"/>
      <c r="FJ44" s="19">
        <v>577249472</v>
      </c>
      <c r="FK44" s="19">
        <v>5053790</v>
      </c>
      <c r="FL44" s="19"/>
      <c r="FM44" s="19">
        <v>11596122</v>
      </c>
      <c r="FN44" s="19"/>
      <c r="FO44" s="19"/>
      <c r="FP44" s="19"/>
      <c r="FQ44" s="19">
        <v>40077273</v>
      </c>
      <c r="FR44" s="19"/>
      <c r="FS44" s="19"/>
      <c r="FT44" s="19"/>
      <c r="FU44" s="19" t="s">
        <v>152</v>
      </c>
      <c r="FV44" s="19"/>
      <c r="FW44" s="19"/>
      <c r="FX44" s="19"/>
      <c r="FY44" s="19"/>
      <c r="FZ44" s="19"/>
      <c r="GA44" s="19"/>
      <c r="GB44" s="19"/>
      <c r="GC44" s="19"/>
      <c r="GD44" s="19" t="s">
        <v>96</v>
      </c>
      <c r="GE44" s="19"/>
      <c r="GF44" s="19"/>
      <c r="GG44" s="19">
        <v>32087197</v>
      </c>
      <c r="GH44" s="19"/>
      <c r="GI44" s="19"/>
      <c r="GJ44" s="19">
        <v>784949000</v>
      </c>
      <c r="GK44" s="19"/>
      <c r="GL44" s="19"/>
      <c r="GM44" s="19"/>
      <c r="GN44" s="19">
        <v>243813680</v>
      </c>
      <c r="GO44" s="19"/>
      <c r="GP44" s="19">
        <v>494856211</v>
      </c>
      <c r="GQ44" s="19">
        <v>56866519</v>
      </c>
      <c r="GR44" s="19"/>
      <c r="GS44" s="19">
        <v>56896695</v>
      </c>
      <c r="GT44" s="19"/>
      <c r="GU44" s="19"/>
      <c r="GV44" s="19" t="s">
        <v>89</v>
      </c>
      <c r="GW44" s="19">
        <v>82011270</v>
      </c>
      <c r="GX44" s="19">
        <v>12991499</v>
      </c>
      <c r="GY44" s="19">
        <v>46204199</v>
      </c>
      <c r="GZ44" s="19">
        <v>24865426</v>
      </c>
      <c r="HA44" s="19">
        <v>6468083</v>
      </c>
      <c r="HB44" s="19"/>
      <c r="HC44" s="19"/>
      <c r="HD44" s="19" t="s">
        <v>89</v>
      </c>
      <c r="HE44" s="19"/>
      <c r="HF44" s="19"/>
      <c r="HG44" s="19"/>
      <c r="HH44" s="19"/>
      <c r="HI44" s="19"/>
      <c r="HJ44" s="19"/>
      <c r="HK44" s="19"/>
      <c r="HL44" s="19">
        <v>601358738</v>
      </c>
      <c r="HM44" s="19"/>
      <c r="HN44" s="19"/>
      <c r="HO44" s="19">
        <v>193425001</v>
      </c>
      <c r="HP44" s="19" t="s">
        <v>89</v>
      </c>
    </row>
    <row r="45" spans="1:224">
      <c r="A45" s="9" t="s">
        <v>92</v>
      </c>
      <c r="B45" s="10" t="s">
        <v>144</v>
      </c>
      <c r="C45" s="19">
        <v>0</v>
      </c>
      <c r="D45" s="19">
        <v>3271620097</v>
      </c>
      <c r="E45" s="19">
        <v>797304024</v>
      </c>
      <c r="F45" s="19">
        <v>57347147</v>
      </c>
      <c r="G45" s="19">
        <v>94530501</v>
      </c>
      <c r="H45" s="19">
        <v>0</v>
      </c>
      <c r="I45" s="19">
        <v>0</v>
      </c>
      <c r="J45" s="19" t="s">
        <v>4</v>
      </c>
      <c r="K45" s="19">
        <v>2616175282</v>
      </c>
      <c r="L45" s="19">
        <v>877622399</v>
      </c>
      <c r="M45" s="19" t="s">
        <v>96</v>
      </c>
      <c r="N45" s="19">
        <v>511116927</v>
      </c>
      <c r="O45" s="19">
        <v>453257870</v>
      </c>
      <c r="P45" s="19">
        <v>0</v>
      </c>
      <c r="Q45" s="19">
        <v>148722027</v>
      </c>
      <c r="R45" s="19">
        <v>3979700</v>
      </c>
      <c r="S45" s="19">
        <v>4591161997</v>
      </c>
      <c r="T45" s="19" t="s">
        <v>96</v>
      </c>
      <c r="U45" s="19">
        <v>4712266</v>
      </c>
      <c r="V45" s="19">
        <v>45437825</v>
      </c>
      <c r="W45" s="19">
        <v>33866392</v>
      </c>
      <c r="X45" s="19">
        <v>987568293</v>
      </c>
      <c r="Y45" s="19">
        <v>0</v>
      </c>
      <c r="Z45" s="19">
        <v>728929143</v>
      </c>
      <c r="AA45" s="19">
        <v>3110823972</v>
      </c>
      <c r="AB45" s="19">
        <v>0</v>
      </c>
      <c r="AC45" s="19">
        <v>1435155164</v>
      </c>
      <c r="AD45" s="19">
        <v>1410377408</v>
      </c>
      <c r="AE45" s="19">
        <v>573225258</v>
      </c>
      <c r="AF45" s="19">
        <v>0</v>
      </c>
      <c r="AG45" s="19">
        <v>0</v>
      </c>
      <c r="AH45" s="19">
        <v>306732345</v>
      </c>
      <c r="AI45" s="19">
        <v>1019221051</v>
      </c>
      <c r="AJ45" s="19">
        <v>465827122</v>
      </c>
      <c r="AK45" s="19" t="s">
        <v>89</v>
      </c>
      <c r="AL45" s="19">
        <v>36945980</v>
      </c>
      <c r="AM45" s="19" t="s">
        <v>4</v>
      </c>
      <c r="AN45" s="19">
        <v>4849670</v>
      </c>
      <c r="AO45" s="19">
        <v>502765825</v>
      </c>
      <c r="AP45" s="19">
        <v>4626443</v>
      </c>
      <c r="AQ45" s="19" t="s">
        <v>172</v>
      </c>
      <c r="AR45" s="19">
        <v>69214235</v>
      </c>
      <c r="AS45" s="19">
        <v>0</v>
      </c>
      <c r="AT45" s="19">
        <v>3164336796</v>
      </c>
      <c r="AU45" s="19">
        <v>0</v>
      </c>
      <c r="AV45" s="19">
        <v>0</v>
      </c>
      <c r="AW45" s="19">
        <v>271631343</v>
      </c>
      <c r="AX45" s="19" t="s">
        <v>4</v>
      </c>
      <c r="AY45" s="19">
        <v>249486163</v>
      </c>
      <c r="AZ45" s="19">
        <v>672747395</v>
      </c>
      <c r="BA45" s="19">
        <v>4506104862</v>
      </c>
      <c r="BB45" s="19">
        <v>0</v>
      </c>
      <c r="BC45" s="19">
        <v>2956862516</v>
      </c>
      <c r="BD45" s="19">
        <v>192488143</v>
      </c>
      <c r="BE45" s="19">
        <v>761057150</v>
      </c>
      <c r="BF45" s="19">
        <v>1427114973</v>
      </c>
      <c r="BG45" s="19">
        <v>3353704440</v>
      </c>
      <c r="BH45" s="19">
        <v>414437093</v>
      </c>
      <c r="BI45" s="19">
        <v>300361601</v>
      </c>
      <c r="BJ45" s="19">
        <v>395406339</v>
      </c>
      <c r="BK45" s="19">
        <v>407655516</v>
      </c>
      <c r="BL45" s="19">
        <v>207932109</v>
      </c>
      <c r="BM45" s="19">
        <v>390370058</v>
      </c>
      <c r="BN45" s="19">
        <v>373529390</v>
      </c>
      <c r="BO45" s="19">
        <v>1060212066</v>
      </c>
      <c r="BP45" s="19">
        <v>0</v>
      </c>
      <c r="BQ45" s="19" t="s">
        <v>4</v>
      </c>
      <c r="BR45" s="19">
        <v>817488638</v>
      </c>
      <c r="BS45" s="19">
        <v>44119266</v>
      </c>
      <c r="BT45" s="19">
        <v>19830717</v>
      </c>
      <c r="BU45" s="19">
        <v>96442336</v>
      </c>
      <c r="BV45" s="19">
        <v>0</v>
      </c>
      <c r="BW45" s="19">
        <v>0</v>
      </c>
      <c r="BX45" s="19">
        <v>0</v>
      </c>
      <c r="BY45" s="19">
        <v>4226427207</v>
      </c>
      <c r="BZ45" s="19">
        <v>290532443</v>
      </c>
      <c r="CA45" s="19">
        <v>0</v>
      </c>
      <c r="CB45" s="19">
        <v>15686196</v>
      </c>
      <c r="CC45" s="19">
        <v>1150113364</v>
      </c>
      <c r="CD45" s="19">
        <v>1528771378</v>
      </c>
      <c r="CE45" s="19">
        <v>419097225</v>
      </c>
      <c r="CF45" s="19">
        <v>234080348</v>
      </c>
      <c r="CG45" s="19">
        <v>0</v>
      </c>
      <c r="CH45" s="19">
        <v>101512414</v>
      </c>
      <c r="CI45" s="19" t="s">
        <v>89</v>
      </c>
      <c r="CJ45" s="19">
        <v>143595339</v>
      </c>
      <c r="CK45" s="19">
        <v>2203409071</v>
      </c>
      <c r="CL45" s="19">
        <v>275522408</v>
      </c>
      <c r="CM45" s="19">
        <v>0</v>
      </c>
      <c r="CN45" s="19">
        <v>0</v>
      </c>
      <c r="CO45" s="19">
        <v>0</v>
      </c>
      <c r="CP45" s="19">
        <v>658405705</v>
      </c>
      <c r="CQ45" s="19" t="s">
        <v>96</v>
      </c>
      <c r="CR45" s="19">
        <v>2046229366</v>
      </c>
      <c r="CS45" s="19">
        <v>303693317</v>
      </c>
      <c r="CT45" s="19">
        <v>0</v>
      </c>
      <c r="CU45" s="19">
        <v>0</v>
      </c>
      <c r="CV45" s="19">
        <v>2121281</v>
      </c>
      <c r="CW45" s="19">
        <v>321686799</v>
      </c>
      <c r="CX45" s="19">
        <v>0</v>
      </c>
      <c r="CY45" s="19">
        <v>6730946154</v>
      </c>
      <c r="CZ45" s="19">
        <v>0</v>
      </c>
      <c r="DA45" s="19">
        <v>0</v>
      </c>
      <c r="DB45" s="19">
        <v>405543462</v>
      </c>
      <c r="DC45" s="19">
        <v>0</v>
      </c>
      <c r="DD45" s="19">
        <v>9042078</v>
      </c>
      <c r="DE45" s="19">
        <v>247180</v>
      </c>
      <c r="DF45" s="19">
        <v>15880722</v>
      </c>
      <c r="DG45" s="19">
        <v>0</v>
      </c>
      <c r="DH45" s="19">
        <v>417198088</v>
      </c>
      <c r="DI45" s="19">
        <v>2859710508</v>
      </c>
      <c r="DJ45" s="19">
        <v>0</v>
      </c>
      <c r="DK45" s="19">
        <v>3249679815</v>
      </c>
      <c r="DL45" s="19">
        <v>0</v>
      </c>
      <c r="DM45" s="19">
        <v>1483070058</v>
      </c>
      <c r="DN45" s="19">
        <v>441025958</v>
      </c>
      <c r="DO45" s="19">
        <v>0</v>
      </c>
      <c r="DP45" s="19">
        <v>1294013075</v>
      </c>
      <c r="DQ45" s="19">
        <v>304577370</v>
      </c>
      <c r="DR45" s="19">
        <v>493931790</v>
      </c>
      <c r="DS45" s="19">
        <v>0</v>
      </c>
      <c r="DT45" s="19">
        <v>22600168</v>
      </c>
      <c r="DU45" s="19">
        <v>0</v>
      </c>
      <c r="DV45" s="19">
        <v>0</v>
      </c>
      <c r="DW45" s="19">
        <v>1471974104</v>
      </c>
      <c r="DX45" s="19">
        <v>0</v>
      </c>
      <c r="DY45" s="19">
        <v>114735625</v>
      </c>
      <c r="DZ45" s="19">
        <v>1500990252</v>
      </c>
      <c r="EA45" s="19">
        <v>0</v>
      </c>
      <c r="EB45" s="19">
        <v>16324582</v>
      </c>
      <c r="EC45" s="19">
        <v>515552770</v>
      </c>
      <c r="ED45" s="19">
        <v>6283182</v>
      </c>
      <c r="EE45" s="19">
        <v>293838481</v>
      </c>
      <c r="EF45" s="19">
        <v>918023617</v>
      </c>
      <c r="EG45" s="19">
        <v>457849471</v>
      </c>
      <c r="EH45" s="19">
        <v>191964110</v>
      </c>
      <c r="EI45" s="19">
        <v>1444954513</v>
      </c>
      <c r="EJ45" s="19">
        <v>0</v>
      </c>
      <c r="EK45" s="19" t="s">
        <v>89</v>
      </c>
      <c r="EL45" s="19">
        <v>4726195163</v>
      </c>
      <c r="EM45" s="19">
        <v>620431227</v>
      </c>
      <c r="EN45" s="19">
        <v>0</v>
      </c>
      <c r="EO45" s="19">
        <v>623524491</v>
      </c>
      <c r="EP45" s="19">
        <v>163145828</v>
      </c>
      <c r="EQ45" s="19">
        <v>0</v>
      </c>
      <c r="ER45" s="19">
        <v>138884617</v>
      </c>
      <c r="ES45" s="19">
        <v>455305971</v>
      </c>
      <c r="ET45" s="19">
        <v>0</v>
      </c>
      <c r="EU45" s="19">
        <v>0</v>
      </c>
      <c r="EV45" s="19">
        <v>91257126</v>
      </c>
      <c r="EW45" s="19">
        <v>60346619</v>
      </c>
      <c r="EX45" s="19">
        <v>17248565</v>
      </c>
      <c r="EY45" s="19">
        <v>0</v>
      </c>
      <c r="EZ45" s="19">
        <v>85109145</v>
      </c>
      <c r="FA45" s="19">
        <v>439559856</v>
      </c>
      <c r="FB45" s="19">
        <v>997829488</v>
      </c>
      <c r="FC45" s="19">
        <v>1086619147</v>
      </c>
      <c r="FD45" s="19">
        <v>200028925</v>
      </c>
      <c r="FE45" s="19">
        <v>11305498195</v>
      </c>
      <c r="FF45" s="19">
        <v>0</v>
      </c>
      <c r="FG45" s="19">
        <v>685987045</v>
      </c>
      <c r="FH45" s="19">
        <v>78372718</v>
      </c>
      <c r="FI45" s="19">
        <v>93133036</v>
      </c>
      <c r="FJ45" s="19">
        <v>33447622</v>
      </c>
      <c r="FK45" s="19">
        <v>539152227</v>
      </c>
      <c r="FL45" s="19">
        <v>53349920</v>
      </c>
      <c r="FM45" s="19">
        <v>6540000</v>
      </c>
      <c r="FN45" s="19"/>
      <c r="FO45" s="19">
        <v>0</v>
      </c>
      <c r="FP45" s="19">
        <v>0</v>
      </c>
      <c r="FQ45" s="19">
        <v>53482535</v>
      </c>
      <c r="FR45" s="19">
        <v>11897337</v>
      </c>
      <c r="FS45" s="19">
        <v>15610741</v>
      </c>
      <c r="FT45" s="19">
        <v>487944482</v>
      </c>
      <c r="FU45" s="19" t="s">
        <v>152</v>
      </c>
      <c r="FV45" s="19">
        <v>635553390</v>
      </c>
      <c r="FW45" s="19">
        <v>509726863</v>
      </c>
      <c r="FX45" s="19">
        <v>0</v>
      </c>
      <c r="FY45" s="19">
        <v>144989505</v>
      </c>
      <c r="FZ45" s="19">
        <v>234045531</v>
      </c>
      <c r="GA45" s="19"/>
      <c r="GB45" s="19">
        <v>1454409</v>
      </c>
      <c r="GC45" s="19">
        <v>0</v>
      </c>
      <c r="GD45" s="19" t="s">
        <v>96</v>
      </c>
      <c r="GE45" s="19">
        <v>3943182</v>
      </c>
      <c r="GF45" s="19">
        <v>45593789</v>
      </c>
      <c r="GG45" s="19">
        <v>243874955</v>
      </c>
      <c r="GH45" s="19">
        <v>111049021</v>
      </c>
      <c r="GI45" s="19">
        <v>57840943</v>
      </c>
      <c r="GJ45" s="19">
        <v>481832951</v>
      </c>
      <c r="GK45" s="19">
        <v>25852750</v>
      </c>
      <c r="GL45" s="19">
        <v>101308509</v>
      </c>
      <c r="GM45" s="19">
        <v>0</v>
      </c>
      <c r="GN45" s="19">
        <v>2887717</v>
      </c>
      <c r="GO45" s="19">
        <v>16193340</v>
      </c>
      <c r="GP45" s="19">
        <v>6648417151</v>
      </c>
      <c r="GQ45" s="19">
        <v>257482342</v>
      </c>
      <c r="GR45" s="19">
        <v>410264624</v>
      </c>
      <c r="GS45" s="19">
        <v>0</v>
      </c>
      <c r="GT45" s="19">
        <v>57840943</v>
      </c>
      <c r="GU45" s="19">
        <v>0</v>
      </c>
      <c r="GV45" s="19" t="s">
        <v>89</v>
      </c>
      <c r="GW45" s="19">
        <v>266096336</v>
      </c>
      <c r="GX45" s="19">
        <v>1550669769</v>
      </c>
      <c r="GY45" s="19">
        <v>337526767</v>
      </c>
      <c r="GZ45" s="19">
        <v>265645001</v>
      </c>
      <c r="HA45" s="19">
        <v>279534054</v>
      </c>
      <c r="HB45" s="19">
        <v>0</v>
      </c>
      <c r="HC45" s="19">
        <v>6654638</v>
      </c>
      <c r="HD45" s="19" t="s">
        <v>89</v>
      </c>
      <c r="HE45" s="19">
        <v>354590147</v>
      </c>
      <c r="HF45" s="19">
        <v>0</v>
      </c>
      <c r="HG45" s="19">
        <v>27852225</v>
      </c>
      <c r="HH45" s="19">
        <v>101204074</v>
      </c>
      <c r="HI45" s="19">
        <v>0</v>
      </c>
      <c r="HJ45" s="19">
        <v>815154154</v>
      </c>
      <c r="HK45" s="19">
        <v>768496904</v>
      </c>
      <c r="HL45" s="19">
        <v>0</v>
      </c>
      <c r="HM45" s="19">
        <v>0</v>
      </c>
      <c r="HN45" s="19">
        <v>0</v>
      </c>
      <c r="HO45" s="19">
        <v>622776530</v>
      </c>
      <c r="HP45" s="19" t="s">
        <v>89</v>
      </c>
    </row>
    <row r="46" spans="1:224">
      <c r="A46" s="9" t="s">
        <v>92</v>
      </c>
      <c r="B46" s="15" t="s">
        <v>67</v>
      </c>
      <c r="C46" s="19"/>
      <c r="D46" s="19"/>
      <c r="E46" s="19"/>
      <c r="F46" s="19"/>
      <c r="G46" s="19"/>
      <c r="H46" s="19"/>
      <c r="I46" s="19"/>
      <c r="J46" s="19" t="s">
        <v>4</v>
      </c>
      <c r="K46" s="19"/>
      <c r="L46" s="19"/>
      <c r="M46" s="19" t="s">
        <v>96</v>
      </c>
      <c r="N46" s="19"/>
      <c r="O46" s="19"/>
      <c r="P46" s="19"/>
      <c r="Q46" s="19"/>
      <c r="R46" s="19">
        <v>3979700</v>
      </c>
      <c r="S46" s="19">
        <v>41665847</v>
      </c>
      <c r="T46" s="19" t="s">
        <v>96</v>
      </c>
      <c r="U46" s="19">
        <v>4712266</v>
      </c>
      <c r="V46" s="19"/>
      <c r="W46" s="19"/>
      <c r="X46" s="19"/>
      <c r="Y46" s="19"/>
      <c r="Z46" s="19">
        <v>728929143</v>
      </c>
      <c r="AA46" s="19"/>
      <c r="AB46" s="19"/>
      <c r="AC46" s="19"/>
      <c r="AD46" s="19"/>
      <c r="AE46" s="19"/>
      <c r="AF46" s="19"/>
      <c r="AG46" s="19"/>
      <c r="AH46" s="19">
        <v>306732345</v>
      </c>
      <c r="AI46" s="19">
        <v>1019221051</v>
      </c>
      <c r="AJ46" s="19">
        <v>465827122</v>
      </c>
      <c r="AK46" s="19" t="s">
        <v>89</v>
      </c>
      <c r="AL46" s="19"/>
      <c r="AM46" s="19" t="s">
        <v>4</v>
      </c>
      <c r="AN46" s="19"/>
      <c r="AO46" s="19"/>
      <c r="AP46" s="19">
        <v>4626443</v>
      </c>
      <c r="AQ46" s="19" t="s">
        <v>172</v>
      </c>
      <c r="AR46" s="19">
        <v>69214235</v>
      </c>
      <c r="AS46" s="19"/>
      <c r="AT46" s="19"/>
      <c r="AU46" s="19"/>
      <c r="AV46" s="19"/>
      <c r="AW46" s="19"/>
      <c r="AX46" s="19" t="s">
        <v>4</v>
      </c>
      <c r="AY46" s="19"/>
      <c r="AZ46" s="19"/>
      <c r="BA46" s="19">
        <v>4506104862</v>
      </c>
      <c r="BB46" s="19"/>
      <c r="BC46" s="19">
        <v>2747137762</v>
      </c>
      <c r="BD46" s="19">
        <v>192488143</v>
      </c>
      <c r="BE46" s="19"/>
      <c r="BF46" s="19">
        <v>267941755</v>
      </c>
      <c r="BG46" s="19"/>
      <c r="BH46" s="19">
        <v>22275928</v>
      </c>
      <c r="BI46" s="19">
        <v>300361601</v>
      </c>
      <c r="BJ46" s="19">
        <v>121845782</v>
      </c>
      <c r="BK46" s="19"/>
      <c r="BL46" s="19">
        <v>207932109</v>
      </c>
      <c r="BM46" s="19"/>
      <c r="BN46" s="19"/>
      <c r="BO46" s="19">
        <v>1012887156</v>
      </c>
      <c r="BP46" s="19"/>
      <c r="BQ46" s="19" t="s">
        <v>4</v>
      </c>
      <c r="BR46" s="19"/>
      <c r="BS46" s="19">
        <v>44119266</v>
      </c>
      <c r="BT46" s="19">
        <v>19830717</v>
      </c>
      <c r="BU46" s="19">
        <v>96442336</v>
      </c>
      <c r="BV46" s="19"/>
      <c r="BW46" s="19"/>
      <c r="BX46" s="19"/>
      <c r="BY46" s="19">
        <v>3833157160</v>
      </c>
      <c r="BZ46" s="19">
        <v>290532443</v>
      </c>
      <c r="CA46" s="19"/>
      <c r="CB46" s="19">
        <v>15686196</v>
      </c>
      <c r="CC46" s="19">
        <v>1150113364</v>
      </c>
      <c r="CD46" s="19">
        <v>1528771378</v>
      </c>
      <c r="CE46" s="19"/>
      <c r="CF46" s="19">
        <v>234080348</v>
      </c>
      <c r="CG46" s="19"/>
      <c r="CH46" s="19">
        <v>101512414</v>
      </c>
      <c r="CI46" s="19" t="s">
        <v>89</v>
      </c>
      <c r="CJ46" s="19">
        <v>13920000</v>
      </c>
      <c r="CK46" s="19"/>
      <c r="CL46" s="19"/>
      <c r="CM46" s="19"/>
      <c r="CN46" s="19"/>
      <c r="CO46" s="19"/>
      <c r="CP46" s="19">
        <v>658405705</v>
      </c>
      <c r="CQ46" s="19" t="s">
        <v>96</v>
      </c>
      <c r="CR46" s="19"/>
      <c r="CS46" s="19"/>
      <c r="CT46" s="19"/>
      <c r="CU46" s="19"/>
      <c r="CV46" s="19">
        <v>2121281</v>
      </c>
      <c r="CW46" s="19"/>
      <c r="CX46" s="19"/>
      <c r="CY46" s="19">
        <v>1394502612</v>
      </c>
      <c r="CZ46" s="19"/>
      <c r="DA46" s="19"/>
      <c r="DB46" s="19">
        <v>59728720</v>
      </c>
      <c r="DC46" s="19"/>
      <c r="DD46" s="19">
        <v>9042078</v>
      </c>
      <c r="DE46" s="19">
        <v>247180</v>
      </c>
      <c r="DF46" s="19">
        <v>15880722</v>
      </c>
      <c r="DG46" s="19"/>
      <c r="DH46" s="19">
        <v>24363076</v>
      </c>
      <c r="DI46" s="19">
        <v>89243276</v>
      </c>
      <c r="DJ46" s="19"/>
      <c r="DK46" s="19">
        <v>246805743</v>
      </c>
      <c r="DL46" s="19"/>
      <c r="DM46" s="19">
        <v>1483070058</v>
      </c>
      <c r="DN46" s="19">
        <v>43596100</v>
      </c>
      <c r="DO46" s="19"/>
      <c r="DP46" s="19">
        <v>1294013075</v>
      </c>
      <c r="DQ46" s="19"/>
      <c r="DR46" s="19">
        <v>73074978</v>
      </c>
      <c r="DS46" s="19"/>
      <c r="DT46" s="19">
        <v>22600168</v>
      </c>
      <c r="DU46" s="19"/>
      <c r="DV46" s="19"/>
      <c r="DW46" s="19">
        <v>470794793</v>
      </c>
      <c r="DX46" s="19"/>
      <c r="DY46" s="19">
        <v>33723794</v>
      </c>
      <c r="DZ46" s="19"/>
      <c r="EA46" s="19"/>
      <c r="EB46" s="19"/>
      <c r="EC46" s="19"/>
      <c r="ED46" s="19">
        <v>6283182</v>
      </c>
      <c r="EE46" s="19"/>
      <c r="EF46" s="19"/>
      <c r="EG46" s="19"/>
      <c r="EH46" s="19"/>
      <c r="EI46" s="19">
        <v>69618163</v>
      </c>
      <c r="EJ46" s="19"/>
      <c r="EK46" s="19" t="s">
        <v>89</v>
      </c>
      <c r="EL46" s="19"/>
      <c r="EM46" s="19"/>
      <c r="EN46" s="19"/>
      <c r="EO46" s="19"/>
      <c r="EP46" s="19"/>
      <c r="EQ46" s="19"/>
      <c r="ER46" s="19"/>
      <c r="ES46" s="19">
        <v>455305971</v>
      </c>
      <c r="ET46" s="19"/>
      <c r="EU46" s="19"/>
      <c r="EV46" s="19">
        <v>91257126</v>
      </c>
      <c r="EW46" s="19">
        <v>60346619</v>
      </c>
      <c r="EX46" s="19">
        <v>17248565</v>
      </c>
      <c r="EY46" s="19"/>
      <c r="EZ46" s="19">
        <v>20568101</v>
      </c>
      <c r="FA46" s="19">
        <v>5712000</v>
      </c>
      <c r="FB46" s="19">
        <v>637570336</v>
      </c>
      <c r="FC46" s="19">
        <v>1086619147</v>
      </c>
      <c r="FD46" s="19"/>
      <c r="FE46" s="19">
        <v>11305498195</v>
      </c>
      <c r="FF46" s="19"/>
      <c r="FG46" s="19">
        <v>685987045</v>
      </c>
      <c r="FH46" s="19">
        <v>37167668</v>
      </c>
      <c r="FI46" s="19">
        <v>93133036</v>
      </c>
      <c r="FJ46" s="19">
        <v>33447622</v>
      </c>
      <c r="FK46" s="19">
        <v>330441399</v>
      </c>
      <c r="FL46" s="19"/>
      <c r="FM46" s="19">
        <v>6540000</v>
      </c>
      <c r="FN46" s="19"/>
      <c r="FO46" s="19"/>
      <c r="FP46" s="19"/>
      <c r="FQ46" s="19">
        <v>18328000</v>
      </c>
      <c r="FR46" s="19">
        <v>11897337</v>
      </c>
      <c r="FS46" s="19">
        <v>15610741</v>
      </c>
      <c r="FT46" s="19"/>
      <c r="FU46" s="19" t="s">
        <v>152</v>
      </c>
      <c r="FV46" s="19"/>
      <c r="FW46" s="19">
        <v>339012351</v>
      </c>
      <c r="FX46" s="19"/>
      <c r="FY46" s="19">
        <v>144989505</v>
      </c>
      <c r="FZ46" s="19"/>
      <c r="GA46" s="19"/>
      <c r="GB46" s="19">
        <v>1454409</v>
      </c>
      <c r="GC46" s="19"/>
      <c r="GD46" s="19" t="s">
        <v>96</v>
      </c>
      <c r="GE46" s="19">
        <v>3943182</v>
      </c>
      <c r="GF46" s="19"/>
      <c r="GG46" s="19"/>
      <c r="GH46" s="19">
        <v>43201428</v>
      </c>
      <c r="GI46" s="19">
        <v>6610141</v>
      </c>
      <c r="GJ46" s="19"/>
      <c r="GK46" s="19"/>
      <c r="GL46" s="19">
        <v>101308509</v>
      </c>
      <c r="GM46" s="19"/>
      <c r="GN46" s="19">
        <v>2887717</v>
      </c>
      <c r="GO46" s="19"/>
      <c r="GP46" s="19">
        <v>1591303669</v>
      </c>
      <c r="GQ46" s="19"/>
      <c r="GR46" s="19">
        <v>13672941</v>
      </c>
      <c r="GS46" s="19"/>
      <c r="GT46" s="19">
        <v>6610141</v>
      </c>
      <c r="GU46" s="19"/>
      <c r="GV46" s="19" t="s">
        <v>89</v>
      </c>
      <c r="GW46" s="19">
        <v>46627312</v>
      </c>
      <c r="GX46" s="19"/>
      <c r="GY46" s="19"/>
      <c r="GZ46" s="19">
        <v>10367659</v>
      </c>
      <c r="HA46" s="19">
        <v>279534054</v>
      </c>
      <c r="HB46" s="19"/>
      <c r="HC46" s="19"/>
      <c r="HD46" s="19" t="s">
        <v>89</v>
      </c>
      <c r="HE46" s="19">
        <v>354590147</v>
      </c>
      <c r="HF46" s="19"/>
      <c r="HG46" s="19"/>
      <c r="HH46" s="19">
        <v>101204074</v>
      </c>
      <c r="HI46" s="19"/>
      <c r="HJ46" s="19">
        <v>301969651</v>
      </c>
      <c r="HK46" s="19">
        <v>136933536</v>
      </c>
      <c r="HL46" s="19"/>
      <c r="HM46" s="19"/>
      <c r="HN46" s="19"/>
      <c r="HO46" s="19"/>
      <c r="HP46" s="19" t="s">
        <v>89</v>
      </c>
    </row>
    <row r="47" spans="1:224">
      <c r="A47" s="9" t="s">
        <v>92</v>
      </c>
      <c r="B47" s="15" t="s">
        <v>72</v>
      </c>
      <c r="C47" s="19"/>
      <c r="D47" s="19">
        <v>3271620097</v>
      </c>
      <c r="E47" s="19">
        <v>797304024</v>
      </c>
      <c r="F47" s="19"/>
      <c r="G47" s="19">
        <v>94530501</v>
      </c>
      <c r="H47" s="19"/>
      <c r="I47" s="19"/>
      <c r="J47" s="19" t="s">
        <v>4</v>
      </c>
      <c r="K47" s="19">
        <v>2616175282</v>
      </c>
      <c r="L47" s="19">
        <v>877622399</v>
      </c>
      <c r="M47" s="19" t="s">
        <v>96</v>
      </c>
      <c r="N47" s="19">
        <v>511116927</v>
      </c>
      <c r="O47" s="19"/>
      <c r="P47" s="19"/>
      <c r="Q47" s="19">
        <v>148722027</v>
      </c>
      <c r="R47" s="19"/>
      <c r="S47" s="19">
        <v>4549496150</v>
      </c>
      <c r="T47" s="19" t="s">
        <v>96</v>
      </c>
      <c r="U47" s="19"/>
      <c r="V47" s="19">
        <v>45437825</v>
      </c>
      <c r="W47" s="19"/>
      <c r="X47" s="19"/>
      <c r="Y47" s="19"/>
      <c r="Z47" s="19"/>
      <c r="AA47" s="19">
        <v>3110823972</v>
      </c>
      <c r="AB47" s="19"/>
      <c r="AC47" s="19">
        <v>1435155164</v>
      </c>
      <c r="AD47" s="19">
        <v>1410377408</v>
      </c>
      <c r="AE47" s="19">
        <v>235827371</v>
      </c>
      <c r="AF47" s="19"/>
      <c r="AG47" s="19"/>
      <c r="AH47" s="19"/>
      <c r="AI47" s="19"/>
      <c r="AJ47" s="19"/>
      <c r="AK47" s="19" t="s">
        <v>89</v>
      </c>
      <c r="AL47" s="19">
        <v>36945980</v>
      </c>
      <c r="AM47" s="19" t="s">
        <v>4</v>
      </c>
      <c r="AN47" s="19">
        <v>4849670</v>
      </c>
      <c r="AO47" s="19"/>
      <c r="AP47" s="19"/>
      <c r="AQ47" s="19" t="s">
        <v>172</v>
      </c>
      <c r="AR47" s="19"/>
      <c r="AS47" s="19"/>
      <c r="AT47" s="19">
        <v>3164336796</v>
      </c>
      <c r="AU47" s="19"/>
      <c r="AV47" s="19"/>
      <c r="AW47" s="19">
        <v>271631343</v>
      </c>
      <c r="AX47" s="19" t="s">
        <v>4</v>
      </c>
      <c r="AY47" s="19">
        <v>249486163</v>
      </c>
      <c r="AZ47" s="19">
        <v>672747395</v>
      </c>
      <c r="BA47" s="19"/>
      <c r="BB47" s="19"/>
      <c r="BC47" s="19">
        <v>209724754</v>
      </c>
      <c r="BD47" s="19"/>
      <c r="BE47" s="19">
        <v>761057150</v>
      </c>
      <c r="BF47" s="19">
        <v>1159173218</v>
      </c>
      <c r="BG47" s="19"/>
      <c r="BH47" s="19">
        <v>392161165</v>
      </c>
      <c r="BI47" s="19"/>
      <c r="BJ47" s="19">
        <v>273560557</v>
      </c>
      <c r="BK47" s="19">
        <v>407655516</v>
      </c>
      <c r="BL47" s="19"/>
      <c r="BM47" s="19">
        <v>390370058</v>
      </c>
      <c r="BN47" s="19"/>
      <c r="BO47" s="19">
        <v>47324910</v>
      </c>
      <c r="BP47" s="19"/>
      <c r="BQ47" s="19" t="s">
        <v>4</v>
      </c>
      <c r="BR47" s="19">
        <v>817488638</v>
      </c>
      <c r="BS47" s="19"/>
      <c r="BT47" s="19"/>
      <c r="BU47" s="19"/>
      <c r="BV47" s="19"/>
      <c r="BW47" s="19"/>
      <c r="BX47" s="19"/>
      <c r="BY47" s="19">
        <v>393270047</v>
      </c>
      <c r="BZ47" s="19"/>
      <c r="CA47" s="19"/>
      <c r="CB47" s="19"/>
      <c r="CC47" s="19"/>
      <c r="CD47" s="19"/>
      <c r="CE47" s="19">
        <v>419097225</v>
      </c>
      <c r="CF47" s="19"/>
      <c r="CG47" s="19"/>
      <c r="CH47" s="19"/>
      <c r="CI47" s="19" t="s">
        <v>89</v>
      </c>
      <c r="CJ47" s="19">
        <v>129675339</v>
      </c>
      <c r="CK47" s="19">
        <v>2203409071</v>
      </c>
      <c r="CL47" s="19">
        <v>275522408</v>
      </c>
      <c r="CM47" s="19"/>
      <c r="CN47" s="19"/>
      <c r="CO47" s="19"/>
      <c r="CP47" s="19"/>
      <c r="CQ47" s="19" t="s">
        <v>96</v>
      </c>
      <c r="CR47" s="19"/>
      <c r="CS47" s="19">
        <v>303693317</v>
      </c>
      <c r="CT47" s="19"/>
      <c r="CU47" s="19"/>
      <c r="CV47" s="19"/>
      <c r="CW47" s="19"/>
      <c r="CX47" s="19"/>
      <c r="CY47" s="19"/>
      <c r="CZ47" s="19"/>
      <c r="DA47" s="19"/>
      <c r="DB47" s="19">
        <v>345814742</v>
      </c>
      <c r="DC47" s="19"/>
      <c r="DD47" s="19"/>
      <c r="DE47" s="19"/>
      <c r="DF47" s="19"/>
      <c r="DG47" s="19"/>
      <c r="DH47" s="19">
        <v>8372234</v>
      </c>
      <c r="DI47" s="19">
        <v>2770467232</v>
      </c>
      <c r="DJ47" s="19"/>
      <c r="DK47" s="19">
        <v>1742679927</v>
      </c>
      <c r="DL47" s="19"/>
      <c r="DM47" s="19"/>
      <c r="DN47" s="19">
        <v>343547676</v>
      </c>
      <c r="DO47" s="19"/>
      <c r="DP47" s="19"/>
      <c r="DQ47" s="19">
        <v>304577370</v>
      </c>
      <c r="DR47" s="19">
        <v>420856812</v>
      </c>
      <c r="DS47" s="19"/>
      <c r="DT47" s="19"/>
      <c r="DU47" s="19"/>
      <c r="DV47" s="19"/>
      <c r="DW47" s="19">
        <v>1001179311</v>
      </c>
      <c r="DX47" s="19"/>
      <c r="DY47" s="19">
        <v>81011831</v>
      </c>
      <c r="DZ47" s="19"/>
      <c r="EA47" s="19"/>
      <c r="EB47" s="19">
        <v>16324582</v>
      </c>
      <c r="EC47" s="19">
        <v>515552770</v>
      </c>
      <c r="ED47" s="19"/>
      <c r="EE47" s="19">
        <v>293838481</v>
      </c>
      <c r="EF47" s="19">
        <v>918023617</v>
      </c>
      <c r="EG47" s="19">
        <v>341595014</v>
      </c>
      <c r="EH47" s="19"/>
      <c r="EI47" s="19">
        <v>24052344</v>
      </c>
      <c r="EJ47" s="19"/>
      <c r="EK47" s="19" t="s">
        <v>89</v>
      </c>
      <c r="EL47" s="19">
        <v>4726195163</v>
      </c>
      <c r="EM47" s="19">
        <v>620431227</v>
      </c>
      <c r="EN47" s="19"/>
      <c r="EO47" s="19"/>
      <c r="EP47" s="19">
        <v>163145828</v>
      </c>
      <c r="EQ47" s="19"/>
      <c r="ER47" s="19"/>
      <c r="ES47" s="19"/>
      <c r="ET47" s="19"/>
      <c r="EU47" s="19"/>
      <c r="EV47" s="19"/>
      <c r="EW47" s="19"/>
      <c r="EX47" s="19"/>
      <c r="EY47" s="19"/>
      <c r="EZ47" s="19"/>
      <c r="FA47" s="19"/>
      <c r="FB47" s="19">
        <v>360259152</v>
      </c>
      <c r="FC47" s="19"/>
      <c r="FD47" s="19">
        <v>200028925</v>
      </c>
      <c r="FE47" s="19"/>
      <c r="FF47" s="19"/>
      <c r="FG47" s="19"/>
      <c r="FH47" s="19">
        <v>41205050</v>
      </c>
      <c r="FI47" s="19"/>
      <c r="FJ47" s="19"/>
      <c r="FK47" s="19">
        <v>208710828</v>
      </c>
      <c r="FL47" s="19">
        <v>53349920</v>
      </c>
      <c r="FM47" s="19"/>
      <c r="FN47" s="19"/>
      <c r="FO47" s="19"/>
      <c r="FP47" s="19"/>
      <c r="FQ47" s="19">
        <v>0</v>
      </c>
      <c r="FR47" s="19"/>
      <c r="FS47" s="19"/>
      <c r="FT47" s="19">
        <v>487944482</v>
      </c>
      <c r="FU47" s="19" t="s">
        <v>152</v>
      </c>
      <c r="FV47" s="19"/>
      <c r="FW47" s="19">
        <v>170714512</v>
      </c>
      <c r="FX47" s="19"/>
      <c r="FY47" s="19"/>
      <c r="FZ47" s="19"/>
      <c r="GA47" s="19"/>
      <c r="GB47" s="19"/>
      <c r="GC47" s="19"/>
      <c r="GD47" s="19" t="s">
        <v>96</v>
      </c>
      <c r="GE47" s="19"/>
      <c r="GF47" s="19">
        <v>45593789</v>
      </c>
      <c r="GG47" s="19">
        <v>243874955</v>
      </c>
      <c r="GH47" s="19">
        <v>67847593</v>
      </c>
      <c r="GI47" s="19">
        <v>51230802</v>
      </c>
      <c r="GJ47" s="19"/>
      <c r="GK47" s="19">
        <v>25852750</v>
      </c>
      <c r="GL47" s="19"/>
      <c r="GM47" s="19"/>
      <c r="GN47" s="19"/>
      <c r="GO47" s="19">
        <v>16193340</v>
      </c>
      <c r="GP47" s="19">
        <v>5057113482</v>
      </c>
      <c r="GQ47" s="19">
        <v>257482342</v>
      </c>
      <c r="GR47" s="19">
        <v>396591683</v>
      </c>
      <c r="GS47" s="19"/>
      <c r="GT47" s="19">
        <v>51230802</v>
      </c>
      <c r="GU47" s="19"/>
      <c r="GV47" s="19" t="s">
        <v>89</v>
      </c>
      <c r="GW47" s="19">
        <v>219469024</v>
      </c>
      <c r="GX47" s="19">
        <v>1550669769</v>
      </c>
      <c r="GY47" s="19">
        <v>337526767</v>
      </c>
      <c r="GZ47" s="19">
        <v>255277342</v>
      </c>
      <c r="HA47" s="19"/>
      <c r="HB47" s="19"/>
      <c r="HC47" s="19">
        <v>6654638</v>
      </c>
      <c r="HD47" s="19" t="s">
        <v>89</v>
      </c>
      <c r="HE47" s="19"/>
      <c r="HF47" s="19"/>
      <c r="HG47" s="19">
        <v>27852225</v>
      </c>
      <c r="HH47" s="19"/>
      <c r="HI47" s="19"/>
      <c r="HJ47" s="19">
        <v>513184503</v>
      </c>
      <c r="HK47" s="19">
        <v>631563368</v>
      </c>
      <c r="HL47" s="19"/>
      <c r="HM47" s="19"/>
      <c r="HN47" s="19"/>
      <c r="HO47" s="19">
        <v>472501259</v>
      </c>
      <c r="HP47" s="19" t="s">
        <v>89</v>
      </c>
    </row>
    <row r="48" spans="1:224">
      <c r="A48" s="9" t="s">
        <v>92</v>
      </c>
      <c r="B48" s="15" t="s">
        <v>63</v>
      </c>
      <c r="C48" s="19"/>
      <c r="D48" s="19"/>
      <c r="E48" s="19"/>
      <c r="F48" s="19"/>
      <c r="G48" s="19"/>
      <c r="H48" s="19"/>
      <c r="I48" s="19"/>
      <c r="J48" s="19" t="s">
        <v>4</v>
      </c>
      <c r="K48" s="19"/>
      <c r="L48" s="19"/>
      <c r="M48" s="19" t="s">
        <v>96</v>
      </c>
      <c r="N48" s="19"/>
      <c r="O48" s="19"/>
      <c r="P48" s="19"/>
      <c r="Q48" s="19"/>
      <c r="R48" s="19"/>
      <c r="S48" s="19"/>
      <c r="T48" s="19" t="s">
        <v>96</v>
      </c>
      <c r="U48" s="19"/>
      <c r="V48" s="19"/>
      <c r="W48" s="19">
        <v>27048210</v>
      </c>
      <c r="X48" s="19"/>
      <c r="Y48" s="19"/>
      <c r="Z48" s="19"/>
      <c r="AA48" s="19"/>
      <c r="AB48" s="19"/>
      <c r="AC48" s="19"/>
      <c r="AD48" s="19"/>
      <c r="AE48" s="19">
        <v>337397887</v>
      </c>
      <c r="AF48" s="19"/>
      <c r="AG48" s="19"/>
      <c r="AH48" s="19"/>
      <c r="AI48" s="19"/>
      <c r="AJ48" s="19"/>
      <c r="AK48" s="19" t="s">
        <v>89</v>
      </c>
      <c r="AL48" s="19"/>
      <c r="AM48" s="19" t="s">
        <v>4</v>
      </c>
      <c r="AN48" s="19"/>
      <c r="AO48" s="19">
        <v>502765825</v>
      </c>
      <c r="AP48" s="19"/>
      <c r="AQ48" s="19" t="s">
        <v>172</v>
      </c>
      <c r="AR48" s="19"/>
      <c r="AS48" s="19"/>
      <c r="AT48" s="19"/>
      <c r="AU48" s="19"/>
      <c r="AV48" s="19"/>
      <c r="AW48" s="19"/>
      <c r="AX48" s="19" t="s">
        <v>4</v>
      </c>
      <c r="AY48" s="19"/>
      <c r="AZ48" s="19"/>
      <c r="BA48" s="19"/>
      <c r="BB48" s="19"/>
      <c r="BC48" s="19"/>
      <c r="BD48" s="19"/>
      <c r="BE48" s="19"/>
      <c r="BF48" s="19"/>
      <c r="BG48" s="19"/>
      <c r="BH48" s="19"/>
      <c r="BI48" s="19"/>
      <c r="BJ48" s="19"/>
      <c r="BK48" s="19"/>
      <c r="BL48" s="19"/>
      <c r="BM48" s="19"/>
      <c r="BN48" s="19"/>
      <c r="BO48" s="19"/>
      <c r="BP48" s="19"/>
      <c r="BQ48" s="19" t="s">
        <v>4</v>
      </c>
      <c r="BR48" s="19"/>
      <c r="BS48" s="19"/>
      <c r="BT48" s="19"/>
      <c r="BU48" s="19"/>
      <c r="BV48" s="19"/>
      <c r="BW48" s="19"/>
      <c r="BX48" s="19"/>
      <c r="BY48" s="19"/>
      <c r="BZ48" s="19"/>
      <c r="CA48" s="19"/>
      <c r="CB48" s="19"/>
      <c r="CC48" s="19"/>
      <c r="CD48" s="19"/>
      <c r="CE48" s="19"/>
      <c r="CF48" s="19"/>
      <c r="CG48" s="19"/>
      <c r="CH48" s="19"/>
      <c r="CI48" s="19" t="s">
        <v>89</v>
      </c>
      <c r="CJ48" s="19"/>
      <c r="CK48" s="19"/>
      <c r="CL48" s="19"/>
      <c r="CM48" s="19"/>
      <c r="CN48" s="19"/>
      <c r="CO48" s="19"/>
      <c r="CP48" s="19"/>
      <c r="CQ48" s="19" t="s">
        <v>96</v>
      </c>
      <c r="CR48" s="19">
        <v>2046229366</v>
      </c>
      <c r="CS48" s="19"/>
      <c r="CT48" s="19"/>
      <c r="CU48" s="19"/>
      <c r="CV48" s="19"/>
      <c r="CW48" s="19">
        <v>321686799</v>
      </c>
      <c r="CX48" s="19"/>
      <c r="CY48" s="19"/>
      <c r="CZ48" s="19"/>
      <c r="DA48" s="19"/>
      <c r="DB48" s="19"/>
      <c r="DC48" s="19"/>
      <c r="DD48" s="19"/>
      <c r="DE48" s="19"/>
      <c r="DF48" s="19"/>
      <c r="DG48" s="19"/>
      <c r="DH48" s="19">
        <v>384462778</v>
      </c>
      <c r="DI48" s="19"/>
      <c r="DJ48" s="19"/>
      <c r="DK48" s="19"/>
      <c r="DL48" s="19"/>
      <c r="DM48" s="19"/>
      <c r="DN48" s="19">
        <v>53882182</v>
      </c>
      <c r="DO48" s="19"/>
      <c r="DP48" s="19"/>
      <c r="DQ48" s="19"/>
      <c r="DR48" s="19"/>
      <c r="DS48" s="19"/>
      <c r="DT48" s="19"/>
      <c r="DU48" s="19"/>
      <c r="DV48" s="19"/>
      <c r="DW48" s="19"/>
      <c r="DX48" s="19"/>
      <c r="DY48" s="19"/>
      <c r="DZ48" s="19">
        <v>1500990252</v>
      </c>
      <c r="EA48" s="19"/>
      <c r="EB48" s="19"/>
      <c r="EC48" s="19"/>
      <c r="ED48" s="19"/>
      <c r="EE48" s="19"/>
      <c r="EF48" s="19"/>
      <c r="EG48" s="19">
        <v>116254457</v>
      </c>
      <c r="EH48" s="19">
        <v>65687454</v>
      </c>
      <c r="EI48" s="19">
        <v>1351284006</v>
      </c>
      <c r="EJ48" s="19"/>
      <c r="EK48" s="19" t="s">
        <v>89</v>
      </c>
      <c r="EL48" s="19"/>
      <c r="EM48" s="19"/>
      <c r="EN48" s="19"/>
      <c r="EO48" s="19">
        <v>623524491</v>
      </c>
      <c r="EP48" s="19"/>
      <c r="EQ48" s="19"/>
      <c r="ER48" s="19">
        <v>138884617</v>
      </c>
      <c r="ES48" s="19"/>
      <c r="ET48" s="19"/>
      <c r="EU48" s="19"/>
      <c r="EV48" s="19"/>
      <c r="EW48" s="19"/>
      <c r="EX48" s="19"/>
      <c r="EY48" s="19"/>
      <c r="EZ48" s="19">
        <v>64541044</v>
      </c>
      <c r="FA48" s="19">
        <v>433847856</v>
      </c>
      <c r="FB48" s="19"/>
      <c r="FC48" s="19"/>
      <c r="FD48" s="19"/>
      <c r="FE48" s="19"/>
      <c r="FF48" s="19"/>
      <c r="FG48" s="19"/>
      <c r="FH48" s="19"/>
      <c r="FI48" s="19"/>
      <c r="FJ48" s="19"/>
      <c r="FK48" s="19"/>
      <c r="FL48" s="19"/>
      <c r="FM48" s="19"/>
      <c r="FN48" s="19"/>
      <c r="FO48" s="19"/>
      <c r="FP48" s="19"/>
      <c r="FQ48" s="19">
        <v>0</v>
      </c>
      <c r="FR48" s="19"/>
      <c r="FS48" s="19"/>
      <c r="FT48" s="19"/>
      <c r="FU48" s="19" t="s">
        <v>152</v>
      </c>
      <c r="FV48" s="19">
        <v>635553390</v>
      </c>
      <c r="FW48" s="19"/>
      <c r="FX48" s="19"/>
      <c r="FY48" s="19"/>
      <c r="FZ48" s="19">
        <v>234045531</v>
      </c>
      <c r="GA48" s="19"/>
      <c r="GB48" s="19"/>
      <c r="GC48" s="19"/>
      <c r="GD48" s="19" t="s">
        <v>96</v>
      </c>
      <c r="GE48" s="19"/>
      <c r="GF48" s="19"/>
      <c r="GG48" s="19"/>
      <c r="GH48" s="19"/>
      <c r="GI48" s="19"/>
      <c r="GJ48" s="19"/>
      <c r="GK48" s="19"/>
      <c r="GL48" s="19"/>
      <c r="GM48" s="19"/>
      <c r="GN48" s="19"/>
      <c r="GO48" s="19"/>
      <c r="GP48" s="19"/>
      <c r="GQ48" s="19"/>
      <c r="GR48" s="19"/>
      <c r="GS48" s="19"/>
      <c r="GT48" s="19"/>
      <c r="GU48" s="19"/>
      <c r="GV48" s="19" t="s">
        <v>89</v>
      </c>
      <c r="GW48" s="19"/>
      <c r="GX48" s="19"/>
      <c r="GY48" s="19"/>
      <c r="GZ48" s="19"/>
      <c r="HA48" s="19"/>
      <c r="HB48" s="19"/>
      <c r="HC48" s="19"/>
      <c r="HD48" s="19" t="s">
        <v>89</v>
      </c>
      <c r="HE48" s="19"/>
      <c r="HF48" s="19"/>
      <c r="HG48" s="19"/>
      <c r="HH48" s="19"/>
      <c r="HI48" s="19"/>
      <c r="HJ48" s="19"/>
      <c r="HK48" s="19"/>
      <c r="HL48" s="19"/>
      <c r="HM48" s="19"/>
      <c r="HN48" s="19"/>
      <c r="HO48" s="19"/>
      <c r="HP48" s="19" t="s">
        <v>89</v>
      </c>
    </row>
    <row r="49" spans="1:224">
      <c r="A49" s="9" t="s">
        <v>92</v>
      </c>
      <c r="B49" s="15" t="s">
        <v>64</v>
      </c>
      <c r="C49" s="19"/>
      <c r="D49" s="19"/>
      <c r="E49" s="19"/>
      <c r="F49" s="19">
        <v>57347147</v>
      </c>
      <c r="G49" s="19"/>
      <c r="H49" s="19"/>
      <c r="I49" s="19"/>
      <c r="J49" s="19" t="s">
        <v>4</v>
      </c>
      <c r="K49" s="19"/>
      <c r="L49" s="19"/>
      <c r="M49" s="19" t="s">
        <v>96</v>
      </c>
      <c r="N49" s="19"/>
      <c r="O49" s="19">
        <v>453257870</v>
      </c>
      <c r="P49" s="19"/>
      <c r="Q49" s="19"/>
      <c r="R49" s="19"/>
      <c r="S49" s="19"/>
      <c r="T49" s="19" t="s">
        <v>96</v>
      </c>
      <c r="U49" s="19"/>
      <c r="V49" s="19"/>
      <c r="W49" s="19">
        <v>6818182</v>
      </c>
      <c r="X49" s="19">
        <v>987568293</v>
      </c>
      <c r="Y49" s="19"/>
      <c r="Z49" s="19"/>
      <c r="AA49" s="19"/>
      <c r="AB49" s="19"/>
      <c r="AC49" s="19"/>
      <c r="AD49" s="19"/>
      <c r="AE49" s="19"/>
      <c r="AF49" s="19"/>
      <c r="AG49" s="19"/>
      <c r="AH49" s="19"/>
      <c r="AI49" s="19"/>
      <c r="AJ49" s="19"/>
      <c r="AK49" s="19" t="s">
        <v>89</v>
      </c>
      <c r="AL49" s="19"/>
      <c r="AM49" s="19" t="s">
        <v>4</v>
      </c>
      <c r="AN49" s="19"/>
      <c r="AO49" s="19"/>
      <c r="AP49" s="19"/>
      <c r="AQ49" s="19" t="s">
        <v>172</v>
      </c>
      <c r="AR49" s="19"/>
      <c r="AS49" s="19"/>
      <c r="AT49" s="19"/>
      <c r="AU49" s="19"/>
      <c r="AV49" s="19"/>
      <c r="AW49" s="19"/>
      <c r="AX49" s="19" t="s">
        <v>4</v>
      </c>
      <c r="AY49" s="19"/>
      <c r="AZ49" s="19"/>
      <c r="BA49" s="19"/>
      <c r="BB49" s="19"/>
      <c r="BC49" s="19"/>
      <c r="BD49" s="19"/>
      <c r="BE49" s="19"/>
      <c r="BF49" s="19"/>
      <c r="BG49" s="19"/>
      <c r="BH49" s="19"/>
      <c r="BI49" s="19"/>
      <c r="BJ49" s="19"/>
      <c r="BK49" s="19"/>
      <c r="BL49" s="19"/>
      <c r="BM49" s="19"/>
      <c r="BN49" s="19">
        <v>373529390</v>
      </c>
      <c r="BO49" s="19"/>
      <c r="BP49" s="19"/>
      <c r="BQ49" s="19" t="s">
        <v>4</v>
      </c>
      <c r="BR49" s="19"/>
      <c r="BS49" s="19"/>
      <c r="BT49" s="19"/>
      <c r="BU49" s="19"/>
      <c r="BV49" s="19"/>
      <c r="BW49" s="19"/>
      <c r="BX49" s="19"/>
      <c r="BY49" s="19"/>
      <c r="BZ49" s="19"/>
      <c r="CA49" s="19"/>
      <c r="CB49" s="19"/>
      <c r="CC49" s="19"/>
      <c r="CD49" s="19"/>
      <c r="CE49" s="19"/>
      <c r="CF49" s="19"/>
      <c r="CG49" s="19"/>
      <c r="CH49" s="19"/>
      <c r="CI49" s="19" t="s">
        <v>89</v>
      </c>
      <c r="CJ49" s="19"/>
      <c r="CK49" s="19"/>
      <c r="CL49" s="19"/>
      <c r="CM49" s="19"/>
      <c r="CN49" s="19"/>
      <c r="CO49" s="19"/>
      <c r="CP49" s="19"/>
      <c r="CQ49" s="19" t="s">
        <v>96</v>
      </c>
      <c r="CR49" s="19"/>
      <c r="CS49" s="19"/>
      <c r="CT49" s="19"/>
      <c r="CU49" s="19"/>
      <c r="CV49" s="19"/>
      <c r="CW49" s="19"/>
      <c r="CX49" s="19"/>
      <c r="CY49" s="19">
        <v>5336443542</v>
      </c>
      <c r="CZ49" s="19"/>
      <c r="DA49" s="19"/>
      <c r="DB49" s="19"/>
      <c r="DC49" s="19"/>
      <c r="DD49" s="19"/>
      <c r="DE49" s="19"/>
      <c r="DF49" s="19"/>
      <c r="DG49" s="19"/>
      <c r="DH49" s="19"/>
      <c r="DI49" s="19"/>
      <c r="DJ49" s="19"/>
      <c r="DK49" s="19">
        <v>1260194145</v>
      </c>
      <c r="DL49" s="19"/>
      <c r="DM49" s="19"/>
      <c r="DN49" s="19"/>
      <c r="DO49" s="19"/>
      <c r="DP49" s="19"/>
      <c r="DQ49" s="19"/>
      <c r="DR49" s="19"/>
      <c r="DS49" s="19"/>
      <c r="DT49" s="19"/>
      <c r="DU49" s="19"/>
      <c r="DV49" s="19"/>
      <c r="DW49" s="19"/>
      <c r="DX49" s="19"/>
      <c r="DY49" s="19"/>
      <c r="DZ49" s="19"/>
      <c r="EA49" s="19"/>
      <c r="EB49" s="19"/>
      <c r="EC49" s="19"/>
      <c r="ED49" s="19"/>
      <c r="EE49" s="19"/>
      <c r="EF49" s="19"/>
      <c r="EG49" s="19"/>
      <c r="EH49" s="19">
        <v>126276656</v>
      </c>
      <c r="EI49" s="19"/>
      <c r="EJ49" s="19"/>
      <c r="EK49" s="19" t="s">
        <v>89</v>
      </c>
      <c r="EL49" s="19"/>
      <c r="EM49" s="19"/>
      <c r="EN49" s="19"/>
      <c r="EO49" s="19"/>
      <c r="EP49" s="19"/>
      <c r="EQ49" s="19"/>
      <c r="ER49" s="19"/>
      <c r="ES49" s="19"/>
      <c r="ET49" s="19"/>
      <c r="EU49" s="19"/>
      <c r="EV49" s="19"/>
      <c r="EW49" s="19"/>
      <c r="EX49" s="19"/>
      <c r="EY49" s="19"/>
      <c r="EZ49" s="19"/>
      <c r="FA49" s="19"/>
      <c r="FB49" s="19"/>
      <c r="FC49" s="19"/>
      <c r="FD49" s="19"/>
      <c r="FE49" s="19"/>
      <c r="FF49" s="19"/>
      <c r="FG49" s="19"/>
      <c r="FH49" s="19"/>
      <c r="FI49" s="19"/>
      <c r="FJ49" s="19"/>
      <c r="FK49" s="19"/>
      <c r="FL49" s="19"/>
      <c r="FM49" s="19"/>
      <c r="FN49" s="19"/>
      <c r="FO49" s="19"/>
      <c r="FP49" s="19"/>
      <c r="FQ49" s="19">
        <v>35154535</v>
      </c>
      <c r="FR49" s="19"/>
      <c r="FS49" s="19"/>
      <c r="FT49" s="19"/>
      <c r="FU49" s="19" t="s">
        <v>152</v>
      </c>
      <c r="FV49" s="19"/>
      <c r="FW49" s="19"/>
      <c r="FX49" s="19"/>
      <c r="FY49" s="19"/>
      <c r="FZ49" s="19"/>
      <c r="GA49" s="19"/>
      <c r="GB49" s="19"/>
      <c r="GC49" s="19"/>
      <c r="GD49" s="19" t="s">
        <v>96</v>
      </c>
      <c r="GE49" s="19"/>
      <c r="GF49" s="19"/>
      <c r="GG49" s="19"/>
      <c r="GH49" s="19"/>
      <c r="GI49" s="19"/>
      <c r="GJ49" s="19"/>
      <c r="GK49" s="19"/>
      <c r="GL49" s="19"/>
      <c r="GM49" s="19"/>
      <c r="GN49" s="19"/>
      <c r="GO49" s="19"/>
      <c r="GP49" s="19"/>
      <c r="GQ49" s="19"/>
      <c r="GR49" s="19"/>
      <c r="GS49" s="19"/>
      <c r="GT49" s="19"/>
      <c r="GU49" s="19"/>
      <c r="GV49" s="19" t="s">
        <v>89</v>
      </c>
      <c r="GW49" s="19"/>
      <c r="GX49" s="19"/>
      <c r="GY49" s="19"/>
      <c r="GZ49" s="19"/>
      <c r="HA49" s="19"/>
      <c r="HB49" s="19"/>
      <c r="HC49" s="19"/>
      <c r="HD49" s="19" t="s">
        <v>89</v>
      </c>
      <c r="HE49" s="19"/>
      <c r="HF49" s="19"/>
      <c r="HG49" s="19"/>
      <c r="HH49" s="19"/>
      <c r="HI49" s="19"/>
      <c r="HJ49" s="19"/>
      <c r="HK49" s="19"/>
      <c r="HL49" s="19"/>
      <c r="HM49" s="19"/>
      <c r="HN49" s="19"/>
      <c r="HO49" s="19">
        <v>150275271</v>
      </c>
      <c r="HP49" s="19" t="s">
        <v>89</v>
      </c>
    </row>
    <row r="50" spans="1:224">
      <c r="A50" s="9" t="s">
        <v>92</v>
      </c>
      <c r="B50" s="10" t="s">
        <v>14</v>
      </c>
      <c r="C50" s="19">
        <v>1380272347</v>
      </c>
      <c r="D50" s="19">
        <v>-119309660</v>
      </c>
      <c r="E50" s="19">
        <v>376480866</v>
      </c>
      <c r="F50" s="19">
        <v>1680688409</v>
      </c>
      <c r="G50" s="19">
        <v>138156932</v>
      </c>
      <c r="H50" s="19">
        <v>5304450482</v>
      </c>
      <c r="I50" s="19">
        <v>6669133620</v>
      </c>
      <c r="J50" s="19" t="s">
        <v>4</v>
      </c>
      <c r="K50" s="19">
        <v>152819056</v>
      </c>
      <c r="L50" s="19">
        <v>133980722</v>
      </c>
      <c r="M50" s="19" t="s">
        <v>96</v>
      </c>
      <c r="N50" s="19">
        <v>324396220</v>
      </c>
      <c r="O50" s="19">
        <v>4302403874</v>
      </c>
      <c r="P50" s="19">
        <v>5501755620</v>
      </c>
      <c r="Q50" s="19">
        <v>126748615</v>
      </c>
      <c r="R50" s="19">
        <v>794989724</v>
      </c>
      <c r="S50" s="19">
        <v>2033414666</v>
      </c>
      <c r="T50" s="19" t="s">
        <v>96</v>
      </c>
      <c r="U50" s="19">
        <v>1668901162</v>
      </c>
      <c r="V50" s="19">
        <v>58409906</v>
      </c>
      <c r="W50" s="19">
        <v>357532812</v>
      </c>
      <c r="X50" s="19">
        <v>1321803627</v>
      </c>
      <c r="Y50" s="19">
        <v>721452281</v>
      </c>
      <c r="Z50" s="19">
        <v>1049652826</v>
      </c>
      <c r="AA50" s="19">
        <v>285071315</v>
      </c>
      <c r="AB50" s="19">
        <v>518627053</v>
      </c>
      <c r="AC50" s="19">
        <v>102482528</v>
      </c>
      <c r="AD50" s="19">
        <v>363306026</v>
      </c>
      <c r="AE50" s="19">
        <v>623518693</v>
      </c>
      <c r="AF50" s="19">
        <v>307955494</v>
      </c>
      <c r="AG50" s="19">
        <v>2083281328</v>
      </c>
      <c r="AH50" s="19">
        <v>1329908423</v>
      </c>
      <c r="AI50" s="19">
        <v>126760098</v>
      </c>
      <c r="AJ50" s="19">
        <v>724093262</v>
      </c>
      <c r="AK50" s="19" t="s">
        <v>89</v>
      </c>
      <c r="AL50" s="19">
        <v>1284010663</v>
      </c>
      <c r="AM50" s="19" t="s">
        <v>4</v>
      </c>
      <c r="AN50" s="19">
        <v>510826200</v>
      </c>
      <c r="AO50" s="19">
        <v>1224609034</v>
      </c>
      <c r="AP50" s="19">
        <v>803270318</v>
      </c>
      <c r="AQ50" s="19" t="s">
        <v>172</v>
      </c>
      <c r="AR50" s="19">
        <v>295021806</v>
      </c>
      <c r="AS50" s="19">
        <v>1221873695</v>
      </c>
      <c r="AT50" s="19">
        <v>692199901</v>
      </c>
      <c r="AU50" s="19">
        <v>490055615</v>
      </c>
      <c r="AV50" s="19">
        <v>157515172</v>
      </c>
      <c r="AW50" s="19">
        <v>38581244</v>
      </c>
      <c r="AX50" s="19" t="s">
        <v>4</v>
      </c>
      <c r="AY50" s="19">
        <v>609262110</v>
      </c>
      <c r="AZ50" s="19">
        <v>376564126</v>
      </c>
      <c r="BA50" s="19">
        <v>1562757768</v>
      </c>
      <c r="BB50" s="19">
        <v>94184042</v>
      </c>
      <c r="BC50" s="19">
        <v>765569613</v>
      </c>
      <c r="BD50" s="19">
        <v>409387565</v>
      </c>
      <c r="BE50" s="19">
        <v>145300887</v>
      </c>
      <c r="BF50" s="19">
        <v>390129281</v>
      </c>
      <c r="BG50" s="19">
        <v>-444229732</v>
      </c>
      <c r="BH50" s="19">
        <v>112434014</v>
      </c>
      <c r="BI50" s="19">
        <v>391958965</v>
      </c>
      <c r="BJ50" s="19">
        <v>296351923</v>
      </c>
      <c r="BK50" s="19">
        <v>313938805</v>
      </c>
      <c r="BL50" s="19">
        <v>888589138</v>
      </c>
      <c r="BM50" s="19">
        <v>419460139</v>
      </c>
      <c r="BN50" s="19">
        <v>162946273</v>
      </c>
      <c r="BO50" s="19">
        <v>327173036</v>
      </c>
      <c r="BP50" s="19">
        <v>68544027</v>
      </c>
      <c r="BQ50" s="19" t="s">
        <v>4</v>
      </c>
      <c r="BR50" s="19">
        <v>652051193</v>
      </c>
      <c r="BS50" s="19">
        <v>104352436</v>
      </c>
      <c r="BT50" s="19">
        <v>125465856</v>
      </c>
      <c r="BU50" s="19">
        <v>19997367</v>
      </c>
      <c r="BV50" s="19">
        <v>229818185</v>
      </c>
      <c r="BW50" s="19">
        <v>763762204</v>
      </c>
      <c r="BX50" s="19">
        <v>732907732</v>
      </c>
      <c r="BY50" s="19">
        <v>1168550070</v>
      </c>
      <c r="BZ50" s="19">
        <v>800807951</v>
      </c>
      <c r="CA50" s="19">
        <v>872725698</v>
      </c>
      <c r="CB50" s="19">
        <v>394366316</v>
      </c>
      <c r="CC50" s="19">
        <v>162699577</v>
      </c>
      <c r="CD50" s="19">
        <v>120019528</v>
      </c>
      <c r="CE50" s="19">
        <v>48757289</v>
      </c>
      <c r="CF50" s="19">
        <v>-134244987</v>
      </c>
      <c r="CG50" s="19">
        <v>741177890</v>
      </c>
      <c r="CH50" s="19">
        <v>93333205</v>
      </c>
      <c r="CI50" s="19" t="s">
        <v>89</v>
      </c>
      <c r="CJ50" s="19">
        <v>43489971</v>
      </c>
      <c r="CK50" s="19">
        <v>768071727</v>
      </c>
      <c r="CL50" s="19">
        <v>56337299</v>
      </c>
      <c r="CM50" s="19">
        <v>5894319663</v>
      </c>
      <c r="CN50" s="19">
        <v>246239083</v>
      </c>
      <c r="CO50" s="19">
        <v>226640660</v>
      </c>
      <c r="CP50" s="19">
        <v>2525454593</v>
      </c>
      <c r="CQ50" s="19" t="s">
        <v>96</v>
      </c>
      <c r="CR50" s="19">
        <v>430737152</v>
      </c>
      <c r="CS50" s="19">
        <v>248693220</v>
      </c>
      <c r="CT50" s="19">
        <v>593342500</v>
      </c>
      <c r="CU50" s="19">
        <v>784938020</v>
      </c>
      <c r="CV50" s="19">
        <v>65846163</v>
      </c>
      <c r="CW50" s="19">
        <v>1558264494</v>
      </c>
      <c r="CX50" s="19">
        <v>910855194</v>
      </c>
      <c r="CY50" s="19">
        <v>8396011656</v>
      </c>
      <c r="CZ50" s="19">
        <v>1036553880</v>
      </c>
      <c r="DA50" s="19">
        <v>286515385</v>
      </c>
      <c r="DB50" s="19">
        <v>485113510</v>
      </c>
      <c r="DC50" s="19">
        <v>118629440</v>
      </c>
      <c r="DD50" s="19">
        <v>199449586</v>
      </c>
      <c r="DE50" s="19">
        <v>1247583735</v>
      </c>
      <c r="DF50" s="19">
        <v>97126024</v>
      </c>
      <c r="DG50" s="19">
        <v>1060947385</v>
      </c>
      <c r="DH50" s="19">
        <v>315340021</v>
      </c>
      <c r="DI50" s="19">
        <v>667108006</v>
      </c>
      <c r="DJ50" s="19">
        <v>253321442</v>
      </c>
      <c r="DK50" s="19">
        <v>1160613427</v>
      </c>
      <c r="DL50" s="19">
        <v>344593865</v>
      </c>
      <c r="DM50" s="19">
        <v>564403043</v>
      </c>
      <c r="DN50" s="19">
        <v>65711824</v>
      </c>
      <c r="DO50" s="19">
        <v>546513048</v>
      </c>
      <c r="DP50" s="19">
        <v>321834755</v>
      </c>
      <c r="DQ50" s="19">
        <v>73525398</v>
      </c>
      <c r="DR50" s="19">
        <v>200425988</v>
      </c>
      <c r="DS50" s="19">
        <v>609690413</v>
      </c>
      <c r="DT50" s="19">
        <v>1075600585</v>
      </c>
      <c r="DU50" s="19">
        <v>296880438</v>
      </c>
      <c r="DV50" s="19"/>
      <c r="DW50" s="19">
        <v>484672114</v>
      </c>
      <c r="DX50" s="19">
        <v>1299811349</v>
      </c>
      <c r="DY50" s="19">
        <v>584087550</v>
      </c>
      <c r="DZ50" s="19">
        <v>307771011</v>
      </c>
      <c r="EA50" s="19">
        <v>153736308</v>
      </c>
      <c r="EB50" s="19">
        <v>4381713269</v>
      </c>
      <c r="EC50" s="19">
        <v>334027516</v>
      </c>
      <c r="ED50" s="19">
        <v>110696572</v>
      </c>
      <c r="EE50" s="19">
        <v>87647258</v>
      </c>
      <c r="EF50" s="19">
        <v>516032385</v>
      </c>
      <c r="EG50" s="19">
        <v>6099703</v>
      </c>
      <c r="EH50" s="19">
        <v>62577412</v>
      </c>
      <c r="EI50" s="19">
        <v>962009111</v>
      </c>
      <c r="EJ50" s="19">
        <v>107326563</v>
      </c>
      <c r="EK50" s="19" t="s">
        <v>89</v>
      </c>
      <c r="EL50" s="19">
        <v>553893860</v>
      </c>
      <c r="EM50" s="19">
        <v>288778327</v>
      </c>
      <c r="EN50" s="19">
        <v>5962943463</v>
      </c>
      <c r="EO50" s="19">
        <v>1503136430</v>
      </c>
      <c r="EP50" s="19">
        <v>186287083</v>
      </c>
      <c r="EQ50" s="19">
        <v>3168793043</v>
      </c>
      <c r="ER50" s="19">
        <v>3460380925</v>
      </c>
      <c r="ES50" s="19">
        <v>386226311</v>
      </c>
      <c r="ET50" s="19">
        <v>70674184</v>
      </c>
      <c r="EU50" s="19">
        <v>676165858</v>
      </c>
      <c r="EV50" s="19">
        <v>146702969</v>
      </c>
      <c r="EW50" s="19">
        <v>358720695</v>
      </c>
      <c r="EX50" s="19">
        <v>1789572151</v>
      </c>
      <c r="EY50" s="19">
        <v>4398593086</v>
      </c>
      <c r="EZ50" s="19">
        <v>595404740</v>
      </c>
      <c r="FA50" s="19">
        <v>103614586</v>
      </c>
      <c r="FB50" s="19">
        <v>244227208</v>
      </c>
      <c r="FC50" s="19">
        <v>780486070</v>
      </c>
      <c r="FD50" s="19">
        <v>188639082</v>
      </c>
      <c r="FE50" s="19">
        <v>3891845119</v>
      </c>
      <c r="FF50" s="19">
        <v>241322101</v>
      </c>
      <c r="FG50" s="19">
        <v>192269458</v>
      </c>
      <c r="FH50" s="19">
        <v>87477834</v>
      </c>
      <c r="FI50" s="19">
        <v>259095597</v>
      </c>
      <c r="FJ50" s="19">
        <v>577700455</v>
      </c>
      <c r="FK50" s="19">
        <v>846750921</v>
      </c>
      <c r="FL50" s="19">
        <v>-44517672</v>
      </c>
      <c r="FM50" s="19">
        <v>38535912</v>
      </c>
      <c r="FN50" s="19">
        <v>11129469</v>
      </c>
      <c r="FO50" s="19">
        <v>13952727</v>
      </c>
      <c r="FP50" s="19">
        <v>45363636</v>
      </c>
      <c r="FQ50" s="19">
        <v>-405262</v>
      </c>
      <c r="FR50" s="19">
        <v>88349009</v>
      </c>
      <c r="FS50" s="19">
        <v>26905744</v>
      </c>
      <c r="FT50" s="19">
        <v>127682249</v>
      </c>
      <c r="FU50" s="19" t="s">
        <v>152</v>
      </c>
      <c r="FV50" s="19">
        <v>1267482010</v>
      </c>
      <c r="FW50" s="19">
        <v>292079871</v>
      </c>
      <c r="FX50" s="19">
        <v>21649235</v>
      </c>
      <c r="FY50" s="19">
        <v>767568556</v>
      </c>
      <c r="FZ50" s="19">
        <v>20068106</v>
      </c>
      <c r="GA50" s="19">
        <v>501300001</v>
      </c>
      <c r="GB50" s="19">
        <v>-546223</v>
      </c>
      <c r="GC50" s="19">
        <v>194409271</v>
      </c>
      <c r="GD50" s="19" t="s">
        <v>96</v>
      </c>
      <c r="GE50" s="19">
        <v>48657339</v>
      </c>
      <c r="GF50" s="19">
        <v>19647880</v>
      </c>
      <c r="GG50" s="19">
        <v>16609477</v>
      </c>
      <c r="GH50" s="19">
        <v>65378631</v>
      </c>
      <c r="GI50" s="19">
        <v>98965029</v>
      </c>
      <c r="GJ50" s="19">
        <v>746765709</v>
      </c>
      <c r="GK50" s="19">
        <v>9284231</v>
      </c>
      <c r="GL50" s="19">
        <v>104004438</v>
      </c>
      <c r="GM50" s="19">
        <v>177719558</v>
      </c>
      <c r="GN50" s="19">
        <v>256753317</v>
      </c>
      <c r="GO50" s="19">
        <v>216873607</v>
      </c>
      <c r="GP50" s="19">
        <v>1604427569</v>
      </c>
      <c r="GQ50" s="19">
        <v>-53978343</v>
      </c>
      <c r="GR50" s="19">
        <v>-185600183</v>
      </c>
      <c r="GS50" s="19">
        <v>56896695</v>
      </c>
      <c r="GT50" s="19">
        <v>98965029</v>
      </c>
      <c r="GU50" s="19">
        <v>0</v>
      </c>
      <c r="GV50" s="19" t="s">
        <v>89</v>
      </c>
      <c r="GW50" s="19">
        <v>221418230</v>
      </c>
      <c r="GX50" s="19">
        <v>319847964</v>
      </c>
      <c r="GY50" s="19">
        <v>-271520769</v>
      </c>
      <c r="GZ50" s="19">
        <v>284375604</v>
      </c>
      <c r="HA50" s="19">
        <v>508135650</v>
      </c>
      <c r="HB50" s="19">
        <v>165530431</v>
      </c>
      <c r="HC50" s="19">
        <v>-3754638</v>
      </c>
      <c r="HD50" s="19" t="s">
        <v>89</v>
      </c>
      <c r="HE50" s="19">
        <v>97704535</v>
      </c>
      <c r="HF50" s="19">
        <v>4370867406</v>
      </c>
      <c r="HG50" s="19">
        <v>127575253</v>
      </c>
      <c r="HH50" s="19">
        <v>177469826</v>
      </c>
      <c r="HI50" s="19">
        <v>331110000</v>
      </c>
      <c r="HJ50" s="19">
        <v>204535509</v>
      </c>
      <c r="HK50" s="19">
        <v>139538697</v>
      </c>
      <c r="HL50" s="19">
        <v>673186346</v>
      </c>
      <c r="HM50" s="19">
        <v>522019936</v>
      </c>
      <c r="HN50" s="19">
        <v>0</v>
      </c>
      <c r="HO50" s="19">
        <v>472151661</v>
      </c>
      <c r="HP50" s="19" t="s">
        <v>89</v>
      </c>
    </row>
    <row r="51" spans="1:224">
      <c r="A51" s="9" t="s">
        <v>92</v>
      </c>
      <c r="B51" s="10" t="s">
        <v>102</v>
      </c>
      <c r="C51" s="19">
        <v>1490330548</v>
      </c>
      <c r="D51" s="19">
        <v>111526938</v>
      </c>
      <c r="E51" s="19">
        <v>338783481</v>
      </c>
      <c r="F51" s="19">
        <v>1715661731</v>
      </c>
      <c r="G51" s="19">
        <v>107849137</v>
      </c>
      <c r="H51" s="19">
        <v>5502871387</v>
      </c>
      <c r="I51" s="19">
        <v>6640034795</v>
      </c>
      <c r="J51" s="19" t="s">
        <v>4</v>
      </c>
      <c r="K51" s="19">
        <v>913106754</v>
      </c>
      <c r="L51" s="19">
        <v>115916602</v>
      </c>
      <c r="M51" s="19" t="s">
        <v>96</v>
      </c>
      <c r="N51" s="19">
        <v>688117801</v>
      </c>
      <c r="O51" s="19">
        <v>4245529649</v>
      </c>
      <c r="P51" s="19">
        <v>5536815202</v>
      </c>
      <c r="Q51" s="19">
        <v>148618321</v>
      </c>
      <c r="R51" s="19">
        <v>883640037</v>
      </c>
      <c r="S51" s="19">
        <v>1450301547</v>
      </c>
      <c r="T51" s="19" t="s">
        <v>96</v>
      </c>
      <c r="U51" s="19">
        <v>1618055568</v>
      </c>
      <c r="V51" s="19">
        <v>117063594</v>
      </c>
      <c r="W51" s="19">
        <v>303518571</v>
      </c>
      <c r="X51" s="19">
        <v>837607008</v>
      </c>
      <c r="Y51" s="19">
        <v>1110537194</v>
      </c>
      <c r="Z51" s="19">
        <v>981910732</v>
      </c>
      <c r="AA51" s="19">
        <v>221116994</v>
      </c>
      <c r="AB51" s="19">
        <v>573953817</v>
      </c>
      <c r="AC51" s="19">
        <v>263014622</v>
      </c>
      <c r="AD51" s="19">
        <v>300132636</v>
      </c>
      <c r="AE51" s="19">
        <v>663974729</v>
      </c>
      <c r="AF51" s="19">
        <v>355851969</v>
      </c>
      <c r="AG51" s="19">
        <v>2036430087</v>
      </c>
      <c r="AH51" s="19">
        <v>1732079745</v>
      </c>
      <c r="AI51" s="19">
        <v>330434343</v>
      </c>
      <c r="AJ51" s="19">
        <v>723150053</v>
      </c>
      <c r="AK51" s="19" t="s">
        <v>89</v>
      </c>
      <c r="AL51" s="19">
        <v>1242449354</v>
      </c>
      <c r="AM51" s="19" t="s">
        <v>4</v>
      </c>
      <c r="AN51" s="19">
        <v>518968424</v>
      </c>
      <c r="AO51" s="19">
        <v>1597216584</v>
      </c>
      <c r="AP51" s="19">
        <v>768549397</v>
      </c>
      <c r="AQ51" s="19" t="s">
        <v>172</v>
      </c>
      <c r="AR51" s="19">
        <v>342144742</v>
      </c>
      <c r="AS51" s="19">
        <v>1700242422</v>
      </c>
      <c r="AT51" s="19">
        <v>608865096</v>
      </c>
      <c r="AU51" s="19">
        <v>665156887</v>
      </c>
      <c r="AV51" s="19">
        <v>114129056</v>
      </c>
      <c r="AW51" s="19">
        <v>85150655</v>
      </c>
      <c r="AX51" s="19" t="s">
        <v>4</v>
      </c>
      <c r="AY51" s="19">
        <v>642734117</v>
      </c>
      <c r="AZ51" s="19">
        <v>382742969</v>
      </c>
      <c r="BA51" s="19">
        <v>2087228560</v>
      </c>
      <c r="BB51" s="19">
        <v>170856701</v>
      </c>
      <c r="BC51" s="19">
        <v>670619022</v>
      </c>
      <c r="BD51" s="19">
        <v>402253796</v>
      </c>
      <c r="BE51" s="19">
        <v>191295327</v>
      </c>
      <c r="BF51" s="19">
        <v>437236491</v>
      </c>
      <c r="BG51" s="19"/>
      <c r="BH51" s="19">
        <v>134381653</v>
      </c>
      <c r="BI51" s="19">
        <v>296656301</v>
      </c>
      <c r="BJ51" s="19">
        <v>288695171</v>
      </c>
      <c r="BK51" s="19">
        <v>291794299</v>
      </c>
      <c r="BL51" s="19">
        <v>872514287</v>
      </c>
      <c r="BM51" s="19">
        <v>427790098</v>
      </c>
      <c r="BN51" s="19">
        <v>81463098</v>
      </c>
      <c r="BO51" s="19">
        <v>325367692</v>
      </c>
      <c r="BP51" s="19">
        <v>70989831</v>
      </c>
      <c r="BQ51" s="19" t="s">
        <v>4</v>
      </c>
      <c r="BR51" s="19">
        <v>242062042</v>
      </c>
      <c r="BS51" s="19">
        <v>143751007</v>
      </c>
      <c r="BT51" s="19">
        <v>154841373</v>
      </c>
      <c r="BU51" s="19">
        <v>465803440</v>
      </c>
      <c r="BV51" s="19">
        <v>241502715</v>
      </c>
      <c r="BW51" s="19">
        <v>807188391</v>
      </c>
      <c r="BX51" s="19">
        <v>729915019</v>
      </c>
      <c r="BY51" s="19">
        <v>1629260127</v>
      </c>
      <c r="BZ51" s="19">
        <v>323970807</v>
      </c>
      <c r="CA51" s="19">
        <v>858231854</v>
      </c>
      <c r="CB51" s="19">
        <v>337634318</v>
      </c>
      <c r="CC51" s="19">
        <v>201860236</v>
      </c>
      <c r="CD51" s="19">
        <v>454873902</v>
      </c>
      <c r="CE51" s="19">
        <v>123283880</v>
      </c>
      <c r="CF51" s="19">
        <v>413204846</v>
      </c>
      <c r="CG51" s="19">
        <v>919811620</v>
      </c>
      <c r="CH51" s="19">
        <v>173526899</v>
      </c>
      <c r="CI51" s="19" t="s">
        <v>89</v>
      </c>
      <c r="CJ51" s="19">
        <v>41762625</v>
      </c>
      <c r="CK51" s="19">
        <v>731634747</v>
      </c>
      <c r="CL51" s="19">
        <v>126960647</v>
      </c>
      <c r="CM51" s="19">
        <v>5861270101</v>
      </c>
      <c r="CN51" s="19">
        <v>239114666</v>
      </c>
      <c r="CO51" s="19">
        <v>325208744</v>
      </c>
      <c r="CP51" s="19">
        <v>2513169257</v>
      </c>
      <c r="CQ51" s="19" t="s">
        <v>96</v>
      </c>
      <c r="CR51" s="19">
        <v>362077374</v>
      </c>
      <c r="CS51" s="19">
        <v>734549490</v>
      </c>
      <c r="CT51" s="19">
        <v>1399139634</v>
      </c>
      <c r="CU51" s="19">
        <v>891363168</v>
      </c>
      <c r="CV51" s="19">
        <v>60949998</v>
      </c>
      <c r="CW51" s="19">
        <v>1540342489</v>
      </c>
      <c r="CX51" s="19">
        <v>1824438275</v>
      </c>
      <c r="CY51" s="19">
        <v>8495675384</v>
      </c>
      <c r="CZ51" s="19">
        <v>1023091350</v>
      </c>
      <c r="DA51" s="19">
        <v>272613659</v>
      </c>
      <c r="DB51" s="19">
        <v>426003184</v>
      </c>
      <c r="DC51" s="19">
        <v>276236301</v>
      </c>
      <c r="DD51" s="19">
        <v>222650753</v>
      </c>
      <c r="DE51" s="19">
        <v>1235361717</v>
      </c>
      <c r="DF51" s="19">
        <v>90733230</v>
      </c>
      <c r="DG51" s="19">
        <v>1152303599</v>
      </c>
      <c r="DH51" s="19">
        <v>301102647</v>
      </c>
      <c r="DI51" s="19">
        <v>478126475</v>
      </c>
      <c r="DJ51" s="19">
        <v>248391180</v>
      </c>
      <c r="DK51" s="19">
        <v>1011036603</v>
      </c>
      <c r="DL51" s="19">
        <v>301949896</v>
      </c>
      <c r="DM51" s="19">
        <v>561077353</v>
      </c>
      <c r="DN51" s="19">
        <v>137870002</v>
      </c>
      <c r="DO51" s="19">
        <v>587709872</v>
      </c>
      <c r="DP51" s="19">
        <v>307572210</v>
      </c>
      <c r="DQ51" s="19">
        <v>59105155</v>
      </c>
      <c r="DR51" s="19">
        <v>350342974</v>
      </c>
      <c r="DS51" s="19">
        <v>688930756</v>
      </c>
      <c r="DT51" s="19">
        <v>1079206570</v>
      </c>
      <c r="DU51" s="19">
        <v>285251315</v>
      </c>
      <c r="DV51" s="19">
        <v>0</v>
      </c>
      <c r="DW51" s="19">
        <v>296457919</v>
      </c>
      <c r="DX51" s="19">
        <v>1261499356</v>
      </c>
      <c r="DY51" s="19">
        <v>558593006</v>
      </c>
      <c r="DZ51" s="19">
        <v>333792137</v>
      </c>
      <c r="EA51" s="19">
        <v>140869819</v>
      </c>
      <c r="EB51" s="19">
        <v>4679496965</v>
      </c>
      <c r="EC51" s="19">
        <v>301311675</v>
      </c>
      <c r="ED51" s="19">
        <v>204163924</v>
      </c>
      <c r="EE51" s="19">
        <v>104081986</v>
      </c>
      <c r="EF51" s="19">
        <v>405283558</v>
      </c>
      <c r="EG51" s="19">
        <v>2787230937</v>
      </c>
      <c r="EH51" s="19">
        <v>104756790</v>
      </c>
      <c r="EI51" s="19">
        <v>1027225199</v>
      </c>
      <c r="EJ51" s="19">
        <v>403187531</v>
      </c>
      <c r="EK51" s="19" t="s">
        <v>89</v>
      </c>
      <c r="EL51" s="19">
        <v>693604561</v>
      </c>
      <c r="EM51" s="19">
        <v>118016553</v>
      </c>
      <c r="EN51" s="19">
        <v>6163081592</v>
      </c>
      <c r="EO51" s="19">
        <v>1485143806</v>
      </c>
      <c r="EP51" s="19">
        <v>379910893</v>
      </c>
      <c r="EQ51" s="19">
        <v>2952539175</v>
      </c>
      <c r="ER51" s="19">
        <v>3568746594</v>
      </c>
      <c r="ES51" s="19">
        <v>355610114</v>
      </c>
      <c r="ET51" s="19">
        <v>338344510</v>
      </c>
      <c r="EU51" s="19">
        <v>931172008</v>
      </c>
      <c r="EV51" s="19">
        <v>99763369</v>
      </c>
      <c r="EW51" s="19">
        <v>351419227</v>
      </c>
      <c r="EX51" s="19">
        <v>1785429266</v>
      </c>
      <c r="EY51" s="19">
        <v>4361775247</v>
      </c>
      <c r="EZ51" s="19">
        <v>542500730</v>
      </c>
      <c r="FA51" s="19">
        <v>322021982</v>
      </c>
      <c r="FB51" s="19">
        <v>270545481</v>
      </c>
      <c r="FC51" s="19">
        <v>796361511</v>
      </c>
      <c r="FD51" s="19">
        <v>188964490</v>
      </c>
      <c r="FE51" s="19">
        <v>3625598778</v>
      </c>
      <c r="FF51" s="19">
        <v>262598872</v>
      </c>
      <c r="FG51" s="19">
        <v>666225087</v>
      </c>
      <c r="FH51" s="19">
        <v>210715375</v>
      </c>
      <c r="FI51" s="19">
        <v>288586277</v>
      </c>
      <c r="FJ51" s="19">
        <v>541794392</v>
      </c>
      <c r="FK51" s="19">
        <v>1040154321</v>
      </c>
      <c r="FL51" s="19">
        <v>18377378</v>
      </c>
      <c r="FM51" s="19">
        <v>80219711</v>
      </c>
      <c r="FN51" s="19">
        <v>398085831</v>
      </c>
      <c r="FO51" s="19">
        <v>34743482</v>
      </c>
      <c r="FP51" s="19">
        <v>118554733</v>
      </c>
      <c r="FQ51" s="19">
        <v>32356096</v>
      </c>
      <c r="FR51" s="19">
        <v>110362291</v>
      </c>
      <c r="FS51" s="19">
        <v>78454870</v>
      </c>
      <c r="FT51" s="19">
        <v>333211860</v>
      </c>
      <c r="FU51" s="19" t="s">
        <v>152</v>
      </c>
      <c r="FV51" s="19">
        <v>1088078853</v>
      </c>
      <c r="FW51" s="19">
        <v>283449836</v>
      </c>
      <c r="FX51" s="19">
        <v>103294919</v>
      </c>
      <c r="FY51" s="19">
        <v>1134029574</v>
      </c>
      <c r="FZ51" s="19">
        <v>285531784</v>
      </c>
      <c r="GA51" s="19">
        <v>535495287</v>
      </c>
      <c r="GB51" s="19">
        <v>33990302</v>
      </c>
      <c r="GC51" s="19">
        <v>189490455</v>
      </c>
      <c r="GD51" s="19" t="s">
        <v>96</v>
      </c>
      <c r="GE51" s="19">
        <v>134112946</v>
      </c>
      <c r="GF51" s="19">
        <v>21844491</v>
      </c>
      <c r="GG51" s="19">
        <v>754894523</v>
      </c>
      <c r="GH51" s="19">
        <v>142888389</v>
      </c>
      <c r="GI51" s="19">
        <v>98250221</v>
      </c>
      <c r="GJ51" s="19">
        <v>781687236</v>
      </c>
      <c r="GK51" s="19">
        <v>115593189</v>
      </c>
      <c r="GL51" s="19">
        <v>97726002</v>
      </c>
      <c r="GM51" s="19">
        <v>198887362</v>
      </c>
      <c r="GN51" s="19">
        <v>245117716</v>
      </c>
      <c r="GO51" s="19">
        <v>1328769554</v>
      </c>
      <c r="GP51" s="19">
        <v>1122369016</v>
      </c>
      <c r="GQ51" s="19">
        <v>186524900</v>
      </c>
      <c r="GR51" s="19">
        <v>155698826</v>
      </c>
      <c r="GS51" s="19">
        <v>28405339</v>
      </c>
      <c r="GT51" s="19">
        <v>98250221</v>
      </c>
      <c r="GU51" s="19">
        <v>216220098</v>
      </c>
      <c r="GV51" s="19" t="s">
        <v>89</v>
      </c>
      <c r="GW51" s="19">
        <v>787226249</v>
      </c>
      <c r="GX51" s="19">
        <v>340259038</v>
      </c>
      <c r="GY51" s="19">
        <v>1263845878</v>
      </c>
      <c r="GZ51" s="19">
        <v>261748368</v>
      </c>
      <c r="HA51" s="19">
        <v>970235536</v>
      </c>
      <c r="HB51" s="19">
        <v>350887544</v>
      </c>
      <c r="HC51" s="19">
        <v>111532887</v>
      </c>
      <c r="HD51" s="19" t="s">
        <v>89</v>
      </c>
      <c r="HE51" s="19">
        <v>280439134</v>
      </c>
      <c r="HF51" s="19">
        <v>4391030552</v>
      </c>
      <c r="HG51" s="19">
        <v>108588881</v>
      </c>
      <c r="HH51" s="19">
        <v>168840306</v>
      </c>
      <c r="HI51" s="19">
        <v>308067816</v>
      </c>
      <c r="HJ51" s="19">
        <v>143895022</v>
      </c>
      <c r="HK51" s="19">
        <v>886716120</v>
      </c>
      <c r="HL51" s="19">
        <v>608884342</v>
      </c>
      <c r="HM51" s="19">
        <v>543988336</v>
      </c>
      <c r="HN51" s="19">
        <v>91975215</v>
      </c>
      <c r="HO51" s="19">
        <v>286974427</v>
      </c>
      <c r="HP51" s="19" t="s">
        <v>89</v>
      </c>
    </row>
    <row r="52" spans="1:224">
      <c r="A52" s="9" t="s">
        <v>92</v>
      </c>
      <c r="B52" s="15" t="s">
        <v>26</v>
      </c>
      <c r="C52" s="19">
        <v>1271759370</v>
      </c>
      <c r="D52" s="19">
        <v>604807390</v>
      </c>
      <c r="E52" s="19">
        <v>185243745</v>
      </c>
      <c r="F52" s="19">
        <v>1358321611</v>
      </c>
      <c r="G52" s="19">
        <v>61811483</v>
      </c>
      <c r="H52" s="19">
        <v>3525286999</v>
      </c>
      <c r="I52" s="19">
        <v>5497602903</v>
      </c>
      <c r="J52" s="19" t="s">
        <v>4</v>
      </c>
      <c r="K52" s="19">
        <v>617785042</v>
      </c>
      <c r="L52" s="19">
        <v>72000000</v>
      </c>
      <c r="M52" s="19" t="s">
        <v>96</v>
      </c>
      <c r="N52" s="19">
        <v>331259083</v>
      </c>
      <c r="O52" s="19">
        <v>3124773484</v>
      </c>
      <c r="P52" s="19">
        <v>3459043331</v>
      </c>
      <c r="Q52" s="19">
        <v>112439338</v>
      </c>
      <c r="R52" s="19">
        <v>508277146</v>
      </c>
      <c r="S52" s="19">
        <v>188121891</v>
      </c>
      <c r="T52" s="19" t="s">
        <v>96</v>
      </c>
      <c r="U52" s="19">
        <v>945701559</v>
      </c>
      <c r="V52" s="19">
        <v>67610081</v>
      </c>
      <c r="W52" s="19">
        <v>217995742</v>
      </c>
      <c r="X52" s="19">
        <v>427605190</v>
      </c>
      <c r="Y52" s="19">
        <v>355971909</v>
      </c>
      <c r="Z52" s="19">
        <v>403262928</v>
      </c>
      <c r="AA52" s="19">
        <v>104682292</v>
      </c>
      <c r="AB52" s="19">
        <v>102396008</v>
      </c>
      <c r="AC52" s="19">
        <v>108577273</v>
      </c>
      <c r="AD52" s="19">
        <v>159963749</v>
      </c>
      <c r="AE52" s="19">
        <v>334816934</v>
      </c>
      <c r="AF52" s="19">
        <v>236398825</v>
      </c>
      <c r="AG52" s="19">
        <v>556509402</v>
      </c>
      <c r="AH52" s="19">
        <v>544041142</v>
      </c>
      <c r="AI52" s="19">
        <v>157219931</v>
      </c>
      <c r="AJ52" s="19">
        <v>429989695</v>
      </c>
      <c r="AK52" s="19" t="s">
        <v>89</v>
      </c>
      <c r="AL52" s="19">
        <v>571077437</v>
      </c>
      <c r="AM52" s="19" t="s">
        <v>4</v>
      </c>
      <c r="AN52" s="19">
        <v>212073050</v>
      </c>
      <c r="AO52" s="19">
        <v>850385947</v>
      </c>
      <c r="AP52" s="19">
        <v>447708995</v>
      </c>
      <c r="AQ52" s="19" t="s">
        <v>172</v>
      </c>
      <c r="AR52" s="19">
        <v>240988604</v>
      </c>
      <c r="AS52" s="19">
        <v>329810575</v>
      </c>
      <c r="AT52" s="19">
        <v>446644566</v>
      </c>
      <c r="AU52" s="19">
        <v>189069900</v>
      </c>
      <c r="AV52" s="19">
        <v>18089523</v>
      </c>
      <c r="AW52" s="19">
        <v>53560979</v>
      </c>
      <c r="AX52" s="19" t="s">
        <v>4</v>
      </c>
      <c r="AY52" s="19">
        <v>435450263</v>
      </c>
      <c r="AZ52" s="19">
        <v>175607080</v>
      </c>
      <c r="BA52" s="19">
        <v>1367731361</v>
      </c>
      <c r="BB52" s="19">
        <v>119846997</v>
      </c>
      <c r="BC52" s="19">
        <v>459102889</v>
      </c>
      <c r="BD52" s="19">
        <v>205177531</v>
      </c>
      <c r="BE52" s="19">
        <v>101605841</v>
      </c>
      <c r="BF52" s="19">
        <v>80029798</v>
      </c>
      <c r="BG52" s="19"/>
      <c r="BH52" s="19">
        <v>104758540</v>
      </c>
      <c r="BI52" s="19">
        <v>213911586</v>
      </c>
      <c r="BJ52" s="19">
        <v>165375360</v>
      </c>
      <c r="BK52" s="19">
        <v>81675336</v>
      </c>
      <c r="BL52" s="19">
        <v>490911420</v>
      </c>
      <c r="BM52" s="19">
        <v>269030681</v>
      </c>
      <c r="BN52" s="19">
        <v>50497160</v>
      </c>
      <c r="BO52" s="19">
        <v>89507591</v>
      </c>
      <c r="BP52" s="19">
        <v>12872000</v>
      </c>
      <c r="BQ52" s="19" t="s">
        <v>4</v>
      </c>
      <c r="BR52" s="19">
        <v>228054077</v>
      </c>
      <c r="BS52" s="19">
        <v>75934830</v>
      </c>
      <c r="BT52" s="19">
        <v>110998960</v>
      </c>
      <c r="BU52" s="19">
        <v>145308188</v>
      </c>
      <c r="BV52" s="19">
        <v>161926591</v>
      </c>
      <c r="BW52" s="19">
        <v>765206527</v>
      </c>
      <c r="BX52" s="19">
        <v>204646060</v>
      </c>
      <c r="BY52" s="19">
        <v>739857129</v>
      </c>
      <c r="BZ52" s="19">
        <v>139480000</v>
      </c>
      <c r="CA52" s="19">
        <v>342427415</v>
      </c>
      <c r="CB52" s="19">
        <v>179522980</v>
      </c>
      <c r="CC52" s="19">
        <v>105590008</v>
      </c>
      <c r="CD52" s="19">
        <v>262671968</v>
      </c>
      <c r="CE52" s="19">
        <v>81149567</v>
      </c>
      <c r="CF52" s="19">
        <v>225083677</v>
      </c>
      <c r="CG52" s="19">
        <v>775754293</v>
      </c>
      <c r="CH52" s="19">
        <v>99564362</v>
      </c>
      <c r="CI52" s="19" t="s">
        <v>89</v>
      </c>
      <c r="CJ52" s="19">
        <v>28500000</v>
      </c>
      <c r="CK52" s="19">
        <v>3150950694</v>
      </c>
      <c r="CL52" s="19">
        <v>69234008</v>
      </c>
      <c r="CM52" s="19">
        <v>5382675047</v>
      </c>
      <c r="CN52" s="19">
        <v>192555762</v>
      </c>
      <c r="CO52" s="19">
        <v>170133756</v>
      </c>
      <c r="CP52" s="19">
        <v>469082673</v>
      </c>
      <c r="CQ52" s="19" t="s">
        <v>96</v>
      </c>
      <c r="CR52" s="19">
        <v>257752540</v>
      </c>
      <c r="CS52" s="19">
        <v>94041403</v>
      </c>
      <c r="CT52" s="19">
        <v>418893715</v>
      </c>
      <c r="CU52" s="19">
        <v>591957666</v>
      </c>
      <c r="CV52" s="19">
        <v>12999996</v>
      </c>
      <c r="CW52" s="19">
        <v>945363508</v>
      </c>
      <c r="CX52" s="19">
        <v>915242755</v>
      </c>
      <c r="CY52" s="19">
        <v>5587769977</v>
      </c>
      <c r="CZ52" s="19">
        <v>483539171</v>
      </c>
      <c r="DA52" s="19">
        <v>267985714</v>
      </c>
      <c r="DB52" s="19">
        <v>205897841</v>
      </c>
      <c r="DC52" s="19">
        <v>68044000</v>
      </c>
      <c r="DD52" s="19">
        <v>151847164</v>
      </c>
      <c r="DE52" s="19">
        <v>848377584</v>
      </c>
      <c r="DF52" s="19">
        <v>136579410</v>
      </c>
      <c r="DG52" s="19">
        <v>226365086</v>
      </c>
      <c r="DH52" s="19">
        <v>146901007</v>
      </c>
      <c r="DI52" s="19">
        <v>123008743</v>
      </c>
      <c r="DJ52" s="19">
        <v>76800000</v>
      </c>
      <c r="DK52" s="19">
        <v>296322172</v>
      </c>
      <c r="DL52" s="19">
        <v>128547092</v>
      </c>
      <c r="DM52" s="19">
        <v>438160783</v>
      </c>
      <c r="DN52" s="19">
        <v>64157740</v>
      </c>
      <c r="DO52" s="19">
        <v>493049851</v>
      </c>
      <c r="DP52" s="19">
        <v>86302219</v>
      </c>
      <c r="DQ52" s="19">
        <v>55421596</v>
      </c>
      <c r="DR52" s="19">
        <v>131477796</v>
      </c>
      <c r="DS52" s="19">
        <v>583738552</v>
      </c>
      <c r="DT52" s="19">
        <v>306222960</v>
      </c>
      <c r="DU52" s="19">
        <v>237218702</v>
      </c>
      <c r="DV52" s="19"/>
      <c r="DW52" s="19">
        <v>230021135</v>
      </c>
      <c r="DX52" s="19">
        <v>581937019</v>
      </c>
      <c r="DY52" s="19">
        <v>271368165</v>
      </c>
      <c r="DZ52" s="19">
        <v>240245588</v>
      </c>
      <c r="EA52" s="19">
        <v>87920000</v>
      </c>
      <c r="EB52" s="19">
        <v>3676576272</v>
      </c>
      <c r="EC52" s="19">
        <v>85000546</v>
      </c>
      <c r="ED52" s="19">
        <v>139548870</v>
      </c>
      <c r="EE52" s="19">
        <v>63368667</v>
      </c>
      <c r="EF52" s="19">
        <v>130465350</v>
      </c>
      <c r="EG52" s="19">
        <v>998385295</v>
      </c>
      <c r="EH52" s="19">
        <v>66070000</v>
      </c>
      <c r="EI52" s="19">
        <v>781261799</v>
      </c>
      <c r="EJ52" s="19">
        <v>234063733</v>
      </c>
      <c r="EK52" s="19" t="s">
        <v>89</v>
      </c>
      <c r="EL52" s="19">
        <v>326421724</v>
      </c>
      <c r="EM52" s="19">
        <v>68175540</v>
      </c>
      <c r="EN52" s="19">
        <v>4743426963</v>
      </c>
      <c r="EO52" s="19">
        <v>900817638</v>
      </c>
      <c r="EP52" s="19">
        <v>486697550</v>
      </c>
      <c r="EQ52" s="19">
        <v>2488018734</v>
      </c>
      <c r="ER52" s="19">
        <v>3141848145</v>
      </c>
      <c r="ES52" s="19">
        <v>249512966</v>
      </c>
      <c r="ET52" s="19">
        <v>106106662</v>
      </c>
      <c r="EU52" s="19">
        <v>299478702</v>
      </c>
      <c r="EV52" s="19">
        <v>65289289</v>
      </c>
      <c r="EW52" s="19">
        <v>146277536</v>
      </c>
      <c r="EX52" s="19">
        <v>337560135</v>
      </c>
      <c r="EY52" s="19">
        <v>3223557150</v>
      </c>
      <c r="EZ52" s="19">
        <v>206572920</v>
      </c>
      <c r="FA52" s="19">
        <v>241547220</v>
      </c>
      <c r="FB52" s="19">
        <v>186276970</v>
      </c>
      <c r="FC52" s="19">
        <v>519567140</v>
      </c>
      <c r="FD52" s="19">
        <v>122683380</v>
      </c>
      <c r="FE52" s="19">
        <v>1363297021</v>
      </c>
      <c r="FF52" s="19">
        <v>297536621</v>
      </c>
      <c r="FG52" s="19">
        <v>405103499</v>
      </c>
      <c r="FH52" s="19">
        <v>168958302</v>
      </c>
      <c r="FI52" s="19">
        <v>63311640</v>
      </c>
      <c r="FJ52" s="19">
        <v>356226355</v>
      </c>
      <c r="FK52" s="19">
        <v>746054209</v>
      </c>
      <c r="FL52" s="19">
        <v>1000000</v>
      </c>
      <c r="FM52" s="19">
        <v>31350000</v>
      </c>
      <c r="FN52" s="19">
        <v>262105038</v>
      </c>
      <c r="FO52" s="19"/>
      <c r="FP52" s="19">
        <v>106899876</v>
      </c>
      <c r="FQ52" s="19">
        <v>20033016</v>
      </c>
      <c r="FR52" s="19">
        <v>46300000</v>
      </c>
      <c r="FS52" s="19">
        <v>18815000</v>
      </c>
      <c r="FT52" s="19">
        <v>108172676</v>
      </c>
      <c r="FU52" s="19" t="s">
        <v>152</v>
      </c>
      <c r="FV52" s="19">
        <v>564933089</v>
      </c>
      <c r="FW52" s="19">
        <v>87796013</v>
      </c>
      <c r="FX52" s="19">
        <v>79544340</v>
      </c>
      <c r="FY52" s="19">
        <v>404677020</v>
      </c>
      <c r="FZ52" s="19">
        <v>155973291</v>
      </c>
      <c r="GA52" s="19">
        <v>200491469</v>
      </c>
      <c r="GB52" s="19">
        <v>3823950</v>
      </c>
      <c r="GC52" s="19">
        <v>87833891</v>
      </c>
      <c r="GD52" s="19" t="s">
        <v>96</v>
      </c>
      <c r="GE52" s="19">
        <v>61523030</v>
      </c>
      <c r="GF52" s="19"/>
      <c r="GG52" s="19">
        <v>318665501</v>
      </c>
      <c r="GH52" s="19">
        <v>60894171</v>
      </c>
      <c r="GI52" s="19">
        <v>12000000</v>
      </c>
      <c r="GJ52" s="19">
        <v>475475680</v>
      </c>
      <c r="GK52" s="19">
        <v>30296500</v>
      </c>
      <c r="GL52" s="19">
        <v>70629878</v>
      </c>
      <c r="GM52" s="19">
        <v>18910036</v>
      </c>
      <c r="GN52" s="19">
        <v>30576841</v>
      </c>
      <c r="GO52" s="19">
        <v>294412386</v>
      </c>
      <c r="GP52" s="19">
        <v>293816051</v>
      </c>
      <c r="GQ52" s="19">
        <v>28000000</v>
      </c>
      <c r="GR52" s="19">
        <v>61300000</v>
      </c>
      <c r="GS52" s="19"/>
      <c r="GT52" s="19">
        <v>12000000</v>
      </c>
      <c r="GU52" s="19">
        <v>113485000</v>
      </c>
      <c r="GV52" s="19" t="s">
        <v>89</v>
      </c>
      <c r="GW52" s="19">
        <v>505352945</v>
      </c>
      <c r="GX52" s="19">
        <v>184672990</v>
      </c>
      <c r="GY52" s="19">
        <v>343702445</v>
      </c>
      <c r="GZ52" s="19">
        <v>77234930</v>
      </c>
      <c r="HA52" s="19">
        <v>417562877</v>
      </c>
      <c r="HB52" s="19">
        <v>195619450</v>
      </c>
      <c r="HC52" s="19">
        <v>51600000</v>
      </c>
      <c r="HD52" s="19" t="s">
        <v>89</v>
      </c>
      <c r="HE52" s="19">
        <v>91008044</v>
      </c>
      <c r="HF52" s="19">
        <v>4152912614</v>
      </c>
      <c r="HG52" s="19">
        <v>73298500</v>
      </c>
      <c r="HH52" s="19">
        <v>56845782</v>
      </c>
      <c r="HI52" s="19">
        <v>226056010</v>
      </c>
      <c r="HJ52" s="19">
        <v>56000000</v>
      </c>
      <c r="HK52" s="19">
        <v>553268788</v>
      </c>
      <c r="HL52" s="19">
        <v>228804189</v>
      </c>
      <c r="HM52" s="19">
        <v>277113334</v>
      </c>
      <c r="HN52" s="19">
        <v>54659740</v>
      </c>
      <c r="HO52" s="19">
        <v>278318295</v>
      </c>
      <c r="HP52" s="19" t="s">
        <v>89</v>
      </c>
    </row>
    <row r="53" spans="1:224">
      <c r="A53" s="9" t="s">
        <v>92</v>
      </c>
      <c r="B53" s="15" t="s">
        <v>35</v>
      </c>
      <c r="C53" s="19"/>
      <c r="D53" s="19">
        <v>-954276430</v>
      </c>
      <c r="E53" s="19"/>
      <c r="F53" s="19"/>
      <c r="G53" s="19">
        <v>-25235440</v>
      </c>
      <c r="H53" s="19"/>
      <c r="I53" s="19">
        <v>123807730</v>
      </c>
      <c r="J53" s="19" t="s">
        <v>4</v>
      </c>
      <c r="K53" s="19"/>
      <c r="L53" s="19"/>
      <c r="M53" s="19" t="s">
        <v>96</v>
      </c>
      <c r="N53" s="19"/>
      <c r="O53" s="19"/>
      <c r="P53" s="19"/>
      <c r="Q53" s="19">
        <v>-43511740</v>
      </c>
      <c r="R53" s="19"/>
      <c r="S53" s="19"/>
      <c r="T53" s="19" t="s">
        <v>96</v>
      </c>
      <c r="U53" s="19"/>
      <c r="V53" s="19"/>
      <c r="W53" s="19">
        <v>-16864344</v>
      </c>
      <c r="X53" s="19"/>
      <c r="Y53" s="19"/>
      <c r="Z53" s="19"/>
      <c r="AA53" s="19"/>
      <c r="AB53" s="19"/>
      <c r="AC53" s="19"/>
      <c r="AD53" s="19"/>
      <c r="AE53" s="19"/>
      <c r="AF53" s="19">
        <v>-5410840</v>
      </c>
      <c r="AG53" s="19"/>
      <c r="AH53" s="19"/>
      <c r="AI53" s="19">
        <v>-1440000</v>
      </c>
      <c r="AJ53" s="19">
        <v>-14614520</v>
      </c>
      <c r="AK53" s="19" t="s">
        <v>89</v>
      </c>
      <c r="AL53" s="19">
        <v>-967750</v>
      </c>
      <c r="AM53" s="19" t="s">
        <v>4</v>
      </c>
      <c r="AN53" s="19"/>
      <c r="AO53" s="19"/>
      <c r="AP53" s="19"/>
      <c r="AQ53" s="19" t="s">
        <v>172</v>
      </c>
      <c r="AR53" s="19">
        <v>-38549370</v>
      </c>
      <c r="AS53" s="19"/>
      <c r="AT53" s="19"/>
      <c r="AU53" s="19">
        <v>-2720130</v>
      </c>
      <c r="AV53" s="19"/>
      <c r="AW53" s="19"/>
      <c r="AX53" s="19" t="s">
        <v>4</v>
      </c>
      <c r="AY53" s="19"/>
      <c r="AZ53" s="19">
        <v>-3000000</v>
      </c>
      <c r="BA53" s="19">
        <v>-134520160</v>
      </c>
      <c r="BB53" s="19"/>
      <c r="BC53" s="19">
        <v>-97091484</v>
      </c>
      <c r="BD53" s="19"/>
      <c r="BE53" s="19">
        <v>-19187440</v>
      </c>
      <c r="BF53" s="19"/>
      <c r="BG53" s="19"/>
      <c r="BH53" s="19">
        <v>-55297270</v>
      </c>
      <c r="BI53" s="19">
        <v>-55658930</v>
      </c>
      <c r="BJ53" s="19">
        <v>-28709000</v>
      </c>
      <c r="BK53" s="19"/>
      <c r="BL53" s="19"/>
      <c r="BM53" s="19">
        <v>-98590500</v>
      </c>
      <c r="BN53" s="19">
        <v>-6673620</v>
      </c>
      <c r="BO53" s="19">
        <v>-20500000</v>
      </c>
      <c r="BP53" s="19"/>
      <c r="BQ53" s="19" t="s">
        <v>4</v>
      </c>
      <c r="BR53" s="19">
        <v>-66265800</v>
      </c>
      <c r="BS53" s="19">
        <v>-38878000</v>
      </c>
      <c r="BT53" s="19"/>
      <c r="BU53" s="19"/>
      <c r="BV53" s="19">
        <v>-72418680</v>
      </c>
      <c r="BW53" s="19">
        <v>-54861440</v>
      </c>
      <c r="BX53" s="19">
        <v>-57941580</v>
      </c>
      <c r="BY53" s="19">
        <v>-57408450</v>
      </c>
      <c r="BZ53" s="19"/>
      <c r="CA53" s="19">
        <v>-7481150</v>
      </c>
      <c r="CB53" s="19">
        <v>-7123160</v>
      </c>
      <c r="CC53" s="19"/>
      <c r="CD53" s="19"/>
      <c r="CE53" s="19">
        <v>-8830000</v>
      </c>
      <c r="CF53" s="19"/>
      <c r="CG53" s="19"/>
      <c r="CH53" s="19">
        <v>-37355040</v>
      </c>
      <c r="CI53" s="19" t="s">
        <v>89</v>
      </c>
      <c r="CJ53" s="19"/>
      <c r="CK53" s="19"/>
      <c r="CL53" s="19">
        <v>-51273170</v>
      </c>
      <c r="CM53" s="19">
        <v>-11268900</v>
      </c>
      <c r="CN53" s="19">
        <v>-127127790</v>
      </c>
      <c r="CO53" s="19"/>
      <c r="CP53" s="19">
        <v>-5501540</v>
      </c>
      <c r="CQ53" s="19" t="s">
        <v>96</v>
      </c>
      <c r="CR53" s="19">
        <v>-21038840</v>
      </c>
      <c r="CS53" s="19"/>
      <c r="CT53" s="19"/>
      <c r="CU53" s="19">
        <v>-61708140</v>
      </c>
      <c r="CV53" s="19"/>
      <c r="CW53" s="19">
        <v>-13020400</v>
      </c>
      <c r="CX53" s="19"/>
      <c r="CY53" s="19">
        <v>-101086920</v>
      </c>
      <c r="CZ53" s="19">
        <v>-37776660</v>
      </c>
      <c r="DA53" s="19">
        <v>-174864222</v>
      </c>
      <c r="DB53" s="19"/>
      <c r="DC53" s="19"/>
      <c r="DD53" s="19">
        <v>-57273700</v>
      </c>
      <c r="DE53" s="19"/>
      <c r="DF53" s="19">
        <v>-111286980</v>
      </c>
      <c r="DG53" s="19">
        <v>-82386080</v>
      </c>
      <c r="DH53" s="19">
        <v>-17100310</v>
      </c>
      <c r="DI53" s="19">
        <v>-2485600</v>
      </c>
      <c r="DJ53" s="19">
        <v>-41520000</v>
      </c>
      <c r="DK53" s="19">
        <v>-114022900</v>
      </c>
      <c r="DL53" s="19"/>
      <c r="DM53" s="19">
        <v>-208454360</v>
      </c>
      <c r="DN53" s="19">
        <v>-3190320</v>
      </c>
      <c r="DO53" s="19"/>
      <c r="DP53" s="19"/>
      <c r="DQ53" s="19">
        <v>-26342020</v>
      </c>
      <c r="DR53" s="19">
        <v>-46097860</v>
      </c>
      <c r="DS53" s="19">
        <v>-62242260</v>
      </c>
      <c r="DT53" s="19">
        <v>-42194320</v>
      </c>
      <c r="DU53" s="19">
        <v>-101320546</v>
      </c>
      <c r="DV53" s="19"/>
      <c r="DW53" s="19">
        <v>-68734990</v>
      </c>
      <c r="DX53" s="19"/>
      <c r="DY53" s="19">
        <v>-108831210</v>
      </c>
      <c r="DZ53" s="19">
        <v>-4500000</v>
      </c>
      <c r="EA53" s="19">
        <v>-10179150</v>
      </c>
      <c r="EB53" s="19">
        <v>-56931290</v>
      </c>
      <c r="EC53" s="19"/>
      <c r="ED53" s="19"/>
      <c r="EE53" s="19"/>
      <c r="EF53" s="19">
        <v>-29261760</v>
      </c>
      <c r="EG53" s="19"/>
      <c r="EH53" s="19">
        <v>-1820000</v>
      </c>
      <c r="EI53" s="19">
        <v>-217558307</v>
      </c>
      <c r="EJ53" s="19">
        <v>-24809900</v>
      </c>
      <c r="EK53" s="19" t="s">
        <v>89</v>
      </c>
      <c r="EL53" s="19"/>
      <c r="EM53" s="19"/>
      <c r="EN53" s="19"/>
      <c r="EO53" s="19">
        <v>-308085980</v>
      </c>
      <c r="EP53" s="19">
        <v>-333956450</v>
      </c>
      <c r="EQ53" s="19"/>
      <c r="ER53" s="19"/>
      <c r="ES53" s="19">
        <v>-35582890</v>
      </c>
      <c r="ET53" s="19"/>
      <c r="EU53" s="19"/>
      <c r="EV53" s="19">
        <v>-22096660</v>
      </c>
      <c r="EW53" s="19">
        <v>-21000000</v>
      </c>
      <c r="EX53" s="19">
        <v>-68953110</v>
      </c>
      <c r="EY53" s="19"/>
      <c r="EZ53" s="19"/>
      <c r="FA53" s="19">
        <v>-9500000</v>
      </c>
      <c r="FB53" s="19">
        <v>17041700</v>
      </c>
      <c r="FC53" s="19">
        <v>-73749790</v>
      </c>
      <c r="FD53" s="19"/>
      <c r="FE53" s="19"/>
      <c r="FF53" s="19">
        <v>-94155320</v>
      </c>
      <c r="FG53" s="19"/>
      <c r="FH53" s="19">
        <v>-97107680</v>
      </c>
      <c r="FI53" s="19"/>
      <c r="FJ53" s="19">
        <v>-23750000</v>
      </c>
      <c r="FK53" s="19"/>
      <c r="FL53" s="19"/>
      <c r="FM53" s="19"/>
      <c r="FN53" s="19"/>
      <c r="FO53" s="19"/>
      <c r="FP53" s="19">
        <v>-35135880</v>
      </c>
      <c r="FQ53" s="19"/>
      <c r="FR53" s="19"/>
      <c r="FS53" s="19"/>
      <c r="FT53" s="19"/>
      <c r="FU53" s="19" t="s">
        <v>152</v>
      </c>
      <c r="FV53" s="19"/>
      <c r="FW53" s="19"/>
      <c r="FX53" s="19"/>
      <c r="FY53" s="19"/>
      <c r="FZ53" s="19"/>
      <c r="GA53" s="19">
        <v>0</v>
      </c>
      <c r="GB53" s="19"/>
      <c r="GC53" s="19"/>
      <c r="GD53" s="19" t="s">
        <v>96</v>
      </c>
      <c r="GE53" s="19"/>
      <c r="GF53" s="19"/>
      <c r="GG53" s="19"/>
      <c r="GH53" s="19"/>
      <c r="GI53" s="19"/>
      <c r="GJ53" s="19"/>
      <c r="GK53" s="19"/>
      <c r="GL53" s="19">
        <v>-36519300</v>
      </c>
      <c r="GM53" s="19"/>
      <c r="GN53" s="19"/>
      <c r="GO53" s="19"/>
      <c r="GP53" s="19">
        <v>-56434120</v>
      </c>
      <c r="GQ53" s="19"/>
      <c r="GR53" s="19"/>
      <c r="GS53" s="19"/>
      <c r="GT53" s="19"/>
      <c r="GU53" s="19"/>
      <c r="GV53" s="19" t="s">
        <v>89</v>
      </c>
      <c r="GW53" s="19">
        <v>-215511221</v>
      </c>
      <c r="GX53" s="19">
        <v>-99761150</v>
      </c>
      <c r="GY53" s="19"/>
      <c r="GZ53" s="19"/>
      <c r="HA53" s="19"/>
      <c r="HB53" s="19">
        <v>-73157401</v>
      </c>
      <c r="HC53" s="19"/>
      <c r="HD53" s="19" t="s">
        <v>89</v>
      </c>
      <c r="HE53" s="19"/>
      <c r="HF53" s="19"/>
      <c r="HG53" s="19">
        <v>-20033580</v>
      </c>
      <c r="HH53" s="19">
        <v>-1354200</v>
      </c>
      <c r="HI53" s="19"/>
      <c r="HJ53" s="19"/>
      <c r="HK53" s="19"/>
      <c r="HL53" s="19"/>
      <c r="HM53" s="19">
        <v>-101185680</v>
      </c>
      <c r="HN53" s="19"/>
      <c r="HO53" s="19">
        <v>-210423440</v>
      </c>
      <c r="HP53" s="19" t="s">
        <v>89</v>
      </c>
    </row>
    <row r="54" spans="1:224">
      <c r="A54" s="9" t="s">
        <v>92</v>
      </c>
      <c r="B54" s="15" t="s">
        <v>73</v>
      </c>
      <c r="C54" s="19">
        <v>13628300</v>
      </c>
      <c r="D54" s="19">
        <v>644311</v>
      </c>
      <c r="E54" s="19">
        <v>23730871</v>
      </c>
      <c r="F54" s="19">
        <v>32283388</v>
      </c>
      <c r="G54" s="19">
        <v>2873662</v>
      </c>
      <c r="H54" s="19">
        <v>10306136</v>
      </c>
      <c r="I54" s="19"/>
      <c r="J54" s="19" t="s">
        <v>4</v>
      </c>
      <c r="K54" s="19">
        <v>10926406</v>
      </c>
      <c r="L54" s="19">
        <v>23164</v>
      </c>
      <c r="M54" s="19" t="s">
        <v>96</v>
      </c>
      <c r="N54" s="19">
        <v>2769746</v>
      </c>
      <c r="O54" s="19"/>
      <c r="P54" s="19">
        <v>134726522</v>
      </c>
      <c r="Q54" s="19">
        <v>10731626</v>
      </c>
      <c r="R54" s="19">
        <v>11246791</v>
      </c>
      <c r="S54" s="19">
        <v>496050094</v>
      </c>
      <c r="T54" s="19" t="s">
        <v>96</v>
      </c>
      <c r="U54" s="19">
        <v>94976037</v>
      </c>
      <c r="V54" s="19">
        <v>17823185</v>
      </c>
      <c r="W54" s="19"/>
      <c r="X54" s="19">
        <v>77270997</v>
      </c>
      <c r="Y54" s="19">
        <v>1757273</v>
      </c>
      <c r="Z54" s="19">
        <v>78552894</v>
      </c>
      <c r="AA54" s="19">
        <v>11700378</v>
      </c>
      <c r="AB54" s="19">
        <v>8148440</v>
      </c>
      <c r="AC54" s="19">
        <v>10844041</v>
      </c>
      <c r="AD54" s="19"/>
      <c r="AE54" s="19">
        <v>6688074</v>
      </c>
      <c r="AF54" s="19">
        <v>33545770</v>
      </c>
      <c r="AG54" s="19"/>
      <c r="AH54" s="19">
        <v>82547667</v>
      </c>
      <c r="AI54" s="19"/>
      <c r="AJ54" s="19">
        <v>15267399</v>
      </c>
      <c r="AK54" s="19" t="s">
        <v>89</v>
      </c>
      <c r="AL54" s="19">
        <v>23163259</v>
      </c>
      <c r="AM54" s="19" t="s">
        <v>4</v>
      </c>
      <c r="AN54" s="19">
        <v>24772415</v>
      </c>
      <c r="AO54" s="19">
        <v>27643905</v>
      </c>
      <c r="AP54" s="19">
        <v>12817705</v>
      </c>
      <c r="AQ54" s="19" t="s">
        <v>172</v>
      </c>
      <c r="AR54" s="19">
        <v>1340000</v>
      </c>
      <c r="AS54" s="19"/>
      <c r="AT54" s="19"/>
      <c r="AU54" s="19">
        <v>112177288</v>
      </c>
      <c r="AV54" s="19">
        <v>15395294</v>
      </c>
      <c r="AW54" s="19">
        <v>11054056</v>
      </c>
      <c r="AX54" s="19" t="s">
        <v>4</v>
      </c>
      <c r="AY54" s="19"/>
      <c r="AZ54" s="19"/>
      <c r="BA54" s="19"/>
      <c r="BB54" s="19">
        <v>8036363</v>
      </c>
      <c r="BC54" s="19">
        <v>41789353</v>
      </c>
      <c r="BD54" s="19">
        <v>7529854</v>
      </c>
      <c r="BE54" s="19">
        <v>6556600</v>
      </c>
      <c r="BF54" s="19">
        <v>231983280</v>
      </c>
      <c r="BG54" s="19"/>
      <c r="BH54" s="19">
        <v>2843508</v>
      </c>
      <c r="BI54" s="19">
        <v>10571435</v>
      </c>
      <c r="BJ54" s="19">
        <v>10334642</v>
      </c>
      <c r="BK54" s="19">
        <v>16059841</v>
      </c>
      <c r="BL54" s="19">
        <v>6339906</v>
      </c>
      <c r="BM54" s="19">
        <v>49961519</v>
      </c>
      <c r="BN54" s="19">
        <v>6647655</v>
      </c>
      <c r="BO54" s="19">
        <v>13999982</v>
      </c>
      <c r="BP54" s="19"/>
      <c r="BQ54" s="19" t="s">
        <v>4</v>
      </c>
      <c r="BR54" s="19">
        <v>608741</v>
      </c>
      <c r="BS54" s="19">
        <v>9639461</v>
      </c>
      <c r="BT54" s="19"/>
      <c r="BU54" s="19">
        <v>44207080</v>
      </c>
      <c r="BV54" s="19">
        <v>6013693</v>
      </c>
      <c r="BW54" s="19"/>
      <c r="BX54" s="19"/>
      <c r="BY54" s="19">
        <v>75136327</v>
      </c>
      <c r="BZ54" s="19">
        <v>415711</v>
      </c>
      <c r="CA54" s="19">
        <v>19395915</v>
      </c>
      <c r="CB54" s="19">
        <v>31553708</v>
      </c>
      <c r="CC54" s="19"/>
      <c r="CD54" s="19">
        <v>607051</v>
      </c>
      <c r="CE54" s="19"/>
      <c r="CF54" s="19">
        <v>2810725</v>
      </c>
      <c r="CG54" s="19">
        <v>4201855</v>
      </c>
      <c r="CH54" s="19">
        <v>2584269</v>
      </c>
      <c r="CI54" s="19" t="s">
        <v>89</v>
      </c>
      <c r="CJ54" s="19">
        <v>630511</v>
      </c>
      <c r="CK54" s="19">
        <v>9772623</v>
      </c>
      <c r="CL54" s="19"/>
      <c r="CM54" s="19">
        <v>19796786</v>
      </c>
      <c r="CN54" s="19">
        <v>12045717</v>
      </c>
      <c r="CO54" s="19">
        <v>16821156</v>
      </c>
      <c r="CP54" s="19"/>
      <c r="CQ54" s="19" t="s">
        <v>96</v>
      </c>
      <c r="CR54" s="19">
        <v>20895364</v>
      </c>
      <c r="CS54" s="19">
        <v>116362646</v>
      </c>
      <c r="CT54" s="19">
        <v>11022110</v>
      </c>
      <c r="CU54" s="19"/>
      <c r="CV54" s="19"/>
      <c r="CW54" s="19">
        <v>87815480</v>
      </c>
      <c r="CX54" s="19">
        <v>33247434</v>
      </c>
      <c r="CY54" s="19">
        <v>134566375</v>
      </c>
      <c r="CZ54" s="19">
        <v>3403747</v>
      </c>
      <c r="DA54" s="19">
        <v>672693</v>
      </c>
      <c r="DB54" s="19">
        <v>8562600</v>
      </c>
      <c r="DC54" s="19"/>
      <c r="DD54" s="19">
        <v>17283285</v>
      </c>
      <c r="DE54" s="19"/>
      <c r="DF54" s="19">
        <v>7853272</v>
      </c>
      <c r="DG54" s="19">
        <v>28645320</v>
      </c>
      <c r="DH54" s="19">
        <v>1038038</v>
      </c>
      <c r="DI54" s="19">
        <v>50072592</v>
      </c>
      <c r="DJ54" s="19">
        <v>1845236</v>
      </c>
      <c r="DK54" s="19">
        <v>28340940</v>
      </c>
      <c r="DL54" s="19">
        <v>3746513</v>
      </c>
      <c r="DM54" s="19"/>
      <c r="DN54" s="19">
        <v>276959</v>
      </c>
      <c r="DO54" s="19">
        <v>9297507</v>
      </c>
      <c r="DP54" s="19">
        <v>22302271</v>
      </c>
      <c r="DQ54" s="19"/>
      <c r="DR54" s="19"/>
      <c r="DS54" s="19">
        <v>36000</v>
      </c>
      <c r="DT54" s="19">
        <v>22998408</v>
      </c>
      <c r="DU54" s="19">
        <v>8949004</v>
      </c>
      <c r="DV54" s="19"/>
      <c r="DW54" s="19">
        <v>40349372</v>
      </c>
      <c r="DX54" s="19">
        <v>11281292</v>
      </c>
      <c r="DY54" s="19">
        <v>2756461</v>
      </c>
      <c r="DZ54" s="19">
        <v>6811878</v>
      </c>
      <c r="EA54" s="19"/>
      <c r="EB54" s="19">
        <v>28161809</v>
      </c>
      <c r="EC54" s="19">
        <v>740725</v>
      </c>
      <c r="ED54" s="19"/>
      <c r="EE54" s="19">
        <v>12929341</v>
      </c>
      <c r="EF54" s="19">
        <v>73718382</v>
      </c>
      <c r="EG54" s="19">
        <v>359925137</v>
      </c>
      <c r="EH54" s="19"/>
      <c r="EI54" s="19">
        <v>49270695</v>
      </c>
      <c r="EJ54" s="19">
        <v>14464796</v>
      </c>
      <c r="EK54" s="19" t="s">
        <v>89</v>
      </c>
      <c r="EL54" s="19"/>
      <c r="EM54" s="19">
        <v>7162278</v>
      </c>
      <c r="EN54" s="19">
        <v>76705686</v>
      </c>
      <c r="EO54" s="19">
        <v>91609946</v>
      </c>
      <c r="EP54" s="19">
        <v>17196964</v>
      </c>
      <c r="EQ54" s="19"/>
      <c r="ER54" s="19">
        <v>88565765</v>
      </c>
      <c r="ES54" s="19">
        <v>8346632</v>
      </c>
      <c r="ET54" s="19"/>
      <c r="EU54" s="19">
        <v>2964559</v>
      </c>
      <c r="EV54" s="19"/>
      <c r="EW54" s="19"/>
      <c r="EX54" s="19">
        <v>13980933</v>
      </c>
      <c r="EY54" s="19">
        <v>174221668</v>
      </c>
      <c r="EZ54" s="19">
        <v>72279995</v>
      </c>
      <c r="FA54" s="19"/>
      <c r="FB54" s="19"/>
      <c r="FC54" s="19"/>
      <c r="FD54" s="19">
        <v>360482</v>
      </c>
      <c r="FE54" s="19">
        <v>74662981</v>
      </c>
      <c r="FF54" s="19"/>
      <c r="FG54" s="19">
        <v>26901066</v>
      </c>
      <c r="FH54" s="19">
        <v>8503200</v>
      </c>
      <c r="FI54" s="19">
        <v>826185</v>
      </c>
      <c r="FJ54" s="19">
        <v>7505347</v>
      </c>
      <c r="FK54" s="19"/>
      <c r="FL54" s="19"/>
      <c r="FM54" s="19"/>
      <c r="FN54" s="19"/>
      <c r="FO54" s="19"/>
      <c r="FP54" s="19">
        <v>5301964</v>
      </c>
      <c r="FQ54" s="19">
        <v>5732590</v>
      </c>
      <c r="FR54" s="19"/>
      <c r="FS54" s="19"/>
      <c r="FT54" s="19">
        <v>210576</v>
      </c>
      <c r="FU54" s="19" t="s">
        <v>152</v>
      </c>
      <c r="FV54" s="19">
        <v>100237355</v>
      </c>
      <c r="FW54" s="19"/>
      <c r="FX54" s="19">
        <v>682062</v>
      </c>
      <c r="FY54" s="19"/>
      <c r="FZ54" s="19">
        <v>9896377</v>
      </c>
      <c r="GA54" s="19">
        <v>0</v>
      </c>
      <c r="GB54" s="19"/>
      <c r="GC54" s="19">
        <v>604560</v>
      </c>
      <c r="GD54" s="19" t="s">
        <v>96</v>
      </c>
      <c r="GE54" s="19"/>
      <c r="GF54" s="19"/>
      <c r="GG54" s="19">
        <v>42132287</v>
      </c>
      <c r="GH54" s="19"/>
      <c r="GI54" s="19"/>
      <c r="GJ54" s="19"/>
      <c r="GK54" s="19">
        <v>2797856</v>
      </c>
      <c r="GL54" s="19">
        <v>2504393</v>
      </c>
      <c r="GM54" s="19">
        <v>2186150</v>
      </c>
      <c r="GN54" s="19"/>
      <c r="GO54" s="19"/>
      <c r="GP54" s="19">
        <v>92291584</v>
      </c>
      <c r="GQ54" s="19">
        <v>5801632</v>
      </c>
      <c r="GR54" s="19"/>
      <c r="GS54" s="19"/>
      <c r="GT54" s="19"/>
      <c r="GU54" s="19"/>
      <c r="GV54" s="19" t="s">
        <v>89</v>
      </c>
      <c r="GW54" s="19"/>
      <c r="GX54" s="19">
        <v>32989749</v>
      </c>
      <c r="GY54" s="19">
        <v>29592315</v>
      </c>
      <c r="GZ54" s="19">
        <v>7583690</v>
      </c>
      <c r="HA54" s="19">
        <v>1404170</v>
      </c>
      <c r="HB54" s="19">
        <v>18012325</v>
      </c>
      <c r="HC54" s="19"/>
      <c r="HD54" s="19" t="s">
        <v>89</v>
      </c>
      <c r="HE54" s="19"/>
      <c r="HF54" s="19">
        <v>11206702</v>
      </c>
      <c r="HG54" s="19">
        <v>13228366</v>
      </c>
      <c r="HH54" s="19">
        <v>3574735</v>
      </c>
      <c r="HI54" s="19"/>
      <c r="HJ54" s="19">
        <v>3600088</v>
      </c>
      <c r="HK54" s="19">
        <v>8216229</v>
      </c>
      <c r="HL54" s="19"/>
      <c r="HM54" s="19"/>
      <c r="HN54" s="19">
        <v>7848358</v>
      </c>
      <c r="HO54" s="19">
        <v>19564533</v>
      </c>
      <c r="HP54" s="19" t="s">
        <v>89</v>
      </c>
    </row>
    <row r="55" spans="1:224">
      <c r="A55" s="9" t="s">
        <v>92</v>
      </c>
      <c r="B55" s="15" t="s">
        <v>58</v>
      </c>
      <c r="C55" s="19"/>
      <c r="D55" s="19">
        <v>0</v>
      </c>
      <c r="E55" s="19"/>
      <c r="F55" s="19"/>
      <c r="G55" s="19"/>
      <c r="H55" s="19"/>
      <c r="I55" s="19"/>
      <c r="J55" s="19" t="s">
        <v>4</v>
      </c>
      <c r="K55" s="19">
        <v>5940000</v>
      </c>
      <c r="L55" s="19"/>
      <c r="M55" s="19" t="s">
        <v>96</v>
      </c>
      <c r="N55" s="19"/>
      <c r="O55" s="19"/>
      <c r="P55" s="19"/>
      <c r="Q55" s="19"/>
      <c r="R55" s="19"/>
      <c r="S55" s="19">
        <v>7066257</v>
      </c>
      <c r="T55" s="19" t="s">
        <v>96</v>
      </c>
      <c r="U55" s="19"/>
      <c r="V55" s="19"/>
      <c r="W55" s="19"/>
      <c r="X55" s="19"/>
      <c r="Y55" s="19"/>
      <c r="Z55" s="19"/>
      <c r="AA55" s="19"/>
      <c r="AB55" s="19"/>
      <c r="AC55" s="19"/>
      <c r="AD55" s="19"/>
      <c r="AE55" s="19"/>
      <c r="AF55" s="19"/>
      <c r="AG55" s="19"/>
      <c r="AH55" s="19"/>
      <c r="AI55" s="19"/>
      <c r="AJ55" s="19"/>
      <c r="AK55" s="19" t="s">
        <v>89</v>
      </c>
      <c r="AL55" s="19"/>
      <c r="AM55" s="19" t="s">
        <v>4</v>
      </c>
      <c r="AN55" s="19"/>
      <c r="AO55" s="19">
        <v>6190354</v>
      </c>
      <c r="AP55" s="19">
        <v>1199944</v>
      </c>
      <c r="AQ55" s="19" t="s">
        <v>172</v>
      </c>
      <c r="AR55" s="19"/>
      <c r="AS55" s="19"/>
      <c r="AT55" s="19"/>
      <c r="AU55" s="19"/>
      <c r="AV55" s="19"/>
      <c r="AW55" s="19"/>
      <c r="AX55" s="19" t="s">
        <v>4</v>
      </c>
      <c r="AY55" s="19"/>
      <c r="AZ55" s="19"/>
      <c r="BA55" s="19"/>
      <c r="BB55" s="19"/>
      <c r="BC55" s="19"/>
      <c r="BD55" s="19"/>
      <c r="BE55" s="19"/>
      <c r="BF55" s="19"/>
      <c r="BG55" s="19"/>
      <c r="BH55" s="19"/>
      <c r="BI55" s="19">
        <v>90597</v>
      </c>
      <c r="BJ55" s="19">
        <v>1111295</v>
      </c>
      <c r="BK55" s="19">
        <v>3610778</v>
      </c>
      <c r="BL55" s="19"/>
      <c r="BM55" s="19"/>
      <c r="BN55" s="19"/>
      <c r="BO55" s="19">
        <v>748507</v>
      </c>
      <c r="BP55" s="19"/>
      <c r="BQ55" s="19" t="s">
        <v>4</v>
      </c>
      <c r="BR55" s="19"/>
      <c r="BS55" s="19"/>
      <c r="BT55" s="19"/>
      <c r="BU55" s="19"/>
      <c r="BV55" s="19"/>
      <c r="BW55" s="19"/>
      <c r="BX55" s="19"/>
      <c r="BY55" s="19">
        <v>35123494</v>
      </c>
      <c r="BZ55" s="19"/>
      <c r="CA55" s="19"/>
      <c r="CB55" s="19"/>
      <c r="CC55" s="19"/>
      <c r="CD55" s="19">
        <v>48939240</v>
      </c>
      <c r="CE55" s="19"/>
      <c r="CF55" s="19"/>
      <c r="CG55" s="19"/>
      <c r="CH55" s="19"/>
      <c r="CI55" s="19" t="s">
        <v>89</v>
      </c>
      <c r="CJ55" s="19">
        <v>718274</v>
      </c>
      <c r="CK55" s="19">
        <v>46024239</v>
      </c>
      <c r="CL55" s="19"/>
      <c r="CM55" s="19"/>
      <c r="CN55" s="19"/>
      <c r="CO55" s="19"/>
      <c r="CP55" s="19"/>
      <c r="CQ55" s="19" t="s">
        <v>96</v>
      </c>
      <c r="CR55" s="19">
        <v>196680</v>
      </c>
      <c r="CS55" s="19"/>
      <c r="CT55" s="19"/>
      <c r="CU55" s="19"/>
      <c r="CV55" s="19"/>
      <c r="CW55" s="19"/>
      <c r="CX55" s="19">
        <v>8380829</v>
      </c>
      <c r="CY55" s="19">
        <v>2480663</v>
      </c>
      <c r="CZ55" s="19"/>
      <c r="DA55" s="19"/>
      <c r="DB55" s="19"/>
      <c r="DC55" s="19"/>
      <c r="DD55" s="19"/>
      <c r="DE55" s="19"/>
      <c r="DF55" s="19"/>
      <c r="DG55" s="19"/>
      <c r="DH55" s="19">
        <v>1131384</v>
      </c>
      <c r="DI55" s="19">
        <v>7123694</v>
      </c>
      <c r="DJ55" s="19"/>
      <c r="DK55" s="19">
        <v>3339307</v>
      </c>
      <c r="DL55" s="19"/>
      <c r="DM55" s="19"/>
      <c r="DN55" s="19"/>
      <c r="DO55" s="19"/>
      <c r="DP55" s="19">
        <v>783232</v>
      </c>
      <c r="DQ55" s="19"/>
      <c r="DR55" s="19"/>
      <c r="DS55" s="19"/>
      <c r="DT55" s="19"/>
      <c r="DU55" s="19"/>
      <c r="DV55" s="19"/>
      <c r="DW55" s="19"/>
      <c r="DX55" s="19"/>
      <c r="DY55" s="19"/>
      <c r="DZ55" s="19"/>
      <c r="EA55" s="19"/>
      <c r="EB55" s="19"/>
      <c r="EC55" s="19"/>
      <c r="ED55" s="19"/>
      <c r="EE55" s="19"/>
      <c r="EF55" s="19">
        <v>5054628</v>
      </c>
      <c r="EG55" s="19"/>
      <c r="EH55" s="19"/>
      <c r="EI55" s="19"/>
      <c r="EJ55" s="19"/>
      <c r="EK55" s="19" t="s">
        <v>89</v>
      </c>
      <c r="EL55" s="19"/>
      <c r="EM55" s="19"/>
      <c r="EN55" s="19"/>
      <c r="EO55" s="19"/>
      <c r="EP55" s="19"/>
      <c r="EQ55" s="19"/>
      <c r="ER55" s="19"/>
      <c r="ES55" s="19"/>
      <c r="ET55" s="19"/>
      <c r="EU55" s="19"/>
      <c r="EV55" s="19"/>
      <c r="EW55" s="19"/>
      <c r="EX55" s="19"/>
      <c r="EY55" s="19"/>
      <c r="EZ55" s="19"/>
      <c r="FA55" s="19"/>
      <c r="FB55" s="19"/>
      <c r="FC55" s="19"/>
      <c r="FD55" s="19"/>
      <c r="FE55" s="19"/>
      <c r="FF55" s="19"/>
      <c r="FG55" s="19"/>
      <c r="FH55" s="19"/>
      <c r="FI55" s="19"/>
      <c r="FJ55" s="19">
        <v>4877924</v>
      </c>
      <c r="FK55" s="19"/>
      <c r="FL55" s="19"/>
      <c r="FM55" s="19"/>
      <c r="FN55" s="19"/>
      <c r="FO55" s="19"/>
      <c r="FP55" s="19"/>
      <c r="FQ55" s="19"/>
      <c r="FR55" s="19"/>
      <c r="FS55" s="19"/>
      <c r="FT55" s="19">
        <v>2140838</v>
      </c>
      <c r="FU55" s="19" t="s">
        <v>152</v>
      </c>
      <c r="FV55" s="19"/>
      <c r="FW55" s="19"/>
      <c r="FX55" s="19"/>
      <c r="FY55" s="19"/>
      <c r="FZ55" s="19"/>
      <c r="GA55" s="19">
        <v>0</v>
      </c>
      <c r="GB55" s="19"/>
      <c r="GC55" s="19"/>
      <c r="GD55" s="19" t="s">
        <v>96</v>
      </c>
      <c r="GE55" s="19"/>
      <c r="GF55" s="19"/>
      <c r="GG55" s="19"/>
      <c r="GH55" s="19"/>
      <c r="GI55" s="19"/>
      <c r="GJ55" s="19"/>
      <c r="GK55" s="19"/>
      <c r="GL55" s="19"/>
      <c r="GM55" s="19"/>
      <c r="GN55" s="19"/>
      <c r="GO55" s="19"/>
      <c r="GP55" s="19">
        <v>7684159</v>
      </c>
      <c r="GQ55" s="19"/>
      <c r="GR55" s="19"/>
      <c r="GS55" s="19">
        <v>9350766</v>
      </c>
      <c r="GT55" s="19"/>
      <c r="GU55" s="19"/>
      <c r="GV55" s="19" t="s">
        <v>89</v>
      </c>
      <c r="GW55" s="19"/>
      <c r="GX55" s="19"/>
      <c r="GY55" s="19"/>
      <c r="GZ55" s="19"/>
      <c r="HA55" s="19"/>
      <c r="HB55" s="19">
        <v>268242</v>
      </c>
      <c r="HC55" s="19"/>
      <c r="HD55" s="19" t="s">
        <v>89</v>
      </c>
      <c r="HE55" s="19"/>
      <c r="HF55" s="19">
        <v>4475750</v>
      </c>
      <c r="HG55" s="19"/>
      <c r="HH55" s="19"/>
      <c r="HI55" s="19"/>
      <c r="HJ55" s="19"/>
      <c r="HK55" s="19">
        <v>450143</v>
      </c>
      <c r="HL55" s="19"/>
      <c r="HM55" s="19"/>
      <c r="HN55" s="19"/>
      <c r="HO55" s="19"/>
      <c r="HP55" s="19" t="s">
        <v>89</v>
      </c>
    </row>
    <row r="56" spans="1:224">
      <c r="A56" s="9" t="s">
        <v>92</v>
      </c>
      <c r="B56" s="15" t="s">
        <v>55</v>
      </c>
      <c r="C56" s="19">
        <v>586350</v>
      </c>
      <c r="D56" s="19">
        <v>7982010</v>
      </c>
      <c r="E56" s="19">
        <v>8580439</v>
      </c>
      <c r="F56" s="19">
        <v>31349920</v>
      </c>
      <c r="G56" s="19">
        <v>3188090</v>
      </c>
      <c r="H56" s="19">
        <v>15127200</v>
      </c>
      <c r="I56" s="19">
        <v>99962229</v>
      </c>
      <c r="J56" s="19" t="s">
        <v>4</v>
      </c>
      <c r="K56" s="19">
        <v>59206060</v>
      </c>
      <c r="L56" s="19">
        <v>352310</v>
      </c>
      <c r="M56" s="19" t="s">
        <v>96</v>
      </c>
      <c r="N56" s="19">
        <v>12394768</v>
      </c>
      <c r="O56" s="19">
        <v>6321890</v>
      </c>
      <c r="P56" s="19">
        <v>56752360</v>
      </c>
      <c r="Q56" s="19">
        <v>5129645</v>
      </c>
      <c r="R56" s="19">
        <v>15840141</v>
      </c>
      <c r="S56" s="19">
        <v>39646579</v>
      </c>
      <c r="T56" s="19" t="s">
        <v>96</v>
      </c>
      <c r="U56" s="19">
        <v>492570</v>
      </c>
      <c r="V56" s="19">
        <v>1432590</v>
      </c>
      <c r="W56" s="19">
        <v>583550</v>
      </c>
      <c r="X56" s="19">
        <v>28095513</v>
      </c>
      <c r="Y56" s="19">
        <v>34525952</v>
      </c>
      <c r="Z56" s="19">
        <v>32358560</v>
      </c>
      <c r="AA56" s="19">
        <v>26835080</v>
      </c>
      <c r="AB56" s="19">
        <v>2584320</v>
      </c>
      <c r="AC56" s="19">
        <v>18998040</v>
      </c>
      <c r="AD56" s="19">
        <v>5223360</v>
      </c>
      <c r="AE56" s="19">
        <v>44768142</v>
      </c>
      <c r="AF56" s="19">
        <v>12256169</v>
      </c>
      <c r="AG56" s="19">
        <v>20567420</v>
      </c>
      <c r="AH56" s="19">
        <v>17594000</v>
      </c>
      <c r="AI56" s="19">
        <v>5635920</v>
      </c>
      <c r="AJ56" s="19">
        <v>16760680</v>
      </c>
      <c r="AK56" s="19" t="s">
        <v>89</v>
      </c>
      <c r="AL56" s="19">
        <v>23329135</v>
      </c>
      <c r="AM56" s="19" t="s">
        <v>4</v>
      </c>
      <c r="AN56" s="19">
        <v>11069126</v>
      </c>
      <c r="AO56" s="19">
        <v>41870470</v>
      </c>
      <c r="AP56" s="19">
        <v>9814277</v>
      </c>
      <c r="AQ56" s="19" t="s">
        <v>172</v>
      </c>
      <c r="AR56" s="19">
        <v>9820320</v>
      </c>
      <c r="AS56" s="19">
        <v>6415922</v>
      </c>
      <c r="AT56" s="19">
        <v>23455700</v>
      </c>
      <c r="AU56" s="19">
        <v>8597315</v>
      </c>
      <c r="AV56" s="19">
        <v>466600</v>
      </c>
      <c r="AW56" s="19">
        <v>225030</v>
      </c>
      <c r="AX56" s="19" t="s">
        <v>4</v>
      </c>
      <c r="AY56" s="19">
        <v>13880780</v>
      </c>
      <c r="AZ56" s="19">
        <v>10260510</v>
      </c>
      <c r="BA56" s="19">
        <v>54523433</v>
      </c>
      <c r="BB56" s="19">
        <v>5962570</v>
      </c>
      <c r="BC56" s="19">
        <v>31255461</v>
      </c>
      <c r="BD56" s="19">
        <v>5887410</v>
      </c>
      <c r="BE56" s="19">
        <v>1550090</v>
      </c>
      <c r="BF56" s="19">
        <v>8436960</v>
      </c>
      <c r="BG56" s="19"/>
      <c r="BH56" s="19">
        <v>6632130</v>
      </c>
      <c r="BI56" s="19">
        <v>278071</v>
      </c>
      <c r="BJ56" s="19">
        <v>10312940</v>
      </c>
      <c r="BK56" s="19">
        <v>8618420</v>
      </c>
      <c r="BL56" s="19">
        <v>8795740</v>
      </c>
      <c r="BM56" s="19">
        <v>12426770</v>
      </c>
      <c r="BN56" s="19">
        <v>1944846</v>
      </c>
      <c r="BO56" s="19">
        <v>345270</v>
      </c>
      <c r="BP56" s="19">
        <v>1213710</v>
      </c>
      <c r="BQ56" s="19" t="s">
        <v>4</v>
      </c>
      <c r="BR56" s="19">
        <v>13370793</v>
      </c>
      <c r="BS56" s="19">
        <v>2195390</v>
      </c>
      <c r="BT56" s="19">
        <v>3280610</v>
      </c>
      <c r="BU56" s="19">
        <v>8512390</v>
      </c>
      <c r="BV56" s="19">
        <v>8286993</v>
      </c>
      <c r="BW56" s="19">
        <v>6858820</v>
      </c>
      <c r="BX56" s="19">
        <v>7529270</v>
      </c>
      <c r="BY56" s="19">
        <v>31153897</v>
      </c>
      <c r="BZ56" s="19">
        <v>9641090</v>
      </c>
      <c r="CA56" s="19">
        <v>19095895</v>
      </c>
      <c r="CB56" s="19">
        <v>617760</v>
      </c>
      <c r="CC56" s="19"/>
      <c r="CD56" s="19"/>
      <c r="CE56" s="19">
        <v>4124810</v>
      </c>
      <c r="CF56" s="19">
        <v>9020040</v>
      </c>
      <c r="CG56" s="19">
        <v>2183000</v>
      </c>
      <c r="CH56" s="19">
        <v>2605800</v>
      </c>
      <c r="CI56" s="19" t="s">
        <v>89</v>
      </c>
      <c r="CJ56" s="19">
        <v>800000</v>
      </c>
      <c r="CK56" s="19">
        <v>46024239</v>
      </c>
      <c r="CL56" s="19">
        <v>1139630</v>
      </c>
      <c r="CM56" s="19">
        <v>13147704</v>
      </c>
      <c r="CN56" s="19">
        <v>5579780</v>
      </c>
      <c r="CO56" s="19">
        <v>5676640</v>
      </c>
      <c r="CP56" s="19">
        <v>22937997</v>
      </c>
      <c r="CQ56" s="19" t="s">
        <v>96</v>
      </c>
      <c r="CR56" s="19">
        <v>9350810</v>
      </c>
      <c r="CS56" s="19">
        <v>8632645</v>
      </c>
      <c r="CT56" s="19">
        <v>21165100</v>
      </c>
      <c r="CU56" s="19">
        <v>23664184</v>
      </c>
      <c r="CV56" s="19">
        <v>727360</v>
      </c>
      <c r="CW56" s="19">
        <v>1724190</v>
      </c>
      <c r="CX56" s="19">
        <v>31780440</v>
      </c>
      <c r="CY56" s="19">
        <v>11502640</v>
      </c>
      <c r="CZ56" s="19">
        <v>15148343</v>
      </c>
      <c r="DA56" s="19">
        <v>10082700</v>
      </c>
      <c r="DB56" s="19">
        <v>7429106</v>
      </c>
      <c r="DC56" s="19">
        <v>286500</v>
      </c>
      <c r="DD56" s="19">
        <v>3621790</v>
      </c>
      <c r="DE56" s="19">
        <v>35097089</v>
      </c>
      <c r="DF56" s="19">
        <v>5980330</v>
      </c>
      <c r="DG56" s="19">
        <v>9521390</v>
      </c>
      <c r="DH56" s="19">
        <v>2794965</v>
      </c>
      <c r="DI56" s="19">
        <v>9032294</v>
      </c>
      <c r="DJ56" s="19">
        <v>2708440</v>
      </c>
      <c r="DK56" s="19">
        <v>1991280</v>
      </c>
      <c r="DL56" s="19">
        <v>3933350</v>
      </c>
      <c r="DM56" s="19">
        <v>18621776</v>
      </c>
      <c r="DN56" s="19">
        <v>11421007</v>
      </c>
      <c r="DO56" s="19">
        <v>1138717</v>
      </c>
      <c r="DP56" s="19">
        <v>6289395</v>
      </c>
      <c r="DQ56" s="19">
        <v>7136475</v>
      </c>
      <c r="DR56" s="19">
        <v>3907210</v>
      </c>
      <c r="DS56" s="19">
        <v>12616451</v>
      </c>
      <c r="DT56" s="19">
        <v>16412070</v>
      </c>
      <c r="DU56" s="19">
        <v>6310840</v>
      </c>
      <c r="DV56" s="19"/>
      <c r="DW56" s="19">
        <v>9243950</v>
      </c>
      <c r="DX56" s="19">
        <v>24255370</v>
      </c>
      <c r="DY56" s="19">
        <v>3716354</v>
      </c>
      <c r="DZ56" s="19">
        <v>17657940</v>
      </c>
      <c r="EA56" s="19">
        <v>648847</v>
      </c>
      <c r="EB56" s="19">
        <v>18209930</v>
      </c>
      <c r="EC56" s="19">
        <v>2355440</v>
      </c>
      <c r="ED56" s="19">
        <v>4961710</v>
      </c>
      <c r="EE56" s="19">
        <v>5654903</v>
      </c>
      <c r="EF56" s="19">
        <v>17882205</v>
      </c>
      <c r="EG56" s="19">
        <v>73961200</v>
      </c>
      <c r="EH56" s="19">
        <v>5213348</v>
      </c>
      <c r="EI56" s="19">
        <v>2535160</v>
      </c>
      <c r="EJ56" s="19">
        <v>107470</v>
      </c>
      <c r="EK56" s="19" t="s">
        <v>89</v>
      </c>
      <c r="EL56" s="19">
        <v>61337600</v>
      </c>
      <c r="EM56" s="19">
        <v>7028020</v>
      </c>
      <c r="EN56" s="19">
        <v>19356140</v>
      </c>
      <c r="EO56" s="19">
        <v>31707410</v>
      </c>
      <c r="EP56" s="19">
        <v>8154200</v>
      </c>
      <c r="EQ56" s="19">
        <v>29610850</v>
      </c>
      <c r="ER56" s="19">
        <v>6220000</v>
      </c>
      <c r="ES56" s="19">
        <v>9197330</v>
      </c>
      <c r="ET56" s="19">
        <v>9573690</v>
      </c>
      <c r="EU56" s="19">
        <v>10895887</v>
      </c>
      <c r="EV56" s="19">
        <v>2217180</v>
      </c>
      <c r="EW56" s="19">
        <v>3248627</v>
      </c>
      <c r="EX56" s="19">
        <v>11097270</v>
      </c>
      <c r="EY56" s="19">
        <v>71283000</v>
      </c>
      <c r="EZ56" s="19">
        <v>5241970</v>
      </c>
      <c r="FA56" s="19">
        <v>14195979</v>
      </c>
      <c r="FB56" s="19">
        <v>9581599</v>
      </c>
      <c r="FC56" s="19">
        <v>16647240</v>
      </c>
      <c r="FD56" s="19">
        <v>917310</v>
      </c>
      <c r="FE56" s="19">
        <v>51532792</v>
      </c>
      <c r="FF56" s="19">
        <v>7205333</v>
      </c>
      <c r="FG56" s="19">
        <v>10988350</v>
      </c>
      <c r="FH56" s="19"/>
      <c r="FI56" s="19">
        <v>1426775</v>
      </c>
      <c r="FJ56" s="19"/>
      <c r="FK56" s="19">
        <v>28128310</v>
      </c>
      <c r="FL56" s="19">
        <v>248482</v>
      </c>
      <c r="FM56" s="19">
        <v>1551800</v>
      </c>
      <c r="FN56" s="19">
        <v>8138360</v>
      </c>
      <c r="FO56" s="19"/>
      <c r="FP56" s="19">
        <v>5823054</v>
      </c>
      <c r="FQ56" s="19">
        <v>938070</v>
      </c>
      <c r="FR56" s="19">
        <v>1430530</v>
      </c>
      <c r="FS56" s="19">
        <v>942920</v>
      </c>
      <c r="FT56" s="19">
        <v>4434145</v>
      </c>
      <c r="FU56" s="19" t="s">
        <v>152</v>
      </c>
      <c r="FV56" s="19">
        <v>47743101</v>
      </c>
      <c r="FW56" s="19">
        <v>4276200</v>
      </c>
      <c r="FX56" s="19">
        <v>2868780</v>
      </c>
      <c r="FY56" s="19">
        <v>12496565</v>
      </c>
      <c r="FZ56" s="19">
        <v>6459140</v>
      </c>
      <c r="GA56" s="19">
        <v>11663280</v>
      </c>
      <c r="GB56" s="19">
        <v>573480</v>
      </c>
      <c r="GC56" s="19">
        <v>3242960</v>
      </c>
      <c r="GD56" s="19" t="s">
        <v>96</v>
      </c>
      <c r="GE56" s="19">
        <v>2253353</v>
      </c>
      <c r="GF56" s="19">
        <v>405000</v>
      </c>
      <c r="GG56" s="19">
        <v>14840274</v>
      </c>
      <c r="GH56" s="19">
        <v>3136834</v>
      </c>
      <c r="GI56" s="19">
        <v>1458120</v>
      </c>
      <c r="GJ56" s="19">
        <v>6940330</v>
      </c>
      <c r="GK56" s="19">
        <v>2288360</v>
      </c>
      <c r="GL56" s="19">
        <v>3944930</v>
      </c>
      <c r="GM56" s="19">
        <v>928865</v>
      </c>
      <c r="GN56" s="19">
        <v>904010</v>
      </c>
      <c r="GO56" s="19">
        <v>40226949</v>
      </c>
      <c r="GP56" s="19">
        <v>18245954</v>
      </c>
      <c r="GQ56" s="19">
        <v>1167650</v>
      </c>
      <c r="GR56" s="19">
        <v>1993600</v>
      </c>
      <c r="GS56" s="19">
        <v>197500</v>
      </c>
      <c r="GT56" s="19">
        <v>1458120</v>
      </c>
      <c r="GU56" s="19">
        <v>7417830</v>
      </c>
      <c r="GV56" s="19" t="s">
        <v>89</v>
      </c>
      <c r="GW56" s="19">
        <v>18889513</v>
      </c>
      <c r="GX56" s="19">
        <v>9562239</v>
      </c>
      <c r="GY56" s="19">
        <v>12016490</v>
      </c>
      <c r="GZ56" s="19">
        <v>249159</v>
      </c>
      <c r="HA56" s="19">
        <v>14096310</v>
      </c>
      <c r="HB56" s="19">
        <v>2127961</v>
      </c>
      <c r="HC56" s="19">
        <v>2040497</v>
      </c>
      <c r="HD56" s="19" t="s">
        <v>89</v>
      </c>
      <c r="HE56" s="19">
        <v>15043957</v>
      </c>
      <c r="HF56" s="19">
        <v>55201430</v>
      </c>
      <c r="HG56" s="19">
        <v>3333924</v>
      </c>
      <c r="HH56" s="19">
        <v>768960</v>
      </c>
      <c r="HI56" s="19">
        <v>8163260</v>
      </c>
      <c r="HJ56" s="19">
        <v>9777220</v>
      </c>
      <c r="HK56" s="19">
        <v>17323680</v>
      </c>
      <c r="HL56" s="19">
        <v>10229351</v>
      </c>
      <c r="HM56" s="19">
        <v>29519490</v>
      </c>
      <c r="HN56" s="19">
        <v>1960910</v>
      </c>
      <c r="HO56" s="19">
        <v>435810</v>
      </c>
      <c r="HP56" s="19" t="s">
        <v>89</v>
      </c>
    </row>
    <row r="57" spans="1:224">
      <c r="A57" s="9" t="s">
        <v>92</v>
      </c>
      <c r="B57" s="15" t="s">
        <v>77</v>
      </c>
      <c r="C57" s="19">
        <v>204356528</v>
      </c>
      <c r="D57" s="19">
        <v>452369657</v>
      </c>
      <c r="E57" s="19">
        <v>121228426</v>
      </c>
      <c r="F57" s="19">
        <v>293706812</v>
      </c>
      <c r="G57" s="19">
        <v>65211342</v>
      </c>
      <c r="H57" s="19">
        <v>1952151052</v>
      </c>
      <c r="I57" s="19">
        <v>918661933</v>
      </c>
      <c r="J57" s="19" t="s">
        <v>4</v>
      </c>
      <c r="K57" s="19">
        <v>219249246</v>
      </c>
      <c r="L57" s="19">
        <v>43541128</v>
      </c>
      <c r="M57" s="19" t="s">
        <v>96</v>
      </c>
      <c r="N57" s="19">
        <v>341694204</v>
      </c>
      <c r="O57" s="19">
        <v>1114434275</v>
      </c>
      <c r="P57" s="19">
        <v>1886292989</v>
      </c>
      <c r="Q57" s="19">
        <v>63829452</v>
      </c>
      <c r="R57" s="19">
        <v>348275959</v>
      </c>
      <c r="S57" s="19">
        <v>719416726</v>
      </c>
      <c r="T57" s="19" t="s">
        <v>96</v>
      </c>
      <c r="U57" s="19">
        <v>576885402</v>
      </c>
      <c r="V57" s="19">
        <v>30197738</v>
      </c>
      <c r="W57" s="19">
        <v>101803623</v>
      </c>
      <c r="X57" s="19">
        <v>304635308</v>
      </c>
      <c r="Y57" s="19">
        <v>718282060</v>
      </c>
      <c r="Z57" s="19">
        <v>467736350</v>
      </c>
      <c r="AA57" s="19">
        <v>77899244</v>
      </c>
      <c r="AB57" s="19">
        <v>460825049</v>
      </c>
      <c r="AC57" s="19">
        <v>124595268</v>
      </c>
      <c r="AD57" s="19">
        <v>134945527</v>
      </c>
      <c r="AE57" s="19">
        <v>277701579</v>
      </c>
      <c r="AF57" s="19">
        <v>79062045</v>
      </c>
      <c r="AG57" s="19">
        <v>1459353265</v>
      </c>
      <c r="AH57" s="19">
        <v>1087896936</v>
      </c>
      <c r="AI57" s="19">
        <v>169018492</v>
      </c>
      <c r="AJ57" s="19">
        <v>275746799</v>
      </c>
      <c r="AK57" s="19" t="s">
        <v>89</v>
      </c>
      <c r="AL57" s="19">
        <v>625847273</v>
      </c>
      <c r="AM57" s="19" t="s">
        <v>4</v>
      </c>
      <c r="AN57" s="19">
        <v>271053833</v>
      </c>
      <c r="AO57" s="19">
        <v>671125908</v>
      </c>
      <c r="AP57" s="19">
        <v>297008476</v>
      </c>
      <c r="AQ57" s="19" t="s">
        <v>172</v>
      </c>
      <c r="AR57" s="19">
        <v>128545188</v>
      </c>
      <c r="AS57" s="19">
        <v>1364015925</v>
      </c>
      <c r="AT57" s="19">
        <v>138764830</v>
      </c>
      <c r="AU57" s="19">
        <v>358032514</v>
      </c>
      <c r="AV57" s="19">
        <v>80177639</v>
      </c>
      <c r="AW57" s="19">
        <v>20310590</v>
      </c>
      <c r="AX57" s="19" t="s">
        <v>4</v>
      </c>
      <c r="AY57" s="19">
        <v>193403074</v>
      </c>
      <c r="AZ57" s="19">
        <v>199875379</v>
      </c>
      <c r="BA57" s="19">
        <v>799493926</v>
      </c>
      <c r="BB57" s="19">
        <v>37010771</v>
      </c>
      <c r="BC57" s="19">
        <v>235562803</v>
      </c>
      <c r="BD57" s="19">
        <v>183659001</v>
      </c>
      <c r="BE57" s="19">
        <v>100770236</v>
      </c>
      <c r="BF57" s="19">
        <v>116786453</v>
      </c>
      <c r="BG57" s="19">
        <v>0</v>
      </c>
      <c r="BH57" s="19">
        <v>75444745</v>
      </c>
      <c r="BI57" s="19">
        <v>127463542</v>
      </c>
      <c r="BJ57" s="19">
        <v>130269934</v>
      </c>
      <c r="BK57" s="19">
        <v>181829924</v>
      </c>
      <c r="BL57" s="19">
        <v>366467221</v>
      </c>
      <c r="BM57" s="19">
        <v>194961628</v>
      </c>
      <c r="BN57" s="19">
        <v>29047057</v>
      </c>
      <c r="BO57" s="19">
        <v>241266342</v>
      </c>
      <c r="BP57" s="19">
        <v>56904121</v>
      </c>
      <c r="BQ57" s="19" t="s">
        <v>4</v>
      </c>
      <c r="BR57" s="19">
        <v>66294231</v>
      </c>
      <c r="BS57" s="19">
        <v>94859326</v>
      </c>
      <c r="BT57" s="19">
        <v>40561803</v>
      </c>
      <c r="BU57" s="19">
        <v>267775782</v>
      </c>
      <c r="BV57" s="19">
        <v>137694118</v>
      </c>
      <c r="BW57" s="19">
        <v>89984484</v>
      </c>
      <c r="BX57" s="19">
        <v>575681269</v>
      </c>
      <c r="BY57" s="19">
        <v>805397730</v>
      </c>
      <c r="BZ57" s="19">
        <v>174434006</v>
      </c>
      <c r="CA57" s="19">
        <v>484793779</v>
      </c>
      <c r="CB57" s="19">
        <v>133063030</v>
      </c>
      <c r="CC57" s="19">
        <v>96270228</v>
      </c>
      <c r="CD57" s="19">
        <v>142655643</v>
      </c>
      <c r="CE57" s="19">
        <v>46839503</v>
      </c>
      <c r="CF57" s="19">
        <v>176290404</v>
      </c>
      <c r="CG57" s="19">
        <v>137672472</v>
      </c>
      <c r="CH57" s="19">
        <v>106127508</v>
      </c>
      <c r="CI57" s="19" t="s">
        <v>89</v>
      </c>
      <c r="CJ57" s="19">
        <v>11113840</v>
      </c>
      <c r="CK57" s="19">
        <v>-2521137048</v>
      </c>
      <c r="CL57" s="19">
        <v>107860179</v>
      </c>
      <c r="CM57" s="19">
        <v>456919464</v>
      </c>
      <c r="CN57" s="19">
        <v>156061197</v>
      </c>
      <c r="CO57" s="19">
        <v>132577192</v>
      </c>
      <c r="CP57" s="19">
        <v>2026650127</v>
      </c>
      <c r="CQ57" s="19" t="s">
        <v>96</v>
      </c>
      <c r="CR57" s="19">
        <v>94920820</v>
      </c>
      <c r="CS57" s="19">
        <v>515512796</v>
      </c>
      <c r="CT57" s="19">
        <v>948058709</v>
      </c>
      <c r="CU57" s="19">
        <v>337449458</v>
      </c>
      <c r="CV57" s="19">
        <v>47222642</v>
      </c>
      <c r="CW57" s="19">
        <v>518459711</v>
      </c>
      <c r="CX57" s="19">
        <v>835786817</v>
      </c>
      <c r="CY57" s="19">
        <v>2860442649</v>
      </c>
      <c r="CZ57" s="19">
        <v>558776749</v>
      </c>
      <c r="DA57" s="19">
        <v>168736774</v>
      </c>
      <c r="DB57" s="19">
        <v>204113637</v>
      </c>
      <c r="DC57" s="19">
        <v>207905801</v>
      </c>
      <c r="DD57" s="19">
        <v>107172214</v>
      </c>
      <c r="DE57" s="19">
        <v>351887044</v>
      </c>
      <c r="DF57" s="19">
        <v>51607198</v>
      </c>
      <c r="DG57" s="19">
        <v>970157883</v>
      </c>
      <c r="DH57" s="19">
        <v>166337563</v>
      </c>
      <c r="DI57" s="19">
        <v>291374752</v>
      </c>
      <c r="DJ57" s="19">
        <v>208557504</v>
      </c>
      <c r="DK57" s="19">
        <v>795065804</v>
      </c>
      <c r="DL57" s="19">
        <v>165722941</v>
      </c>
      <c r="DM57" s="19">
        <v>312749154</v>
      </c>
      <c r="DN57" s="19">
        <v>65204616</v>
      </c>
      <c r="DO57" s="19">
        <v>84223797</v>
      </c>
      <c r="DP57" s="19">
        <v>191895093</v>
      </c>
      <c r="DQ57" s="19">
        <v>22889104</v>
      </c>
      <c r="DR57" s="19">
        <v>261055828</v>
      </c>
      <c r="DS57" s="19">
        <v>154782013</v>
      </c>
      <c r="DT57" s="19">
        <v>775767452</v>
      </c>
      <c r="DU57" s="19">
        <v>134093315</v>
      </c>
      <c r="DV57" s="19">
        <v>0</v>
      </c>
      <c r="DW57" s="19">
        <v>85578452</v>
      </c>
      <c r="DX57" s="19">
        <v>644025675</v>
      </c>
      <c r="DY57" s="19">
        <v>389583236</v>
      </c>
      <c r="DZ57" s="19">
        <v>73576731</v>
      </c>
      <c r="EA57" s="19">
        <v>62480122</v>
      </c>
      <c r="EB57" s="19">
        <v>1013480244</v>
      </c>
      <c r="EC57" s="19">
        <v>213214964</v>
      </c>
      <c r="ED57" s="19">
        <v>59653344</v>
      </c>
      <c r="EE57" s="19">
        <v>22129075</v>
      </c>
      <c r="EF57" s="19">
        <v>207424753</v>
      </c>
      <c r="EG57" s="19">
        <v>1354959305</v>
      </c>
      <c r="EH57" s="19">
        <v>35293442</v>
      </c>
      <c r="EI57" s="19">
        <v>411715852</v>
      </c>
      <c r="EJ57" s="19">
        <v>179361432</v>
      </c>
      <c r="EK57" s="19" t="s">
        <v>89</v>
      </c>
      <c r="EL57" s="19">
        <v>305845237</v>
      </c>
      <c r="EM57" s="19">
        <v>35650715</v>
      </c>
      <c r="EN57" s="19">
        <v>1323592803</v>
      </c>
      <c r="EO57" s="19">
        <v>769094792</v>
      </c>
      <c r="EP57" s="19">
        <v>201818629</v>
      </c>
      <c r="EQ57" s="19">
        <v>434909591</v>
      </c>
      <c r="ER57" s="19">
        <v>332112684</v>
      </c>
      <c r="ES57" s="19">
        <v>124136076</v>
      </c>
      <c r="ET57" s="19">
        <v>222664158</v>
      </c>
      <c r="EU57" s="19">
        <v>617832860</v>
      </c>
      <c r="EV57" s="19">
        <v>54353560</v>
      </c>
      <c r="EW57" s="19">
        <v>222893064</v>
      </c>
      <c r="EX57" s="19">
        <v>1491744038</v>
      </c>
      <c r="EY57" s="19">
        <v>892713429</v>
      </c>
      <c r="EZ57" s="19">
        <v>258405845</v>
      </c>
      <c r="FA57" s="19">
        <v>75778783</v>
      </c>
      <c r="FB57" s="19">
        <v>57645212</v>
      </c>
      <c r="FC57" s="19">
        <v>333896921</v>
      </c>
      <c r="FD57" s="19">
        <v>65003318</v>
      </c>
      <c r="FE57" s="19">
        <v>2136105984</v>
      </c>
      <c r="FF57" s="19">
        <v>52012238</v>
      </c>
      <c r="FG57" s="19">
        <v>223232172</v>
      </c>
      <c r="FH57" s="19">
        <v>130361553</v>
      </c>
      <c r="FI57" s="19">
        <v>223021677</v>
      </c>
      <c r="FJ57" s="19">
        <v>196934766</v>
      </c>
      <c r="FK57" s="19">
        <v>265971802</v>
      </c>
      <c r="FL57" s="19">
        <v>17128896</v>
      </c>
      <c r="FM57" s="19">
        <v>47317911</v>
      </c>
      <c r="FN57" s="19">
        <v>127842433</v>
      </c>
      <c r="FO57" s="19">
        <v>34743482</v>
      </c>
      <c r="FP57" s="19">
        <v>35665719</v>
      </c>
      <c r="FQ57" s="19">
        <v>5652420</v>
      </c>
      <c r="FR57" s="19">
        <v>62631761</v>
      </c>
      <c r="FS57" s="19">
        <v>58696950</v>
      </c>
      <c r="FT57" s="19">
        <v>218253625</v>
      </c>
      <c r="FU57" s="19" t="s">
        <v>152</v>
      </c>
      <c r="FV57" s="19">
        <v>375165308</v>
      </c>
      <c r="FW57" s="19">
        <v>191377623</v>
      </c>
      <c r="FX57" s="19">
        <v>20199737</v>
      </c>
      <c r="FY57" s="19">
        <v>716855989</v>
      </c>
      <c r="FZ57" s="19">
        <v>113202976</v>
      </c>
      <c r="GA57" s="19">
        <v>323340538</v>
      </c>
      <c r="GB57" s="19">
        <v>29592872</v>
      </c>
      <c r="GC57" s="19">
        <v>97809044</v>
      </c>
      <c r="GD57" s="19" t="s">
        <v>96</v>
      </c>
      <c r="GE57" s="19">
        <v>70336563</v>
      </c>
      <c r="GF57" s="19">
        <v>21439491</v>
      </c>
      <c r="GG57" s="19">
        <v>379256461</v>
      </c>
      <c r="GH57" s="19">
        <v>78857384</v>
      </c>
      <c r="GI57" s="19">
        <v>84792101</v>
      </c>
      <c r="GJ57" s="19">
        <v>299271226</v>
      </c>
      <c r="GK57" s="19">
        <v>80210473</v>
      </c>
      <c r="GL57" s="19">
        <v>57166101</v>
      </c>
      <c r="GM57" s="19">
        <v>176862311</v>
      </c>
      <c r="GN57" s="19">
        <v>213636865</v>
      </c>
      <c r="GO57" s="19">
        <v>994130219</v>
      </c>
      <c r="GP57" s="19">
        <v>766765388</v>
      </c>
      <c r="GQ57" s="19">
        <v>151555618</v>
      </c>
      <c r="GR57" s="19">
        <v>92405226</v>
      </c>
      <c r="GS57" s="19">
        <v>18857073</v>
      </c>
      <c r="GT57" s="19">
        <v>84792101</v>
      </c>
      <c r="GU57" s="19">
        <v>95317268</v>
      </c>
      <c r="GV57" s="19" t="s">
        <v>89</v>
      </c>
      <c r="GW57" s="19">
        <v>478495012</v>
      </c>
      <c r="GX57" s="19">
        <v>212795210</v>
      </c>
      <c r="GY57" s="19">
        <v>878534628</v>
      </c>
      <c r="GZ57" s="19">
        <v>176680589</v>
      </c>
      <c r="HA57" s="19">
        <v>537172179</v>
      </c>
      <c r="HB57" s="19">
        <v>208016967</v>
      </c>
      <c r="HC57" s="19">
        <v>57892390</v>
      </c>
      <c r="HD57" s="19" t="s">
        <v>89</v>
      </c>
      <c r="HE57" s="19">
        <v>174387133</v>
      </c>
      <c r="HF57" s="19">
        <v>167234056</v>
      </c>
      <c r="HG57" s="19">
        <v>38761671</v>
      </c>
      <c r="HH57" s="19">
        <v>109005029</v>
      </c>
      <c r="HI57" s="19">
        <v>73848546</v>
      </c>
      <c r="HJ57" s="19">
        <v>74517714</v>
      </c>
      <c r="HK57" s="19">
        <v>307457280</v>
      </c>
      <c r="HL57" s="19">
        <v>369850802</v>
      </c>
      <c r="HM57" s="19">
        <v>338541192</v>
      </c>
      <c r="HN57" s="19">
        <v>27506207</v>
      </c>
      <c r="HO57" s="19">
        <v>199079229</v>
      </c>
      <c r="HP57" s="19" t="s">
        <v>89</v>
      </c>
    </row>
    <row r="58" spans="1:224">
      <c r="A58" s="9" t="s">
        <v>92</v>
      </c>
      <c r="B58" s="10" t="s">
        <v>87</v>
      </c>
      <c r="C58" s="19">
        <v>-110058201</v>
      </c>
      <c r="D58" s="19">
        <v>-230836598</v>
      </c>
      <c r="E58" s="19">
        <v>37697385</v>
      </c>
      <c r="F58" s="19">
        <v>-34973322</v>
      </c>
      <c r="G58" s="19">
        <v>30307795</v>
      </c>
      <c r="H58" s="19">
        <v>-198420905</v>
      </c>
      <c r="I58" s="19">
        <v>29098825</v>
      </c>
      <c r="J58" s="19" t="s">
        <v>4</v>
      </c>
      <c r="K58" s="19">
        <v>-760287698</v>
      </c>
      <c r="L58" s="19">
        <v>18064120</v>
      </c>
      <c r="M58" s="19" t="s">
        <v>96</v>
      </c>
      <c r="N58" s="19">
        <v>-363721581</v>
      </c>
      <c r="O58" s="19">
        <v>56874225</v>
      </c>
      <c r="P58" s="19">
        <v>-35059582</v>
      </c>
      <c r="Q58" s="19">
        <v>-21869706</v>
      </c>
      <c r="R58" s="19">
        <v>-88650313</v>
      </c>
      <c r="S58" s="19">
        <v>583113119</v>
      </c>
      <c r="T58" s="19" t="s">
        <v>96</v>
      </c>
      <c r="U58" s="19">
        <v>50845594</v>
      </c>
      <c r="V58" s="19">
        <v>-58653688</v>
      </c>
      <c r="W58" s="19">
        <v>54014241</v>
      </c>
      <c r="X58" s="19">
        <v>484196619</v>
      </c>
      <c r="Y58" s="19">
        <v>-389084913</v>
      </c>
      <c r="Z58" s="19">
        <v>67742094</v>
      </c>
      <c r="AA58" s="19">
        <v>63954321</v>
      </c>
      <c r="AB58" s="19">
        <v>-55326764</v>
      </c>
      <c r="AC58" s="19">
        <v>-160532094</v>
      </c>
      <c r="AD58" s="19">
        <v>63173390</v>
      </c>
      <c r="AE58" s="19">
        <v>-40456036</v>
      </c>
      <c r="AF58" s="19">
        <v>-47896475</v>
      </c>
      <c r="AG58" s="19">
        <v>46851241</v>
      </c>
      <c r="AH58" s="19">
        <v>-402171322</v>
      </c>
      <c r="AI58" s="19">
        <v>-203674245</v>
      </c>
      <c r="AJ58" s="19">
        <v>943209</v>
      </c>
      <c r="AK58" s="19" t="s">
        <v>89</v>
      </c>
      <c r="AL58" s="19">
        <v>41561309</v>
      </c>
      <c r="AM58" s="19" t="s">
        <v>4</v>
      </c>
      <c r="AN58" s="19">
        <v>-8142224</v>
      </c>
      <c r="AO58" s="19">
        <v>-372607550</v>
      </c>
      <c r="AP58" s="19">
        <v>34720921</v>
      </c>
      <c r="AQ58" s="19" t="s">
        <v>172</v>
      </c>
      <c r="AR58" s="19">
        <v>-47122936</v>
      </c>
      <c r="AS58" s="19">
        <v>-478368727</v>
      </c>
      <c r="AT58" s="19">
        <v>83334805</v>
      </c>
      <c r="AU58" s="19">
        <v>-175101272</v>
      </c>
      <c r="AV58" s="19">
        <v>43386116</v>
      </c>
      <c r="AW58" s="19">
        <v>-46569411</v>
      </c>
      <c r="AX58" s="19" t="s">
        <v>4</v>
      </c>
      <c r="AY58" s="19">
        <v>-33472007</v>
      </c>
      <c r="AZ58" s="19">
        <v>-6178843</v>
      </c>
      <c r="BA58" s="19">
        <v>-524470792</v>
      </c>
      <c r="BB58" s="19">
        <v>-76672659</v>
      </c>
      <c r="BC58" s="19">
        <v>94950591</v>
      </c>
      <c r="BD58" s="19">
        <v>7133769</v>
      </c>
      <c r="BE58" s="19">
        <v>-45994440</v>
      </c>
      <c r="BF58" s="19">
        <v>-47107210</v>
      </c>
      <c r="BG58" s="19">
        <v>-444229732</v>
      </c>
      <c r="BH58" s="19">
        <v>-21947639</v>
      </c>
      <c r="BI58" s="19">
        <v>95302664</v>
      </c>
      <c r="BJ58" s="19">
        <v>7656752</v>
      </c>
      <c r="BK58" s="19">
        <v>22144506</v>
      </c>
      <c r="BL58" s="19">
        <v>16074851</v>
      </c>
      <c r="BM58" s="19">
        <v>-8329959</v>
      </c>
      <c r="BN58" s="19">
        <v>81483175</v>
      </c>
      <c r="BO58" s="19">
        <v>1805344</v>
      </c>
      <c r="BP58" s="19">
        <v>-2445804</v>
      </c>
      <c r="BQ58" s="19" t="s">
        <v>4</v>
      </c>
      <c r="BR58" s="19">
        <v>409989151</v>
      </c>
      <c r="BS58" s="19">
        <v>-39398571</v>
      </c>
      <c r="BT58" s="19">
        <v>-29375517</v>
      </c>
      <c r="BU58" s="19">
        <v>-445806073</v>
      </c>
      <c r="BV58" s="19">
        <v>-11684530</v>
      </c>
      <c r="BW58" s="19">
        <v>-43426187</v>
      </c>
      <c r="BX58" s="19">
        <v>2992713</v>
      </c>
      <c r="BY58" s="19">
        <v>-460710057</v>
      </c>
      <c r="BZ58" s="19">
        <v>476837144</v>
      </c>
      <c r="CA58" s="19">
        <v>14493844</v>
      </c>
      <c r="CB58" s="19">
        <v>56731998</v>
      </c>
      <c r="CC58" s="19">
        <v>-39160659</v>
      </c>
      <c r="CD58" s="19">
        <v>-334854374</v>
      </c>
      <c r="CE58" s="19">
        <v>-74526591</v>
      </c>
      <c r="CF58" s="19">
        <v>-547449833</v>
      </c>
      <c r="CG58" s="19">
        <v>-178633730</v>
      </c>
      <c r="CH58" s="19">
        <v>-80193694</v>
      </c>
      <c r="CI58" s="19" t="s">
        <v>89</v>
      </c>
      <c r="CJ58" s="19">
        <v>1727346</v>
      </c>
      <c r="CK58" s="19">
        <v>36436980</v>
      </c>
      <c r="CL58" s="19">
        <v>-70623348</v>
      </c>
      <c r="CM58" s="19">
        <v>33049562</v>
      </c>
      <c r="CN58" s="19">
        <v>7124417</v>
      </c>
      <c r="CO58" s="19">
        <v>-98568084</v>
      </c>
      <c r="CP58" s="19">
        <v>12285336</v>
      </c>
      <c r="CQ58" s="19" t="s">
        <v>96</v>
      </c>
      <c r="CR58" s="19">
        <v>68659778</v>
      </c>
      <c r="CS58" s="19">
        <v>-485856270</v>
      </c>
      <c r="CT58" s="19">
        <v>-805797134</v>
      </c>
      <c r="CU58" s="19">
        <v>-106425148</v>
      </c>
      <c r="CV58" s="19">
        <v>4896165</v>
      </c>
      <c r="CW58" s="19">
        <v>17922005</v>
      </c>
      <c r="CX58" s="19">
        <v>-913583081</v>
      </c>
      <c r="CY58" s="19">
        <v>-99663728</v>
      </c>
      <c r="CZ58" s="19">
        <v>13462530</v>
      </c>
      <c r="DA58" s="19">
        <v>13901726</v>
      </c>
      <c r="DB58" s="19">
        <v>59110326</v>
      </c>
      <c r="DC58" s="19">
        <v>-157606861</v>
      </c>
      <c r="DD58" s="19">
        <v>-23201167</v>
      </c>
      <c r="DE58" s="19">
        <v>12222018</v>
      </c>
      <c r="DF58" s="19">
        <v>6392794</v>
      </c>
      <c r="DG58" s="19">
        <v>-91356214</v>
      </c>
      <c r="DH58" s="19">
        <v>14237374</v>
      </c>
      <c r="DI58" s="19">
        <v>188981531</v>
      </c>
      <c r="DJ58" s="19">
        <v>4930262</v>
      </c>
      <c r="DK58" s="19">
        <v>149576824</v>
      </c>
      <c r="DL58" s="19">
        <v>42643969</v>
      </c>
      <c r="DM58" s="19">
        <v>3325690</v>
      </c>
      <c r="DN58" s="19">
        <v>-72158178</v>
      </c>
      <c r="DO58" s="19">
        <v>-41196824</v>
      </c>
      <c r="DP58" s="19">
        <v>14262545</v>
      </c>
      <c r="DQ58" s="19">
        <v>14420243</v>
      </c>
      <c r="DR58" s="19">
        <v>-149916986</v>
      </c>
      <c r="DS58" s="19">
        <v>-79240343</v>
      </c>
      <c r="DT58" s="19">
        <v>-3605985</v>
      </c>
      <c r="DU58" s="19">
        <v>11629123</v>
      </c>
      <c r="DV58" s="19">
        <v>-131399954</v>
      </c>
      <c r="DW58" s="19">
        <v>188214195</v>
      </c>
      <c r="DX58" s="19">
        <v>38311993</v>
      </c>
      <c r="DY58" s="19">
        <v>25494544</v>
      </c>
      <c r="DZ58" s="19">
        <v>-26021126</v>
      </c>
      <c r="EA58" s="19">
        <v>12866489</v>
      </c>
      <c r="EB58" s="19">
        <v>-297783696</v>
      </c>
      <c r="EC58" s="19">
        <v>32715841</v>
      </c>
      <c r="ED58" s="19">
        <v>-93467352</v>
      </c>
      <c r="EE58" s="19">
        <v>-16434728</v>
      </c>
      <c r="EF58" s="19">
        <v>110748827</v>
      </c>
      <c r="EG58" s="19">
        <v>-2781131234</v>
      </c>
      <c r="EH58" s="19">
        <v>-42179378</v>
      </c>
      <c r="EI58" s="19">
        <v>-65216088</v>
      </c>
      <c r="EJ58" s="19">
        <v>-295860968</v>
      </c>
      <c r="EK58" s="19" t="s">
        <v>89</v>
      </c>
      <c r="EL58" s="19">
        <v>-139710701</v>
      </c>
      <c r="EM58" s="19">
        <v>170761774</v>
      </c>
      <c r="EN58" s="19">
        <v>-200138129</v>
      </c>
      <c r="EO58" s="19">
        <v>17992624</v>
      </c>
      <c r="EP58" s="19">
        <v>-193623810</v>
      </c>
      <c r="EQ58" s="19">
        <v>216253868</v>
      </c>
      <c r="ER58" s="19">
        <v>-108365669</v>
      </c>
      <c r="ES58" s="19">
        <v>30616197</v>
      </c>
      <c r="ET58" s="19">
        <v>-267670326</v>
      </c>
      <c r="EU58" s="19">
        <v>-255006150</v>
      </c>
      <c r="EV58" s="19">
        <v>46939600</v>
      </c>
      <c r="EW58" s="19">
        <v>7301468</v>
      </c>
      <c r="EX58" s="19">
        <v>4142885</v>
      </c>
      <c r="EY58" s="19">
        <v>36817839</v>
      </c>
      <c r="EZ58" s="19">
        <v>52904010</v>
      </c>
      <c r="FA58" s="19">
        <v>-218407396</v>
      </c>
      <c r="FB58" s="19">
        <v>-26318273</v>
      </c>
      <c r="FC58" s="19">
        <v>-15875441</v>
      </c>
      <c r="FD58" s="19">
        <v>-325408</v>
      </c>
      <c r="FE58" s="19">
        <v>266246341</v>
      </c>
      <c r="FF58" s="19">
        <v>-21276771</v>
      </c>
      <c r="FG58" s="19">
        <v>-473955629</v>
      </c>
      <c r="FH58" s="19">
        <v>-123237541</v>
      </c>
      <c r="FI58" s="19">
        <v>-29490680</v>
      </c>
      <c r="FJ58" s="19">
        <v>35906063</v>
      </c>
      <c r="FK58" s="19">
        <v>-193403400</v>
      </c>
      <c r="FL58" s="19">
        <v>-62895050</v>
      </c>
      <c r="FM58" s="19">
        <v>-41683799</v>
      </c>
      <c r="FN58" s="19">
        <v>-386956362</v>
      </c>
      <c r="FO58" s="19">
        <v>-20790755</v>
      </c>
      <c r="FP58" s="19">
        <v>-73191097</v>
      </c>
      <c r="FQ58" s="19">
        <v>-32761358</v>
      </c>
      <c r="FR58" s="19">
        <v>-22013282</v>
      </c>
      <c r="FS58" s="19">
        <v>-51549126</v>
      </c>
      <c r="FT58" s="19">
        <v>-205529611</v>
      </c>
      <c r="FU58" s="19" t="s">
        <v>152</v>
      </c>
      <c r="FV58" s="19">
        <v>179403157</v>
      </c>
      <c r="FW58" s="19">
        <v>8630035</v>
      </c>
      <c r="FX58" s="19">
        <v>-81645684</v>
      </c>
      <c r="FY58" s="19">
        <v>-366461018</v>
      </c>
      <c r="FZ58" s="19">
        <v>-265463678</v>
      </c>
      <c r="GA58" s="19">
        <v>-34195286</v>
      </c>
      <c r="GB58" s="19">
        <v>-34536525</v>
      </c>
      <c r="GC58" s="19">
        <v>4918816</v>
      </c>
      <c r="GD58" s="19" t="s">
        <v>96</v>
      </c>
      <c r="GE58" s="19">
        <v>-85455607</v>
      </c>
      <c r="GF58" s="19">
        <v>-2196611</v>
      </c>
      <c r="GG58" s="19">
        <v>-738285046</v>
      </c>
      <c r="GH58" s="19">
        <v>-77509758</v>
      </c>
      <c r="GI58" s="19">
        <v>714808</v>
      </c>
      <c r="GJ58" s="19">
        <v>-34921527</v>
      </c>
      <c r="GK58" s="19">
        <v>-106308958</v>
      </c>
      <c r="GL58" s="19">
        <v>6278436</v>
      </c>
      <c r="GM58" s="19">
        <v>-21167804</v>
      </c>
      <c r="GN58" s="19">
        <v>11635601</v>
      </c>
      <c r="GO58" s="19">
        <v>-1111895947</v>
      </c>
      <c r="GP58" s="19">
        <v>482058553</v>
      </c>
      <c r="GQ58" s="19">
        <v>-240503243</v>
      </c>
      <c r="GR58" s="19">
        <v>-341299009</v>
      </c>
      <c r="GS58" s="19">
        <v>28491356</v>
      </c>
      <c r="GT58" s="19">
        <v>714808</v>
      </c>
      <c r="GU58" s="19">
        <v>-216220098</v>
      </c>
      <c r="GV58" s="19" t="s">
        <v>89</v>
      </c>
      <c r="GW58" s="19">
        <v>-565808019</v>
      </c>
      <c r="GX58" s="19">
        <v>-20411074</v>
      </c>
      <c r="GY58" s="19">
        <v>-1535366647</v>
      </c>
      <c r="GZ58" s="19">
        <v>22627236</v>
      </c>
      <c r="HA58" s="19">
        <v>-462099886</v>
      </c>
      <c r="HB58" s="19">
        <v>-185357113</v>
      </c>
      <c r="HC58" s="19">
        <v>-115287525</v>
      </c>
      <c r="HD58" s="19" t="s">
        <v>89</v>
      </c>
      <c r="HE58" s="19">
        <v>-182734599</v>
      </c>
      <c r="HF58" s="19">
        <v>-20163146</v>
      </c>
      <c r="HG58" s="19">
        <v>18986372</v>
      </c>
      <c r="HH58" s="19">
        <v>8629520</v>
      </c>
      <c r="HI58" s="19">
        <v>23042184</v>
      </c>
      <c r="HJ58" s="19">
        <v>60640487</v>
      </c>
      <c r="HK58" s="19">
        <v>-747177423</v>
      </c>
      <c r="HL58" s="19">
        <v>64302004</v>
      </c>
      <c r="HM58" s="19">
        <v>-21968400</v>
      </c>
      <c r="HN58" s="19">
        <v>-91975215</v>
      </c>
      <c r="HO58" s="19">
        <v>185177234</v>
      </c>
      <c r="HP58" s="19" t="s">
        <v>89</v>
      </c>
    </row>
    <row r="59" spans="1:224">
      <c r="A59" s="9" t="s">
        <v>92</v>
      </c>
      <c r="B59" s="10" t="s">
        <v>16</v>
      </c>
      <c r="C59" s="19">
        <v>192237103</v>
      </c>
      <c r="D59" s="19">
        <v>315691133</v>
      </c>
      <c r="E59" s="19">
        <v>99551843</v>
      </c>
      <c r="F59" s="19">
        <v>151577581</v>
      </c>
      <c r="G59" s="19">
        <v>2393339</v>
      </c>
      <c r="H59" s="19">
        <v>304158688</v>
      </c>
      <c r="I59" s="19">
        <v>364367154</v>
      </c>
      <c r="J59" s="19" t="s">
        <v>4</v>
      </c>
      <c r="K59" s="19">
        <v>988668491</v>
      </c>
      <c r="L59" s="19">
        <v>12393039</v>
      </c>
      <c r="M59" s="19" t="s">
        <v>96</v>
      </c>
      <c r="N59" s="19">
        <v>346769269</v>
      </c>
      <c r="O59" s="19">
        <v>79477887</v>
      </c>
      <c r="P59" s="19">
        <v>198516501</v>
      </c>
      <c r="Q59" s="19">
        <v>34111405</v>
      </c>
      <c r="R59" s="19">
        <v>79205332</v>
      </c>
      <c r="S59" s="19">
        <v>258465510</v>
      </c>
      <c r="T59" s="19" t="s">
        <v>96</v>
      </c>
      <c r="U59" s="19">
        <v>115516050</v>
      </c>
      <c r="V59" s="19">
        <v>9213018</v>
      </c>
      <c r="W59" s="19">
        <v>118874961</v>
      </c>
      <c r="X59" s="19">
        <v>173622337</v>
      </c>
      <c r="Y59" s="19">
        <v>412753932</v>
      </c>
      <c r="Z59" s="19">
        <v>6734103</v>
      </c>
      <c r="AA59" s="19">
        <v>122503065</v>
      </c>
      <c r="AB59" s="19">
        <v>85197588</v>
      </c>
      <c r="AC59" s="19">
        <v>160764279</v>
      </c>
      <c r="AD59" s="19">
        <v>3891307</v>
      </c>
      <c r="AE59" s="19">
        <v>152495985</v>
      </c>
      <c r="AF59" s="19">
        <v>216303037</v>
      </c>
      <c r="AG59" s="19">
        <v>35191808</v>
      </c>
      <c r="AH59" s="19">
        <v>967154416</v>
      </c>
      <c r="AI59" s="19">
        <v>149877000</v>
      </c>
      <c r="AJ59" s="19">
        <v>73194572</v>
      </c>
      <c r="AK59" s="19" t="s">
        <v>89</v>
      </c>
      <c r="AL59" s="19">
        <v>24506696</v>
      </c>
      <c r="AM59" s="19" t="s">
        <v>4</v>
      </c>
      <c r="AN59" s="19">
        <v>62482323</v>
      </c>
      <c r="AO59" s="19">
        <v>165656194</v>
      </c>
      <c r="AP59" s="19">
        <v>50564413</v>
      </c>
      <c r="AQ59" s="19" t="s">
        <v>172</v>
      </c>
      <c r="AR59" s="19">
        <v>73022854</v>
      </c>
      <c r="AS59" s="19">
        <v>515545820</v>
      </c>
      <c r="AT59" s="19">
        <v>28644625</v>
      </c>
      <c r="AU59" s="19">
        <v>50935475</v>
      </c>
      <c r="AV59" s="19">
        <v>72643939</v>
      </c>
      <c r="AW59" s="19">
        <v>66955573</v>
      </c>
      <c r="AX59" s="19" t="s">
        <v>4</v>
      </c>
      <c r="AY59" s="19">
        <v>118706084</v>
      </c>
      <c r="AZ59" s="19">
        <v>11016588</v>
      </c>
      <c r="BA59" s="19">
        <v>501712317</v>
      </c>
      <c r="BB59" s="19">
        <v>70225074</v>
      </c>
      <c r="BC59" s="19">
        <v>6874314</v>
      </c>
      <c r="BD59" s="19">
        <v>106729873</v>
      </c>
      <c r="BE59" s="19">
        <v>58679071</v>
      </c>
      <c r="BF59" s="19">
        <v>106939024</v>
      </c>
      <c r="BG59" s="19">
        <v>52753287</v>
      </c>
      <c r="BH59" s="19">
        <v>38670207</v>
      </c>
      <c r="BI59" s="19">
        <v>54582404</v>
      </c>
      <c r="BJ59" s="19">
        <v>27690315</v>
      </c>
      <c r="BK59" s="19">
        <v>5923797</v>
      </c>
      <c r="BL59" s="19">
        <v>8186415</v>
      </c>
      <c r="BM59" s="19">
        <v>383161193</v>
      </c>
      <c r="BN59" s="19">
        <v>14996806</v>
      </c>
      <c r="BO59" s="19">
        <v>20738304</v>
      </c>
      <c r="BP59" s="19">
        <v>5004062</v>
      </c>
      <c r="BQ59" s="19" t="s">
        <v>4</v>
      </c>
      <c r="BR59" s="19">
        <v>225390365</v>
      </c>
      <c r="BS59" s="19">
        <v>44973634</v>
      </c>
      <c r="BT59" s="19">
        <v>22174622</v>
      </c>
      <c r="BU59" s="19">
        <v>459148819</v>
      </c>
      <c r="BV59" s="19">
        <v>64015807</v>
      </c>
      <c r="BW59" s="19">
        <v>55319057</v>
      </c>
      <c r="BX59" s="19">
        <v>2524653</v>
      </c>
      <c r="BY59" s="19">
        <v>104005129</v>
      </c>
      <c r="BZ59" s="19">
        <v>35911345</v>
      </c>
      <c r="CA59" s="19">
        <v>14663451</v>
      </c>
      <c r="CB59" s="19">
        <v>5047971</v>
      </c>
      <c r="CC59" s="19">
        <v>57567106</v>
      </c>
      <c r="CD59" s="19">
        <v>455075185</v>
      </c>
      <c r="CE59" s="19">
        <v>73525348</v>
      </c>
      <c r="CF59" s="19">
        <v>61114373</v>
      </c>
      <c r="CG59" s="19">
        <v>192831450</v>
      </c>
      <c r="CH59" s="19">
        <v>98105141</v>
      </c>
      <c r="CI59" s="19" t="s">
        <v>89</v>
      </c>
      <c r="CJ59" s="19">
        <v>18533321</v>
      </c>
      <c r="CK59" s="19">
        <v>100745586</v>
      </c>
      <c r="CL59" s="19">
        <v>53576773</v>
      </c>
      <c r="CM59" s="19">
        <v>239848409</v>
      </c>
      <c r="CN59" s="19">
        <v>1630279</v>
      </c>
      <c r="CO59" s="19">
        <v>101498619</v>
      </c>
      <c r="CP59" s="19">
        <v>39043150</v>
      </c>
      <c r="CQ59" s="19" t="s">
        <v>96</v>
      </c>
      <c r="CR59" s="19">
        <v>32212139</v>
      </c>
      <c r="CS59" s="19">
        <v>790915264</v>
      </c>
      <c r="CT59" s="19">
        <v>186616550</v>
      </c>
      <c r="CU59" s="19">
        <v>116038160</v>
      </c>
      <c r="CV59" s="19">
        <v>5287668</v>
      </c>
      <c r="CW59" s="19">
        <v>108325925</v>
      </c>
      <c r="CX59" s="19">
        <v>30546601</v>
      </c>
      <c r="CY59" s="19">
        <v>915604560</v>
      </c>
      <c r="CZ59" s="19">
        <v>98225633</v>
      </c>
      <c r="DA59" s="19">
        <v>5712408</v>
      </c>
      <c r="DB59" s="19">
        <v>31697676</v>
      </c>
      <c r="DC59" s="19">
        <v>99701396</v>
      </c>
      <c r="DD59" s="19">
        <v>44436142</v>
      </c>
      <c r="DE59" s="19">
        <v>850410</v>
      </c>
      <c r="DF59" s="19">
        <v>116761</v>
      </c>
      <c r="DG59" s="19">
        <v>98118186</v>
      </c>
      <c r="DH59" s="19">
        <v>59044078</v>
      </c>
      <c r="DI59" s="19">
        <v>74682193</v>
      </c>
      <c r="DJ59" s="19">
        <v>62634866</v>
      </c>
      <c r="DK59" s="19">
        <v>42761225</v>
      </c>
      <c r="DL59" s="19">
        <v>66836458</v>
      </c>
      <c r="DM59" s="19">
        <v>22628686</v>
      </c>
      <c r="DN59" s="19">
        <v>79994096</v>
      </c>
      <c r="DO59" s="19">
        <v>64679338</v>
      </c>
      <c r="DP59" s="19">
        <v>41374529</v>
      </c>
      <c r="DQ59" s="19">
        <v>9951726</v>
      </c>
      <c r="DR59" s="19">
        <v>193045033</v>
      </c>
      <c r="DS59" s="19">
        <v>113500581</v>
      </c>
      <c r="DT59" s="19">
        <v>239107897</v>
      </c>
      <c r="DU59" s="19">
        <v>89354</v>
      </c>
      <c r="DV59" s="19">
        <v>4669527</v>
      </c>
      <c r="DW59" s="19">
        <v>61832766</v>
      </c>
      <c r="DX59" s="19">
        <v>168854430</v>
      </c>
      <c r="DY59" s="19">
        <v>8241034</v>
      </c>
      <c r="DZ59" s="19">
        <v>61573886</v>
      </c>
      <c r="EA59" s="19">
        <v>0</v>
      </c>
      <c r="EB59" s="19">
        <v>421048444</v>
      </c>
      <c r="EC59" s="19">
        <v>7431041</v>
      </c>
      <c r="ED59" s="19">
        <v>31380075</v>
      </c>
      <c r="EE59" s="19">
        <v>35703545</v>
      </c>
      <c r="EF59" s="19">
        <v>47565197</v>
      </c>
      <c r="EG59" s="19">
        <v>88050160</v>
      </c>
      <c r="EH59" s="19">
        <v>7014204</v>
      </c>
      <c r="EI59" s="19">
        <v>692712</v>
      </c>
      <c r="EJ59" s="19">
        <v>262501813</v>
      </c>
      <c r="EK59" s="19" t="s">
        <v>89</v>
      </c>
      <c r="EL59" s="19">
        <v>305071407</v>
      </c>
      <c r="EM59" s="19">
        <v>55594527</v>
      </c>
      <c r="EN59" s="19">
        <v>216104945</v>
      </c>
      <c r="EO59" s="19">
        <v>78779160</v>
      </c>
      <c r="EP59" s="19">
        <v>218007930</v>
      </c>
      <c r="EQ59" s="19">
        <v>6668635</v>
      </c>
      <c r="ER59" s="19">
        <v>190057781</v>
      </c>
      <c r="ES59" s="19">
        <v>29387136</v>
      </c>
      <c r="ET59" s="19">
        <v>221889289</v>
      </c>
      <c r="EU59" s="19">
        <v>1199497</v>
      </c>
      <c r="EV59" s="19">
        <v>184182</v>
      </c>
      <c r="EW59" s="19">
        <v>250242</v>
      </c>
      <c r="EX59" s="19">
        <v>15486596</v>
      </c>
      <c r="EY59" s="19">
        <v>89881812</v>
      </c>
      <c r="EZ59" s="19">
        <v>21244051</v>
      </c>
      <c r="FA59" s="19">
        <v>105077</v>
      </c>
      <c r="FB59" s="19">
        <v>44381950</v>
      </c>
      <c r="FC59" s="19">
        <v>33137362</v>
      </c>
      <c r="FD59" s="19">
        <v>42335797</v>
      </c>
      <c r="FE59" s="19">
        <v>44284391</v>
      </c>
      <c r="FF59" s="19">
        <v>6974292</v>
      </c>
      <c r="FG59" s="19">
        <v>695722923</v>
      </c>
      <c r="FH59" s="19">
        <v>96316544</v>
      </c>
      <c r="FI59" s="19">
        <v>84535042</v>
      </c>
      <c r="FJ59" s="19">
        <v>15681129</v>
      </c>
      <c r="FK59" s="19">
        <v>207722980</v>
      </c>
      <c r="FL59" s="19">
        <v>72750423</v>
      </c>
      <c r="FM59" s="19">
        <v>33901641</v>
      </c>
      <c r="FN59" s="19">
        <v>49938276</v>
      </c>
      <c r="FO59" s="19">
        <v>315498</v>
      </c>
      <c r="FP59" s="19">
        <v>56220029</v>
      </c>
      <c r="FQ59" s="19">
        <v>4022777</v>
      </c>
      <c r="FR59" s="19">
        <v>32744253</v>
      </c>
      <c r="FS59" s="19">
        <v>39514614</v>
      </c>
      <c r="FT59" s="19">
        <v>594107154</v>
      </c>
      <c r="FU59" s="19" t="s">
        <v>152</v>
      </c>
      <c r="FV59" s="19">
        <v>122550256</v>
      </c>
      <c r="FW59" s="19">
        <v>14877514</v>
      </c>
      <c r="FX59" s="19">
        <v>27213524</v>
      </c>
      <c r="FY59" s="19">
        <v>73437304</v>
      </c>
      <c r="FZ59" s="19">
        <v>113231359</v>
      </c>
      <c r="GA59" s="19">
        <v>138721637</v>
      </c>
      <c r="GB59" s="19">
        <v>24274406</v>
      </c>
      <c r="GC59" s="19">
        <v>20976609</v>
      </c>
      <c r="GD59" s="19" t="s">
        <v>96</v>
      </c>
      <c r="GE59" s="19">
        <v>46667561</v>
      </c>
      <c r="GF59" s="19">
        <v>16250254</v>
      </c>
      <c r="GG59" s="19">
        <v>904265157</v>
      </c>
      <c r="GH59" s="19">
        <v>41130554</v>
      </c>
      <c r="GI59" s="19">
        <v>8507153</v>
      </c>
      <c r="GJ59" s="19">
        <v>127381040</v>
      </c>
      <c r="GK59" s="19">
        <v>56297225</v>
      </c>
      <c r="GL59" s="19">
        <v>24886</v>
      </c>
      <c r="GM59" s="19">
        <v>15582617</v>
      </c>
      <c r="GN59" s="19">
        <v>12577964</v>
      </c>
      <c r="GO59" s="19">
        <v>23023190</v>
      </c>
      <c r="GP59" s="19">
        <v>20848457</v>
      </c>
      <c r="GQ59" s="19">
        <v>204961102</v>
      </c>
      <c r="GR59" s="19">
        <v>394136736</v>
      </c>
      <c r="GS59" s="19">
        <v>14230769</v>
      </c>
      <c r="GT59" s="19">
        <v>8507153</v>
      </c>
      <c r="GU59" s="19">
        <v>197532019</v>
      </c>
      <c r="GV59" s="19" t="s">
        <v>89</v>
      </c>
      <c r="GW59" s="19">
        <v>9039137</v>
      </c>
      <c r="GX59" s="19">
        <v>64506335</v>
      </c>
      <c r="GY59" s="19">
        <v>1281053309</v>
      </c>
      <c r="GZ59" s="19">
        <v>29856942</v>
      </c>
      <c r="HA59" s="19">
        <v>60826825</v>
      </c>
      <c r="HB59" s="19">
        <v>303981698</v>
      </c>
      <c r="HC59" s="19">
        <v>37470706</v>
      </c>
      <c r="HD59" s="19" t="s">
        <v>89</v>
      </c>
      <c r="HE59" s="19">
        <v>136338070</v>
      </c>
      <c r="HF59" s="19">
        <v>38836283</v>
      </c>
      <c r="HG59" s="19">
        <v>22200022</v>
      </c>
      <c r="HH59" s="19">
        <v>1029154</v>
      </c>
      <c r="HI59" s="19">
        <v>60652</v>
      </c>
      <c r="HJ59" s="19">
        <v>1738157</v>
      </c>
      <c r="HK59" s="19">
        <v>106182057</v>
      </c>
      <c r="HL59" s="19">
        <v>15489507</v>
      </c>
      <c r="HM59" s="19">
        <v>34848659</v>
      </c>
      <c r="HN59" s="19">
        <v>206007</v>
      </c>
      <c r="HO59" s="19">
        <v>30400112</v>
      </c>
      <c r="HP59" s="19" t="s">
        <v>89</v>
      </c>
    </row>
    <row r="60" spans="1:224">
      <c r="A60" s="9" t="s">
        <v>92</v>
      </c>
      <c r="B60" s="15" t="s">
        <v>148</v>
      </c>
      <c r="C60" s="19">
        <v>79982</v>
      </c>
      <c r="D60" s="19">
        <v>313617</v>
      </c>
      <c r="E60" s="19">
        <v>75285</v>
      </c>
      <c r="F60" s="19">
        <v>208903</v>
      </c>
      <c r="G60" s="19">
        <v>743099</v>
      </c>
      <c r="H60" s="19">
        <v>887361</v>
      </c>
      <c r="I60" s="19">
        <v>318570</v>
      </c>
      <c r="J60" s="19" t="s">
        <v>4</v>
      </c>
      <c r="K60" s="19">
        <v>226847</v>
      </c>
      <c r="L60" s="19">
        <v>101903</v>
      </c>
      <c r="M60" s="19" t="s">
        <v>96</v>
      </c>
      <c r="N60" s="19">
        <v>109452</v>
      </c>
      <c r="O60" s="19">
        <v>749724</v>
      </c>
      <c r="P60" s="19">
        <v>1633912</v>
      </c>
      <c r="Q60" s="19">
        <v>142003</v>
      </c>
      <c r="R60" s="19">
        <v>183477</v>
      </c>
      <c r="S60" s="19">
        <v>2823377</v>
      </c>
      <c r="T60" s="19" t="s">
        <v>96</v>
      </c>
      <c r="U60" s="19">
        <v>2238275</v>
      </c>
      <c r="V60" s="19">
        <v>1020</v>
      </c>
      <c r="W60" s="19">
        <v>239493</v>
      </c>
      <c r="X60" s="19">
        <v>2454410</v>
      </c>
      <c r="Y60" s="19">
        <v>330250</v>
      </c>
      <c r="Z60" s="19">
        <v>25393</v>
      </c>
      <c r="AA60" s="19">
        <v>16607316</v>
      </c>
      <c r="AB60" s="19">
        <v>3614535</v>
      </c>
      <c r="AC60" s="19">
        <v>103667</v>
      </c>
      <c r="AD60" s="19">
        <v>278689</v>
      </c>
      <c r="AE60" s="19">
        <v>2210000</v>
      </c>
      <c r="AF60" s="19">
        <v>5677749</v>
      </c>
      <c r="AG60" s="19">
        <v>74418</v>
      </c>
      <c r="AH60" s="19">
        <v>6268392</v>
      </c>
      <c r="AI60" s="19">
        <v>150994</v>
      </c>
      <c r="AJ60" s="19">
        <v>100060</v>
      </c>
      <c r="AK60" s="19" t="s">
        <v>89</v>
      </c>
      <c r="AL60" s="19">
        <v>280697</v>
      </c>
      <c r="AM60" s="19" t="s">
        <v>4</v>
      </c>
      <c r="AN60" s="19">
        <v>91725</v>
      </c>
      <c r="AO60" s="19">
        <v>258027</v>
      </c>
      <c r="AP60" s="19">
        <v>525667</v>
      </c>
      <c r="AQ60" s="19" t="s">
        <v>172</v>
      </c>
      <c r="AR60" s="19">
        <v>98835</v>
      </c>
      <c r="AS60" s="19">
        <v>700768</v>
      </c>
      <c r="AT60" s="19">
        <v>376202</v>
      </c>
      <c r="AU60" s="19">
        <v>8329</v>
      </c>
      <c r="AV60" s="19">
        <v>164260</v>
      </c>
      <c r="AW60" s="19">
        <v>7195</v>
      </c>
      <c r="AX60" s="19" t="s">
        <v>4</v>
      </c>
      <c r="AY60" s="19">
        <v>94536</v>
      </c>
      <c r="AZ60" s="19">
        <v>711495</v>
      </c>
      <c r="BA60" s="19">
        <v>93349</v>
      </c>
      <c r="BB60" s="19">
        <v>152693</v>
      </c>
      <c r="BC60" s="19">
        <v>182864</v>
      </c>
      <c r="BD60" s="19">
        <v>73523</v>
      </c>
      <c r="BE60" s="19">
        <v>217674</v>
      </c>
      <c r="BF60" s="19">
        <v>603643</v>
      </c>
      <c r="BG60" s="19">
        <v>3052481</v>
      </c>
      <c r="BH60" s="19">
        <v>29456</v>
      </c>
      <c r="BI60" s="19">
        <v>215525</v>
      </c>
      <c r="BJ60" s="19">
        <v>60405</v>
      </c>
      <c r="BK60" s="19">
        <v>47569</v>
      </c>
      <c r="BL60" s="19">
        <v>674204</v>
      </c>
      <c r="BM60" s="19">
        <v>147823</v>
      </c>
      <c r="BN60" s="19">
        <v>897864</v>
      </c>
      <c r="BO60" s="19">
        <v>636026</v>
      </c>
      <c r="BP60" s="19">
        <v>4052</v>
      </c>
      <c r="BQ60" s="19" t="s">
        <v>4</v>
      </c>
      <c r="BR60" s="19">
        <v>418191</v>
      </c>
      <c r="BS60" s="19">
        <v>5236</v>
      </c>
      <c r="BT60" s="19">
        <v>19846</v>
      </c>
      <c r="BU60" s="19">
        <v>135321</v>
      </c>
      <c r="BV60" s="19">
        <v>12036</v>
      </c>
      <c r="BW60" s="19">
        <v>17057</v>
      </c>
      <c r="BX60" s="19">
        <v>81964</v>
      </c>
      <c r="BY60" s="19">
        <v>103095</v>
      </c>
      <c r="BZ60" s="19">
        <v>5445453</v>
      </c>
      <c r="CA60" s="19">
        <v>223734</v>
      </c>
      <c r="CB60" s="19">
        <v>47797</v>
      </c>
      <c r="CC60" s="19">
        <v>73746</v>
      </c>
      <c r="CD60" s="19">
        <v>1368679</v>
      </c>
      <c r="CE60" s="19">
        <v>4214</v>
      </c>
      <c r="CF60" s="19">
        <v>7470</v>
      </c>
      <c r="CG60" s="19">
        <v>2377529</v>
      </c>
      <c r="CH60" s="19">
        <v>123112</v>
      </c>
      <c r="CI60" s="19" t="s">
        <v>89</v>
      </c>
      <c r="CJ60" s="19">
        <v>538</v>
      </c>
      <c r="CK60" s="19">
        <v>46997</v>
      </c>
      <c r="CL60" s="19">
        <v>38656</v>
      </c>
      <c r="CM60" s="19">
        <v>6420803</v>
      </c>
      <c r="CN60" s="19">
        <v>145978</v>
      </c>
      <c r="CO60" s="19">
        <v>111740</v>
      </c>
      <c r="CP60" s="19">
        <v>540170</v>
      </c>
      <c r="CQ60" s="19" t="s">
        <v>96</v>
      </c>
      <c r="CR60" s="19">
        <v>254333</v>
      </c>
      <c r="CS60" s="19">
        <v>1669867</v>
      </c>
      <c r="CT60" s="19">
        <v>549694</v>
      </c>
      <c r="CU60" s="19">
        <v>135972</v>
      </c>
      <c r="CV60" s="19">
        <v>7065</v>
      </c>
      <c r="CW60" s="19">
        <v>4462960</v>
      </c>
      <c r="CX60" s="19">
        <v>10604553</v>
      </c>
      <c r="CY60" s="19">
        <v>908932</v>
      </c>
      <c r="CZ60" s="19">
        <v>83144</v>
      </c>
      <c r="DA60" s="19">
        <v>2426</v>
      </c>
      <c r="DB60" s="19">
        <v>15582</v>
      </c>
      <c r="DC60" s="19">
        <v>15871</v>
      </c>
      <c r="DD60" s="19">
        <v>31124</v>
      </c>
      <c r="DE60" s="19">
        <v>10410</v>
      </c>
      <c r="DF60" s="19">
        <v>26754</v>
      </c>
      <c r="DG60" s="19">
        <v>36857</v>
      </c>
      <c r="DH60" s="19">
        <v>59419</v>
      </c>
      <c r="DI60" s="19">
        <v>171215</v>
      </c>
      <c r="DJ60" s="19">
        <v>48227</v>
      </c>
      <c r="DK60" s="19">
        <v>99744</v>
      </c>
      <c r="DL60" s="19">
        <v>36062</v>
      </c>
      <c r="DM60" s="19">
        <v>10345738</v>
      </c>
      <c r="DN60" s="19">
        <v>83115</v>
      </c>
      <c r="DO60" s="19">
        <v>2197782</v>
      </c>
      <c r="DP60" s="19">
        <v>202644</v>
      </c>
      <c r="DQ60" s="19">
        <v>435852</v>
      </c>
      <c r="DR60" s="19">
        <v>60570</v>
      </c>
      <c r="DS60" s="19">
        <v>1280076</v>
      </c>
      <c r="DT60" s="19">
        <v>359475</v>
      </c>
      <c r="DU60" s="19">
        <v>89354</v>
      </c>
      <c r="DV60" s="19"/>
      <c r="DW60" s="19">
        <v>932407</v>
      </c>
      <c r="DX60" s="19">
        <v>223556</v>
      </c>
      <c r="DY60" s="19">
        <v>192</v>
      </c>
      <c r="DZ60" s="19">
        <v>11164808</v>
      </c>
      <c r="EA60" s="19"/>
      <c r="EB60" s="19">
        <v>261904</v>
      </c>
      <c r="EC60" s="19">
        <v>60825</v>
      </c>
      <c r="ED60" s="19">
        <v>12301</v>
      </c>
      <c r="EE60" s="19">
        <v>116012</v>
      </c>
      <c r="EF60" s="19">
        <v>80977</v>
      </c>
      <c r="EG60" s="19">
        <v>11079666</v>
      </c>
      <c r="EH60" s="19">
        <v>94671</v>
      </c>
      <c r="EI60" s="19">
        <v>365028</v>
      </c>
      <c r="EJ60" s="19">
        <v>127413</v>
      </c>
      <c r="EK60" s="19" t="s">
        <v>89</v>
      </c>
      <c r="EL60" s="19">
        <v>9319043</v>
      </c>
      <c r="EM60" s="19">
        <v>259739</v>
      </c>
      <c r="EN60" s="19">
        <v>10642103</v>
      </c>
      <c r="EO60" s="19">
        <v>102746</v>
      </c>
      <c r="EP60" s="19">
        <v>943990</v>
      </c>
      <c r="EQ60" s="19">
        <v>243875</v>
      </c>
      <c r="ER60" s="19">
        <v>248763</v>
      </c>
      <c r="ES60" s="19">
        <v>1065645</v>
      </c>
      <c r="ET60" s="19">
        <v>4978997</v>
      </c>
      <c r="EU60" s="19">
        <v>285772</v>
      </c>
      <c r="EV60" s="19">
        <v>18791</v>
      </c>
      <c r="EW60" s="19">
        <v>23564</v>
      </c>
      <c r="EX60" s="19">
        <v>283347</v>
      </c>
      <c r="EY60" s="19">
        <v>4842749</v>
      </c>
      <c r="EZ60" s="19">
        <v>52236</v>
      </c>
      <c r="FA60" s="19">
        <v>104574</v>
      </c>
      <c r="FB60" s="19">
        <v>39006</v>
      </c>
      <c r="FC60" s="19">
        <v>744010</v>
      </c>
      <c r="FD60" s="19">
        <v>13711</v>
      </c>
      <c r="FE60" s="19">
        <v>3260279</v>
      </c>
      <c r="FF60" s="19">
        <v>45753</v>
      </c>
      <c r="FG60" s="19">
        <v>332598</v>
      </c>
      <c r="FH60" s="19">
        <v>38005</v>
      </c>
      <c r="FI60" s="19">
        <v>17772</v>
      </c>
      <c r="FJ60" s="19">
        <v>1915433</v>
      </c>
      <c r="FK60" s="19">
        <v>37902</v>
      </c>
      <c r="FL60" s="19">
        <v>26618</v>
      </c>
      <c r="FM60" s="19">
        <v>3229</v>
      </c>
      <c r="FN60" s="19">
        <v>1209346</v>
      </c>
      <c r="FO60" s="19">
        <v>9437</v>
      </c>
      <c r="FP60" s="19">
        <v>71120</v>
      </c>
      <c r="FQ60" s="19">
        <v>22773</v>
      </c>
      <c r="FR60" s="19">
        <v>14999</v>
      </c>
      <c r="FS60" s="19">
        <v>4332</v>
      </c>
      <c r="FT60" s="19">
        <v>99957</v>
      </c>
      <c r="FU60" s="19" t="s">
        <v>152</v>
      </c>
      <c r="FV60" s="19">
        <v>103514</v>
      </c>
      <c r="FW60" s="19">
        <v>21119</v>
      </c>
      <c r="FX60" s="19">
        <v>22324</v>
      </c>
      <c r="FY60" s="19">
        <v>2072762</v>
      </c>
      <c r="FZ60" s="19">
        <v>35034</v>
      </c>
      <c r="GA60" s="19">
        <v>71612</v>
      </c>
      <c r="GB60" s="19">
        <v>6580</v>
      </c>
      <c r="GC60" s="19">
        <v>13818260</v>
      </c>
      <c r="GD60" s="19" t="s">
        <v>96</v>
      </c>
      <c r="GE60" s="19"/>
      <c r="GF60" s="19">
        <v>135777</v>
      </c>
      <c r="GG60" s="19">
        <v>92742</v>
      </c>
      <c r="GH60" s="19">
        <v>33385</v>
      </c>
      <c r="GI60" s="19">
        <v>6962</v>
      </c>
      <c r="GJ60" s="19">
        <v>134791</v>
      </c>
      <c r="GK60" s="19">
        <v>8175</v>
      </c>
      <c r="GL60" s="19">
        <v>16766</v>
      </c>
      <c r="GM60" s="19">
        <v>8398</v>
      </c>
      <c r="GN60" s="19">
        <v>61096</v>
      </c>
      <c r="GO60" s="19">
        <v>97588</v>
      </c>
      <c r="GP60" s="19">
        <v>9012522</v>
      </c>
      <c r="GQ60" s="19">
        <v>427321</v>
      </c>
      <c r="GR60" s="19">
        <v>41797</v>
      </c>
      <c r="GS60" s="19">
        <v>11700669</v>
      </c>
      <c r="GT60" s="19">
        <v>6962</v>
      </c>
      <c r="GU60" s="19">
        <v>27536</v>
      </c>
      <c r="GV60" s="19" t="s">
        <v>89</v>
      </c>
      <c r="GW60" s="19">
        <v>1033983</v>
      </c>
      <c r="GX60" s="19">
        <v>138941</v>
      </c>
      <c r="GY60" s="19">
        <v>647371</v>
      </c>
      <c r="GZ60" s="19">
        <v>50856</v>
      </c>
      <c r="HA60" s="19">
        <v>30039</v>
      </c>
      <c r="HB60" s="19">
        <v>144186</v>
      </c>
      <c r="HC60" s="19">
        <v>8694903</v>
      </c>
      <c r="HD60" s="19" t="s">
        <v>89</v>
      </c>
      <c r="HE60" s="19">
        <v>168788</v>
      </c>
      <c r="HF60" s="19">
        <v>1781109</v>
      </c>
      <c r="HG60" s="19">
        <v>80713</v>
      </c>
      <c r="HH60" s="19">
        <v>25317</v>
      </c>
      <c r="HI60" s="19">
        <v>26273</v>
      </c>
      <c r="HJ60" s="19">
        <v>178076</v>
      </c>
      <c r="HK60" s="19">
        <v>622158</v>
      </c>
      <c r="HL60" s="19">
        <v>129702</v>
      </c>
      <c r="HM60" s="19">
        <v>61265</v>
      </c>
      <c r="HN60" s="19">
        <v>81532</v>
      </c>
      <c r="HO60" s="19">
        <v>267901</v>
      </c>
      <c r="HP60" s="19" t="s">
        <v>89</v>
      </c>
    </row>
    <row r="61" spans="1:224">
      <c r="A61" s="9" t="s">
        <v>92</v>
      </c>
      <c r="B61" s="15" t="s">
        <v>62</v>
      </c>
      <c r="C61" s="19"/>
      <c r="D61" s="19">
        <v>0</v>
      </c>
      <c r="E61" s="19"/>
      <c r="F61" s="19"/>
      <c r="G61" s="19"/>
      <c r="H61" s="19"/>
      <c r="I61" s="19"/>
      <c r="J61" s="19" t="s">
        <v>4</v>
      </c>
      <c r="K61" s="19"/>
      <c r="L61" s="19"/>
      <c r="M61" s="19" t="s">
        <v>96</v>
      </c>
      <c r="N61" s="19"/>
      <c r="O61" s="19"/>
      <c r="P61" s="19">
        <v>5999000</v>
      </c>
      <c r="Q61" s="19"/>
      <c r="R61" s="19"/>
      <c r="S61" s="19"/>
      <c r="T61" s="19" t="s">
        <v>96</v>
      </c>
      <c r="U61" s="19"/>
      <c r="V61" s="19">
        <v>1499000</v>
      </c>
      <c r="W61" s="19"/>
      <c r="X61" s="19"/>
      <c r="Y61" s="19"/>
      <c r="Z61" s="19"/>
      <c r="AA61" s="19">
        <v>6553948</v>
      </c>
      <c r="AB61" s="19"/>
      <c r="AC61" s="19"/>
      <c r="AD61" s="19"/>
      <c r="AE61" s="19"/>
      <c r="AF61" s="19"/>
      <c r="AG61" s="19">
        <v>6669040</v>
      </c>
      <c r="AH61" s="19"/>
      <c r="AI61" s="19"/>
      <c r="AJ61" s="19"/>
      <c r="AK61" s="19" t="s">
        <v>89</v>
      </c>
      <c r="AL61" s="19"/>
      <c r="AM61" s="19" t="s">
        <v>4</v>
      </c>
      <c r="AN61" s="19">
        <v>11181400</v>
      </c>
      <c r="AO61" s="19"/>
      <c r="AP61" s="19"/>
      <c r="AQ61" s="19" t="s">
        <v>172</v>
      </c>
      <c r="AR61" s="19"/>
      <c r="AS61" s="19"/>
      <c r="AT61" s="19"/>
      <c r="AU61" s="19"/>
      <c r="AV61" s="19"/>
      <c r="AW61" s="19"/>
      <c r="AX61" s="19" t="s">
        <v>4</v>
      </c>
      <c r="AY61" s="19"/>
      <c r="AZ61" s="19"/>
      <c r="BA61" s="19"/>
      <c r="BB61" s="19"/>
      <c r="BC61" s="19"/>
      <c r="BD61" s="19"/>
      <c r="BE61" s="19"/>
      <c r="BF61" s="19"/>
      <c r="BG61" s="19"/>
      <c r="BH61" s="19"/>
      <c r="BI61" s="19"/>
      <c r="BJ61" s="19"/>
      <c r="BK61" s="19"/>
      <c r="BL61" s="19"/>
      <c r="BM61" s="19">
        <v>7154496</v>
      </c>
      <c r="BN61" s="19"/>
      <c r="BO61" s="19"/>
      <c r="BP61" s="19">
        <v>5000000</v>
      </c>
      <c r="BQ61" s="19" t="s">
        <v>4</v>
      </c>
      <c r="BR61" s="19"/>
      <c r="BS61" s="19"/>
      <c r="BT61" s="19"/>
      <c r="BU61" s="19"/>
      <c r="BV61" s="19"/>
      <c r="BW61" s="19"/>
      <c r="BX61" s="19"/>
      <c r="BY61" s="19"/>
      <c r="BZ61" s="19"/>
      <c r="CA61" s="19"/>
      <c r="CB61" s="19"/>
      <c r="CC61" s="19"/>
      <c r="CD61" s="19"/>
      <c r="CE61" s="19"/>
      <c r="CF61" s="19"/>
      <c r="CG61" s="19">
        <v>1550000</v>
      </c>
      <c r="CH61" s="19"/>
      <c r="CI61" s="19" t="s">
        <v>89</v>
      </c>
      <c r="CJ61" s="19"/>
      <c r="CK61" s="19"/>
      <c r="CL61" s="19"/>
      <c r="CM61" s="19"/>
      <c r="CN61" s="19"/>
      <c r="CO61" s="19"/>
      <c r="CP61" s="19"/>
      <c r="CQ61" s="19" t="s">
        <v>96</v>
      </c>
      <c r="CR61" s="19"/>
      <c r="CS61" s="19"/>
      <c r="CT61" s="19"/>
      <c r="CU61" s="19">
        <v>26321920</v>
      </c>
      <c r="CV61" s="19">
        <v>5000000</v>
      </c>
      <c r="CW61" s="19"/>
      <c r="CX61" s="19">
        <v>1204656</v>
      </c>
      <c r="CY61" s="19">
        <v>91108</v>
      </c>
      <c r="CZ61" s="19"/>
      <c r="DA61" s="19"/>
      <c r="DB61" s="19"/>
      <c r="DC61" s="19">
        <v>41440000</v>
      </c>
      <c r="DD61" s="19"/>
      <c r="DE61" s="19"/>
      <c r="DF61" s="19"/>
      <c r="DG61" s="19"/>
      <c r="DH61" s="19"/>
      <c r="DI61" s="19"/>
      <c r="DJ61" s="19"/>
      <c r="DK61" s="19"/>
      <c r="DL61" s="19"/>
      <c r="DM61" s="19"/>
      <c r="DN61" s="19"/>
      <c r="DO61" s="19"/>
      <c r="DP61" s="19"/>
      <c r="DQ61" s="19"/>
      <c r="DR61" s="19"/>
      <c r="DS61" s="19"/>
      <c r="DT61" s="19"/>
      <c r="DU61" s="19"/>
      <c r="DV61" s="19"/>
      <c r="DW61" s="19"/>
      <c r="DX61" s="19"/>
      <c r="DY61" s="19"/>
      <c r="DZ61" s="19">
        <v>1159648</v>
      </c>
      <c r="EA61" s="19"/>
      <c r="EB61" s="19"/>
      <c r="EC61" s="19"/>
      <c r="ED61" s="19"/>
      <c r="EE61" s="19">
        <v>999000</v>
      </c>
      <c r="EF61" s="19"/>
      <c r="EG61" s="19"/>
      <c r="EH61" s="19"/>
      <c r="EI61" s="19"/>
      <c r="EJ61" s="19"/>
      <c r="EK61" s="19" t="s">
        <v>89</v>
      </c>
      <c r="EL61" s="19"/>
      <c r="EM61" s="19">
        <v>37184487</v>
      </c>
      <c r="EN61" s="19"/>
      <c r="EO61" s="19"/>
      <c r="EP61" s="19"/>
      <c r="EQ61" s="19"/>
      <c r="ER61" s="19"/>
      <c r="ES61" s="19"/>
      <c r="ET61" s="19"/>
      <c r="EU61" s="19"/>
      <c r="EV61" s="19"/>
      <c r="EW61" s="19"/>
      <c r="EX61" s="19"/>
      <c r="EY61" s="19"/>
      <c r="EZ61" s="19"/>
      <c r="FA61" s="19"/>
      <c r="FB61" s="19"/>
      <c r="FC61" s="19"/>
      <c r="FD61" s="19"/>
      <c r="FE61" s="19"/>
      <c r="FF61" s="19"/>
      <c r="FG61" s="19"/>
      <c r="FH61" s="19">
        <v>95690909</v>
      </c>
      <c r="FI61" s="19"/>
      <c r="FJ61" s="19"/>
      <c r="FK61" s="19"/>
      <c r="FL61" s="19"/>
      <c r="FM61" s="19"/>
      <c r="FN61" s="19"/>
      <c r="FO61" s="19"/>
      <c r="FP61" s="19"/>
      <c r="FQ61" s="19"/>
      <c r="FR61" s="19"/>
      <c r="FS61" s="19"/>
      <c r="FT61" s="19"/>
      <c r="FU61" s="19" t="s">
        <v>152</v>
      </c>
      <c r="FV61" s="19"/>
      <c r="FW61" s="19"/>
      <c r="FX61" s="19"/>
      <c r="FY61" s="19"/>
      <c r="FZ61" s="19"/>
      <c r="GA61" s="19">
        <v>0</v>
      </c>
      <c r="GB61" s="19"/>
      <c r="GC61" s="19"/>
      <c r="GD61" s="19" t="s">
        <v>96</v>
      </c>
      <c r="GE61" s="19">
        <v>36000000</v>
      </c>
      <c r="GF61" s="19"/>
      <c r="GG61" s="19"/>
      <c r="GH61" s="19"/>
      <c r="GI61" s="19"/>
      <c r="GJ61" s="19"/>
      <c r="GK61" s="19"/>
      <c r="GL61" s="19"/>
      <c r="GM61" s="19">
        <v>11310000</v>
      </c>
      <c r="GN61" s="19"/>
      <c r="GO61" s="19"/>
      <c r="GP61" s="19"/>
      <c r="GQ61" s="19"/>
      <c r="GR61" s="19"/>
      <c r="GS61" s="19"/>
      <c r="GT61" s="19"/>
      <c r="GU61" s="19"/>
      <c r="GV61" s="19" t="s">
        <v>89</v>
      </c>
      <c r="GW61" s="19"/>
      <c r="GX61" s="19"/>
      <c r="GY61" s="19"/>
      <c r="GZ61" s="19"/>
      <c r="HA61" s="19"/>
      <c r="HB61" s="19"/>
      <c r="HC61" s="19"/>
      <c r="HD61" s="19" t="s">
        <v>89</v>
      </c>
      <c r="HE61" s="19"/>
      <c r="HF61" s="19"/>
      <c r="HG61" s="19">
        <v>11181400</v>
      </c>
      <c r="HH61" s="19"/>
      <c r="HI61" s="19"/>
      <c r="HJ61" s="19"/>
      <c r="HK61" s="19"/>
      <c r="HL61" s="19"/>
      <c r="HM61" s="19"/>
      <c r="HN61" s="19"/>
      <c r="HO61" s="19"/>
      <c r="HP61" s="19" t="s">
        <v>89</v>
      </c>
    </row>
    <row r="62" spans="1:224">
      <c r="A62" s="9" t="s">
        <v>92</v>
      </c>
      <c r="B62" s="15" t="s">
        <v>20</v>
      </c>
      <c r="C62" s="19">
        <v>42990</v>
      </c>
      <c r="D62" s="19">
        <v>5607962</v>
      </c>
      <c r="E62" s="19">
        <v>14537909</v>
      </c>
      <c r="F62" s="19">
        <v>897200</v>
      </c>
      <c r="G62" s="19">
        <v>1650240</v>
      </c>
      <c r="H62" s="19">
        <v>5798800</v>
      </c>
      <c r="I62" s="19">
        <v>364048584</v>
      </c>
      <c r="J62" s="19" t="s">
        <v>4</v>
      </c>
      <c r="K62" s="19">
        <v>1318796</v>
      </c>
      <c r="L62" s="19">
        <v>18574</v>
      </c>
      <c r="M62" s="19" t="s">
        <v>96</v>
      </c>
      <c r="N62" s="19"/>
      <c r="O62" s="19">
        <v>6234075</v>
      </c>
      <c r="P62" s="19">
        <v>42619458</v>
      </c>
      <c r="Q62" s="19">
        <v>1939784</v>
      </c>
      <c r="R62" s="19">
        <v>2876987</v>
      </c>
      <c r="S62" s="19">
        <v>55272665</v>
      </c>
      <c r="T62" s="19" t="s">
        <v>96</v>
      </c>
      <c r="U62" s="19">
        <v>58751</v>
      </c>
      <c r="V62" s="19">
        <v>7712998</v>
      </c>
      <c r="W62" s="19">
        <v>95855</v>
      </c>
      <c r="X62" s="19">
        <v>1090391</v>
      </c>
      <c r="Y62" s="19">
        <v>596645</v>
      </c>
      <c r="Z62" s="19">
        <v>6708710</v>
      </c>
      <c r="AA62" s="19">
        <v>19768961</v>
      </c>
      <c r="AB62" s="19">
        <v>1026310</v>
      </c>
      <c r="AC62" s="19">
        <v>39635652</v>
      </c>
      <c r="AD62" s="19">
        <v>3612618</v>
      </c>
      <c r="AE62" s="19"/>
      <c r="AF62" s="19">
        <v>2486068</v>
      </c>
      <c r="AG62" s="19">
        <v>300126</v>
      </c>
      <c r="AH62" s="19">
        <v>2004148</v>
      </c>
      <c r="AI62" s="19">
        <v>4500213</v>
      </c>
      <c r="AJ62" s="19">
        <v>1699340</v>
      </c>
      <c r="AK62" s="19" t="s">
        <v>89</v>
      </c>
      <c r="AL62" s="19">
        <v>2227100</v>
      </c>
      <c r="AM62" s="19" t="s">
        <v>4</v>
      </c>
      <c r="AN62" s="19"/>
      <c r="AO62" s="19">
        <v>87063073</v>
      </c>
      <c r="AP62" s="19">
        <v>139823</v>
      </c>
      <c r="AQ62" s="19" t="s">
        <v>172</v>
      </c>
      <c r="AR62" s="19">
        <v>10995288</v>
      </c>
      <c r="AS62" s="19">
        <v>1078</v>
      </c>
      <c r="AT62" s="19">
        <v>28268423</v>
      </c>
      <c r="AU62" s="19">
        <v>50927146</v>
      </c>
      <c r="AV62" s="19">
        <v>41982</v>
      </c>
      <c r="AW62" s="19">
        <v>66948378</v>
      </c>
      <c r="AX62" s="19" t="s">
        <v>4</v>
      </c>
      <c r="AY62" s="19">
        <v>286207</v>
      </c>
      <c r="AZ62" s="19">
        <v>10305093</v>
      </c>
      <c r="BA62" s="19">
        <v>89656171</v>
      </c>
      <c r="BB62" s="19">
        <v>70072381</v>
      </c>
      <c r="BC62" s="19">
        <v>5131450</v>
      </c>
      <c r="BD62" s="19">
        <v>842677</v>
      </c>
      <c r="BE62" s="19">
        <v>25538672</v>
      </c>
      <c r="BF62" s="19">
        <v>429533</v>
      </c>
      <c r="BG62" s="19">
        <v>2439113</v>
      </c>
      <c r="BH62" s="19">
        <v>38640751</v>
      </c>
      <c r="BI62" s="19">
        <v>9605</v>
      </c>
      <c r="BJ62" s="19">
        <v>25721984</v>
      </c>
      <c r="BK62" s="19">
        <v>3886416</v>
      </c>
      <c r="BL62" s="19">
        <v>7512211</v>
      </c>
      <c r="BM62" s="19">
        <v>11804496</v>
      </c>
      <c r="BN62" s="19">
        <v>930418</v>
      </c>
      <c r="BO62" s="19">
        <v>9089029</v>
      </c>
      <c r="BP62" s="19">
        <v>10</v>
      </c>
      <c r="BQ62" s="19" t="s">
        <v>4</v>
      </c>
      <c r="BR62" s="19">
        <v>53543254</v>
      </c>
      <c r="BS62" s="19">
        <v>34993918</v>
      </c>
      <c r="BT62" s="19">
        <v>4809985</v>
      </c>
      <c r="BU62" s="19">
        <v>16339476</v>
      </c>
      <c r="BV62" s="19">
        <v>1754157</v>
      </c>
      <c r="BW62" s="19">
        <v>239222</v>
      </c>
      <c r="BX62" s="19">
        <v>2240297</v>
      </c>
      <c r="BY62" s="19">
        <v>98479210</v>
      </c>
      <c r="BZ62" s="19"/>
      <c r="CA62" s="19">
        <v>21939</v>
      </c>
      <c r="CB62" s="19">
        <v>174</v>
      </c>
      <c r="CC62" s="19">
        <v>3029402</v>
      </c>
      <c r="CD62" s="19">
        <v>4697080</v>
      </c>
      <c r="CE62" s="19">
        <v>8</v>
      </c>
      <c r="CF62" s="19">
        <v>9096485</v>
      </c>
      <c r="CG62" s="19">
        <v>30011180</v>
      </c>
      <c r="CH62" s="19">
        <v>109862</v>
      </c>
      <c r="CI62" s="19" t="s">
        <v>89</v>
      </c>
      <c r="CJ62" s="19">
        <v>17698164</v>
      </c>
      <c r="CK62" s="19">
        <v>23803929</v>
      </c>
      <c r="CL62" s="19">
        <v>35538117</v>
      </c>
      <c r="CM62" s="19">
        <v>1051876</v>
      </c>
      <c r="CN62" s="19">
        <v>1484301</v>
      </c>
      <c r="CO62" s="19">
        <v>69072086</v>
      </c>
      <c r="CP62" s="19">
        <v>3352</v>
      </c>
      <c r="CQ62" s="19" t="s">
        <v>96</v>
      </c>
      <c r="CR62" s="19">
        <v>26794724</v>
      </c>
      <c r="CS62" s="19"/>
      <c r="CT62" s="19">
        <v>186066856</v>
      </c>
      <c r="CU62" s="19"/>
      <c r="CV62" s="19">
        <v>280603</v>
      </c>
      <c r="CW62" s="19">
        <v>5177684</v>
      </c>
      <c r="CX62" s="19">
        <v>18418514</v>
      </c>
      <c r="CY62" s="19">
        <v>34603</v>
      </c>
      <c r="CZ62" s="19">
        <v>592886</v>
      </c>
      <c r="DA62" s="19">
        <v>709982</v>
      </c>
      <c r="DB62" s="19">
        <v>31682094</v>
      </c>
      <c r="DC62" s="19">
        <v>58245525</v>
      </c>
      <c r="DD62" s="19">
        <v>340</v>
      </c>
      <c r="DE62" s="19"/>
      <c r="DF62" s="19">
        <v>90007</v>
      </c>
      <c r="DG62" s="19">
        <v>1677100</v>
      </c>
      <c r="DH62" s="19">
        <v>612542</v>
      </c>
      <c r="DI62" s="19">
        <v>69608070</v>
      </c>
      <c r="DJ62" s="19">
        <v>62586639</v>
      </c>
      <c r="DK62" s="19">
        <v>42661481</v>
      </c>
      <c r="DL62" s="19"/>
      <c r="DM62" s="19">
        <v>12220221</v>
      </c>
      <c r="DN62" s="19">
        <v>4384836</v>
      </c>
      <c r="DO62" s="19">
        <v>606</v>
      </c>
      <c r="DP62" s="19">
        <v>598941</v>
      </c>
      <c r="DQ62" s="19">
        <v>9515874</v>
      </c>
      <c r="DR62" s="19">
        <v>52947253</v>
      </c>
      <c r="DS62" s="19">
        <v>112220505</v>
      </c>
      <c r="DT62" s="19">
        <v>20980612</v>
      </c>
      <c r="DU62" s="19"/>
      <c r="DV62" s="19"/>
      <c r="DW62" s="19">
        <v>60115844</v>
      </c>
      <c r="DX62" s="19">
        <v>162067970</v>
      </c>
      <c r="DY62" s="19">
        <v>2461304</v>
      </c>
      <c r="DZ62" s="19">
        <v>14075105</v>
      </c>
      <c r="EA62" s="19"/>
      <c r="EB62" s="19">
        <v>13926000</v>
      </c>
      <c r="EC62" s="19">
        <v>4870216</v>
      </c>
      <c r="ED62" s="19">
        <v>5901444</v>
      </c>
      <c r="EE62" s="19">
        <v>29588538</v>
      </c>
      <c r="EF62" s="19"/>
      <c r="EG62" s="19">
        <v>68065291</v>
      </c>
      <c r="EH62" s="19">
        <v>61233</v>
      </c>
      <c r="EI62" s="19">
        <v>27684</v>
      </c>
      <c r="EJ62" s="19">
        <v>166040</v>
      </c>
      <c r="EK62" s="19" t="s">
        <v>89</v>
      </c>
      <c r="EL62" s="19">
        <v>22943364</v>
      </c>
      <c r="EM62" s="19">
        <v>301601</v>
      </c>
      <c r="EN62" s="19">
        <v>782604</v>
      </c>
      <c r="EO62" s="19">
        <v>3676414</v>
      </c>
      <c r="EP62" s="19">
        <v>3620040</v>
      </c>
      <c r="EQ62" s="19">
        <v>6424760</v>
      </c>
      <c r="ER62" s="19">
        <v>174272018</v>
      </c>
      <c r="ES62" s="19">
        <v>27154265</v>
      </c>
      <c r="ET62" s="19">
        <v>216910292</v>
      </c>
      <c r="EU62" s="19">
        <v>17601</v>
      </c>
      <c r="EV62" s="19">
        <v>165391</v>
      </c>
      <c r="EW62" s="19">
        <v>69928</v>
      </c>
      <c r="EX62" s="19">
        <v>15203249</v>
      </c>
      <c r="EY62" s="19">
        <v>68290808</v>
      </c>
      <c r="EZ62" s="19">
        <v>3152645</v>
      </c>
      <c r="FA62" s="19">
        <v>503</v>
      </c>
      <c r="FB62" s="19">
        <v>2596915</v>
      </c>
      <c r="FC62" s="19">
        <v>2812804</v>
      </c>
      <c r="FD62" s="19">
        <v>2075</v>
      </c>
      <c r="FE62" s="19">
        <v>15940453</v>
      </c>
      <c r="FF62" s="19">
        <v>6928539</v>
      </c>
      <c r="FG62" s="19">
        <v>925707</v>
      </c>
      <c r="FH62" s="19">
        <v>587630</v>
      </c>
      <c r="FI62" s="19">
        <v>2221534</v>
      </c>
      <c r="FJ62" s="19">
        <v>13533086</v>
      </c>
      <c r="FK62" s="19">
        <v>205686178</v>
      </c>
      <c r="FL62" s="19">
        <v>2723805</v>
      </c>
      <c r="FM62" s="19">
        <v>2128334</v>
      </c>
      <c r="FN62" s="19">
        <v>1263748</v>
      </c>
      <c r="FO62" s="19">
        <v>306061</v>
      </c>
      <c r="FP62" s="19">
        <v>4970059</v>
      </c>
      <c r="FQ62" s="19"/>
      <c r="FR62" s="19">
        <v>32729254</v>
      </c>
      <c r="FS62" s="19">
        <v>923778</v>
      </c>
      <c r="FT62" s="19">
        <v>151132</v>
      </c>
      <c r="FU62" s="19" t="s">
        <v>152</v>
      </c>
      <c r="FV62" s="19">
        <v>546457</v>
      </c>
      <c r="FW62" s="19">
        <v>239245</v>
      </c>
      <c r="FX62" s="19">
        <v>21406</v>
      </c>
      <c r="FY62" s="19">
        <v>71364542</v>
      </c>
      <c r="FZ62" s="19"/>
      <c r="GA62" s="19">
        <v>25</v>
      </c>
      <c r="GB62" s="19">
        <v>500225</v>
      </c>
      <c r="GC62" s="19">
        <v>7158349</v>
      </c>
      <c r="GD62" s="19" t="s">
        <v>96</v>
      </c>
      <c r="GE62" s="19">
        <v>292761</v>
      </c>
      <c r="GF62" s="19">
        <v>6814477</v>
      </c>
      <c r="GG62" s="19">
        <v>140656218</v>
      </c>
      <c r="GH62" s="19">
        <v>41097169</v>
      </c>
      <c r="GI62" s="19">
        <v>191</v>
      </c>
      <c r="GJ62" s="19">
        <v>4129729</v>
      </c>
      <c r="GK62" s="19">
        <v>1289050</v>
      </c>
      <c r="GL62" s="19">
        <v>8120</v>
      </c>
      <c r="GM62" s="19">
        <v>4264219</v>
      </c>
      <c r="GN62" s="19">
        <v>6716888</v>
      </c>
      <c r="GO62" s="19">
        <v>7932</v>
      </c>
      <c r="GP62" s="19">
        <v>5369808</v>
      </c>
      <c r="GQ62" s="19">
        <v>171037</v>
      </c>
      <c r="GR62" s="19">
        <v>8952585</v>
      </c>
      <c r="GS62" s="19">
        <v>2530100</v>
      </c>
      <c r="GT62" s="19">
        <v>191</v>
      </c>
      <c r="GU62" s="19">
        <v>1176850</v>
      </c>
      <c r="GV62" s="19" t="s">
        <v>89</v>
      </c>
      <c r="GW62" s="19">
        <v>3802853</v>
      </c>
      <c r="GX62" s="19">
        <v>17345221</v>
      </c>
      <c r="GY62" s="19">
        <v>4443150</v>
      </c>
      <c r="GZ62" s="19">
        <v>1789933</v>
      </c>
      <c r="HA62" s="19">
        <v>60796786</v>
      </c>
      <c r="HB62" s="19">
        <v>7542</v>
      </c>
      <c r="HC62" s="19">
        <v>2964803</v>
      </c>
      <c r="HD62" s="19" t="s">
        <v>89</v>
      </c>
      <c r="HE62" s="19">
        <v>129798</v>
      </c>
      <c r="HF62" s="19">
        <v>701293</v>
      </c>
      <c r="HG62" s="19">
        <v>6377909</v>
      </c>
      <c r="HH62" s="19">
        <v>1003837</v>
      </c>
      <c r="HI62" s="19">
        <v>459</v>
      </c>
      <c r="HJ62" s="19">
        <v>81</v>
      </c>
      <c r="HK62" s="19">
        <v>3003933</v>
      </c>
      <c r="HL62" s="19">
        <v>15359805</v>
      </c>
      <c r="HM62" s="19">
        <v>34787394</v>
      </c>
      <c r="HN62" s="19">
        <v>124475</v>
      </c>
      <c r="HO62" s="19">
        <v>1155472</v>
      </c>
      <c r="HP62" s="19" t="s">
        <v>89</v>
      </c>
    </row>
    <row r="63" spans="1:224">
      <c r="A63" s="9" t="s">
        <v>92</v>
      </c>
      <c r="B63" s="15" t="s">
        <v>145</v>
      </c>
      <c r="C63" s="19"/>
      <c r="D63" s="19"/>
      <c r="E63" s="19"/>
      <c r="F63" s="19"/>
      <c r="G63" s="19"/>
      <c r="H63" s="19"/>
      <c r="I63" s="19"/>
      <c r="J63" s="19" t="s">
        <v>4</v>
      </c>
      <c r="K63" s="19"/>
      <c r="L63" s="19"/>
      <c r="M63" s="19" t="s">
        <v>96</v>
      </c>
      <c r="N63" s="19">
        <v>6945346</v>
      </c>
      <c r="O63" s="19">
        <v>1030120</v>
      </c>
      <c r="P63" s="19"/>
      <c r="Q63" s="19"/>
      <c r="R63" s="19"/>
      <c r="S63" s="19"/>
      <c r="T63" s="19" t="s">
        <v>96</v>
      </c>
      <c r="U63" s="19"/>
      <c r="V63" s="19"/>
      <c r="W63" s="19"/>
      <c r="X63" s="19"/>
      <c r="Y63" s="19"/>
      <c r="Z63" s="19"/>
      <c r="AA63" s="19"/>
      <c r="AB63" s="19"/>
      <c r="AC63" s="19"/>
      <c r="AD63" s="19"/>
      <c r="AE63" s="19"/>
      <c r="AF63" s="19"/>
      <c r="AG63" s="19"/>
      <c r="AH63" s="19">
        <v>823744</v>
      </c>
      <c r="AI63" s="19"/>
      <c r="AJ63" s="19"/>
      <c r="AK63" s="19" t="s">
        <v>89</v>
      </c>
      <c r="AL63" s="19"/>
      <c r="AM63" s="19" t="s">
        <v>4</v>
      </c>
      <c r="AN63" s="19">
        <v>12347</v>
      </c>
      <c r="AO63" s="19"/>
      <c r="AP63" s="19"/>
      <c r="AQ63" s="19" t="s">
        <v>172</v>
      </c>
      <c r="AR63" s="19"/>
      <c r="AS63" s="19"/>
      <c r="AT63" s="19"/>
      <c r="AU63" s="19"/>
      <c r="AV63" s="19"/>
      <c r="AW63" s="19"/>
      <c r="AX63" s="19" t="s">
        <v>4</v>
      </c>
      <c r="AY63" s="19"/>
      <c r="AZ63" s="19"/>
      <c r="BA63" s="19"/>
      <c r="BB63" s="19"/>
      <c r="BC63" s="19"/>
      <c r="BD63" s="19">
        <v>5038</v>
      </c>
      <c r="BE63" s="19"/>
      <c r="BF63" s="19"/>
      <c r="BG63" s="19"/>
      <c r="BH63" s="19"/>
      <c r="BI63" s="19"/>
      <c r="BJ63" s="19"/>
      <c r="BK63" s="19"/>
      <c r="BL63" s="19"/>
      <c r="BM63" s="19"/>
      <c r="BN63" s="19"/>
      <c r="BO63" s="19"/>
      <c r="BP63" s="19"/>
      <c r="BQ63" s="19" t="s">
        <v>4</v>
      </c>
      <c r="BR63" s="19"/>
      <c r="BS63" s="19"/>
      <c r="BT63" s="19"/>
      <c r="BU63" s="19"/>
      <c r="BV63" s="19"/>
      <c r="BW63" s="19"/>
      <c r="BX63" s="19"/>
      <c r="BY63" s="19"/>
      <c r="BZ63" s="19"/>
      <c r="CA63" s="19"/>
      <c r="CB63" s="19"/>
      <c r="CC63" s="19"/>
      <c r="CD63" s="19"/>
      <c r="CE63" s="19"/>
      <c r="CF63" s="19"/>
      <c r="CG63" s="19"/>
      <c r="CH63" s="19"/>
      <c r="CI63" s="19" t="s">
        <v>89</v>
      </c>
      <c r="CJ63" s="19"/>
      <c r="CK63" s="19"/>
      <c r="CL63" s="19"/>
      <c r="CM63" s="19"/>
      <c r="CN63" s="19"/>
      <c r="CO63" s="19"/>
      <c r="CP63" s="19"/>
      <c r="CQ63" s="19" t="s">
        <v>96</v>
      </c>
      <c r="CR63" s="19"/>
      <c r="CS63" s="19"/>
      <c r="CT63" s="19"/>
      <c r="CU63" s="19"/>
      <c r="CV63" s="19"/>
      <c r="CW63" s="19">
        <v>126900</v>
      </c>
      <c r="CX63" s="19"/>
      <c r="CY63" s="19"/>
      <c r="CZ63" s="19"/>
      <c r="DA63" s="19"/>
      <c r="DB63" s="19"/>
      <c r="DC63" s="19"/>
      <c r="DD63" s="19"/>
      <c r="DE63" s="19"/>
      <c r="DF63" s="19"/>
      <c r="DG63" s="19"/>
      <c r="DH63" s="19"/>
      <c r="DI63" s="19"/>
      <c r="DJ63" s="19"/>
      <c r="DK63" s="19"/>
      <c r="DL63" s="19"/>
      <c r="DM63" s="19"/>
      <c r="DN63" s="19"/>
      <c r="DO63" s="19"/>
      <c r="DP63" s="19"/>
      <c r="DQ63" s="19"/>
      <c r="DR63" s="19"/>
      <c r="DS63" s="19"/>
      <c r="DT63" s="19"/>
      <c r="DU63" s="19"/>
      <c r="DV63" s="19"/>
      <c r="DW63" s="19"/>
      <c r="DX63" s="19"/>
      <c r="DY63" s="19"/>
      <c r="DZ63" s="19"/>
      <c r="EA63" s="19"/>
      <c r="EB63" s="19"/>
      <c r="EC63" s="19"/>
      <c r="ED63" s="19"/>
      <c r="EE63" s="19"/>
      <c r="EF63" s="19"/>
      <c r="EG63" s="19"/>
      <c r="EH63" s="19"/>
      <c r="EI63" s="19"/>
      <c r="EJ63" s="19"/>
      <c r="EK63" s="19" t="s">
        <v>89</v>
      </c>
      <c r="EL63" s="19"/>
      <c r="EM63" s="19"/>
      <c r="EN63" s="19"/>
      <c r="EO63" s="19"/>
      <c r="EP63" s="19"/>
      <c r="EQ63" s="19"/>
      <c r="ER63" s="19"/>
      <c r="ES63" s="19"/>
      <c r="ET63" s="19"/>
      <c r="EU63" s="19"/>
      <c r="EV63" s="19"/>
      <c r="EW63" s="19"/>
      <c r="EX63" s="19"/>
      <c r="EY63" s="19"/>
      <c r="EZ63" s="19"/>
      <c r="FA63" s="19"/>
      <c r="FB63" s="19"/>
      <c r="FC63" s="19"/>
      <c r="FD63" s="19"/>
      <c r="FE63" s="19"/>
      <c r="FF63" s="19"/>
      <c r="FG63" s="19"/>
      <c r="FH63" s="19"/>
      <c r="FI63" s="19"/>
      <c r="FJ63" s="19"/>
      <c r="FK63" s="19"/>
      <c r="FL63" s="19"/>
      <c r="FM63" s="19"/>
      <c r="FN63" s="19"/>
      <c r="FO63" s="19"/>
      <c r="FP63" s="19"/>
      <c r="FQ63" s="19"/>
      <c r="FR63" s="19"/>
      <c r="FS63" s="19"/>
      <c r="FT63" s="19"/>
      <c r="FU63" s="19" t="s">
        <v>152</v>
      </c>
      <c r="FV63" s="19"/>
      <c r="FW63" s="19"/>
      <c r="FX63" s="19"/>
      <c r="FY63" s="19"/>
      <c r="FZ63" s="19"/>
      <c r="GA63" s="19">
        <v>0</v>
      </c>
      <c r="GB63" s="19"/>
      <c r="GC63" s="19"/>
      <c r="GD63" s="19" t="s">
        <v>96</v>
      </c>
      <c r="GE63" s="19"/>
      <c r="GF63" s="19"/>
      <c r="GG63" s="19"/>
      <c r="GH63" s="19"/>
      <c r="GI63" s="19"/>
      <c r="GJ63" s="19"/>
      <c r="GK63" s="19"/>
      <c r="GL63" s="19"/>
      <c r="GM63" s="19"/>
      <c r="GN63" s="19"/>
      <c r="GO63" s="19"/>
      <c r="GP63" s="19"/>
      <c r="GQ63" s="19"/>
      <c r="GR63" s="19"/>
      <c r="GS63" s="19"/>
      <c r="GT63" s="19"/>
      <c r="GU63" s="19"/>
      <c r="GV63" s="19" t="s">
        <v>89</v>
      </c>
      <c r="GW63" s="19"/>
      <c r="GX63" s="19"/>
      <c r="GY63" s="19"/>
      <c r="GZ63" s="19"/>
      <c r="HA63" s="19"/>
      <c r="HB63" s="19"/>
      <c r="HC63" s="19"/>
      <c r="HD63" s="19" t="s">
        <v>89</v>
      </c>
      <c r="HE63" s="19"/>
      <c r="HF63" s="19"/>
      <c r="HG63" s="19"/>
      <c r="HH63" s="19"/>
      <c r="HI63" s="19"/>
      <c r="HJ63" s="19"/>
      <c r="HK63" s="19"/>
      <c r="HL63" s="19"/>
      <c r="HM63" s="19"/>
      <c r="HN63" s="19"/>
      <c r="HO63" s="19"/>
      <c r="HP63" s="19" t="s">
        <v>89</v>
      </c>
    </row>
    <row r="64" spans="1:224">
      <c r="A64" s="9" t="s">
        <v>92</v>
      </c>
      <c r="B64" s="16" t="s">
        <v>78</v>
      </c>
      <c r="C64" s="19">
        <v>192114131</v>
      </c>
      <c r="D64" s="19">
        <v>288628554</v>
      </c>
      <c r="E64" s="19">
        <v>84938649</v>
      </c>
      <c r="F64" s="19">
        <v>150471478</v>
      </c>
      <c r="G64" s="19">
        <v>0</v>
      </c>
      <c r="H64" s="19">
        <v>279472527</v>
      </c>
      <c r="I64" s="19">
        <v>0</v>
      </c>
      <c r="J64" s="19" t="s">
        <v>4</v>
      </c>
      <c r="K64" s="19">
        <v>987122848</v>
      </c>
      <c r="L64" s="19">
        <v>12272562</v>
      </c>
      <c r="M64" s="19" t="s">
        <v>96</v>
      </c>
      <c r="N64" s="19">
        <v>338174471</v>
      </c>
      <c r="O64" s="19">
        <v>71463968</v>
      </c>
      <c r="P64" s="19">
        <v>148264131</v>
      </c>
      <c r="Q64" s="19">
        <v>5000000</v>
      </c>
      <c r="R64" s="19">
        <v>76144868</v>
      </c>
      <c r="S64" s="19">
        <v>194972921</v>
      </c>
      <c r="T64" s="19" t="s">
        <v>96</v>
      </c>
      <c r="U64" s="19">
        <v>113209544</v>
      </c>
      <c r="V64" s="19">
        <v>0</v>
      </c>
      <c r="W64" s="19">
        <v>118539613</v>
      </c>
      <c r="X64" s="19">
        <v>53200000</v>
      </c>
      <c r="Y64" s="19">
        <v>411827037</v>
      </c>
      <c r="Z64" s="19">
        <v>0</v>
      </c>
      <c r="AA64" s="19">
        <v>79572840</v>
      </c>
      <c r="AB64" s="19">
        <v>80556743</v>
      </c>
      <c r="AC64" s="19">
        <v>121024960</v>
      </c>
      <c r="AD64" s="19">
        <v>0</v>
      </c>
      <c r="AE64" s="19">
        <v>124000000</v>
      </c>
      <c r="AF64" s="19">
        <v>208139220</v>
      </c>
      <c r="AG64" s="19">
        <v>28148224</v>
      </c>
      <c r="AH64" s="19">
        <v>958051481</v>
      </c>
      <c r="AI64" s="19">
        <v>39225793</v>
      </c>
      <c r="AJ64" s="19">
        <v>71395172</v>
      </c>
      <c r="AK64" s="19" t="s">
        <v>89</v>
      </c>
      <c r="AL64" s="19">
        <v>21998899</v>
      </c>
      <c r="AM64" s="19" t="s">
        <v>4</v>
      </c>
      <c r="AN64" s="19">
        <v>51196851</v>
      </c>
      <c r="AO64" s="19">
        <v>78335094</v>
      </c>
      <c r="AP64" s="19">
        <v>40898923</v>
      </c>
      <c r="AQ64" s="19" t="s">
        <v>172</v>
      </c>
      <c r="AR64" s="19">
        <v>61928731</v>
      </c>
      <c r="AS64" s="19">
        <v>514843974</v>
      </c>
      <c r="AT64" s="19">
        <v>0</v>
      </c>
      <c r="AU64" s="19">
        <v>0</v>
      </c>
      <c r="AV64" s="19">
        <v>72437697</v>
      </c>
      <c r="AW64" s="19">
        <v>0</v>
      </c>
      <c r="AX64" s="19" t="s">
        <v>4</v>
      </c>
      <c r="AY64" s="19">
        <v>118325341</v>
      </c>
      <c r="AZ64" s="19">
        <v>0</v>
      </c>
      <c r="BA64" s="19">
        <v>391946167</v>
      </c>
      <c r="BB64" s="19">
        <v>0</v>
      </c>
      <c r="BC64" s="19">
        <v>1560000</v>
      </c>
      <c r="BD64" s="19">
        <v>105808635</v>
      </c>
      <c r="BE64" s="19">
        <v>31813115</v>
      </c>
      <c r="BF64" s="19">
        <v>105905848</v>
      </c>
      <c r="BG64" s="19">
        <v>28170641</v>
      </c>
      <c r="BH64" s="19">
        <v>0</v>
      </c>
      <c r="BI64" s="19">
        <v>54357274</v>
      </c>
      <c r="BJ64" s="19">
        <v>0</v>
      </c>
      <c r="BK64" s="19">
        <v>0</v>
      </c>
      <c r="BL64" s="19">
        <v>0</v>
      </c>
      <c r="BM64" s="19">
        <v>364052080</v>
      </c>
      <c r="BN64" s="19">
        <v>12395667</v>
      </c>
      <c r="BO64" s="19">
        <v>10705084</v>
      </c>
      <c r="BP64" s="19">
        <v>0</v>
      </c>
      <c r="BQ64" s="19" t="s">
        <v>4</v>
      </c>
      <c r="BR64" s="19">
        <v>171428920</v>
      </c>
      <c r="BS64" s="19">
        <v>9974480</v>
      </c>
      <c r="BT64" s="19">
        <v>0</v>
      </c>
      <c r="BU64" s="19">
        <v>442226157</v>
      </c>
      <c r="BV64" s="19">
        <v>62249614</v>
      </c>
      <c r="BW64" s="19">
        <v>55062778</v>
      </c>
      <c r="BX64" s="19">
        <v>0</v>
      </c>
      <c r="BY64" s="19">
        <v>5422824</v>
      </c>
      <c r="BZ64" s="19">
        <v>30465892</v>
      </c>
      <c r="CA64" s="19">
        <v>14417778</v>
      </c>
      <c r="CB64" s="19">
        <v>5000000</v>
      </c>
      <c r="CC64" s="19">
        <v>54463958</v>
      </c>
      <c r="CD64" s="19">
        <v>449009426</v>
      </c>
      <c r="CE64" s="19">
        <v>73521126</v>
      </c>
      <c r="CF64" s="19">
        <v>49332348</v>
      </c>
      <c r="CG64" s="19">
        <v>158662741</v>
      </c>
      <c r="CH64" s="19">
        <v>97872167</v>
      </c>
      <c r="CI64" s="19" t="s">
        <v>89</v>
      </c>
      <c r="CJ64" s="19">
        <v>0</v>
      </c>
      <c r="CK64" s="19">
        <v>76894660</v>
      </c>
      <c r="CL64" s="19">
        <v>18000000</v>
      </c>
      <c r="CM64" s="19">
        <v>232375730</v>
      </c>
      <c r="CN64" s="19">
        <v>0</v>
      </c>
      <c r="CO64" s="19">
        <v>10000000</v>
      </c>
      <c r="CP64" s="19">
        <v>38499628</v>
      </c>
      <c r="CQ64" s="19" t="s">
        <v>96</v>
      </c>
      <c r="CR64" s="19">
        <v>4160000</v>
      </c>
      <c r="CS64" s="19">
        <v>789245397</v>
      </c>
      <c r="CT64" s="19">
        <v>0</v>
      </c>
      <c r="CU64" s="19">
        <v>24570312</v>
      </c>
      <c r="CV64" s="19">
        <v>0</v>
      </c>
      <c r="CW64" s="19">
        <v>98558381</v>
      </c>
      <c r="CX64" s="19">
        <v>0</v>
      </c>
      <c r="CY64" s="19">
        <v>902669749</v>
      </c>
      <c r="CZ64" s="19">
        <v>97549603</v>
      </c>
      <c r="DA64" s="19">
        <v>5000000</v>
      </c>
      <c r="DB64" s="19">
        <v>0</v>
      </c>
      <c r="DC64" s="19">
        <v>0</v>
      </c>
      <c r="DD64" s="19">
        <v>44404678</v>
      </c>
      <c r="DE64" s="19">
        <v>840000</v>
      </c>
      <c r="DF64" s="19">
        <v>0</v>
      </c>
      <c r="DG64" s="19">
        <v>96404229</v>
      </c>
      <c r="DH64" s="19">
        <v>58372117</v>
      </c>
      <c r="DI64" s="19">
        <v>0</v>
      </c>
      <c r="DJ64" s="19">
        <v>0</v>
      </c>
      <c r="DK64" s="19">
        <v>0</v>
      </c>
      <c r="DL64" s="19">
        <v>66800396</v>
      </c>
      <c r="DM64" s="19">
        <v>0</v>
      </c>
      <c r="DN64" s="19">
        <v>47526145</v>
      </c>
      <c r="DO64" s="19">
        <v>62480950</v>
      </c>
      <c r="DP64" s="19">
        <v>38920796</v>
      </c>
      <c r="DQ64" s="19">
        <v>0</v>
      </c>
      <c r="DR64" s="19">
        <v>140037210</v>
      </c>
      <c r="DS64" s="19">
        <v>0</v>
      </c>
      <c r="DT64" s="19">
        <v>217767810</v>
      </c>
      <c r="DU64" s="19">
        <v>0</v>
      </c>
      <c r="DW64" s="19">
        <v>0</v>
      </c>
      <c r="DX64" s="19">
        <v>0</v>
      </c>
      <c r="DY64" s="19">
        <v>5661500</v>
      </c>
      <c r="DZ64" s="19">
        <v>34614325</v>
      </c>
      <c r="EA64" s="19">
        <v>0</v>
      </c>
      <c r="EB64" s="19">
        <v>406860540</v>
      </c>
      <c r="EC64" s="19">
        <v>2500000</v>
      </c>
      <c r="ED64" s="19">
        <v>25466330</v>
      </c>
      <c r="EE64" s="19">
        <v>0</v>
      </c>
      <c r="EF64" s="19">
        <v>47484220</v>
      </c>
      <c r="EG64" s="19">
        <v>0</v>
      </c>
      <c r="EH64" s="19">
        <v>3858300</v>
      </c>
      <c r="EI64" s="19">
        <v>300000</v>
      </c>
      <c r="EJ64" s="19">
        <v>262208360</v>
      </c>
      <c r="EK64" s="19" t="s">
        <v>89</v>
      </c>
      <c r="EL64" s="19">
        <v>272409000</v>
      </c>
      <c r="EM64" s="19">
        <v>17848700</v>
      </c>
      <c r="EN64" s="19">
        <v>76794920</v>
      </c>
      <c r="EO64" s="19">
        <v>75000000</v>
      </c>
      <c r="EP64" s="19">
        <v>213443900</v>
      </c>
      <c r="EQ64" s="19">
        <v>0</v>
      </c>
      <c r="ER64" s="19">
        <v>15537000</v>
      </c>
      <c r="ES64" s="19">
        <v>0</v>
      </c>
      <c r="ET64" s="19">
        <v>0</v>
      </c>
      <c r="EU64" s="19">
        <v>0</v>
      </c>
      <c r="EV64" s="19">
        <v>0</v>
      </c>
      <c r="EW64" s="19">
        <v>156750</v>
      </c>
      <c r="EX64" s="19">
        <v>0</v>
      </c>
      <c r="EY64" s="19">
        <v>13647400</v>
      </c>
      <c r="EZ64" s="19">
        <v>17793370</v>
      </c>
      <c r="FA64" s="19">
        <v>0</v>
      </c>
      <c r="FB64" s="19">
        <v>41746029</v>
      </c>
      <c r="FC64" s="19">
        <v>0</v>
      </c>
      <c r="FD64" s="19">
        <v>41272000</v>
      </c>
      <c r="FE64" s="19">
        <v>21865000</v>
      </c>
      <c r="FF64" s="19">
        <v>0</v>
      </c>
      <c r="FG64" s="19">
        <v>693496631</v>
      </c>
      <c r="FH64" s="19">
        <v>0</v>
      </c>
      <c r="FI64" s="19">
        <v>82295736</v>
      </c>
      <c r="FJ64" s="19">
        <v>0</v>
      </c>
      <c r="FK64" s="19">
        <v>1998900</v>
      </c>
      <c r="FL64" s="19">
        <v>70000000</v>
      </c>
      <c r="FM64" s="19">
        <v>31770078</v>
      </c>
      <c r="FN64" s="19">
        <v>47465182</v>
      </c>
      <c r="FO64" s="19">
        <v>0</v>
      </c>
      <c r="FP64" s="19">
        <v>51178850</v>
      </c>
      <c r="FQ64" s="19">
        <v>4000000</v>
      </c>
      <c r="FR64" s="19">
        <v>0</v>
      </c>
      <c r="FS64" s="19">
        <v>38586504</v>
      </c>
      <c r="FT64" s="19">
        <v>557853790</v>
      </c>
      <c r="FU64" s="19" t="s">
        <v>152</v>
      </c>
      <c r="FV64" s="19">
        <v>121900285</v>
      </c>
      <c r="FW64" s="19">
        <v>14617150</v>
      </c>
      <c r="FX64" s="19">
        <v>27169794</v>
      </c>
      <c r="FY64" s="19">
        <v>0</v>
      </c>
      <c r="FZ64" s="19">
        <v>109000000</v>
      </c>
      <c r="GA64" s="19" t="s">
        <v>121</v>
      </c>
      <c r="GB64" s="19">
        <v>23767601</v>
      </c>
      <c r="GC64" s="19">
        <v>0</v>
      </c>
      <c r="GD64" s="19" t="s">
        <v>96</v>
      </c>
      <c r="GE64" s="19">
        <v>10374800</v>
      </c>
      <c r="GF64" s="19">
        <v>0</v>
      </c>
      <c r="GG64" s="19">
        <v>763516197</v>
      </c>
      <c r="GH64" s="19">
        <v>0</v>
      </c>
      <c r="GI64" s="19">
        <v>8500000</v>
      </c>
      <c r="GJ64" s="19">
        <v>65116520</v>
      </c>
      <c r="GK64" s="19">
        <v>55000000</v>
      </c>
      <c r="GL64" s="19">
        <v>0</v>
      </c>
      <c r="GM64" s="19">
        <v>0</v>
      </c>
      <c r="GN64" s="19">
        <v>5799980</v>
      </c>
      <c r="GO64" s="19">
        <v>22917670</v>
      </c>
      <c r="GP64" s="19">
        <v>0</v>
      </c>
      <c r="GQ64" s="19">
        <v>204362744</v>
      </c>
      <c r="GR64" s="19">
        <v>385142354</v>
      </c>
      <c r="GS64" s="19">
        <v>0</v>
      </c>
      <c r="GT64" s="19">
        <v>8500000</v>
      </c>
      <c r="GU64" s="19">
        <v>196327633</v>
      </c>
      <c r="GV64" s="19" t="s">
        <v>89</v>
      </c>
      <c r="GW64" s="19">
        <v>2247301</v>
      </c>
      <c r="GX64" s="19">
        <v>33098033</v>
      </c>
      <c r="GY64" s="19">
        <v>0</v>
      </c>
      <c r="GZ64" s="19">
        <v>25120583</v>
      </c>
      <c r="HA64" s="19">
        <v>0</v>
      </c>
      <c r="HB64" s="19">
        <v>303829970</v>
      </c>
      <c r="HC64" s="19">
        <v>25811000</v>
      </c>
      <c r="HD64" s="19" t="s">
        <v>89</v>
      </c>
      <c r="HE64" s="19">
        <v>136039484</v>
      </c>
      <c r="HF64" s="19">
        <v>32783370</v>
      </c>
      <c r="HG64" s="19">
        <v>4560000</v>
      </c>
      <c r="HH64" s="19">
        <v>0</v>
      </c>
      <c r="HI64" s="19">
        <v>0</v>
      </c>
      <c r="HJ64" s="19">
        <v>1560000</v>
      </c>
      <c r="HK64" s="19">
        <v>99999000</v>
      </c>
      <c r="HL64" s="19">
        <v>0</v>
      </c>
      <c r="HM64" s="19">
        <v>0</v>
      </c>
      <c r="HN64" s="19">
        <v>0</v>
      </c>
      <c r="HO64" s="19">
        <v>28973149</v>
      </c>
      <c r="HP64" s="19" t="s">
        <v>89</v>
      </c>
    </row>
    <row r="65" spans="1:224">
      <c r="A65" s="9" t="s">
        <v>92</v>
      </c>
      <c r="B65" s="17" t="s">
        <v>80</v>
      </c>
      <c r="C65" s="19">
        <v>7271450</v>
      </c>
      <c r="D65" s="19">
        <v>118446550</v>
      </c>
      <c r="E65" s="19">
        <v>20483580</v>
      </c>
      <c r="F65" s="19">
        <v>21558600</v>
      </c>
      <c r="G65" s="19"/>
      <c r="H65" s="19"/>
      <c r="I65" s="19"/>
      <c r="J65" s="19" t="s">
        <v>4</v>
      </c>
      <c r="K65" s="19"/>
      <c r="L65" s="19">
        <v>6617130</v>
      </c>
      <c r="M65" s="19" t="s">
        <v>96</v>
      </c>
      <c r="N65" s="19"/>
      <c r="O65" s="19"/>
      <c r="P65" s="19"/>
      <c r="Q65" s="19"/>
      <c r="R65" s="19">
        <v>61505450</v>
      </c>
      <c r="S65" s="19">
        <v>194972921</v>
      </c>
      <c r="T65" s="19" t="s">
        <v>96</v>
      </c>
      <c r="U65" s="19"/>
      <c r="V65" s="19"/>
      <c r="W65" s="19">
        <v>3946120</v>
      </c>
      <c r="X65" s="19">
        <v>53200000</v>
      </c>
      <c r="Y65" s="19">
        <v>396056026</v>
      </c>
      <c r="Z65" s="19">
        <v>0</v>
      </c>
      <c r="AA65" s="19">
        <v>24297400</v>
      </c>
      <c r="AB65" s="19">
        <v>2734180</v>
      </c>
      <c r="AC65" s="19">
        <v>121024960</v>
      </c>
      <c r="AD65" s="19"/>
      <c r="AE65" s="19"/>
      <c r="AF65" s="19"/>
      <c r="AG65" s="19"/>
      <c r="AH65" s="19"/>
      <c r="AI65" s="19">
        <v>4935500</v>
      </c>
      <c r="AJ65" s="19"/>
      <c r="AK65" s="19" t="s">
        <v>89</v>
      </c>
      <c r="AL65" s="19"/>
      <c r="AM65" s="19" t="s">
        <v>4</v>
      </c>
      <c r="AN65" s="19"/>
      <c r="AO65" s="19"/>
      <c r="AP65" s="19"/>
      <c r="AQ65" s="19" t="s">
        <v>172</v>
      </c>
      <c r="AR65" s="19"/>
      <c r="AS65" s="19"/>
      <c r="AT65" s="19"/>
      <c r="AU65" s="19"/>
      <c r="AV65" s="19"/>
      <c r="AW65" s="19"/>
      <c r="AX65" s="19" t="s">
        <v>4</v>
      </c>
      <c r="AY65" s="19">
        <v>23148260</v>
      </c>
      <c r="AZ65" s="19"/>
      <c r="BA65" s="19">
        <v>255092555</v>
      </c>
      <c r="BB65" s="19"/>
      <c r="BC65" s="19"/>
      <c r="BD65" s="19">
        <v>9026440</v>
      </c>
      <c r="BE65" s="19"/>
      <c r="BF65" s="19"/>
      <c r="BG65" s="19"/>
      <c r="BH65" s="19"/>
      <c r="BI65" s="19"/>
      <c r="BJ65" s="19"/>
      <c r="BK65" s="19"/>
      <c r="BL65" s="19"/>
      <c r="BM65" s="19"/>
      <c r="BN65" s="19">
        <v>5460000</v>
      </c>
      <c r="BO65" s="19"/>
      <c r="BP65" s="19"/>
      <c r="BQ65" s="19" t="s">
        <v>4</v>
      </c>
      <c r="BR65" s="19"/>
      <c r="BS65" s="19"/>
      <c r="BT65" s="19"/>
      <c r="BU65" s="19">
        <v>442226157</v>
      </c>
      <c r="BV65" s="19"/>
      <c r="BW65" s="19"/>
      <c r="BX65" s="19"/>
      <c r="BY65" s="19">
        <v>5422824</v>
      </c>
      <c r="BZ65" s="19"/>
      <c r="CA65" s="19"/>
      <c r="CB65" s="19"/>
      <c r="CC65" s="19"/>
      <c r="CD65" s="19">
        <v>9577362</v>
      </c>
      <c r="CE65" s="19"/>
      <c r="CF65" s="19">
        <v>49332348</v>
      </c>
      <c r="CG65" s="19"/>
      <c r="CH65" s="19"/>
      <c r="CI65" s="19" t="s">
        <v>89</v>
      </c>
      <c r="CJ65" s="19"/>
      <c r="CK65" s="19">
        <v>76894660</v>
      </c>
      <c r="CL65" s="19"/>
      <c r="CM65" s="19">
        <v>104623134</v>
      </c>
      <c r="CN65" s="19"/>
      <c r="CO65" s="19"/>
      <c r="CP65" s="19"/>
      <c r="CQ65" s="19" t="s">
        <v>96</v>
      </c>
      <c r="CR65" s="19">
        <v>4160000</v>
      </c>
      <c r="CS65" s="19">
        <v>789245397</v>
      </c>
      <c r="CT65" s="19"/>
      <c r="CU65" s="19"/>
      <c r="CV65" s="19"/>
      <c r="CW65" s="19">
        <v>8818190</v>
      </c>
      <c r="CX65" s="19"/>
      <c r="CY65" s="19">
        <v>293926288</v>
      </c>
      <c r="CZ65" s="19"/>
      <c r="DA65" s="19"/>
      <c r="DB65" s="19"/>
      <c r="DC65" s="19"/>
      <c r="DD65" s="19"/>
      <c r="DE65" s="19"/>
      <c r="DF65" s="19"/>
      <c r="DG65" s="19"/>
      <c r="DH65" s="19"/>
      <c r="DI65" s="19"/>
      <c r="DJ65" s="19"/>
      <c r="DK65" s="19"/>
      <c r="DL65" s="19"/>
      <c r="DM65" s="19"/>
      <c r="DN65" s="19"/>
      <c r="DO65" s="19">
        <v>62480950</v>
      </c>
      <c r="DP65" s="19">
        <v>10660000</v>
      </c>
      <c r="DQ65" s="19"/>
      <c r="DR65" s="19"/>
      <c r="DS65" s="19"/>
      <c r="DT65" s="19">
        <v>217767810</v>
      </c>
      <c r="DU65" s="19"/>
      <c r="DV65" s="19"/>
      <c r="DW65" s="19"/>
      <c r="DX65" s="19"/>
      <c r="DY65" s="19">
        <v>5661500</v>
      </c>
      <c r="DZ65" s="19">
        <v>6000000</v>
      </c>
      <c r="EA65" s="19"/>
      <c r="EB65" s="19">
        <v>190215000</v>
      </c>
      <c r="EC65" s="19">
        <v>2500000</v>
      </c>
      <c r="ED65" s="19">
        <v>25466330</v>
      </c>
      <c r="EE65" s="19">
        <v>0</v>
      </c>
      <c r="EF65" s="19">
        <v>47484220</v>
      </c>
      <c r="EG65" s="19">
        <v>0</v>
      </c>
      <c r="EH65" s="19">
        <v>0</v>
      </c>
      <c r="EI65" s="19">
        <v>0</v>
      </c>
      <c r="EJ65" s="19">
        <v>40437660</v>
      </c>
      <c r="EK65" s="19" t="s">
        <v>89</v>
      </c>
      <c r="EL65" s="19">
        <v>0</v>
      </c>
      <c r="EM65" s="19">
        <v>15998700</v>
      </c>
      <c r="EN65" s="19">
        <v>16406280</v>
      </c>
      <c r="EO65" s="19">
        <v>0</v>
      </c>
      <c r="EP65" s="19">
        <v>0</v>
      </c>
      <c r="EQ65" s="19">
        <v>0</v>
      </c>
      <c r="ER65" s="19">
        <v>0</v>
      </c>
      <c r="ES65" s="19">
        <v>0</v>
      </c>
      <c r="ET65" s="19">
        <v>0</v>
      </c>
      <c r="EU65" s="19">
        <v>0</v>
      </c>
      <c r="EV65" s="19">
        <v>0</v>
      </c>
      <c r="EW65" s="19">
        <v>0</v>
      </c>
      <c r="EX65" s="19">
        <v>0</v>
      </c>
      <c r="EY65" s="19">
        <v>0</v>
      </c>
      <c r="EZ65" s="19">
        <v>0</v>
      </c>
      <c r="FA65" s="19">
        <v>0</v>
      </c>
      <c r="FB65" s="19">
        <v>3952250</v>
      </c>
      <c r="FC65" s="19">
        <v>0</v>
      </c>
      <c r="FD65" s="19">
        <v>0</v>
      </c>
      <c r="FE65" s="19">
        <v>21865000</v>
      </c>
      <c r="FF65" s="19">
        <v>0</v>
      </c>
      <c r="FG65" s="19">
        <v>0</v>
      </c>
      <c r="FH65" s="19">
        <v>0</v>
      </c>
      <c r="FI65" s="19">
        <v>0</v>
      </c>
      <c r="FJ65" s="19">
        <v>0</v>
      </c>
      <c r="FK65" s="19">
        <v>1998900</v>
      </c>
      <c r="FL65" s="19">
        <v>0</v>
      </c>
      <c r="FM65" s="19">
        <v>0</v>
      </c>
      <c r="FN65" s="19">
        <v>47465182</v>
      </c>
      <c r="FO65" s="19">
        <v>0</v>
      </c>
      <c r="FP65" s="19">
        <v>11178850</v>
      </c>
      <c r="FQ65" s="19"/>
      <c r="FR65" s="19">
        <v>0</v>
      </c>
      <c r="FS65" s="19">
        <v>38586504</v>
      </c>
      <c r="FT65" s="19">
        <v>257853790</v>
      </c>
      <c r="FU65" s="19" t="s">
        <v>152</v>
      </c>
      <c r="FV65" s="19">
        <v>0</v>
      </c>
      <c r="FW65" s="19">
        <v>14617150</v>
      </c>
      <c r="FX65" s="19">
        <v>0</v>
      </c>
      <c r="FY65" s="19">
        <v>0</v>
      </c>
      <c r="FZ65" s="19">
        <v>0</v>
      </c>
      <c r="GA65" s="19">
        <v>138650000</v>
      </c>
      <c r="GB65" s="19"/>
      <c r="GC65" s="19">
        <v>0</v>
      </c>
      <c r="GD65" s="19" t="s">
        <v>96</v>
      </c>
      <c r="GE65" s="19">
        <v>10374800</v>
      </c>
      <c r="GF65" s="19">
        <v>0</v>
      </c>
      <c r="GG65" s="19">
        <v>643243470</v>
      </c>
      <c r="GH65" s="19">
        <v>0</v>
      </c>
      <c r="GI65" s="19"/>
      <c r="GJ65" s="19"/>
      <c r="GK65" s="19"/>
      <c r="GL65" s="19"/>
      <c r="GM65" s="19"/>
      <c r="GN65" s="19"/>
      <c r="GO65" s="19"/>
      <c r="GP65" s="19"/>
      <c r="GQ65" s="19">
        <v>204362744</v>
      </c>
      <c r="GR65" s="19">
        <v>385142354</v>
      </c>
      <c r="GS65" s="19"/>
      <c r="GT65" s="19"/>
      <c r="GU65" s="19"/>
      <c r="GV65" s="19" t="s">
        <v>89</v>
      </c>
      <c r="GW65" s="19">
        <v>2247301</v>
      </c>
      <c r="GX65" s="19">
        <v>33098033</v>
      </c>
      <c r="GY65" s="19"/>
      <c r="GZ65" s="19">
        <v>25120583</v>
      </c>
      <c r="HA65" s="19"/>
      <c r="HB65" s="19"/>
      <c r="HC65" s="19">
        <v>25811000</v>
      </c>
      <c r="HD65" s="19" t="s">
        <v>89</v>
      </c>
      <c r="HE65" s="19"/>
      <c r="HF65" s="19">
        <v>32783370</v>
      </c>
      <c r="HG65" s="19">
        <v>4560000</v>
      </c>
      <c r="HH65" s="19"/>
      <c r="HI65" s="19"/>
      <c r="HJ65" s="19"/>
      <c r="HK65" s="19">
        <v>99999000</v>
      </c>
      <c r="HL65" s="19"/>
      <c r="HM65" s="19"/>
      <c r="HN65" s="19"/>
      <c r="HO65" s="19">
        <v>27353149</v>
      </c>
      <c r="HP65" s="19" t="s">
        <v>89</v>
      </c>
    </row>
    <row r="66" spans="1:224">
      <c r="A66" s="9" t="s">
        <v>92</v>
      </c>
      <c r="B66" s="17" t="s">
        <v>7</v>
      </c>
      <c r="C66" s="19"/>
      <c r="D66" s="19">
        <v>125358004</v>
      </c>
      <c r="E66" s="19"/>
      <c r="F66" s="19"/>
      <c r="G66" s="19"/>
      <c r="H66" s="19">
        <v>273972527</v>
      </c>
      <c r="I66" s="19"/>
      <c r="J66" s="19" t="s">
        <v>4</v>
      </c>
      <c r="K66" s="19"/>
      <c r="L66" s="19"/>
      <c r="M66" s="19" t="s">
        <v>96</v>
      </c>
      <c r="N66" s="19"/>
      <c r="O66" s="19"/>
      <c r="P66" s="19">
        <v>94276810</v>
      </c>
      <c r="Q66" s="19"/>
      <c r="R66" s="19"/>
      <c r="S66" s="19"/>
      <c r="T66" s="19" t="s">
        <v>96</v>
      </c>
      <c r="U66" s="19">
        <v>113209544</v>
      </c>
      <c r="V66" s="19"/>
      <c r="W66" s="19"/>
      <c r="X66" s="19"/>
      <c r="Y66" s="19"/>
      <c r="Z66" s="19"/>
      <c r="AA66" s="19"/>
      <c r="AB66" s="19">
        <v>77822563</v>
      </c>
      <c r="AC66" s="19"/>
      <c r="AD66" s="19"/>
      <c r="AE66" s="19">
        <v>124000000</v>
      </c>
      <c r="AF66" s="19"/>
      <c r="AG66" s="19">
        <v>28148224</v>
      </c>
      <c r="AH66" s="19"/>
      <c r="AI66" s="19"/>
      <c r="AJ66" s="19">
        <v>0</v>
      </c>
      <c r="AK66" s="19" t="s">
        <v>89</v>
      </c>
      <c r="AL66" s="19"/>
      <c r="AM66" s="19" t="s">
        <v>4</v>
      </c>
      <c r="AN66" s="19"/>
      <c r="AO66" s="19"/>
      <c r="AP66" s="19"/>
      <c r="AQ66" s="19" t="s">
        <v>172</v>
      </c>
      <c r="AR66" s="19"/>
      <c r="AS66" s="19">
        <v>387642000</v>
      </c>
      <c r="AT66" s="19">
        <v>0</v>
      </c>
      <c r="AU66" s="19"/>
      <c r="AV66" s="19"/>
      <c r="AW66" s="19"/>
      <c r="AX66" s="19" t="s">
        <v>4</v>
      </c>
      <c r="AY66" s="19"/>
      <c r="AZ66" s="19"/>
      <c r="BA66" s="19"/>
      <c r="BB66" s="19"/>
      <c r="BC66" s="19">
        <v>1560000</v>
      </c>
      <c r="BD66" s="19"/>
      <c r="BE66" s="19">
        <v>8780000</v>
      </c>
      <c r="BF66" s="19"/>
      <c r="BG66" s="19"/>
      <c r="BH66" s="19"/>
      <c r="BI66" s="19">
        <v>54357274</v>
      </c>
      <c r="BJ66" s="19"/>
      <c r="BK66" s="19"/>
      <c r="BL66" s="19"/>
      <c r="BM66" s="19">
        <v>364052080</v>
      </c>
      <c r="BN66" s="19"/>
      <c r="BO66" s="19">
        <v>10705084</v>
      </c>
      <c r="BP66" s="19"/>
      <c r="BQ66" s="19" t="s">
        <v>4</v>
      </c>
      <c r="BR66" s="19">
        <v>71428920</v>
      </c>
      <c r="BS66" s="19">
        <v>9974480</v>
      </c>
      <c r="BT66" s="19"/>
      <c r="BU66" s="19"/>
      <c r="BV66" s="19">
        <v>33036000</v>
      </c>
      <c r="BW66" s="19"/>
      <c r="BX66" s="19"/>
      <c r="BY66" s="19"/>
      <c r="BZ66" s="19"/>
      <c r="CA66" s="19">
        <v>14417778</v>
      </c>
      <c r="CB66" s="19">
        <v>5000000</v>
      </c>
      <c r="CC66" s="19"/>
      <c r="CD66" s="19"/>
      <c r="CE66" s="19"/>
      <c r="CF66" s="19"/>
      <c r="CG66" s="19"/>
      <c r="CH66" s="19">
        <v>97872167</v>
      </c>
      <c r="CI66" s="19" t="s">
        <v>89</v>
      </c>
      <c r="CJ66" s="19"/>
      <c r="CK66" s="19"/>
      <c r="CL66" s="19"/>
      <c r="CM66" s="19"/>
      <c r="CN66" s="19"/>
      <c r="CO66" s="19">
        <v>8000000</v>
      </c>
      <c r="CP66" s="19"/>
      <c r="CQ66" s="19" t="s">
        <v>96</v>
      </c>
      <c r="CR66" s="19"/>
      <c r="CS66" s="19"/>
      <c r="CT66" s="19"/>
      <c r="CU66" s="19"/>
      <c r="CV66" s="19"/>
      <c r="CW66" s="19"/>
      <c r="CX66" s="19"/>
      <c r="CY66" s="19"/>
      <c r="CZ66" s="19"/>
      <c r="DA66" s="19"/>
      <c r="DB66" s="19"/>
      <c r="DC66" s="19"/>
      <c r="DD66" s="19"/>
      <c r="DE66" s="19"/>
      <c r="DF66" s="19"/>
      <c r="DG66" s="19"/>
      <c r="DH66" s="19"/>
      <c r="DI66" s="19"/>
      <c r="DJ66" s="19"/>
      <c r="DK66" s="19"/>
      <c r="DL66" s="19"/>
      <c r="DM66" s="19"/>
      <c r="DN66" s="19"/>
      <c r="DO66" s="19"/>
      <c r="DP66" s="19"/>
      <c r="DQ66" s="19"/>
      <c r="DR66" s="19">
        <v>140037210</v>
      </c>
      <c r="DS66" s="19"/>
      <c r="DT66" s="19"/>
      <c r="DU66" s="19"/>
      <c r="DV66" s="19"/>
      <c r="DW66" s="19"/>
      <c r="DX66" s="19"/>
      <c r="DY66" s="19"/>
      <c r="DZ66" s="19"/>
      <c r="EA66" s="19"/>
      <c r="EB66" s="19"/>
      <c r="EC66" s="19">
        <v>0</v>
      </c>
      <c r="ED66" s="19">
        <v>0</v>
      </c>
      <c r="EE66" s="19">
        <v>0</v>
      </c>
      <c r="EF66" s="19">
        <v>0</v>
      </c>
      <c r="EG66" s="19">
        <v>0</v>
      </c>
      <c r="EH66" s="19">
        <v>3858300</v>
      </c>
      <c r="EI66" s="19">
        <v>0</v>
      </c>
      <c r="EJ66" s="19">
        <v>0</v>
      </c>
      <c r="EK66" s="19" t="s">
        <v>89</v>
      </c>
      <c r="EL66" s="19">
        <v>272278000</v>
      </c>
      <c r="EM66" s="19">
        <v>1850000</v>
      </c>
      <c r="EN66" s="19">
        <v>60388640</v>
      </c>
      <c r="EO66" s="19">
        <v>0</v>
      </c>
      <c r="EP66" s="19">
        <v>0</v>
      </c>
      <c r="EQ66" s="19">
        <v>0</v>
      </c>
      <c r="ER66" s="19">
        <v>0</v>
      </c>
      <c r="ES66" s="19">
        <v>0</v>
      </c>
      <c r="ET66" s="19">
        <v>0</v>
      </c>
      <c r="EU66" s="19">
        <v>0</v>
      </c>
      <c r="EV66" s="19">
        <v>0</v>
      </c>
      <c r="EW66" s="19">
        <v>156750</v>
      </c>
      <c r="EX66" s="19">
        <v>0</v>
      </c>
      <c r="EY66" s="19">
        <v>0</v>
      </c>
      <c r="EZ66" s="19">
        <v>0</v>
      </c>
      <c r="FA66" s="19">
        <v>0</v>
      </c>
      <c r="FB66" s="19">
        <v>0</v>
      </c>
      <c r="FC66" s="19">
        <v>0</v>
      </c>
      <c r="FD66" s="19">
        <v>41272000</v>
      </c>
      <c r="FE66" s="19">
        <v>0</v>
      </c>
      <c r="FF66" s="19">
        <v>0</v>
      </c>
      <c r="FG66" s="19">
        <v>0</v>
      </c>
      <c r="FH66" s="19">
        <v>0</v>
      </c>
      <c r="FI66" s="19">
        <v>0</v>
      </c>
      <c r="FJ66" s="19">
        <v>0</v>
      </c>
      <c r="FK66" s="19">
        <v>0</v>
      </c>
      <c r="FL66" s="19">
        <v>0</v>
      </c>
      <c r="FM66" s="19">
        <v>31770078</v>
      </c>
      <c r="FN66" s="19"/>
      <c r="FO66" s="19">
        <v>0</v>
      </c>
      <c r="FP66" s="19">
        <v>0</v>
      </c>
      <c r="FQ66" s="19">
        <v>4000000</v>
      </c>
      <c r="FR66" s="19">
        <v>0</v>
      </c>
      <c r="FS66" s="19">
        <v>0</v>
      </c>
      <c r="FT66" s="19">
        <v>0</v>
      </c>
      <c r="FU66" s="19" t="s">
        <v>152</v>
      </c>
      <c r="FV66" s="19">
        <v>121900285</v>
      </c>
      <c r="FW66" s="19">
        <v>0</v>
      </c>
      <c r="FX66" s="19">
        <v>0</v>
      </c>
      <c r="FY66" s="19">
        <v>0</v>
      </c>
      <c r="FZ66" s="19">
        <v>109000000</v>
      </c>
      <c r="GA66" s="19">
        <v>0</v>
      </c>
      <c r="GB66" s="19">
        <v>23767601</v>
      </c>
      <c r="GC66" s="19">
        <v>0</v>
      </c>
      <c r="GD66" s="19" t="s">
        <v>96</v>
      </c>
      <c r="GE66" s="19">
        <v>0</v>
      </c>
      <c r="GF66" s="19">
        <v>0</v>
      </c>
      <c r="GG66" s="19">
        <v>0</v>
      </c>
      <c r="GH66" s="19">
        <v>0</v>
      </c>
      <c r="GI66" s="19"/>
      <c r="GJ66" s="19"/>
      <c r="GK66" s="19">
        <v>55000000</v>
      </c>
      <c r="GL66" s="19"/>
      <c r="GM66" s="19"/>
      <c r="GN66" s="19"/>
      <c r="GO66" s="19">
        <v>22917670</v>
      </c>
      <c r="GP66" s="19"/>
      <c r="GQ66" s="19"/>
      <c r="GR66" s="19"/>
      <c r="GS66" s="19"/>
      <c r="GT66" s="19"/>
      <c r="GU66" s="19"/>
      <c r="GV66" s="19" t="s">
        <v>89</v>
      </c>
      <c r="GW66" s="19"/>
      <c r="GX66" s="19"/>
      <c r="GY66" s="19"/>
      <c r="GZ66" s="19"/>
      <c r="HA66" s="19"/>
      <c r="HB66" s="19">
        <v>133660166</v>
      </c>
      <c r="HC66" s="19"/>
      <c r="HD66" s="19" t="s">
        <v>89</v>
      </c>
      <c r="HE66" s="19">
        <v>136039484</v>
      </c>
      <c r="HF66" s="19"/>
      <c r="HG66" s="19"/>
      <c r="HH66" s="19"/>
      <c r="HI66" s="19"/>
      <c r="HJ66" s="19">
        <v>1560000</v>
      </c>
      <c r="HK66" s="19"/>
      <c r="HL66" s="19"/>
      <c r="HM66" s="19"/>
      <c r="HN66" s="19"/>
      <c r="HO66" s="19"/>
      <c r="HP66" s="19" t="s">
        <v>89</v>
      </c>
    </row>
    <row r="67" spans="1:224">
      <c r="A67" s="9" t="s">
        <v>92</v>
      </c>
      <c r="B67" s="17" t="s">
        <v>25</v>
      </c>
      <c r="C67" s="19">
        <v>184842681</v>
      </c>
      <c r="D67" s="19">
        <v>44824000</v>
      </c>
      <c r="E67" s="19"/>
      <c r="F67" s="19">
        <v>128912878</v>
      </c>
      <c r="G67" s="19"/>
      <c r="H67" s="19">
        <v>5500000</v>
      </c>
      <c r="I67" s="19"/>
      <c r="J67" s="19" t="s">
        <v>4</v>
      </c>
      <c r="K67" s="19">
        <v>987122848</v>
      </c>
      <c r="L67" s="19">
        <v>5655432</v>
      </c>
      <c r="M67" s="19" t="s">
        <v>96</v>
      </c>
      <c r="N67" s="19">
        <v>243754847</v>
      </c>
      <c r="O67" s="19">
        <v>71463968</v>
      </c>
      <c r="P67" s="19">
        <v>13987321</v>
      </c>
      <c r="Q67" s="19"/>
      <c r="R67" s="19"/>
      <c r="S67" s="19"/>
      <c r="T67" s="19" t="s">
        <v>96</v>
      </c>
      <c r="U67" s="19"/>
      <c r="V67" s="19"/>
      <c r="W67" s="19">
        <v>114593493</v>
      </c>
      <c r="X67" s="19"/>
      <c r="Y67" s="19"/>
      <c r="Z67" s="19"/>
      <c r="AA67" s="19">
        <v>55275440</v>
      </c>
      <c r="AB67" s="19"/>
      <c r="AC67" s="19"/>
      <c r="AD67" s="19"/>
      <c r="AE67" s="19"/>
      <c r="AF67" s="19">
        <v>208139220</v>
      </c>
      <c r="AG67" s="19"/>
      <c r="AH67" s="19"/>
      <c r="AI67" s="19">
        <v>34290293</v>
      </c>
      <c r="AJ67" s="19"/>
      <c r="AK67" s="19" t="s">
        <v>89</v>
      </c>
      <c r="AL67" s="19">
        <v>20248899</v>
      </c>
      <c r="AM67" s="19" t="s">
        <v>4</v>
      </c>
      <c r="AN67" s="19"/>
      <c r="AO67" s="19">
        <v>78335094</v>
      </c>
      <c r="AP67" s="19">
        <v>40898923</v>
      </c>
      <c r="AQ67" s="19" t="s">
        <v>172</v>
      </c>
      <c r="AR67" s="19">
        <v>61928731</v>
      </c>
      <c r="AS67" s="19">
        <v>127201974</v>
      </c>
      <c r="AT67" s="19"/>
      <c r="AU67" s="19"/>
      <c r="AV67" s="19"/>
      <c r="AW67" s="19"/>
      <c r="AX67" s="19" t="s">
        <v>4</v>
      </c>
      <c r="AY67" s="19">
        <v>95177081</v>
      </c>
      <c r="AZ67" s="19"/>
      <c r="BA67" s="19"/>
      <c r="BB67" s="19"/>
      <c r="BC67" s="19"/>
      <c r="BD67" s="19"/>
      <c r="BE67" s="19">
        <v>23033115</v>
      </c>
      <c r="BF67" s="19"/>
      <c r="BG67" s="19">
        <v>28170641</v>
      </c>
      <c r="BH67" s="19"/>
      <c r="BI67" s="19"/>
      <c r="BJ67" s="19"/>
      <c r="BK67" s="19"/>
      <c r="BL67" s="19"/>
      <c r="BM67" s="19"/>
      <c r="BN67" s="19">
        <v>6935667</v>
      </c>
      <c r="BO67" s="19"/>
      <c r="BP67" s="19"/>
      <c r="BQ67" s="19" t="s">
        <v>4</v>
      </c>
      <c r="BR67" s="19">
        <v>100000000</v>
      </c>
      <c r="BS67" s="19"/>
      <c r="BT67" s="19"/>
      <c r="BU67" s="19"/>
      <c r="BV67" s="19">
        <v>29213614</v>
      </c>
      <c r="BW67" s="19">
        <v>55062778</v>
      </c>
      <c r="BX67" s="19"/>
      <c r="BY67" s="19"/>
      <c r="BZ67" s="19">
        <v>30465892</v>
      </c>
      <c r="CA67" s="19"/>
      <c r="CB67" s="19"/>
      <c r="CC67" s="19">
        <v>54463958</v>
      </c>
      <c r="CD67" s="19"/>
      <c r="CE67" s="19"/>
      <c r="CF67" s="19"/>
      <c r="CG67" s="19">
        <v>119585661</v>
      </c>
      <c r="CH67" s="19"/>
      <c r="CI67" s="19" t="s">
        <v>89</v>
      </c>
      <c r="CJ67" s="19"/>
      <c r="CK67" s="19"/>
      <c r="CL67" s="19"/>
      <c r="CM67" s="19">
        <v>99080596</v>
      </c>
      <c r="CN67" s="19"/>
      <c r="CO67" s="19">
        <v>2000000</v>
      </c>
      <c r="CP67" s="19">
        <v>38499628</v>
      </c>
      <c r="CQ67" s="19" t="s">
        <v>96</v>
      </c>
      <c r="CR67" s="19"/>
      <c r="CS67" s="19"/>
      <c r="CT67" s="19"/>
      <c r="CU67" s="19">
        <v>24570312</v>
      </c>
      <c r="CV67" s="19"/>
      <c r="CW67" s="19">
        <v>81590191</v>
      </c>
      <c r="CX67" s="19"/>
      <c r="CY67" s="19">
        <v>608743461</v>
      </c>
      <c r="CZ67" s="19">
        <v>47317853</v>
      </c>
      <c r="DA67" s="19">
        <v>5000000</v>
      </c>
      <c r="DB67" s="19"/>
      <c r="DC67" s="19"/>
      <c r="DD67" s="19">
        <v>44404678</v>
      </c>
      <c r="DE67" s="19">
        <v>840000</v>
      </c>
      <c r="DF67" s="19"/>
      <c r="DG67" s="19">
        <v>96404229</v>
      </c>
      <c r="DH67" s="19">
        <v>58372117</v>
      </c>
      <c r="DI67" s="19"/>
      <c r="DJ67" s="19"/>
      <c r="DK67" s="19"/>
      <c r="DL67" s="19"/>
      <c r="DM67" s="19"/>
      <c r="DN67" s="19">
        <v>47526145</v>
      </c>
      <c r="DO67" s="19"/>
      <c r="DP67" s="19"/>
      <c r="DQ67" s="19"/>
      <c r="DR67" s="19"/>
      <c r="DS67" s="19"/>
      <c r="DT67" s="19"/>
      <c r="DU67" s="19"/>
      <c r="DV67" s="19"/>
      <c r="DW67" s="19"/>
      <c r="DX67" s="19"/>
      <c r="DY67" s="19"/>
      <c r="DZ67" s="19">
        <v>28614325</v>
      </c>
      <c r="EA67" s="19"/>
      <c r="EB67" s="19">
        <v>133978740</v>
      </c>
      <c r="EC67" s="19">
        <v>0</v>
      </c>
      <c r="ED67" s="19">
        <v>0</v>
      </c>
      <c r="EE67" s="19">
        <v>0</v>
      </c>
      <c r="EF67" s="19">
        <v>0</v>
      </c>
      <c r="EG67" s="19">
        <v>0</v>
      </c>
      <c r="EH67" s="19">
        <v>0</v>
      </c>
      <c r="EI67" s="19">
        <v>0</v>
      </c>
      <c r="EJ67" s="19">
        <v>221770700</v>
      </c>
      <c r="EK67" s="19" t="s">
        <v>89</v>
      </c>
      <c r="EL67" s="19">
        <v>131000</v>
      </c>
      <c r="EM67" s="19">
        <v>0</v>
      </c>
      <c r="EN67" s="19">
        <v>0</v>
      </c>
      <c r="EO67" s="19">
        <v>75000000</v>
      </c>
      <c r="EP67" s="19">
        <v>22542120</v>
      </c>
      <c r="EQ67" s="19">
        <v>0</v>
      </c>
      <c r="ER67" s="19">
        <v>15537000</v>
      </c>
      <c r="ES67" s="19">
        <v>0</v>
      </c>
      <c r="ET67" s="19">
        <v>0</v>
      </c>
      <c r="EU67" s="19">
        <v>0</v>
      </c>
      <c r="EV67" s="19">
        <v>0</v>
      </c>
      <c r="EW67" s="19">
        <v>0</v>
      </c>
      <c r="EX67" s="19">
        <v>0</v>
      </c>
      <c r="EY67" s="19">
        <v>0</v>
      </c>
      <c r="EZ67" s="19">
        <v>0</v>
      </c>
      <c r="FA67" s="19">
        <v>0</v>
      </c>
      <c r="FB67" s="19">
        <v>37793779</v>
      </c>
      <c r="FC67" s="19">
        <v>0</v>
      </c>
      <c r="FD67" s="19">
        <v>0</v>
      </c>
      <c r="FE67" s="19">
        <v>0</v>
      </c>
      <c r="FF67" s="19">
        <v>0</v>
      </c>
      <c r="FG67" s="19">
        <v>0</v>
      </c>
      <c r="FH67" s="19">
        <v>0</v>
      </c>
      <c r="FI67" s="19">
        <v>0</v>
      </c>
      <c r="FJ67" s="19">
        <v>0</v>
      </c>
      <c r="FK67" s="19">
        <v>0</v>
      </c>
      <c r="FL67" s="19">
        <v>0</v>
      </c>
      <c r="FM67" s="19">
        <v>0</v>
      </c>
      <c r="FN67" s="19"/>
      <c r="FO67" s="19">
        <v>0</v>
      </c>
      <c r="FP67" s="19">
        <v>0</v>
      </c>
      <c r="FQ67" s="19"/>
      <c r="FR67" s="19">
        <v>0</v>
      </c>
      <c r="FS67" s="19">
        <v>0</v>
      </c>
      <c r="FT67" s="19">
        <v>0</v>
      </c>
      <c r="FU67" s="19" t="s">
        <v>152</v>
      </c>
      <c r="FV67" s="19">
        <v>0</v>
      </c>
      <c r="FW67" s="19">
        <v>0</v>
      </c>
      <c r="FX67" s="19">
        <v>0</v>
      </c>
      <c r="FY67" s="19">
        <v>0</v>
      </c>
      <c r="FZ67" s="19">
        <v>0</v>
      </c>
      <c r="GA67" s="19">
        <v>0</v>
      </c>
      <c r="GB67" s="19"/>
      <c r="GC67" s="19">
        <v>0</v>
      </c>
      <c r="GD67" s="19" t="s">
        <v>96</v>
      </c>
      <c r="GE67" s="19">
        <v>0</v>
      </c>
      <c r="GF67" s="19">
        <v>0</v>
      </c>
      <c r="GG67" s="19">
        <v>0</v>
      </c>
      <c r="GH67" s="19">
        <v>0</v>
      </c>
      <c r="GI67" s="19"/>
      <c r="GJ67" s="19">
        <v>65116520</v>
      </c>
      <c r="GK67" s="19"/>
      <c r="GL67" s="19"/>
      <c r="GM67" s="19"/>
      <c r="GN67" s="19"/>
      <c r="GO67" s="19"/>
      <c r="GP67" s="19"/>
      <c r="GQ67" s="19"/>
      <c r="GR67" s="19"/>
      <c r="GS67" s="19"/>
      <c r="GT67" s="19"/>
      <c r="GU67" s="19">
        <v>196327633</v>
      </c>
      <c r="GV67" s="19" t="s">
        <v>89</v>
      </c>
      <c r="GW67" s="19"/>
      <c r="GX67" s="19"/>
      <c r="GY67" s="19"/>
      <c r="GZ67" s="19"/>
      <c r="HA67" s="19"/>
      <c r="HB67" s="19">
        <v>170169804</v>
      </c>
      <c r="HC67" s="19"/>
      <c r="HD67" s="19" t="s">
        <v>89</v>
      </c>
      <c r="HE67" s="19"/>
      <c r="HF67" s="19"/>
      <c r="HG67" s="19"/>
      <c r="HH67" s="19"/>
      <c r="HI67" s="19"/>
      <c r="HJ67" s="19"/>
      <c r="HK67" s="19"/>
      <c r="HL67" s="19"/>
      <c r="HM67" s="19"/>
      <c r="HN67" s="19"/>
      <c r="HO67" s="19"/>
      <c r="HP67" s="19" t="s">
        <v>89</v>
      </c>
    </row>
    <row r="68" spans="1:224">
      <c r="A68" s="9" t="s">
        <v>92</v>
      </c>
      <c r="B68" s="17" t="s">
        <v>17</v>
      </c>
      <c r="C68" s="19"/>
      <c r="D68" s="19"/>
      <c r="E68" s="19">
        <v>64455069</v>
      </c>
      <c r="F68" s="19"/>
      <c r="G68" s="19"/>
      <c r="H68" s="19"/>
      <c r="I68" s="19"/>
      <c r="J68" s="19" t="s">
        <v>4</v>
      </c>
      <c r="K68" s="19"/>
      <c r="L68" s="19"/>
      <c r="M68" s="19" t="s">
        <v>96</v>
      </c>
      <c r="N68" s="19">
        <v>94419624</v>
      </c>
      <c r="O68" s="19"/>
      <c r="P68" s="19">
        <v>40000000</v>
      </c>
      <c r="Q68" s="19">
        <v>5000000</v>
      </c>
      <c r="R68" s="19">
        <v>14639418</v>
      </c>
      <c r="S68" s="19"/>
      <c r="T68" s="19" t="s">
        <v>96</v>
      </c>
      <c r="U68" s="19"/>
      <c r="V68" s="19"/>
      <c r="W68" s="19"/>
      <c r="X68" s="19"/>
      <c r="Y68" s="19">
        <v>15771011</v>
      </c>
      <c r="Z68" s="19"/>
      <c r="AA68" s="19"/>
      <c r="AB68" s="19"/>
      <c r="AC68" s="19"/>
      <c r="AD68" s="19"/>
      <c r="AE68" s="19"/>
      <c r="AF68" s="19"/>
      <c r="AG68" s="19"/>
      <c r="AH68" s="19">
        <v>958051481</v>
      </c>
      <c r="AI68" s="19"/>
      <c r="AJ68" s="19">
        <v>71395172</v>
      </c>
      <c r="AK68" s="19" t="s">
        <v>89</v>
      </c>
      <c r="AL68" s="19">
        <v>1750000</v>
      </c>
      <c r="AM68" s="19" t="s">
        <v>4</v>
      </c>
      <c r="AN68" s="19">
        <v>51196851</v>
      </c>
      <c r="AO68" s="19"/>
      <c r="AP68" s="19"/>
      <c r="AQ68" s="19" t="s">
        <v>172</v>
      </c>
      <c r="AR68" s="19"/>
      <c r="AS68" s="19"/>
      <c r="AT68" s="19"/>
      <c r="AU68" s="19"/>
      <c r="AV68" s="19">
        <v>72437697</v>
      </c>
      <c r="AW68" s="19"/>
      <c r="AX68" s="19" t="s">
        <v>4</v>
      </c>
      <c r="AY68" s="19"/>
      <c r="AZ68" s="19"/>
      <c r="BA68" s="19">
        <v>136853612</v>
      </c>
      <c r="BB68" s="19"/>
      <c r="BC68" s="19"/>
      <c r="BD68" s="19">
        <v>96782195</v>
      </c>
      <c r="BE68" s="19"/>
      <c r="BF68" s="19">
        <v>105905848</v>
      </c>
      <c r="BG68" s="19"/>
      <c r="BH68" s="19"/>
      <c r="BI68" s="19"/>
      <c r="BJ68" s="19"/>
      <c r="BK68" s="19"/>
      <c r="BL68" s="19"/>
      <c r="BM68" s="19"/>
      <c r="BN68" s="19"/>
      <c r="BO68" s="19"/>
      <c r="BP68" s="19"/>
      <c r="BQ68" s="19" t="s">
        <v>4</v>
      </c>
      <c r="BR68" s="19"/>
      <c r="BS68" s="19"/>
      <c r="BT68" s="19"/>
      <c r="BU68" s="19"/>
      <c r="BV68" s="19"/>
      <c r="BW68" s="19"/>
      <c r="BX68" s="19"/>
      <c r="BY68" s="19"/>
      <c r="BZ68" s="19"/>
      <c r="CA68" s="19"/>
      <c r="CB68" s="19"/>
      <c r="CC68" s="19"/>
      <c r="CD68" s="19">
        <v>439432064</v>
      </c>
      <c r="CE68" s="19">
        <v>73521126</v>
      </c>
      <c r="CF68" s="19"/>
      <c r="CG68" s="19">
        <v>39077080</v>
      </c>
      <c r="CH68" s="19"/>
      <c r="CI68" s="19" t="s">
        <v>89</v>
      </c>
      <c r="CJ68" s="19"/>
      <c r="CK68" s="19"/>
      <c r="CL68" s="19">
        <v>18000000</v>
      </c>
      <c r="CM68" s="19">
        <v>28672000</v>
      </c>
      <c r="CN68" s="19"/>
      <c r="CO68" s="19"/>
      <c r="CP68" s="19"/>
      <c r="CQ68" s="19" t="s">
        <v>96</v>
      </c>
      <c r="CR68" s="19"/>
      <c r="CS68" s="19"/>
      <c r="CT68" s="19"/>
      <c r="CU68" s="19"/>
      <c r="CV68" s="19"/>
      <c r="CW68" s="19">
        <v>8150000</v>
      </c>
      <c r="CX68" s="19"/>
      <c r="CY68" s="19"/>
      <c r="CZ68" s="19">
        <v>50231750</v>
      </c>
      <c r="DA68" s="19"/>
      <c r="DB68" s="19"/>
      <c r="DC68" s="19"/>
      <c r="DD68" s="19"/>
      <c r="DE68" s="19"/>
      <c r="DF68" s="19"/>
      <c r="DG68" s="19"/>
      <c r="DH68" s="19"/>
      <c r="DI68" s="19"/>
      <c r="DJ68" s="19"/>
      <c r="DK68" s="19"/>
      <c r="DL68" s="19">
        <v>66800396</v>
      </c>
      <c r="DM68" s="19"/>
      <c r="DN68" s="19"/>
      <c r="DO68" s="19"/>
      <c r="DP68" s="19">
        <v>28260796</v>
      </c>
      <c r="DQ68" s="19"/>
      <c r="DR68" s="19"/>
      <c r="DS68" s="19"/>
      <c r="DT68" s="19"/>
      <c r="DU68" s="19"/>
      <c r="DV68" s="19"/>
      <c r="DW68" s="19"/>
      <c r="DX68" s="19"/>
      <c r="DY68" s="19"/>
      <c r="DZ68" s="19"/>
      <c r="EA68" s="19"/>
      <c r="EB68" s="19">
        <v>82666800</v>
      </c>
      <c r="EC68" s="19">
        <v>0</v>
      </c>
      <c r="ED68" s="19">
        <v>0</v>
      </c>
      <c r="EE68" s="19">
        <v>0</v>
      </c>
      <c r="EF68" s="19">
        <v>0</v>
      </c>
      <c r="EG68" s="19">
        <v>0</v>
      </c>
      <c r="EH68" s="19"/>
      <c r="EI68" s="19">
        <v>300000</v>
      </c>
      <c r="EJ68" s="19">
        <v>0</v>
      </c>
      <c r="EK68" s="19" t="s">
        <v>89</v>
      </c>
      <c r="EL68" s="19">
        <v>0</v>
      </c>
      <c r="EM68" s="19">
        <v>0</v>
      </c>
      <c r="EN68" s="19">
        <v>0</v>
      </c>
      <c r="EO68" s="19">
        <v>0</v>
      </c>
      <c r="EP68" s="19">
        <v>190901780</v>
      </c>
      <c r="EQ68" s="19">
        <v>0</v>
      </c>
      <c r="ER68" s="19">
        <v>0</v>
      </c>
      <c r="ES68" s="19">
        <v>0</v>
      </c>
      <c r="ET68" s="19">
        <v>0</v>
      </c>
      <c r="EU68" s="19">
        <v>0</v>
      </c>
      <c r="EV68" s="19">
        <v>0</v>
      </c>
      <c r="EW68" s="19">
        <v>0</v>
      </c>
      <c r="EX68" s="19">
        <v>0</v>
      </c>
      <c r="EY68" s="19">
        <v>13647400</v>
      </c>
      <c r="EZ68" s="19">
        <v>17793370</v>
      </c>
      <c r="FA68" s="19">
        <v>0</v>
      </c>
      <c r="FB68" s="19">
        <v>0</v>
      </c>
      <c r="FC68" s="19">
        <v>0</v>
      </c>
      <c r="FD68" s="19">
        <v>0</v>
      </c>
      <c r="FE68" s="19">
        <v>0</v>
      </c>
      <c r="FF68" s="19">
        <v>0</v>
      </c>
      <c r="FG68" s="19">
        <v>693496631</v>
      </c>
      <c r="FH68" s="19">
        <v>0</v>
      </c>
      <c r="FI68" s="19">
        <v>82295736</v>
      </c>
      <c r="FJ68" s="19">
        <v>0</v>
      </c>
      <c r="FK68" s="19">
        <v>0</v>
      </c>
      <c r="FL68" s="19">
        <v>70000000</v>
      </c>
      <c r="FM68" s="19">
        <v>0</v>
      </c>
      <c r="FN68" s="19"/>
      <c r="FO68" s="19">
        <v>0</v>
      </c>
      <c r="FP68" s="19">
        <v>40000000</v>
      </c>
      <c r="FQ68" s="19"/>
      <c r="FR68" s="19">
        <v>0</v>
      </c>
      <c r="FS68" s="19">
        <v>0</v>
      </c>
      <c r="FT68" s="19">
        <v>300000000</v>
      </c>
      <c r="FU68" s="19" t="s">
        <v>152</v>
      </c>
      <c r="FV68" s="19">
        <v>0</v>
      </c>
      <c r="FW68" s="19">
        <v>0</v>
      </c>
      <c r="FX68" s="19">
        <v>27169794</v>
      </c>
      <c r="FY68" s="19">
        <v>0</v>
      </c>
      <c r="FZ68" s="19">
        <v>0</v>
      </c>
      <c r="GA68" s="19">
        <v>0</v>
      </c>
      <c r="GB68" s="19"/>
      <c r="GC68" s="19">
        <v>0</v>
      </c>
      <c r="GD68" s="19" t="s">
        <v>96</v>
      </c>
      <c r="GE68" s="19">
        <v>0</v>
      </c>
      <c r="GF68" s="19">
        <v>0</v>
      </c>
      <c r="GG68" s="19">
        <v>120272727</v>
      </c>
      <c r="GH68" s="19">
        <v>0</v>
      </c>
      <c r="GI68" s="19">
        <v>8500000</v>
      </c>
      <c r="GJ68" s="19"/>
      <c r="GK68" s="19"/>
      <c r="GL68" s="19"/>
      <c r="GM68" s="19"/>
      <c r="GN68" s="19">
        <v>5799980</v>
      </c>
      <c r="GO68" s="19"/>
      <c r="GP68" s="19"/>
      <c r="GQ68" s="19"/>
      <c r="GR68" s="19"/>
      <c r="GS68" s="19"/>
      <c r="GT68" s="19">
        <v>8500000</v>
      </c>
      <c r="GU68" s="19"/>
      <c r="GV68" s="19" t="s">
        <v>89</v>
      </c>
      <c r="GW68" s="19"/>
      <c r="GX68" s="19"/>
      <c r="GY68" s="19"/>
      <c r="GZ68" s="19"/>
      <c r="HA68" s="19"/>
      <c r="HB68" s="19"/>
      <c r="HC68" s="19"/>
      <c r="HD68" s="19" t="s">
        <v>89</v>
      </c>
      <c r="HE68" s="19"/>
      <c r="HF68" s="19"/>
      <c r="HG68" s="19"/>
      <c r="HH68" s="19"/>
      <c r="HI68" s="19"/>
      <c r="HJ68" s="19"/>
      <c r="HK68" s="19"/>
      <c r="HL68" s="19"/>
      <c r="HM68" s="19"/>
      <c r="HN68" s="19"/>
      <c r="HO68" s="19">
        <v>1620000</v>
      </c>
      <c r="HP68" s="19" t="s">
        <v>89</v>
      </c>
    </row>
    <row r="69" spans="1:224">
      <c r="A69" s="9" t="s">
        <v>92</v>
      </c>
      <c r="B69" s="15" t="s">
        <v>41</v>
      </c>
      <c r="C69" s="19"/>
      <c r="D69" s="19">
        <v>21141000</v>
      </c>
      <c r="E69" s="19"/>
      <c r="F69" s="19"/>
      <c r="G69" s="19"/>
      <c r="H69" s="19">
        <v>18000000</v>
      </c>
      <c r="I69" s="19"/>
      <c r="J69" s="19" t="s">
        <v>4</v>
      </c>
      <c r="K69" s="19"/>
      <c r="L69" s="19"/>
      <c r="M69" s="19" t="s">
        <v>96</v>
      </c>
      <c r="N69" s="19">
        <v>1540000</v>
      </c>
      <c r="O69" s="19"/>
      <c r="P69" s="19"/>
      <c r="Q69" s="19">
        <v>27029618</v>
      </c>
      <c r="R69" s="19"/>
      <c r="S69" s="19">
        <v>5396547</v>
      </c>
      <c r="T69" s="19" t="s">
        <v>96</v>
      </c>
      <c r="U69" s="19">
        <v>9480</v>
      </c>
      <c r="V69" s="19"/>
      <c r="W69" s="19"/>
      <c r="X69" s="19">
        <v>116877536</v>
      </c>
      <c r="Y69" s="19"/>
      <c r="Z69" s="19"/>
      <c r="AA69" s="19"/>
      <c r="AB69" s="19"/>
      <c r="AC69" s="19"/>
      <c r="AD69" s="19"/>
      <c r="AE69" s="19">
        <v>26285985</v>
      </c>
      <c r="AF69" s="19"/>
      <c r="AG69" s="19"/>
      <c r="AH69" s="19">
        <v>6651</v>
      </c>
      <c r="AI69" s="19">
        <v>106000000</v>
      </c>
      <c r="AJ69" s="19"/>
      <c r="AK69" s="19" t="s">
        <v>89</v>
      </c>
      <c r="AL69" s="19"/>
      <c r="AM69" s="19" t="s">
        <v>4</v>
      </c>
      <c r="AN69" s="19"/>
      <c r="AO69" s="19"/>
      <c r="AP69" s="19">
        <v>9000000</v>
      </c>
      <c r="AQ69" s="19" t="s">
        <v>172</v>
      </c>
      <c r="AR69" s="19"/>
      <c r="AS69" s="19"/>
      <c r="AT69" s="19"/>
      <c r="AU69" s="19"/>
      <c r="AV69" s="19"/>
      <c r="AW69" s="19"/>
      <c r="AX69" s="19" t="s">
        <v>4</v>
      </c>
      <c r="AY69" s="19"/>
      <c r="AZ69" s="19"/>
      <c r="BA69" s="19">
        <v>20016630</v>
      </c>
      <c r="BB69" s="19"/>
      <c r="BC69" s="19"/>
      <c r="BD69" s="19"/>
      <c r="BE69" s="19">
        <v>1109610</v>
      </c>
      <c r="BF69" s="19"/>
      <c r="BG69" s="19">
        <v>19091052</v>
      </c>
      <c r="BH69" s="19"/>
      <c r="BI69" s="19"/>
      <c r="BJ69" s="19">
        <v>1907926</v>
      </c>
      <c r="BK69" s="19">
        <v>1989812</v>
      </c>
      <c r="BL69" s="19"/>
      <c r="BM69" s="19">
        <v>2298</v>
      </c>
      <c r="BN69" s="19">
        <v>772857</v>
      </c>
      <c r="BO69" s="19">
        <v>308165</v>
      </c>
      <c r="BP69" s="19"/>
      <c r="BQ69" s="19" t="s">
        <v>4</v>
      </c>
      <c r="BR69" s="19"/>
      <c r="BS69" s="19"/>
      <c r="BT69" s="19">
        <v>17344791</v>
      </c>
      <c r="BU69" s="19">
        <v>447865</v>
      </c>
      <c r="BV69" s="19"/>
      <c r="BW69" s="19"/>
      <c r="BX69" s="19">
        <v>202392</v>
      </c>
      <c r="BY69" s="19"/>
      <c r="BZ69" s="19"/>
      <c r="CA69" s="19"/>
      <c r="CB69" s="19"/>
      <c r="CC69" s="19"/>
      <c r="CD69" s="19"/>
      <c r="CE69" s="19"/>
      <c r="CF69" s="19">
        <v>2678070</v>
      </c>
      <c r="CG69" s="19">
        <v>230000</v>
      </c>
      <c r="CH69" s="19"/>
      <c r="CI69" s="19" t="s">
        <v>89</v>
      </c>
      <c r="CJ69" s="19">
        <v>834619</v>
      </c>
      <c r="CK69" s="19"/>
      <c r="CL69" s="19"/>
      <c r="CM69" s="19"/>
      <c r="CN69" s="19"/>
      <c r="CO69" s="19">
        <v>22314793</v>
      </c>
      <c r="CP69" s="19"/>
      <c r="CQ69" s="19" t="s">
        <v>96</v>
      </c>
      <c r="CR69" s="19">
        <v>1003082</v>
      </c>
      <c r="CS69" s="19"/>
      <c r="CT69" s="19"/>
      <c r="CU69" s="19">
        <v>65009956</v>
      </c>
      <c r="CV69" s="19"/>
      <c r="CW69" s="19"/>
      <c r="CX69" s="19">
        <v>318878</v>
      </c>
      <c r="CY69" s="19">
        <v>11900168</v>
      </c>
      <c r="CZ69" s="19"/>
      <c r="DA69" s="19"/>
      <c r="DB69" s="19"/>
      <c r="DC69" s="19"/>
      <c r="DD69" s="19"/>
      <c r="DE69" s="19"/>
      <c r="DF69" s="19"/>
      <c r="DG69" s="19"/>
      <c r="DH69" s="19"/>
      <c r="DI69" s="19">
        <v>4902908</v>
      </c>
      <c r="DJ69" s="19"/>
      <c r="DK69" s="19"/>
      <c r="DL69" s="19"/>
      <c r="DM69" s="19">
        <v>62727</v>
      </c>
      <c r="DN69" s="19">
        <v>28000000</v>
      </c>
      <c r="DO69" s="19"/>
      <c r="DP69" s="19">
        <v>1652148</v>
      </c>
      <c r="DQ69" s="19"/>
      <c r="DR69" s="19"/>
      <c r="DS69" s="19"/>
      <c r="DT69" s="19"/>
      <c r="DU69" s="19"/>
      <c r="DV69" s="19"/>
      <c r="DW69" s="19">
        <v>784515</v>
      </c>
      <c r="DX69" s="19">
        <v>6562904</v>
      </c>
      <c r="DY69" s="19">
        <v>118038</v>
      </c>
      <c r="DZ69" s="19">
        <v>560000</v>
      </c>
      <c r="EA69" s="19"/>
      <c r="EB69" s="19"/>
      <c r="EC69" s="19"/>
      <c r="ED69" s="19"/>
      <c r="EE69" s="19">
        <v>4999995</v>
      </c>
      <c r="EF69" s="19"/>
      <c r="EG69" s="19">
        <v>8905203</v>
      </c>
      <c r="EH69" s="19">
        <v>3000000</v>
      </c>
      <c r="EI69" s="19"/>
      <c r="EJ69" s="19"/>
      <c r="EK69" s="19" t="s">
        <v>89</v>
      </c>
      <c r="EL69" s="19">
        <v>400000</v>
      </c>
      <c r="EM69" s="19"/>
      <c r="EN69" s="19">
        <v>127885318</v>
      </c>
      <c r="EO69" s="19"/>
      <c r="EP69" s="19"/>
      <c r="EQ69" s="19"/>
      <c r="ER69" s="19"/>
      <c r="ES69" s="19">
        <v>1167226</v>
      </c>
      <c r="ET69" s="19"/>
      <c r="EU69" s="19">
        <v>896124</v>
      </c>
      <c r="EV69" s="19"/>
      <c r="EW69" s="19"/>
      <c r="EX69" s="19"/>
      <c r="EY69" s="19">
        <v>3100855</v>
      </c>
      <c r="EZ69" s="19">
        <v>245800</v>
      </c>
      <c r="FA69" s="19"/>
      <c r="FB69" s="19"/>
      <c r="FC69" s="19">
        <v>29580548</v>
      </c>
      <c r="FD69" s="19">
        <v>1048011</v>
      </c>
      <c r="FE69" s="19">
        <v>3218659</v>
      </c>
      <c r="FF69" s="19"/>
      <c r="FG69" s="19">
        <v>967987</v>
      </c>
      <c r="FH69" s="19"/>
      <c r="FI69" s="19"/>
      <c r="FJ69" s="19">
        <v>232610</v>
      </c>
      <c r="FK69" s="19"/>
      <c r="FL69" s="19"/>
      <c r="FM69" s="19"/>
      <c r="FN69" s="19">
        <v>0</v>
      </c>
      <c r="FO69" s="19"/>
      <c r="FP69" s="19"/>
      <c r="FQ69" s="19">
        <v>4</v>
      </c>
      <c r="FR69" s="19"/>
      <c r="FS69" s="19"/>
      <c r="FT69" s="19">
        <v>36002275</v>
      </c>
      <c r="FU69" s="19" t="s">
        <v>152</v>
      </c>
      <c r="FV69" s="19"/>
      <c r="FW69" s="19"/>
      <c r="FX69" s="19"/>
      <c r="FY69" s="19"/>
      <c r="FZ69" s="19">
        <v>4196325</v>
      </c>
      <c r="GA69" s="19">
        <v>138650000</v>
      </c>
      <c r="GB69" s="19">
        <v>0</v>
      </c>
      <c r="GC69" s="19"/>
      <c r="GD69" s="19" t="s">
        <v>96</v>
      </c>
      <c r="GE69" s="19"/>
      <c r="GF69" s="19">
        <v>9300000</v>
      </c>
      <c r="GG69" s="19"/>
      <c r="GH69" s="19"/>
      <c r="GI69" s="19"/>
      <c r="GJ69" s="19">
        <v>58000000</v>
      </c>
      <c r="GK69" s="19"/>
      <c r="GL69" s="19"/>
      <c r="GM69" s="19"/>
      <c r="GN69" s="19"/>
      <c r="GO69" s="19"/>
      <c r="GP69" s="19">
        <v>6466127</v>
      </c>
      <c r="GQ69" s="19"/>
      <c r="GR69" s="19"/>
      <c r="GS69" s="19"/>
      <c r="GT69" s="19"/>
      <c r="GU69" s="19"/>
      <c r="GV69" s="19" t="s">
        <v>89</v>
      </c>
      <c r="GW69" s="19">
        <v>1955000</v>
      </c>
      <c r="GX69" s="19">
        <v>13924140</v>
      </c>
      <c r="GY69" s="19">
        <v>1275962788</v>
      </c>
      <c r="GZ69" s="19">
        <v>2895570</v>
      </c>
      <c r="HA69" s="19"/>
      <c r="HB69" s="19"/>
      <c r="HC69" s="19"/>
      <c r="HD69" s="19" t="s">
        <v>89</v>
      </c>
      <c r="HE69" s="19"/>
      <c r="HF69" s="19">
        <v>3570511</v>
      </c>
      <c r="HG69" s="19"/>
      <c r="HH69" s="19"/>
      <c r="HI69" s="19">
        <v>33920</v>
      </c>
      <c r="HJ69" s="19"/>
      <c r="HK69" s="19">
        <v>2556966</v>
      </c>
      <c r="HL69" s="19"/>
      <c r="HM69" s="19"/>
      <c r="HN69" s="19"/>
      <c r="HO69" s="19">
        <v>3590</v>
      </c>
      <c r="HP69" s="19" t="s">
        <v>89</v>
      </c>
    </row>
    <row r="70" spans="1:224">
      <c r="A70" s="9" t="s">
        <v>92</v>
      </c>
      <c r="B70" s="10" t="s">
        <v>10</v>
      </c>
      <c r="C70" s="19">
        <v>3823169</v>
      </c>
      <c r="D70" s="19">
        <v>24425150</v>
      </c>
      <c r="E70" s="19">
        <v>31892574</v>
      </c>
      <c r="F70" s="19">
        <v>80335005</v>
      </c>
      <c r="G70" s="19">
        <v>31504594</v>
      </c>
      <c r="H70" s="19">
        <v>91899086</v>
      </c>
      <c r="I70" s="19">
        <v>252538257</v>
      </c>
      <c r="J70" s="19" t="s">
        <v>4</v>
      </c>
      <c r="K70" s="19">
        <v>13431185</v>
      </c>
      <c r="L70" s="19">
        <v>8072077</v>
      </c>
      <c r="M70" s="19" t="s">
        <v>96</v>
      </c>
      <c r="N70" s="19">
        <v>6269882</v>
      </c>
      <c r="O70" s="19">
        <v>95974853</v>
      </c>
      <c r="P70" s="19">
        <v>53718957</v>
      </c>
      <c r="Q70" s="19">
        <v>1970310</v>
      </c>
      <c r="R70" s="19">
        <v>11168475</v>
      </c>
      <c r="S70" s="19">
        <v>327437100</v>
      </c>
      <c r="T70" s="19" t="s">
        <v>96</v>
      </c>
      <c r="U70" s="19">
        <v>1342212</v>
      </c>
      <c r="V70" s="19">
        <v>13965325</v>
      </c>
      <c r="W70" s="19">
        <v>55641018</v>
      </c>
      <c r="X70" s="19">
        <v>155535461</v>
      </c>
      <c r="Y70" s="19">
        <v>22305138</v>
      </c>
      <c r="Z70" s="19">
        <v>57091311</v>
      </c>
      <c r="AA70" s="19">
        <v>96399755</v>
      </c>
      <c r="AB70" s="19">
        <v>2456627</v>
      </c>
      <c r="AC70" s="19">
        <v>27026757</v>
      </c>
      <c r="AD70" s="19">
        <v>52813816</v>
      </c>
      <c r="AE70" s="19">
        <v>32800120</v>
      </c>
      <c r="AF70" s="19">
        <v>4829744</v>
      </c>
      <c r="AG70" s="19">
        <v>41496636</v>
      </c>
      <c r="AH70" s="19">
        <v>346276338</v>
      </c>
      <c r="AI70" s="19">
        <v>92518751</v>
      </c>
      <c r="AJ70" s="19">
        <v>54387290</v>
      </c>
      <c r="AK70" s="19" t="s">
        <v>89</v>
      </c>
      <c r="AL70" s="19">
        <v>23875533</v>
      </c>
      <c r="AM70" s="19" t="s">
        <v>4</v>
      </c>
      <c r="AN70" s="19">
        <v>1994064</v>
      </c>
      <c r="AO70" s="19">
        <v>9498379</v>
      </c>
      <c r="AP70" s="19">
        <v>11140664</v>
      </c>
      <c r="AQ70" s="19" t="s">
        <v>172</v>
      </c>
      <c r="AR70" s="19">
        <v>3487124</v>
      </c>
      <c r="AS70" s="19">
        <v>31631330</v>
      </c>
      <c r="AT70" s="19">
        <v>80987999</v>
      </c>
      <c r="AU70" s="19">
        <v>37018311</v>
      </c>
      <c r="AV70" s="19">
        <v>4200</v>
      </c>
      <c r="AW70" s="19">
        <v>19368761</v>
      </c>
      <c r="AX70" s="19" t="s">
        <v>4</v>
      </c>
      <c r="AY70" s="19">
        <v>56948820</v>
      </c>
      <c r="AZ70" s="19">
        <v>2596207</v>
      </c>
      <c r="BA70" s="19">
        <v>72557827</v>
      </c>
      <c r="BB70" s="19">
        <v>657340</v>
      </c>
      <c r="BC70" s="19">
        <v>62981322</v>
      </c>
      <c r="BD70" s="19">
        <v>3592512</v>
      </c>
      <c r="BE70" s="19">
        <v>63618672</v>
      </c>
      <c r="BF70" s="19">
        <v>46129249</v>
      </c>
      <c r="BG70" s="19">
        <v>25617755</v>
      </c>
      <c r="BH70" s="19">
        <v>38442069</v>
      </c>
      <c r="BI70" s="19">
        <v>1000019</v>
      </c>
      <c r="BJ70" s="19">
        <v>13541464</v>
      </c>
      <c r="BK70" s="19">
        <v>18042569</v>
      </c>
      <c r="BL70" s="19">
        <v>3940313</v>
      </c>
      <c r="BM70" s="19">
        <v>106112511</v>
      </c>
      <c r="BN70" s="19">
        <v>750102</v>
      </c>
      <c r="BO70" s="19">
        <v>6525189</v>
      </c>
      <c r="BP70" s="19">
        <v>1969776</v>
      </c>
      <c r="BQ70" s="19" t="s">
        <v>4</v>
      </c>
      <c r="BR70" s="19">
        <v>9839253</v>
      </c>
      <c r="BS70" s="19">
        <v>40756</v>
      </c>
      <c r="BT70" s="19">
        <v>3298339</v>
      </c>
      <c r="BU70" s="19">
        <v>8364935</v>
      </c>
      <c r="BV70" s="19">
        <v>8561585</v>
      </c>
      <c r="BW70" s="19">
        <v>37172015</v>
      </c>
      <c r="BX70" s="19">
        <v>786898</v>
      </c>
      <c r="BY70" s="19">
        <v>334230201</v>
      </c>
      <c r="BZ70" s="19">
        <v>97334005</v>
      </c>
      <c r="CA70" s="19">
        <v>10720214</v>
      </c>
      <c r="CB70" s="19">
        <v>2531641</v>
      </c>
      <c r="CC70" s="19">
        <v>707519</v>
      </c>
      <c r="CD70" s="19">
        <v>71708044</v>
      </c>
      <c r="CE70" s="19">
        <v>5318813</v>
      </c>
      <c r="CF70" s="19">
        <v>37951965</v>
      </c>
      <c r="CG70" s="19">
        <v>9282683</v>
      </c>
      <c r="CH70" s="19">
        <v>3132849</v>
      </c>
      <c r="CI70" s="19" t="s">
        <v>89</v>
      </c>
      <c r="CJ70" s="19">
        <v>18810284</v>
      </c>
      <c r="CK70" s="19">
        <v>123357881</v>
      </c>
      <c r="CL70" s="19">
        <v>34697349</v>
      </c>
      <c r="CM70" s="19">
        <v>52043580</v>
      </c>
      <c r="CN70" s="19">
        <v>3754555</v>
      </c>
      <c r="CO70" s="19">
        <v>546983</v>
      </c>
      <c r="CP70" s="19">
        <v>37607612</v>
      </c>
      <c r="CQ70" s="19" t="s">
        <v>96</v>
      </c>
      <c r="CR70" s="19">
        <v>16794798</v>
      </c>
      <c r="CS70" s="19">
        <v>10592021</v>
      </c>
      <c r="CT70" s="19">
        <v>5754494</v>
      </c>
      <c r="CU70" s="19">
        <v>46200000</v>
      </c>
      <c r="CV70" s="19">
        <v>3098639</v>
      </c>
      <c r="CW70" s="19">
        <v>2994320</v>
      </c>
      <c r="CX70" s="19">
        <v>44266524</v>
      </c>
      <c r="CY70" s="19">
        <v>713373150</v>
      </c>
      <c r="CZ70" s="19">
        <v>4236414</v>
      </c>
      <c r="DA70" s="19">
        <v>341489</v>
      </c>
      <c r="DB70" s="19">
        <v>17606367</v>
      </c>
      <c r="DC70" s="19">
        <v>340496</v>
      </c>
      <c r="DD70" s="19">
        <v>4351410</v>
      </c>
      <c r="DE70" s="19">
        <v>1509879</v>
      </c>
      <c r="DF70" s="19">
        <v>903626</v>
      </c>
      <c r="DG70" s="19">
        <v>5406626</v>
      </c>
      <c r="DH70" s="19">
        <v>3504104</v>
      </c>
      <c r="DI70" s="19">
        <v>68940019</v>
      </c>
      <c r="DJ70" s="19">
        <v>2607363</v>
      </c>
      <c r="DK70" s="19">
        <v>39622365</v>
      </c>
      <c r="DL70" s="19">
        <v>4961026</v>
      </c>
      <c r="DM70" s="19">
        <v>82975606</v>
      </c>
      <c r="DN70" s="19">
        <v>3473996</v>
      </c>
      <c r="DO70" s="19">
        <v>4129116</v>
      </c>
      <c r="DP70" s="19">
        <v>18637156</v>
      </c>
      <c r="DQ70" s="19">
        <v>11130815</v>
      </c>
      <c r="DR70" s="19">
        <v>10136258</v>
      </c>
      <c r="DS70" s="19">
        <v>4623273</v>
      </c>
      <c r="DT70" s="19">
        <v>6816466</v>
      </c>
      <c r="DU70" s="19">
        <v>1526996</v>
      </c>
      <c r="DV70" s="19">
        <v>50438</v>
      </c>
      <c r="DW70" s="19">
        <v>1164539</v>
      </c>
      <c r="DX70" s="19">
        <v>11532884</v>
      </c>
      <c r="DY70" s="19">
        <v>15104722</v>
      </c>
      <c r="DZ70" s="19">
        <v>9667473</v>
      </c>
      <c r="EA70" s="19">
        <v>0</v>
      </c>
      <c r="EB70" s="19">
        <v>29675927</v>
      </c>
      <c r="EC70" s="19">
        <v>7325726</v>
      </c>
      <c r="ED70" s="19">
        <v>9990</v>
      </c>
      <c r="EE70" s="19">
        <v>6382884</v>
      </c>
      <c r="EF70" s="19">
        <v>144788271</v>
      </c>
      <c r="EG70" s="19">
        <v>49052663</v>
      </c>
      <c r="EH70" s="19">
        <v>6055952</v>
      </c>
      <c r="EI70" s="19">
        <v>20157421</v>
      </c>
      <c r="EJ70" s="19">
        <v>138418</v>
      </c>
      <c r="EK70" s="19" t="s">
        <v>89</v>
      </c>
      <c r="EL70" s="19">
        <v>7343304</v>
      </c>
      <c r="EM70" s="19">
        <v>4629040</v>
      </c>
      <c r="EN70" s="19">
        <v>127164322</v>
      </c>
      <c r="EO70" s="19">
        <v>85900907</v>
      </c>
      <c r="EP70" s="19">
        <v>0</v>
      </c>
      <c r="EQ70" s="19">
        <v>2408814</v>
      </c>
      <c r="ER70" s="19">
        <v>59667822</v>
      </c>
      <c r="ES70" s="19">
        <v>20661736</v>
      </c>
      <c r="ET70" s="19">
        <v>26795925</v>
      </c>
      <c r="EU70" s="19">
        <v>323560</v>
      </c>
      <c r="EV70" s="19">
        <v>23569112</v>
      </c>
      <c r="EW70" s="19">
        <v>3107653</v>
      </c>
      <c r="EX70" s="19">
        <v>838441</v>
      </c>
      <c r="EY70" s="19">
        <v>76796055</v>
      </c>
      <c r="EZ70" s="19">
        <v>16752341</v>
      </c>
      <c r="FA70" s="19">
        <v>28043062</v>
      </c>
      <c r="FB70" s="19">
        <v>15490851</v>
      </c>
      <c r="FC70" s="19">
        <v>14162016</v>
      </c>
      <c r="FD70" s="19">
        <v>1816299</v>
      </c>
      <c r="FE70" s="19">
        <v>72358941</v>
      </c>
      <c r="FF70" s="19">
        <v>431137</v>
      </c>
      <c r="FG70" s="19">
        <v>6650458</v>
      </c>
      <c r="FH70" s="19">
        <v>2393042</v>
      </c>
      <c r="FI70" s="19">
        <v>14839478</v>
      </c>
      <c r="FJ70" s="19">
        <v>1081</v>
      </c>
      <c r="FK70" s="19">
        <v>9055713</v>
      </c>
      <c r="FL70" s="19">
        <v>339962</v>
      </c>
      <c r="FM70" s="19">
        <v>106680</v>
      </c>
      <c r="FN70" s="19">
        <v>4579747</v>
      </c>
      <c r="FO70" s="19">
        <v>822161</v>
      </c>
      <c r="FP70" s="19">
        <v>4224924</v>
      </c>
      <c r="FQ70" s="19">
        <v>307453</v>
      </c>
      <c r="FR70" s="19">
        <v>634426</v>
      </c>
      <c r="FS70" s="19">
        <v>215083</v>
      </c>
      <c r="FT70" s="19">
        <v>5263051</v>
      </c>
      <c r="FU70" s="19" t="s">
        <v>152</v>
      </c>
      <c r="FV70" s="19">
        <v>32850471</v>
      </c>
      <c r="FW70" s="19">
        <v>2806081</v>
      </c>
      <c r="FX70" s="19">
        <v>509271</v>
      </c>
      <c r="FY70" s="19">
        <v>13499253</v>
      </c>
      <c r="FZ70" s="19">
        <v>5209048</v>
      </c>
      <c r="GA70" s="19">
        <v>440</v>
      </c>
      <c r="GB70" s="19">
        <v>0</v>
      </c>
      <c r="GC70" s="19">
        <v>13581142</v>
      </c>
      <c r="GD70" s="19" t="s">
        <v>96</v>
      </c>
      <c r="GE70" s="19">
        <v>6</v>
      </c>
      <c r="GF70" s="19">
        <v>9</v>
      </c>
      <c r="GG70" s="19">
        <v>48660372</v>
      </c>
      <c r="GH70" s="19">
        <v>1414472</v>
      </c>
      <c r="GI70" s="19">
        <v>3348790</v>
      </c>
      <c r="GJ70" s="19">
        <v>62844364</v>
      </c>
      <c r="GK70" s="19">
        <v>1707833</v>
      </c>
      <c r="GL70" s="19">
        <v>1872524</v>
      </c>
      <c r="GM70" s="19">
        <v>1455348</v>
      </c>
      <c r="GN70" s="19">
        <v>13024899</v>
      </c>
      <c r="GO70" s="19">
        <v>30164315</v>
      </c>
      <c r="GP70" s="19">
        <v>125477736</v>
      </c>
      <c r="GQ70" s="19">
        <v>11159</v>
      </c>
      <c r="GR70" s="19">
        <v>4706297</v>
      </c>
      <c r="GS70" s="19">
        <v>44505377</v>
      </c>
      <c r="GT70" s="19">
        <v>3348790</v>
      </c>
      <c r="GU70" s="19">
        <v>1949010</v>
      </c>
      <c r="GV70" s="19" t="s">
        <v>89</v>
      </c>
      <c r="GW70" s="19">
        <v>39779823</v>
      </c>
      <c r="GX70" s="19">
        <v>27042723</v>
      </c>
      <c r="GY70" s="19">
        <v>262426</v>
      </c>
      <c r="GZ70" s="19">
        <v>1771195</v>
      </c>
      <c r="HA70" s="19">
        <v>10984130</v>
      </c>
      <c r="HB70" s="19">
        <v>124890</v>
      </c>
      <c r="HC70" s="19">
        <v>14164851</v>
      </c>
      <c r="HD70" s="19" t="s">
        <v>89</v>
      </c>
      <c r="HE70" s="19">
        <v>10634079</v>
      </c>
      <c r="HF70" s="19">
        <v>5588718</v>
      </c>
      <c r="HG70" s="19">
        <v>180964</v>
      </c>
      <c r="HH70" s="19">
        <v>1038758</v>
      </c>
      <c r="HI70" s="19">
        <v>15508187</v>
      </c>
      <c r="HJ70" s="19">
        <v>7320684</v>
      </c>
      <c r="HK70" s="19">
        <v>223583648</v>
      </c>
      <c r="HL70" s="19">
        <v>6</v>
      </c>
      <c r="HM70" s="19">
        <v>4115291</v>
      </c>
      <c r="HN70" s="19">
        <v>7834295</v>
      </c>
      <c r="HO70" s="19">
        <v>18021450</v>
      </c>
      <c r="HP70" s="19" t="s">
        <v>89</v>
      </c>
    </row>
    <row r="71" spans="1:224">
      <c r="A71" s="9" t="s">
        <v>92</v>
      </c>
      <c r="B71" s="15" t="s">
        <v>60</v>
      </c>
      <c r="C71" s="19">
        <v>1079</v>
      </c>
      <c r="D71" s="19"/>
      <c r="E71" s="19">
        <v>8655575</v>
      </c>
      <c r="F71" s="19">
        <v>15184767</v>
      </c>
      <c r="G71" s="19">
        <v>6287062</v>
      </c>
      <c r="H71" s="19">
        <v>54849086</v>
      </c>
      <c r="I71" s="19">
        <v>92276448</v>
      </c>
      <c r="J71" s="19" t="s">
        <v>4</v>
      </c>
      <c r="K71" s="19"/>
      <c r="L71" s="19">
        <v>7758065</v>
      </c>
      <c r="M71" s="19" t="s">
        <v>96</v>
      </c>
      <c r="N71" s="19"/>
      <c r="O71" s="19">
        <v>43583295</v>
      </c>
      <c r="P71" s="19"/>
      <c r="Q71" s="19">
        <v>909594</v>
      </c>
      <c r="R71" s="19">
        <v>3505075</v>
      </c>
      <c r="S71" s="19">
        <v>135574669</v>
      </c>
      <c r="T71" s="19" t="s">
        <v>96</v>
      </c>
      <c r="U71" s="19"/>
      <c r="V71" s="19">
        <v>3267220</v>
      </c>
      <c r="W71" s="19">
        <v>17054167</v>
      </c>
      <c r="X71" s="19">
        <v>80252715</v>
      </c>
      <c r="Y71" s="19">
        <v>14803400</v>
      </c>
      <c r="Z71" s="19">
        <v>19118881</v>
      </c>
      <c r="AA71" s="19">
        <v>92352957</v>
      </c>
      <c r="AB71" s="19"/>
      <c r="AC71" s="19">
        <v>23213137</v>
      </c>
      <c r="AD71" s="19">
        <v>20419611</v>
      </c>
      <c r="AE71" s="19">
        <v>10501351</v>
      </c>
      <c r="AF71" s="19">
        <v>3129736</v>
      </c>
      <c r="AG71" s="19">
        <v>8509699</v>
      </c>
      <c r="AH71" s="19">
        <v>2399994</v>
      </c>
      <c r="AI71" s="19">
        <v>11332181</v>
      </c>
      <c r="AJ71" s="19">
        <v>9148450</v>
      </c>
      <c r="AK71" s="19" t="s">
        <v>89</v>
      </c>
      <c r="AL71" s="19">
        <v>18795503</v>
      </c>
      <c r="AM71" s="19" t="s">
        <v>4</v>
      </c>
      <c r="AN71" s="19">
        <v>655780</v>
      </c>
      <c r="AO71" s="19">
        <v>9044966</v>
      </c>
      <c r="AP71" s="19"/>
      <c r="AQ71" s="19" t="s">
        <v>172</v>
      </c>
      <c r="AR71" s="19"/>
      <c r="AS71" s="19">
        <v>29415982</v>
      </c>
      <c r="AT71" s="19">
        <v>79594176</v>
      </c>
      <c r="AU71" s="19">
        <v>31784761</v>
      </c>
      <c r="AV71" s="19"/>
      <c r="AW71" s="19">
        <v>11304721</v>
      </c>
      <c r="AX71" s="19" t="s">
        <v>4</v>
      </c>
      <c r="AY71" s="19">
        <v>6920990</v>
      </c>
      <c r="AZ71" s="19">
        <v>1692417</v>
      </c>
      <c r="BA71" s="19">
        <v>40650214</v>
      </c>
      <c r="BB71" s="19"/>
      <c r="BC71" s="19">
        <v>37565949</v>
      </c>
      <c r="BD71" s="19">
        <v>3525437</v>
      </c>
      <c r="BE71" s="19">
        <v>60611572</v>
      </c>
      <c r="BF71" s="19">
        <v>46072454</v>
      </c>
      <c r="BG71" s="19">
        <v>15476342</v>
      </c>
      <c r="BH71" s="19">
        <v>27240743</v>
      </c>
      <c r="BI71" s="19"/>
      <c r="BJ71" s="19">
        <v>4782131</v>
      </c>
      <c r="BK71" s="19">
        <v>17975158</v>
      </c>
      <c r="BL71" s="19"/>
      <c r="BM71" s="19">
        <v>8229749</v>
      </c>
      <c r="BN71" s="19"/>
      <c r="BO71" s="19">
        <v>5902512</v>
      </c>
      <c r="BP71" s="19">
        <v>1968899</v>
      </c>
      <c r="BQ71" s="19" t="s">
        <v>4</v>
      </c>
      <c r="BR71" s="19">
        <v>2458442</v>
      </c>
      <c r="BS71" s="19"/>
      <c r="BT71" s="19">
        <v>1677793</v>
      </c>
      <c r="BU71" s="19">
        <v>6154210</v>
      </c>
      <c r="BV71" s="19">
        <v>8502536</v>
      </c>
      <c r="BW71" s="19"/>
      <c r="BX71" s="19">
        <v>786557</v>
      </c>
      <c r="BY71" s="19">
        <v>55603750</v>
      </c>
      <c r="BZ71" s="19"/>
      <c r="CA71" s="19">
        <v>10717691</v>
      </c>
      <c r="CB71" s="19">
        <v>2331641</v>
      </c>
      <c r="CC71" s="19"/>
      <c r="CD71" s="19"/>
      <c r="CE71" s="19">
        <v>3318813</v>
      </c>
      <c r="CF71" s="19">
        <v>36886946</v>
      </c>
      <c r="CG71" s="19"/>
      <c r="CH71" s="19"/>
      <c r="CI71" s="19" t="s">
        <v>89</v>
      </c>
      <c r="CJ71" s="19">
        <v>18368124</v>
      </c>
      <c r="CK71" s="19">
        <v>102540812</v>
      </c>
      <c r="CL71" s="19">
        <v>14530050</v>
      </c>
      <c r="CM71" s="19">
        <v>2777555</v>
      </c>
      <c r="CN71" s="19">
        <v>350837</v>
      </c>
      <c r="CO71" s="19"/>
      <c r="CP71" s="19">
        <v>37311551</v>
      </c>
      <c r="CQ71" s="19" t="s">
        <v>96</v>
      </c>
      <c r="CR71" s="19">
        <v>287945</v>
      </c>
      <c r="CS71" s="19">
        <v>9589415</v>
      </c>
      <c r="CT71" s="19">
        <v>5261518</v>
      </c>
      <c r="CU71" s="19"/>
      <c r="CV71" s="19">
        <v>3095482</v>
      </c>
      <c r="CW71" s="19"/>
      <c r="CX71" s="19"/>
      <c r="CY71" s="19">
        <v>28181845</v>
      </c>
      <c r="CZ71" s="19">
        <v>1906334</v>
      </c>
      <c r="DA71" s="19">
        <v>429</v>
      </c>
      <c r="DB71" s="19">
        <v>14643867</v>
      </c>
      <c r="DC71" s="19">
        <v>340496</v>
      </c>
      <c r="DD71" s="19">
        <v>4351174</v>
      </c>
      <c r="DE71" s="19"/>
      <c r="DF71" s="19">
        <v>903608</v>
      </c>
      <c r="DG71" s="19">
        <v>1350804</v>
      </c>
      <c r="DH71" s="19">
        <v>3107748</v>
      </c>
      <c r="DI71" s="19">
        <v>62404422</v>
      </c>
      <c r="DJ71" s="19"/>
      <c r="DK71" s="19">
        <v>32816737</v>
      </c>
      <c r="DL71" s="19">
        <v>4132040</v>
      </c>
      <c r="DM71" s="19">
        <v>19604423</v>
      </c>
      <c r="DN71" s="19">
        <v>2473996</v>
      </c>
      <c r="DO71" s="19">
        <v>2598687</v>
      </c>
      <c r="DP71" s="19">
        <v>16341334</v>
      </c>
      <c r="DQ71" s="19">
        <v>10785045</v>
      </c>
      <c r="DR71" s="19">
        <v>3242037</v>
      </c>
      <c r="DS71" s="19">
        <v>4623273</v>
      </c>
      <c r="DT71" s="19">
        <v>4215805</v>
      </c>
      <c r="DU71" s="19">
        <v>657996</v>
      </c>
      <c r="DV71" s="19"/>
      <c r="DW71" s="19"/>
      <c r="DX71" s="19">
        <v>2092601</v>
      </c>
      <c r="DY71" s="19">
        <v>4313679</v>
      </c>
      <c r="DZ71" s="19">
        <v>9151373</v>
      </c>
      <c r="EA71" s="19"/>
      <c r="EB71" s="19">
        <v>24767767</v>
      </c>
      <c r="EC71" s="19"/>
      <c r="ED71" s="19"/>
      <c r="EE71" s="19">
        <v>4787373</v>
      </c>
      <c r="EF71" s="19">
        <v>73368682</v>
      </c>
      <c r="EG71" s="19">
        <v>23698944</v>
      </c>
      <c r="EH71" s="19">
        <v>5905463</v>
      </c>
      <c r="EI71" s="19">
        <v>14198446</v>
      </c>
      <c r="EJ71" s="19"/>
      <c r="EK71" s="19" t="s">
        <v>89</v>
      </c>
      <c r="EL71" s="19">
        <v>2351057</v>
      </c>
      <c r="EM71" s="19"/>
      <c r="EN71" s="19">
        <v>691025</v>
      </c>
      <c r="EO71" s="19">
        <v>8499476</v>
      </c>
      <c r="EP71" s="19"/>
      <c r="EQ71" s="19">
        <v>2408814</v>
      </c>
      <c r="ER71" s="19">
        <v>41880265</v>
      </c>
      <c r="ES71" s="19">
        <v>8894828</v>
      </c>
      <c r="ET71" s="19"/>
      <c r="EU71" s="19"/>
      <c r="EV71" s="19">
        <v>2660483</v>
      </c>
      <c r="EW71" s="19">
        <v>2277712</v>
      </c>
      <c r="EX71" s="19"/>
      <c r="EY71" s="19">
        <v>73373000</v>
      </c>
      <c r="EZ71" s="19">
        <v>12661580</v>
      </c>
      <c r="FA71" s="19">
        <v>28033272</v>
      </c>
      <c r="FB71" s="19">
        <v>14096046</v>
      </c>
      <c r="FC71" s="19">
        <v>7238566</v>
      </c>
      <c r="FD71" s="19">
        <v>1107877</v>
      </c>
      <c r="FE71" s="19">
        <v>18654799</v>
      </c>
      <c r="FF71" s="19"/>
      <c r="FG71" s="19">
        <v>6381086</v>
      </c>
      <c r="FH71" s="19">
        <v>2318966</v>
      </c>
      <c r="FI71" s="19"/>
      <c r="FJ71" s="19"/>
      <c r="FK71" s="19">
        <v>4129574</v>
      </c>
      <c r="FL71" s="19">
        <v>339945</v>
      </c>
      <c r="FM71" s="19">
        <v>106680</v>
      </c>
      <c r="FN71" s="19"/>
      <c r="FO71" s="19">
        <v>707504</v>
      </c>
      <c r="FP71" s="19">
        <v>4224080</v>
      </c>
      <c r="FQ71" s="19"/>
      <c r="FR71" s="19">
        <v>631350</v>
      </c>
      <c r="FS71" s="19"/>
      <c r="FT71" s="19">
        <v>1951737</v>
      </c>
      <c r="FU71" s="19" t="s">
        <v>152</v>
      </c>
      <c r="FV71" s="19">
        <v>32849127</v>
      </c>
      <c r="FW71" s="19">
        <v>2422244</v>
      </c>
      <c r="FX71" s="19">
        <v>480000</v>
      </c>
      <c r="FY71" s="19">
        <v>11438163</v>
      </c>
      <c r="FZ71" s="19">
        <v>5207702</v>
      </c>
      <c r="GA71" s="19"/>
      <c r="GB71" s="19"/>
      <c r="GC71" s="19">
        <v>13341033</v>
      </c>
      <c r="GD71" s="19" t="s">
        <v>96</v>
      </c>
      <c r="GE71" s="19"/>
      <c r="GF71" s="19"/>
      <c r="GG71" s="19">
        <v>1302956</v>
      </c>
      <c r="GH71" s="19">
        <v>1414472</v>
      </c>
      <c r="GI71" s="19">
        <v>3005990</v>
      </c>
      <c r="GJ71" s="19"/>
      <c r="GK71" s="19"/>
      <c r="GL71" s="19"/>
      <c r="GM71" s="19">
        <v>109610</v>
      </c>
      <c r="GN71" s="19">
        <v>13024886</v>
      </c>
      <c r="GO71" s="19">
        <v>24409789</v>
      </c>
      <c r="GP71" s="19">
        <v>93652901</v>
      </c>
      <c r="GQ71" s="19"/>
      <c r="GR71" s="19">
        <v>4449242</v>
      </c>
      <c r="GS71" s="19">
        <v>44244469</v>
      </c>
      <c r="GT71" s="19">
        <v>3005990</v>
      </c>
      <c r="GU71" s="19"/>
      <c r="GV71" s="19" t="s">
        <v>89</v>
      </c>
      <c r="GW71" s="19">
        <v>38930817</v>
      </c>
      <c r="GX71" s="19">
        <v>15781409</v>
      </c>
      <c r="GY71" s="19"/>
      <c r="GZ71" s="19"/>
      <c r="HA71" s="19">
        <v>10981275</v>
      </c>
      <c r="HB71" s="19"/>
      <c r="HC71" s="19">
        <v>14162621</v>
      </c>
      <c r="HD71" s="19" t="s">
        <v>89</v>
      </c>
      <c r="HE71" s="19">
        <v>5907143</v>
      </c>
      <c r="HF71" s="19">
        <v>4744338</v>
      </c>
      <c r="HG71" s="19"/>
      <c r="HH71" s="19"/>
      <c r="HI71" s="19">
        <v>15403187</v>
      </c>
      <c r="HJ71" s="19">
        <v>6923244</v>
      </c>
      <c r="HK71" s="19">
        <v>19705632</v>
      </c>
      <c r="HL71" s="19"/>
      <c r="HM71" s="19">
        <v>4115291</v>
      </c>
      <c r="HN71" s="19">
        <v>5424422</v>
      </c>
      <c r="HO71" s="19">
        <v>7336129</v>
      </c>
      <c r="HP71" s="19" t="s">
        <v>89</v>
      </c>
    </row>
    <row r="72" spans="1:224">
      <c r="A72" s="9" t="s">
        <v>92</v>
      </c>
      <c r="B72" s="15" t="s">
        <v>29</v>
      </c>
      <c r="C72" s="19">
        <v>600000</v>
      </c>
      <c r="D72" s="19"/>
      <c r="E72" s="19">
        <v>20326500</v>
      </c>
      <c r="F72" s="19">
        <v>64557160</v>
      </c>
      <c r="G72" s="19">
        <v>25156600</v>
      </c>
      <c r="H72" s="19">
        <v>6450000</v>
      </c>
      <c r="I72" s="19">
        <v>160261809</v>
      </c>
      <c r="J72" s="19" t="s">
        <v>4</v>
      </c>
      <c r="K72" s="19"/>
      <c r="L72" s="19"/>
      <c r="M72" s="19" t="s">
        <v>96</v>
      </c>
      <c r="N72" s="19"/>
      <c r="O72" s="19"/>
      <c r="P72" s="19"/>
      <c r="Q72" s="19"/>
      <c r="R72" s="19">
        <v>3015600</v>
      </c>
      <c r="S72" s="19">
        <v>190948200</v>
      </c>
      <c r="T72" s="19" t="s">
        <v>96</v>
      </c>
      <c r="U72" s="19"/>
      <c r="V72" s="19"/>
      <c r="W72" s="19"/>
      <c r="X72" s="19">
        <v>75090000</v>
      </c>
      <c r="Y72" s="19"/>
      <c r="Z72" s="19"/>
      <c r="AA72" s="19">
        <v>4000000</v>
      </c>
      <c r="AB72" s="19">
        <v>1400000</v>
      </c>
      <c r="AC72" s="19">
        <v>2240000</v>
      </c>
      <c r="AD72" s="19">
        <v>31958506</v>
      </c>
      <c r="AE72" s="19"/>
      <c r="AF72" s="19">
        <v>1700000</v>
      </c>
      <c r="AG72" s="19">
        <v>28679720</v>
      </c>
      <c r="AH72" s="19">
        <v>258200000</v>
      </c>
      <c r="AI72" s="19">
        <v>1110000</v>
      </c>
      <c r="AJ72" s="19">
        <v>12944935</v>
      </c>
      <c r="AK72" s="19" t="s">
        <v>89</v>
      </c>
      <c r="AL72" s="19">
        <v>2000000</v>
      </c>
      <c r="AM72" s="19" t="s">
        <v>4</v>
      </c>
      <c r="AN72" s="19">
        <v>1130000</v>
      </c>
      <c r="AO72" s="19"/>
      <c r="AP72" s="19">
        <v>9905922</v>
      </c>
      <c r="AQ72" s="19" t="s">
        <v>172</v>
      </c>
      <c r="AR72" s="19">
        <v>388800</v>
      </c>
      <c r="AS72" s="19">
        <v>2200000</v>
      </c>
      <c r="AT72" s="19"/>
      <c r="AU72" s="19">
        <v>1350000</v>
      </c>
      <c r="AV72" s="19"/>
      <c r="AW72" s="19"/>
      <c r="AX72" s="19" t="s">
        <v>4</v>
      </c>
      <c r="AY72" s="19"/>
      <c r="AZ72" s="19"/>
      <c r="BA72" s="19">
        <v>120000</v>
      </c>
      <c r="BB72" s="19">
        <v>600000</v>
      </c>
      <c r="BC72" s="19">
        <v>19352700</v>
      </c>
      <c r="BD72" s="19"/>
      <c r="BE72" s="19"/>
      <c r="BF72" s="19"/>
      <c r="BG72" s="19">
        <v>6374264</v>
      </c>
      <c r="BH72" s="19">
        <v>9663430</v>
      </c>
      <c r="BI72" s="19">
        <v>1000000</v>
      </c>
      <c r="BJ72" s="19">
        <v>110000</v>
      </c>
      <c r="BK72" s="19"/>
      <c r="BL72" s="19">
        <v>3780000</v>
      </c>
      <c r="BM72" s="19">
        <v>2000000</v>
      </c>
      <c r="BN72" s="19">
        <v>600000</v>
      </c>
      <c r="BO72" s="19">
        <v>600000</v>
      </c>
      <c r="BP72" s="19"/>
      <c r="BQ72" s="19" t="s">
        <v>4</v>
      </c>
      <c r="BR72" s="19">
        <v>5204000</v>
      </c>
      <c r="BS72" s="19"/>
      <c r="BT72" s="19"/>
      <c r="BU72" s="19">
        <v>103155</v>
      </c>
      <c r="BV72" s="19"/>
      <c r="BW72" s="19">
        <v>36932715</v>
      </c>
      <c r="BX72" s="19"/>
      <c r="BY72" s="19">
        <v>16800000</v>
      </c>
      <c r="BZ72" s="19">
        <v>97333980</v>
      </c>
      <c r="CA72" s="19"/>
      <c r="CB72" s="19">
        <v>200000</v>
      </c>
      <c r="CC72" s="19"/>
      <c r="CD72" s="19">
        <v>49965200</v>
      </c>
      <c r="CE72" s="19">
        <v>2000000</v>
      </c>
      <c r="CF72" s="19"/>
      <c r="CG72" s="19">
        <v>300000</v>
      </c>
      <c r="CH72" s="19">
        <v>3000000</v>
      </c>
      <c r="CI72" s="19" t="s">
        <v>89</v>
      </c>
      <c r="CJ72" s="19"/>
      <c r="CK72" s="19">
        <v>7150000</v>
      </c>
      <c r="CL72" s="19">
        <v>16538000</v>
      </c>
      <c r="CM72" s="19">
        <v>2860000</v>
      </c>
      <c r="CN72" s="19">
        <v>3003110</v>
      </c>
      <c r="CO72" s="19">
        <v>300000</v>
      </c>
      <c r="CP72" s="19"/>
      <c r="CQ72" s="19" t="s">
        <v>96</v>
      </c>
      <c r="CR72" s="19">
        <v>16221876</v>
      </c>
      <c r="CS72" s="19"/>
      <c r="CT72" s="19"/>
      <c r="CU72" s="19">
        <v>30200000</v>
      </c>
      <c r="CV72" s="19"/>
      <c r="CW72" s="19">
        <v>650000</v>
      </c>
      <c r="CX72" s="19">
        <v>4000000</v>
      </c>
      <c r="CY72" s="19">
        <v>27335827</v>
      </c>
      <c r="CZ72" s="19">
        <v>2300000</v>
      </c>
      <c r="DA72" s="19">
        <v>60000</v>
      </c>
      <c r="DB72" s="19">
        <v>2962000</v>
      </c>
      <c r="DC72" s="19"/>
      <c r="DD72" s="19"/>
      <c r="DE72" s="19">
        <v>1500000</v>
      </c>
      <c r="DF72" s="19"/>
      <c r="DG72" s="19">
        <v>909170</v>
      </c>
      <c r="DH72" s="19">
        <v>282000</v>
      </c>
      <c r="DI72" s="19">
        <v>5666500</v>
      </c>
      <c r="DJ72" s="19">
        <v>2590000</v>
      </c>
      <c r="DK72" s="19">
        <v>430000</v>
      </c>
      <c r="DL72" s="19">
        <v>827250</v>
      </c>
      <c r="DM72" s="19">
        <v>49082000</v>
      </c>
      <c r="DN72" s="19">
        <v>1000000</v>
      </c>
      <c r="DO72" s="19">
        <v>1530000</v>
      </c>
      <c r="DP72" s="19"/>
      <c r="DQ72" s="19"/>
      <c r="DR72" s="19">
        <v>6493950</v>
      </c>
      <c r="DS72" s="19"/>
      <c r="DT72" s="19">
        <v>2600000</v>
      </c>
      <c r="DU72" s="19">
        <v>869000</v>
      </c>
      <c r="DV72" s="19"/>
      <c r="DW72" s="19">
        <v>721187</v>
      </c>
      <c r="DX72" s="19">
        <v>1200000</v>
      </c>
      <c r="DY72" s="19">
        <v>10791043</v>
      </c>
      <c r="DZ72" s="19"/>
      <c r="EA72" s="19"/>
      <c r="EB72" s="19"/>
      <c r="EC72" s="19">
        <v>7086000</v>
      </c>
      <c r="ED72" s="19"/>
      <c r="EE72" s="19">
        <v>716000</v>
      </c>
      <c r="EF72" s="19">
        <v>300000</v>
      </c>
      <c r="EG72" s="19">
        <v>213950</v>
      </c>
      <c r="EH72" s="19"/>
      <c r="EI72" s="19">
        <v>361680</v>
      </c>
      <c r="EJ72" s="19">
        <v>100000</v>
      </c>
      <c r="EK72" s="19" t="s">
        <v>89</v>
      </c>
      <c r="EL72" s="19">
        <v>4466490</v>
      </c>
      <c r="EM72" s="19">
        <v>4108000</v>
      </c>
      <c r="EN72" s="19">
        <v>2650000</v>
      </c>
      <c r="EO72" s="19">
        <v>77135600</v>
      </c>
      <c r="EP72" s="19"/>
      <c r="EQ72" s="19"/>
      <c r="ER72" s="19">
        <v>15396750</v>
      </c>
      <c r="ES72" s="19">
        <v>8961682</v>
      </c>
      <c r="ET72" s="19"/>
      <c r="EU72" s="19"/>
      <c r="EV72" s="19">
        <v>20430827</v>
      </c>
      <c r="EW72" s="19"/>
      <c r="EX72" s="19"/>
      <c r="EY72" s="19">
        <v>2923040</v>
      </c>
      <c r="EZ72" s="19"/>
      <c r="FA72" s="19">
        <v>9790</v>
      </c>
      <c r="FB72" s="19">
        <v>1091000</v>
      </c>
      <c r="FC72" s="19">
        <v>800000</v>
      </c>
      <c r="FD72" s="19"/>
      <c r="FE72" s="19">
        <v>51049419</v>
      </c>
      <c r="FF72" s="19">
        <v>195000</v>
      </c>
      <c r="FG72" s="19"/>
      <c r="FH72" s="19"/>
      <c r="FI72" s="19"/>
      <c r="FJ72" s="19"/>
      <c r="FK72" s="19">
        <v>60240</v>
      </c>
      <c r="FL72" s="19"/>
      <c r="FM72" s="19"/>
      <c r="FN72" s="19">
        <v>4500000</v>
      </c>
      <c r="FO72" s="19"/>
      <c r="FP72" s="19"/>
      <c r="FQ72" s="19"/>
      <c r="FR72" s="19"/>
      <c r="FS72" s="19"/>
      <c r="FT72" s="19"/>
      <c r="FU72" s="19" t="s">
        <v>152</v>
      </c>
      <c r="FV72" s="19"/>
      <c r="FW72" s="19"/>
      <c r="FX72" s="19"/>
      <c r="FY72" s="19"/>
      <c r="FZ72" s="19"/>
      <c r="GA72" s="19"/>
      <c r="GB72" s="19"/>
      <c r="GC72" s="19"/>
      <c r="GD72" s="19" t="s">
        <v>96</v>
      </c>
      <c r="GE72" s="19"/>
      <c r="GF72" s="19"/>
      <c r="GG72" s="19">
        <v>7885100</v>
      </c>
      <c r="GH72" s="19"/>
      <c r="GI72" s="19">
        <v>266640</v>
      </c>
      <c r="GJ72" s="19"/>
      <c r="GK72" s="19">
        <v>1487164</v>
      </c>
      <c r="GL72" s="19"/>
      <c r="GM72" s="19"/>
      <c r="GN72" s="19"/>
      <c r="GO72" s="19"/>
      <c r="GP72" s="19">
        <v>14017980</v>
      </c>
      <c r="GQ72" s="19"/>
      <c r="GR72" s="19"/>
      <c r="GS72" s="19"/>
      <c r="GT72" s="19">
        <v>266640</v>
      </c>
      <c r="GU72" s="19"/>
      <c r="GV72" s="19" t="s">
        <v>89</v>
      </c>
      <c r="GW72" s="19">
        <v>500000</v>
      </c>
      <c r="GX72" s="19">
        <v>9628400</v>
      </c>
      <c r="GY72" s="19"/>
      <c r="GZ72" s="19">
        <v>500000</v>
      </c>
      <c r="HA72" s="19"/>
      <c r="HB72" s="19">
        <v>110000</v>
      </c>
      <c r="HC72" s="19"/>
      <c r="HD72" s="19" t="s">
        <v>89</v>
      </c>
      <c r="HE72" s="19"/>
      <c r="HF72" s="19">
        <v>400000</v>
      </c>
      <c r="HG72" s="19"/>
      <c r="HH72" s="19"/>
      <c r="HI72" s="19"/>
      <c r="HJ72" s="19">
        <v>300000</v>
      </c>
      <c r="HK72" s="19"/>
      <c r="HL72" s="19"/>
      <c r="HM72" s="19"/>
      <c r="HN72" s="19"/>
      <c r="HO72" s="19">
        <v>10550000</v>
      </c>
      <c r="HP72" s="19" t="s">
        <v>89</v>
      </c>
    </row>
    <row r="73" spans="1:224">
      <c r="A73" s="9" t="s">
        <v>92</v>
      </c>
      <c r="B73" s="15" t="s">
        <v>57</v>
      </c>
      <c r="C73" s="19"/>
      <c r="D73" s="19"/>
      <c r="E73" s="19"/>
      <c r="F73" s="19">
        <v>558507</v>
      </c>
      <c r="G73" s="19">
        <v>60932</v>
      </c>
      <c r="H73" s="19"/>
      <c r="I73" s="19"/>
      <c r="J73" s="19" t="s">
        <v>4</v>
      </c>
      <c r="K73" s="19">
        <v>11587206</v>
      </c>
      <c r="L73" s="19"/>
      <c r="M73" s="19" t="s">
        <v>96</v>
      </c>
      <c r="N73" s="19"/>
      <c r="O73" s="19"/>
      <c r="P73" s="19"/>
      <c r="Q73" s="19"/>
      <c r="R73" s="19">
        <v>4588940</v>
      </c>
      <c r="S73" s="19"/>
      <c r="T73" s="19" t="s">
        <v>96</v>
      </c>
      <c r="U73" s="19"/>
      <c r="V73" s="19"/>
      <c r="W73" s="19">
        <v>33356559</v>
      </c>
      <c r="X73" s="19"/>
      <c r="Y73" s="19"/>
      <c r="Z73" s="19"/>
      <c r="AA73" s="19"/>
      <c r="AB73" s="19"/>
      <c r="AC73" s="19"/>
      <c r="AD73" s="19"/>
      <c r="AE73" s="19">
        <v>1832671</v>
      </c>
      <c r="AF73" s="19"/>
      <c r="AG73" s="19"/>
      <c r="AH73" s="19"/>
      <c r="AI73" s="19">
        <v>79607897</v>
      </c>
      <c r="AJ73" s="19"/>
      <c r="AK73" s="19" t="s">
        <v>89</v>
      </c>
      <c r="AL73" s="19">
        <v>2120308</v>
      </c>
      <c r="AM73" s="19" t="s">
        <v>4</v>
      </c>
      <c r="AN73" s="19"/>
      <c r="AO73" s="19"/>
      <c r="AP73" s="19"/>
      <c r="AQ73" s="19" t="s">
        <v>172</v>
      </c>
      <c r="AR73" s="19">
        <v>3063637</v>
      </c>
      <c r="AS73" s="19"/>
      <c r="AT73" s="19"/>
      <c r="AU73" s="19"/>
      <c r="AV73" s="19"/>
      <c r="AW73" s="19">
        <v>5350000</v>
      </c>
      <c r="AX73" s="19" t="s">
        <v>4</v>
      </c>
      <c r="AY73" s="19"/>
      <c r="AZ73" s="19"/>
      <c r="BA73" s="19"/>
      <c r="BB73" s="19"/>
      <c r="BC73" s="19"/>
      <c r="BD73" s="19"/>
      <c r="BE73" s="19"/>
      <c r="BF73" s="19"/>
      <c r="BG73" s="19">
        <v>140825</v>
      </c>
      <c r="BH73" s="19"/>
      <c r="BI73" s="19"/>
      <c r="BJ73" s="19"/>
      <c r="BK73" s="19"/>
      <c r="BL73" s="19"/>
      <c r="BM73" s="19"/>
      <c r="BN73" s="19"/>
      <c r="BO73" s="19"/>
      <c r="BP73" s="19"/>
      <c r="BQ73" s="19" t="s">
        <v>4</v>
      </c>
      <c r="BR73" s="19"/>
      <c r="BS73" s="19"/>
      <c r="BT73" s="19"/>
      <c r="BU73" s="19"/>
      <c r="BV73" s="19"/>
      <c r="BW73" s="19"/>
      <c r="BX73" s="19"/>
      <c r="BY73" s="19"/>
      <c r="BZ73" s="19"/>
      <c r="CA73" s="19"/>
      <c r="CB73" s="19"/>
      <c r="CC73" s="19"/>
      <c r="CD73" s="19"/>
      <c r="CE73" s="19"/>
      <c r="CF73" s="19"/>
      <c r="CG73" s="19"/>
      <c r="CH73" s="19"/>
      <c r="CI73" s="19" t="s">
        <v>89</v>
      </c>
      <c r="CJ73" s="19"/>
      <c r="CK73" s="19"/>
      <c r="CL73" s="19"/>
      <c r="CM73" s="19"/>
      <c r="CN73" s="19"/>
      <c r="CO73" s="19"/>
      <c r="CP73" s="19"/>
      <c r="CQ73" s="19" t="s">
        <v>96</v>
      </c>
      <c r="CR73" s="19"/>
      <c r="CS73" s="19">
        <v>926819</v>
      </c>
      <c r="CT73" s="19"/>
      <c r="CU73" s="19"/>
      <c r="CV73" s="19"/>
      <c r="CW73" s="19">
        <v>33000</v>
      </c>
      <c r="CX73" s="19">
        <v>40151310</v>
      </c>
      <c r="CY73" s="19"/>
      <c r="CZ73" s="19"/>
      <c r="DA73" s="19"/>
      <c r="DB73" s="19"/>
      <c r="DC73" s="19"/>
      <c r="DD73" s="19"/>
      <c r="DE73" s="19"/>
      <c r="DF73" s="19"/>
      <c r="DG73" s="19"/>
      <c r="DH73" s="19">
        <v>113536</v>
      </c>
      <c r="DI73" s="19"/>
      <c r="DJ73" s="19"/>
      <c r="DK73" s="19"/>
      <c r="DL73" s="19"/>
      <c r="DM73" s="19">
        <v>12360000</v>
      </c>
      <c r="DN73" s="19"/>
      <c r="DO73" s="19"/>
      <c r="DP73" s="19">
        <v>2295636</v>
      </c>
      <c r="DQ73" s="19"/>
      <c r="DR73" s="19"/>
      <c r="DS73" s="19"/>
      <c r="DT73" s="19"/>
      <c r="DU73" s="19"/>
      <c r="DV73" s="19"/>
      <c r="DW73" s="19"/>
      <c r="DX73" s="19"/>
      <c r="DY73" s="19"/>
      <c r="DZ73" s="19"/>
      <c r="EA73" s="19"/>
      <c r="EB73" s="19">
        <v>205520</v>
      </c>
      <c r="EC73" s="19"/>
      <c r="ED73" s="19"/>
      <c r="EE73" s="19"/>
      <c r="EF73" s="19">
        <v>67941</v>
      </c>
      <c r="EG73" s="19"/>
      <c r="EH73" s="19"/>
      <c r="EI73" s="19"/>
      <c r="EJ73" s="19"/>
      <c r="EK73" s="19" t="s">
        <v>89</v>
      </c>
      <c r="EL73" s="19"/>
      <c r="EM73" s="19"/>
      <c r="EN73" s="19"/>
      <c r="EO73" s="19"/>
      <c r="EP73" s="19"/>
      <c r="EQ73" s="19"/>
      <c r="ER73" s="19"/>
      <c r="ES73" s="19"/>
      <c r="ET73" s="19"/>
      <c r="EU73" s="19"/>
      <c r="EV73" s="19"/>
      <c r="EW73" s="19"/>
      <c r="EX73" s="19"/>
      <c r="EY73" s="19"/>
      <c r="EZ73" s="19">
        <v>2847265</v>
      </c>
      <c r="FA73" s="19"/>
      <c r="FB73" s="19"/>
      <c r="FC73" s="19">
        <v>4090909</v>
      </c>
      <c r="FD73" s="19"/>
      <c r="FE73" s="19"/>
      <c r="FF73" s="19"/>
      <c r="FG73" s="19"/>
      <c r="FH73" s="19"/>
      <c r="FI73" s="19"/>
      <c r="FJ73" s="19"/>
      <c r="FK73" s="19">
        <v>740909</v>
      </c>
      <c r="FL73" s="19"/>
      <c r="FM73" s="19"/>
      <c r="FN73" s="19"/>
      <c r="FO73" s="19"/>
      <c r="FP73" s="19"/>
      <c r="FQ73" s="19"/>
      <c r="FR73" s="19"/>
      <c r="FS73" s="19"/>
      <c r="FT73" s="19"/>
      <c r="FU73" s="19" t="s">
        <v>152</v>
      </c>
      <c r="FV73" s="19"/>
      <c r="FW73" s="19"/>
      <c r="FX73" s="19"/>
      <c r="FY73" s="19"/>
      <c r="FZ73" s="19"/>
      <c r="GA73" s="19"/>
      <c r="GB73" s="19"/>
      <c r="GC73" s="19"/>
      <c r="GD73" s="19" t="s">
        <v>96</v>
      </c>
      <c r="GE73" s="19"/>
      <c r="GF73" s="19">
        <v>9</v>
      </c>
      <c r="GG73" s="19"/>
      <c r="GH73" s="19"/>
      <c r="GI73" s="19"/>
      <c r="GJ73" s="19"/>
      <c r="GK73" s="19"/>
      <c r="GL73" s="19">
        <v>1868895</v>
      </c>
      <c r="GM73" s="19"/>
      <c r="GN73" s="19"/>
      <c r="GO73" s="19"/>
      <c r="GP73" s="19"/>
      <c r="GQ73" s="19"/>
      <c r="GR73" s="19"/>
      <c r="GS73" s="19"/>
      <c r="GT73" s="19"/>
      <c r="GU73" s="19"/>
      <c r="GV73" s="19" t="s">
        <v>89</v>
      </c>
      <c r="GW73" s="19"/>
      <c r="GX73" s="19"/>
      <c r="GY73" s="19"/>
      <c r="GZ73" s="19"/>
      <c r="HA73" s="19"/>
      <c r="HB73" s="19"/>
      <c r="HC73" s="19"/>
      <c r="HD73" s="19" t="s">
        <v>89</v>
      </c>
      <c r="HE73" s="19"/>
      <c r="HF73" s="19"/>
      <c r="HG73" s="19">
        <v>180964</v>
      </c>
      <c r="HH73" s="19"/>
      <c r="HI73" s="19"/>
      <c r="HJ73" s="19"/>
      <c r="HK73" s="19">
        <v>167229900</v>
      </c>
      <c r="HL73" s="19"/>
      <c r="HM73" s="19"/>
      <c r="HN73" s="19"/>
      <c r="HO73" s="19"/>
      <c r="HP73" s="19" t="s">
        <v>89</v>
      </c>
    </row>
    <row r="74" spans="1:224">
      <c r="A74" s="9" t="s">
        <v>92</v>
      </c>
      <c r="B74" s="15" t="s">
        <v>9</v>
      </c>
      <c r="C74" s="19">
        <v>3222090</v>
      </c>
      <c r="D74" s="19">
        <v>144506</v>
      </c>
      <c r="E74" s="19">
        <v>2910499</v>
      </c>
      <c r="F74" s="19">
        <v>34571</v>
      </c>
      <c r="G74" s="19"/>
      <c r="H74" s="19">
        <v>6600000</v>
      </c>
      <c r="I74" s="19"/>
      <c r="J74" s="19" t="s">
        <v>4</v>
      </c>
      <c r="K74" s="19">
        <v>1843979</v>
      </c>
      <c r="L74" s="19">
        <v>79863</v>
      </c>
      <c r="M74" s="19" t="s">
        <v>96</v>
      </c>
      <c r="N74" s="19">
        <v>6154045</v>
      </c>
      <c r="O74" s="19">
        <v>20292</v>
      </c>
      <c r="P74" s="19">
        <v>1647082</v>
      </c>
      <c r="Q74" s="19">
        <v>1054000</v>
      </c>
      <c r="R74" s="19">
        <v>58860</v>
      </c>
      <c r="S74" s="19">
        <v>914231</v>
      </c>
      <c r="T74" s="19" t="s">
        <v>96</v>
      </c>
      <c r="U74" s="19">
        <v>423845</v>
      </c>
      <c r="V74" s="19">
        <v>10698105</v>
      </c>
      <c r="W74" s="19">
        <v>220587</v>
      </c>
      <c r="X74" s="19">
        <v>192746</v>
      </c>
      <c r="Y74" s="19">
        <v>7501738</v>
      </c>
      <c r="Z74" s="19">
        <v>1048160</v>
      </c>
      <c r="AA74" s="19">
        <v>46798</v>
      </c>
      <c r="AB74" s="19">
        <v>1056627</v>
      </c>
      <c r="AC74" s="19">
        <v>1573620</v>
      </c>
      <c r="AD74" s="19">
        <v>435699</v>
      </c>
      <c r="AE74" s="19"/>
      <c r="AF74" s="19">
        <v>8</v>
      </c>
      <c r="AG74" s="19">
        <v>4307217</v>
      </c>
      <c r="AH74" s="19">
        <v>24741</v>
      </c>
      <c r="AI74" s="19">
        <v>468673</v>
      </c>
      <c r="AJ74" s="19">
        <v>3710472</v>
      </c>
      <c r="AK74" s="19" t="s">
        <v>89</v>
      </c>
      <c r="AL74" s="19">
        <v>659722</v>
      </c>
      <c r="AM74" s="19" t="s">
        <v>4</v>
      </c>
      <c r="AN74" s="19">
        <v>208284</v>
      </c>
      <c r="AO74" s="19">
        <v>251190</v>
      </c>
      <c r="AP74" s="19">
        <v>1234742</v>
      </c>
      <c r="AQ74" s="19" t="s">
        <v>172</v>
      </c>
      <c r="AR74" s="19">
        <v>34687</v>
      </c>
      <c r="AS74" s="19">
        <v>15348</v>
      </c>
      <c r="AT74" s="19">
        <v>1393823</v>
      </c>
      <c r="AU74" s="19">
        <v>3883550</v>
      </c>
      <c r="AV74" s="19">
        <v>4200</v>
      </c>
      <c r="AW74" s="19">
        <v>2691680</v>
      </c>
      <c r="AX74" s="19" t="s">
        <v>4</v>
      </c>
      <c r="AY74" s="19">
        <v>27830</v>
      </c>
      <c r="AZ74" s="19">
        <v>903790</v>
      </c>
      <c r="BA74" s="19">
        <v>44226</v>
      </c>
      <c r="BB74" s="19">
        <v>57340</v>
      </c>
      <c r="BC74" s="19">
        <v>6062673</v>
      </c>
      <c r="BD74" s="19">
        <v>67075</v>
      </c>
      <c r="BE74" s="19">
        <v>739540</v>
      </c>
      <c r="BF74" s="19">
        <v>56795</v>
      </c>
      <c r="BG74" s="19">
        <v>2762592</v>
      </c>
      <c r="BH74" s="19">
        <v>540396</v>
      </c>
      <c r="BI74" s="19">
        <v>19</v>
      </c>
      <c r="BJ74" s="19">
        <v>1206850</v>
      </c>
      <c r="BK74" s="19">
        <v>67411</v>
      </c>
      <c r="BL74" s="19">
        <v>160313</v>
      </c>
      <c r="BM74" s="19">
        <v>385667</v>
      </c>
      <c r="BN74" s="19">
        <v>102</v>
      </c>
      <c r="BO74" s="19">
        <v>22677</v>
      </c>
      <c r="BP74" s="19">
        <v>877</v>
      </c>
      <c r="BQ74" s="19" t="s">
        <v>4</v>
      </c>
      <c r="BR74" s="19">
        <v>2176811</v>
      </c>
      <c r="BS74" s="19">
        <v>40756</v>
      </c>
      <c r="BT74" s="19">
        <v>1620546</v>
      </c>
      <c r="BU74" s="19">
        <v>1545814</v>
      </c>
      <c r="BV74" s="19">
        <v>59049</v>
      </c>
      <c r="BW74" s="19">
        <v>239300</v>
      </c>
      <c r="BX74" s="19">
        <v>341</v>
      </c>
      <c r="BY74" s="19">
        <v>14039410</v>
      </c>
      <c r="BZ74" s="19">
        <v>25</v>
      </c>
      <c r="CA74" s="19">
        <v>2523</v>
      </c>
      <c r="CB74" s="19"/>
      <c r="CC74" s="19">
        <v>707519</v>
      </c>
      <c r="CD74" s="19">
        <v>21742844</v>
      </c>
      <c r="CE74" s="19"/>
      <c r="CF74" s="19">
        <v>106284</v>
      </c>
      <c r="CG74" s="19">
        <v>1993783</v>
      </c>
      <c r="CH74" s="19">
        <v>132849</v>
      </c>
      <c r="CI74" s="19" t="s">
        <v>89</v>
      </c>
      <c r="CJ74" s="19">
        <v>442160</v>
      </c>
      <c r="CK74" s="19">
        <v>13042286</v>
      </c>
      <c r="CL74" s="19">
        <v>3629299</v>
      </c>
      <c r="CM74" s="19"/>
      <c r="CN74" s="19">
        <v>34288</v>
      </c>
      <c r="CO74" s="19"/>
      <c r="CP74" s="19">
        <v>296061</v>
      </c>
      <c r="CQ74" s="19" t="s">
        <v>96</v>
      </c>
      <c r="CR74" s="19">
        <v>284977</v>
      </c>
      <c r="CS74" s="19">
        <v>75787</v>
      </c>
      <c r="CT74" s="19">
        <v>492976</v>
      </c>
      <c r="CU74" s="19"/>
      <c r="CV74" s="19">
        <v>3157</v>
      </c>
      <c r="CW74" s="19">
        <v>2311320</v>
      </c>
      <c r="CX74" s="19"/>
      <c r="CY74" s="19">
        <v>133759</v>
      </c>
      <c r="CZ74" s="19">
        <v>30080</v>
      </c>
      <c r="DA74" s="19">
        <v>281060</v>
      </c>
      <c r="DB74" s="19">
        <v>500</v>
      </c>
      <c r="DC74" s="19"/>
      <c r="DD74" s="19">
        <v>236</v>
      </c>
      <c r="DE74" s="19">
        <v>9879</v>
      </c>
      <c r="DF74" s="19">
        <v>18</v>
      </c>
      <c r="DG74" s="19">
        <v>3146652</v>
      </c>
      <c r="DH74" s="19">
        <v>820</v>
      </c>
      <c r="DI74" s="19">
        <v>869097</v>
      </c>
      <c r="DJ74" s="19">
        <v>17363</v>
      </c>
      <c r="DK74" s="19">
        <v>6343767</v>
      </c>
      <c r="DL74" s="19">
        <v>1736</v>
      </c>
      <c r="DM74" s="19">
        <v>1929183</v>
      </c>
      <c r="DN74" s="19"/>
      <c r="DO74" s="19">
        <v>429</v>
      </c>
      <c r="DP74" s="19">
        <v>186</v>
      </c>
      <c r="DQ74" s="19">
        <v>345770</v>
      </c>
      <c r="DR74" s="19">
        <v>400271</v>
      </c>
      <c r="DS74" s="19"/>
      <c r="DT74" s="19">
        <v>661</v>
      </c>
      <c r="DU74" s="19"/>
      <c r="DV74" s="19"/>
      <c r="DW74" s="19">
        <v>443352</v>
      </c>
      <c r="DX74" s="19">
        <v>36351</v>
      </c>
      <c r="DY74" s="19"/>
      <c r="DZ74" s="19">
        <v>516100</v>
      </c>
      <c r="EA74" s="19"/>
      <c r="EB74" s="19">
        <v>4702640</v>
      </c>
      <c r="EC74" s="19">
        <v>239726</v>
      </c>
      <c r="ED74" s="19">
        <v>9990</v>
      </c>
      <c r="EE74" s="19">
        <v>879511</v>
      </c>
      <c r="EF74" s="19">
        <v>71051648</v>
      </c>
      <c r="EG74" s="19">
        <v>19375598</v>
      </c>
      <c r="EH74" s="19">
        <v>150489</v>
      </c>
      <c r="EI74" s="19">
        <v>920495</v>
      </c>
      <c r="EJ74" s="19">
        <v>38418</v>
      </c>
      <c r="EK74" s="19" t="s">
        <v>89</v>
      </c>
      <c r="EL74" s="19">
        <v>525757</v>
      </c>
      <c r="EM74" s="19">
        <v>27040</v>
      </c>
      <c r="EN74" s="19">
        <v>533979</v>
      </c>
      <c r="EO74" s="19">
        <v>265831</v>
      </c>
      <c r="EP74" s="19"/>
      <c r="EQ74" s="19"/>
      <c r="ER74" s="19">
        <v>2390807</v>
      </c>
      <c r="ES74" s="19">
        <v>256412</v>
      </c>
      <c r="ET74" s="19">
        <v>26795925</v>
      </c>
      <c r="EU74" s="19">
        <v>14813</v>
      </c>
      <c r="EV74" s="19">
        <v>141483</v>
      </c>
      <c r="EW74" s="19">
        <v>829941</v>
      </c>
      <c r="EX74" s="19">
        <v>838441</v>
      </c>
      <c r="EY74" s="19">
        <v>500015</v>
      </c>
      <c r="EZ74" s="19">
        <v>1243496</v>
      </c>
      <c r="FA74" s="19"/>
      <c r="FB74" s="19">
        <v>303805</v>
      </c>
      <c r="FC74" s="19">
        <v>761125</v>
      </c>
      <c r="FD74" s="19">
        <v>128389</v>
      </c>
      <c r="FE74" s="19">
        <v>2654723</v>
      </c>
      <c r="FF74" s="19">
        <v>236137</v>
      </c>
      <c r="FG74" s="19">
        <v>17885</v>
      </c>
      <c r="FH74" s="19">
        <v>74076</v>
      </c>
      <c r="FI74" s="19">
        <v>14839478</v>
      </c>
      <c r="FJ74" s="19">
        <v>1081</v>
      </c>
      <c r="FK74" s="19">
        <v>4124990</v>
      </c>
      <c r="FL74" s="19">
        <v>17</v>
      </c>
      <c r="FM74" s="19"/>
      <c r="FN74" s="19">
        <v>79747</v>
      </c>
      <c r="FO74" s="19">
        <v>114657</v>
      </c>
      <c r="FP74" s="19">
        <v>844</v>
      </c>
      <c r="FQ74" s="19">
        <v>307453</v>
      </c>
      <c r="FR74" s="19">
        <v>3076</v>
      </c>
      <c r="FS74" s="19">
        <v>120500</v>
      </c>
      <c r="FT74" s="19">
        <v>37</v>
      </c>
      <c r="FU74" s="19" t="s">
        <v>152</v>
      </c>
      <c r="FV74" s="19">
        <v>1344</v>
      </c>
      <c r="FW74" s="19">
        <v>383837</v>
      </c>
      <c r="FX74" s="19">
        <v>29271</v>
      </c>
      <c r="FY74" s="19">
        <v>2061090</v>
      </c>
      <c r="FZ74" s="19"/>
      <c r="GA74" s="19">
        <v>440</v>
      </c>
      <c r="GB74" s="19"/>
      <c r="GC74" s="19">
        <v>240109</v>
      </c>
      <c r="GD74" s="19" t="s">
        <v>96</v>
      </c>
      <c r="GE74" s="19">
        <v>6</v>
      </c>
      <c r="GF74" s="19"/>
      <c r="GG74" s="19">
        <v>39472316</v>
      </c>
      <c r="GH74" s="19"/>
      <c r="GI74" s="19">
        <v>76160</v>
      </c>
      <c r="GJ74" s="19">
        <v>3209910</v>
      </c>
      <c r="GK74" s="19">
        <v>220669</v>
      </c>
      <c r="GL74" s="19">
        <v>3629</v>
      </c>
      <c r="GM74" s="19">
        <v>1345738</v>
      </c>
      <c r="GN74" s="19">
        <v>13</v>
      </c>
      <c r="GO74" s="19">
        <v>42483</v>
      </c>
      <c r="GP74" s="19">
        <v>367085</v>
      </c>
      <c r="GQ74" s="19">
        <v>11159</v>
      </c>
      <c r="GR74" s="19">
        <v>257055</v>
      </c>
      <c r="GS74" s="19">
        <v>260908</v>
      </c>
      <c r="GT74" s="19">
        <v>76160</v>
      </c>
      <c r="GU74" s="19">
        <v>1949010</v>
      </c>
      <c r="GV74" s="19" t="s">
        <v>89</v>
      </c>
      <c r="GW74" s="19">
        <v>349006</v>
      </c>
      <c r="GX74" s="19">
        <v>1632914</v>
      </c>
      <c r="GY74" s="19">
        <v>154003</v>
      </c>
      <c r="GZ74" s="19">
        <v>1271195</v>
      </c>
      <c r="HA74" s="19">
        <v>2855</v>
      </c>
      <c r="HB74" s="19">
        <v>3477</v>
      </c>
      <c r="HC74" s="19">
        <v>2230</v>
      </c>
      <c r="HD74" s="19" t="s">
        <v>89</v>
      </c>
      <c r="HE74" s="19">
        <v>53961</v>
      </c>
      <c r="HF74" s="19">
        <v>444380</v>
      </c>
      <c r="HG74" s="19"/>
      <c r="HH74" s="19">
        <v>1038758</v>
      </c>
      <c r="HI74" s="19">
        <v>105000</v>
      </c>
      <c r="HJ74" s="19">
        <v>97440</v>
      </c>
      <c r="HK74" s="19">
        <v>36439353</v>
      </c>
      <c r="HL74" s="19">
        <v>6</v>
      </c>
      <c r="HM74" s="19"/>
      <c r="HN74" s="19">
        <v>4929</v>
      </c>
      <c r="HO74" s="19">
        <v>135321</v>
      </c>
      <c r="HP74" s="19" t="s">
        <v>89</v>
      </c>
    </row>
    <row r="75" spans="1:224">
      <c r="A75" s="9" t="s">
        <v>92</v>
      </c>
      <c r="B75" s="15" t="s">
        <v>43</v>
      </c>
      <c r="C75" s="19"/>
      <c r="D75" s="19">
        <v>24280644</v>
      </c>
      <c r="E75" s="19"/>
      <c r="F75" s="19"/>
      <c r="G75" s="19"/>
      <c r="H75" s="19">
        <v>24000000</v>
      </c>
      <c r="I75" s="19"/>
      <c r="J75" s="19" t="s">
        <v>4</v>
      </c>
      <c r="K75" s="19"/>
      <c r="L75" s="19">
        <v>234149</v>
      </c>
      <c r="M75" s="19" t="s">
        <v>96</v>
      </c>
      <c r="N75" s="19">
        <v>115837</v>
      </c>
      <c r="O75" s="19">
        <v>52371266</v>
      </c>
      <c r="P75" s="19">
        <v>52071875</v>
      </c>
      <c r="Q75" s="19">
        <v>6716</v>
      </c>
      <c r="R75" s="19"/>
      <c r="S75" s="19"/>
      <c r="T75" s="19" t="s">
        <v>96</v>
      </c>
      <c r="U75" s="19">
        <v>918367</v>
      </c>
      <c r="V75" s="19"/>
      <c r="W75" s="19">
        <v>5009705</v>
      </c>
      <c r="X75" s="19"/>
      <c r="Y75" s="19"/>
      <c r="Z75" s="19">
        <v>36924270</v>
      </c>
      <c r="AA75" s="19"/>
      <c r="AB75" s="19"/>
      <c r="AC75" s="19"/>
      <c r="AD75" s="19"/>
      <c r="AE75" s="19">
        <v>20466098</v>
      </c>
      <c r="AF75" s="19"/>
      <c r="AG75" s="19"/>
      <c r="AH75" s="19">
        <v>85651603</v>
      </c>
      <c r="AI75" s="19"/>
      <c r="AJ75" s="19">
        <v>28583433</v>
      </c>
      <c r="AK75" s="19" t="s">
        <v>89</v>
      </c>
      <c r="AL75" s="19">
        <v>300000</v>
      </c>
      <c r="AM75" s="19" t="s">
        <v>4</v>
      </c>
      <c r="AN75" s="19"/>
      <c r="AO75" s="19">
        <v>202223</v>
      </c>
      <c r="AP75" s="19"/>
      <c r="AQ75" s="19" t="s">
        <v>172</v>
      </c>
      <c r="AR75" s="19"/>
      <c r="AS75" s="19"/>
      <c r="AT75" s="19"/>
      <c r="AU75" s="19"/>
      <c r="AV75" s="19"/>
      <c r="AW75" s="19">
        <v>22360</v>
      </c>
      <c r="AX75" s="19" t="s">
        <v>4</v>
      </c>
      <c r="AY75" s="19">
        <v>50000000</v>
      </c>
      <c r="AZ75" s="19"/>
      <c r="BA75" s="19">
        <v>31743387</v>
      </c>
      <c r="BB75" s="19"/>
      <c r="BC75" s="19"/>
      <c r="BD75" s="19"/>
      <c r="BE75" s="19">
        <v>2267560</v>
      </c>
      <c r="BF75" s="19"/>
      <c r="BG75" s="19">
        <v>863732</v>
      </c>
      <c r="BH75" s="19">
        <v>997500</v>
      </c>
      <c r="BI75" s="19"/>
      <c r="BJ75" s="19">
        <v>7442483</v>
      </c>
      <c r="BK75" s="19"/>
      <c r="BL75" s="19"/>
      <c r="BM75" s="19">
        <v>95497095</v>
      </c>
      <c r="BN75" s="19">
        <v>150000</v>
      </c>
      <c r="BO75" s="19"/>
      <c r="BP75" s="19"/>
      <c r="BQ75" s="19" t="s">
        <v>4</v>
      </c>
      <c r="BR75" s="19"/>
      <c r="BS75" s="19"/>
      <c r="BT75" s="19"/>
      <c r="BU75" s="19">
        <v>561756</v>
      </c>
      <c r="BV75" s="19"/>
      <c r="BW75" s="19"/>
      <c r="BX75" s="19"/>
      <c r="BY75" s="19">
        <v>247787041</v>
      </c>
      <c r="BZ75" s="19"/>
      <c r="CA75" s="19"/>
      <c r="CB75" s="19"/>
      <c r="CC75" s="19"/>
      <c r="CD75" s="19"/>
      <c r="CE75" s="19"/>
      <c r="CF75" s="19">
        <v>958735</v>
      </c>
      <c r="CG75" s="19">
        <v>6988900</v>
      </c>
      <c r="CH75" s="19"/>
      <c r="CI75" s="19" t="s">
        <v>89</v>
      </c>
      <c r="CJ75" s="19"/>
      <c r="CK75" s="19">
        <v>624783</v>
      </c>
      <c r="CL75" s="19"/>
      <c r="CM75" s="19">
        <v>46406025</v>
      </c>
      <c r="CN75" s="19">
        <v>366320</v>
      </c>
      <c r="CO75" s="19">
        <v>246983</v>
      </c>
      <c r="CP75" s="19"/>
      <c r="CQ75" s="19" t="s">
        <v>96</v>
      </c>
      <c r="CR75" s="19"/>
      <c r="CS75" s="19"/>
      <c r="CT75" s="19"/>
      <c r="CU75" s="19">
        <v>16000000</v>
      </c>
      <c r="CV75" s="19"/>
      <c r="CW75" s="19"/>
      <c r="CX75" s="19">
        <v>115214</v>
      </c>
      <c r="CY75" s="19">
        <v>657721719</v>
      </c>
      <c r="CZ75" s="19"/>
      <c r="DA75" s="19"/>
      <c r="DB75" s="19"/>
      <c r="DC75" s="19"/>
      <c r="DD75" s="19"/>
      <c r="DE75" s="19"/>
      <c r="DF75" s="19"/>
      <c r="DG75" s="19"/>
      <c r="DH75" s="19"/>
      <c r="DI75" s="19"/>
      <c r="DJ75" s="19"/>
      <c r="DK75" s="19">
        <v>31861</v>
      </c>
      <c r="DL75" s="19"/>
      <c r="DM75" s="19"/>
      <c r="DN75" s="19"/>
      <c r="DO75" s="19"/>
      <c r="DP75" s="19"/>
      <c r="DQ75" s="19"/>
      <c r="DR75" s="19"/>
      <c r="DS75" s="19"/>
      <c r="DT75" s="19"/>
      <c r="DU75" s="19"/>
      <c r="DV75" s="19">
        <v>50438</v>
      </c>
      <c r="DW75" s="19"/>
      <c r="DX75" s="19">
        <v>8203932</v>
      </c>
      <c r="DY75" s="19"/>
      <c r="DZ75" s="19"/>
      <c r="EA75" s="19"/>
      <c r="EB75" s="19"/>
      <c r="EC75" s="19"/>
      <c r="ED75" s="19"/>
      <c r="EE75" s="19"/>
      <c r="EF75" s="19"/>
      <c r="EG75" s="19">
        <v>5764171</v>
      </c>
      <c r="EH75" s="19"/>
      <c r="EI75" s="19">
        <v>4676800</v>
      </c>
      <c r="EJ75" s="19"/>
      <c r="EK75" s="19" t="s">
        <v>89</v>
      </c>
      <c r="EL75" s="19"/>
      <c r="EM75" s="19">
        <v>494000</v>
      </c>
      <c r="EN75" s="19">
        <v>123289318</v>
      </c>
      <c r="EO75" s="19"/>
      <c r="EP75" s="19"/>
      <c r="EQ75" s="19"/>
      <c r="ER75" s="19"/>
      <c r="ES75" s="19">
        <v>2548814</v>
      </c>
      <c r="ET75" s="19"/>
      <c r="EU75" s="19">
        <v>308747</v>
      </c>
      <c r="EV75" s="19">
        <v>336319</v>
      </c>
      <c r="EW75" s="19"/>
      <c r="EX75" s="19"/>
      <c r="EY75" s="19"/>
      <c r="EZ75" s="19"/>
      <c r="FA75" s="19"/>
      <c r="FB75" s="19"/>
      <c r="FC75" s="19">
        <v>1271416</v>
      </c>
      <c r="FD75" s="19">
        <v>580033</v>
      </c>
      <c r="FE75" s="19"/>
      <c r="FF75" s="19"/>
      <c r="FG75" s="19">
        <v>251487</v>
      </c>
      <c r="FH75" s="19"/>
      <c r="FI75" s="19"/>
      <c r="FJ75" s="19"/>
      <c r="FK75" s="19"/>
      <c r="FL75" s="19"/>
      <c r="FM75" s="19"/>
      <c r="FN75" s="19"/>
      <c r="FO75" s="19"/>
      <c r="FP75" s="19"/>
      <c r="FQ75" s="19"/>
      <c r="FR75" s="19"/>
      <c r="FS75" s="19">
        <v>94583</v>
      </c>
      <c r="FT75" s="19">
        <v>3311277</v>
      </c>
      <c r="FU75" s="19" t="s">
        <v>152</v>
      </c>
      <c r="FV75" s="19"/>
      <c r="FW75" s="19"/>
      <c r="FX75" s="19"/>
      <c r="FY75" s="19"/>
      <c r="FZ75" s="19">
        <v>1346</v>
      </c>
      <c r="GA75" s="19">
        <v>0</v>
      </c>
      <c r="GB75" s="19"/>
      <c r="GC75" s="19"/>
      <c r="GD75" s="19" t="s">
        <v>96</v>
      </c>
      <c r="GE75" s="19"/>
      <c r="GF75" s="19"/>
      <c r="GG75" s="19"/>
      <c r="GH75" s="19"/>
      <c r="GI75" s="19"/>
      <c r="GJ75" s="19">
        <v>59634454</v>
      </c>
      <c r="GK75" s="19"/>
      <c r="GL75" s="19"/>
      <c r="GM75" s="19"/>
      <c r="GN75" s="19"/>
      <c r="GO75" s="19">
        <v>5712043</v>
      </c>
      <c r="GP75" s="19">
        <v>17439770</v>
      </c>
      <c r="GQ75" s="19"/>
      <c r="GR75" s="19"/>
      <c r="GS75" s="19"/>
      <c r="GT75" s="19"/>
      <c r="GU75" s="19"/>
      <c r="GV75" s="19" t="s">
        <v>89</v>
      </c>
      <c r="GW75" s="19"/>
      <c r="GX75" s="19"/>
      <c r="GY75" s="19">
        <v>108423</v>
      </c>
      <c r="GZ75" s="19"/>
      <c r="HA75" s="19"/>
      <c r="HB75" s="19">
        <v>11413</v>
      </c>
      <c r="HC75" s="19"/>
      <c r="HD75" s="19" t="s">
        <v>89</v>
      </c>
      <c r="HE75" s="19">
        <v>4672975</v>
      </c>
      <c r="HF75" s="19"/>
      <c r="HG75" s="19"/>
      <c r="HH75" s="19"/>
      <c r="HI75" s="19"/>
      <c r="HJ75" s="19"/>
      <c r="HK75" s="19">
        <v>208763</v>
      </c>
      <c r="HL75" s="19"/>
      <c r="HM75" s="19"/>
      <c r="HN75" s="19">
        <v>2404944</v>
      </c>
      <c r="HO75" s="19"/>
      <c r="HP75" s="19" t="s">
        <v>89</v>
      </c>
    </row>
    <row r="76" spans="1:224">
      <c r="A76" s="9" t="s">
        <v>92</v>
      </c>
      <c r="B76" s="10" t="s">
        <v>65</v>
      </c>
      <c r="C76" s="19">
        <v>78355733</v>
      </c>
      <c r="D76" s="19">
        <v>60429385</v>
      </c>
      <c r="E76" s="19">
        <v>105356654</v>
      </c>
      <c r="F76" s="19">
        <v>36269254</v>
      </c>
      <c r="G76" s="19">
        <v>1196540</v>
      </c>
      <c r="H76" s="19">
        <v>13838697</v>
      </c>
      <c r="I76" s="19">
        <v>140927722</v>
      </c>
      <c r="J76" s="19" t="s">
        <v>4</v>
      </c>
      <c r="K76" s="19">
        <v>214949608</v>
      </c>
      <c r="L76" s="19">
        <v>22385082</v>
      </c>
      <c r="M76" s="19" t="s">
        <v>96</v>
      </c>
      <c r="N76" s="19">
        <v>-23222194</v>
      </c>
      <c r="O76" s="19">
        <v>40377259</v>
      </c>
      <c r="P76" s="19">
        <v>109737962</v>
      </c>
      <c r="Q76" s="19">
        <v>10271389</v>
      </c>
      <c r="R76" s="19">
        <v>-20613456</v>
      </c>
      <c r="S76" s="19">
        <v>514141529</v>
      </c>
      <c r="T76" s="19" t="s">
        <v>96</v>
      </c>
      <c r="U76" s="19">
        <v>165019432</v>
      </c>
      <c r="V76" s="19">
        <v>-63405995</v>
      </c>
      <c r="W76" s="19">
        <v>117248184</v>
      </c>
      <c r="X76" s="19">
        <v>502283495</v>
      </c>
      <c r="Y76" s="19">
        <v>1363881</v>
      </c>
      <c r="Z76" s="19">
        <v>17384886</v>
      </c>
      <c r="AA76" s="19">
        <v>90057631</v>
      </c>
      <c r="AB76" s="19">
        <v>27414197</v>
      </c>
      <c r="AC76" s="19">
        <v>-26794572</v>
      </c>
      <c r="AD76" s="19">
        <v>14250881</v>
      </c>
      <c r="AE76" s="19">
        <v>79239829</v>
      </c>
      <c r="AF76" s="19">
        <v>163576818</v>
      </c>
      <c r="AG76" s="19">
        <v>40546413</v>
      </c>
      <c r="AH76" s="19">
        <v>218706756</v>
      </c>
      <c r="AI76" s="19">
        <v>-146315996</v>
      </c>
      <c r="AJ76" s="19">
        <v>19750491</v>
      </c>
      <c r="AK76" s="19" t="s">
        <v>89</v>
      </c>
      <c r="AL76" s="19">
        <v>42192472</v>
      </c>
      <c r="AM76" s="19" t="s">
        <v>4</v>
      </c>
      <c r="AN76" s="19">
        <v>52346035</v>
      </c>
      <c r="AO76" s="19">
        <v>-216449735</v>
      </c>
      <c r="AP76" s="19">
        <v>74144670</v>
      </c>
      <c r="AQ76" s="19" t="s">
        <v>172</v>
      </c>
      <c r="AR76" s="19">
        <v>22412794</v>
      </c>
      <c r="AS76" s="19">
        <v>5545763</v>
      </c>
      <c r="AT76" s="19">
        <v>30991431</v>
      </c>
      <c r="AU76" s="19">
        <v>-161184108</v>
      </c>
      <c r="AV76" s="19">
        <v>116025855</v>
      </c>
      <c r="AW76" s="19">
        <v>1017401</v>
      </c>
      <c r="AX76" s="19" t="s">
        <v>4</v>
      </c>
      <c r="AY76" s="19">
        <v>28285257</v>
      </c>
      <c r="AZ76" s="19">
        <v>2241538</v>
      </c>
      <c r="BA76" s="19">
        <v>-95316302</v>
      </c>
      <c r="BB76" s="19">
        <v>-7104925</v>
      </c>
      <c r="BC76" s="19">
        <v>38843583</v>
      </c>
      <c r="BD76" s="19">
        <v>110271130</v>
      </c>
      <c r="BE76" s="19">
        <v>-50934041</v>
      </c>
      <c r="BF76" s="19">
        <v>13702565</v>
      </c>
      <c r="BG76" s="19">
        <v>-417094200</v>
      </c>
      <c r="BH76" s="19">
        <v>-21719501</v>
      </c>
      <c r="BI76" s="19">
        <v>148885049</v>
      </c>
      <c r="BJ76" s="19">
        <v>21805603</v>
      </c>
      <c r="BK76" s="19">
        <v>10025734</v>
      </c>
      <c r="BL76" s="19">
        <v>20320953</v>
      </c>
      <c r="BM76" s="19">
        <v>268718723</v>
      </c>
      <c r="BN76" s="19">
        <v>95729879</v>
      </c>
      <c r="BO76" s="19">
        <v>16018459</v>
      </c>
      <c r="BP76" s="19">
        <v>588482</v>
      </c>
      <c r="BQ76" s="19" t="s">
        <v>4</v>
      </c>
      <c r="BR76" s="19">
        <v>625540263</v>
      </c>
      <c r="BS76" s="19">
        <v>5534307</v>
      </c>
      <c r="BT76" s="19">
        <v>-10499234</v>
      </c>
      <c r="BU76" s="19">
        <v>4977811</v>
      </c>
      <c r="BV76" s="19">
        <v>43769692</v>
      </c>
      <c r="BW76" s="19">
        <v>-25279145</v>
      </c>
      <c r="BX76" s="19">
        <v>4730468</v>
      </c>
      <c r="BY76" s="19">
        <v>-690935129</v>
      </c>
      <c r="BZ76" s="19">
        <v>415414484</v>
      </c>
      <c r="CA76" s="19">
        <v>18437081</v>
      </c>
      <c r="CB76" s="19">
        <v>59248328</v>
      </c>
      <c r="CC76" s="19">
        <v>17698928</v>
      </c>
      <c r="CD76" s="19">
        <v>48512767</v>
      </c>
      <c r="CE76" s="19">
        <v>-6320056</v>
      </c>
      <c r="CF76" s="19">
        <v>-524287425</v>
      </c>
      <c r="CG76" s="19">
        <v>4915037</v>
      </c>
      <c r="CH76" s="19">
        <v>14778598</v>
      </c>
      <c r="CI76" s="19" t="s">
        <v>89</v>
      </c>
      <c r="CJ76" s="19">
        <v>1450383</v>
      </c>
      <c r="CK76" s="19">
        <v>13824685</v>
      </c>
      <c r="CL76" s="19">
        <v>-51743924</v>
      </c>
      <c r="CM76" s="19">
        <v>220854391</v>
      </c>
      <c r="CN76" s="19">
        <v>5000141</v>
      </c>
      <c r="CO76" s="19">
        <v>2383552</v>
      </c>
      <c r="CP76" s="19">
        <v>13720874</v>
      </c>
      <c r="CQ76" s="19" t="s">
        <v>96</v>
      </c>
      <c r="CR76" s="19">
        <v>84077119</v>
      </c>
      <c r="CS76" s="19">
        <v>294466973</v>
      </c>
      <c r="CT76" s="19">
        <v>-624935078</v>
      </c>
      <c r="CU76" s="19">
        <v>-36586988</v>
      </c>
      <c r="CV76" s="19">
        <v>7085194</v>
      </c>
      <c r="CW76" s="19">
        <v>123253610</v>
      </c>
      <c r="CX76" s="19">
        <v>-927303004</v>
      </c>
      <c r="CY76" s="19">
        <v>102567682</v>
      </c>
      <c r="CZ76" s="19">
        <v>107451749</v>
      </c>
      <c r="DA76" s="19">
        <v>19272645</v>
      </c>
      <c r="DB76" s="19">
        <v>73201635</v>
      </c>
      <c r="DC76" s="19">
        <v>-58245961</v>
      </c>
      <c r="DD76" s="19">
        <v>16883565</v>
      </c>
      <c r="DE76" s="19">
        <v>11562549</v>
      </c>
      <c r="DF76" s="19">
        <v>5605929</v>
      </c>
      <c r="DG76" s="19">
        <v>1355346</v>
      </c>
      <c r="DH76" s="19">
        <v>69777348</v>
      </c>
      <c r="DI76" s="19">
        <v>194723705</v>
      </c>
      <c r="DJ76" s="19">
        <v>64957765</v>
      </c>
      <c r="DK76" s="19">
        <v>152715684</v>
      </c>
      <c r="DL76" s="19">
        <v>104519401</v>
      </c>
      <c r="DM76" s="19">
        <v>-57021230</v>
      </c>
      <c r="DN76" s="19">
        <v>4361922</v>
      </c>
      <c r="DO76" s="19">
        <v>19353398</v>
      </c>
      <c r="DP76" s="19">
        <v>36999918</v>
      </c>
      <c r="DQ76" s="19">
        <v>13241154</v>
      </c>
      <c r="DR76" s="19">
        <v>32991789</v>
      </c>
      <c r="DS76" s="19">
        <v>29636965</v>
      </c>
      <c r="DT76" s="19">
        <v>228685446</v>
      </c>
      <c r="DU76" s="19">
        <v>10191481</v>
      </c>
      <c r="DV76" s="19">
        <v>-126780865</v>
      </c>
      <c r="DW76" s="19">
        <v>248882422</v>
      </c>
      <c r="DX76" s="19">
        <v>195633539</v>
      </c>
      <c r="DY76" s="19">
        <v>18630856</v>
      </c>
      <c r="DZ76" s="19">
        <v>25885287</v>
      </c>
      <c r="EA76" s="19">
        <v>12866489</v>
      </c>
      <c r="EB76" s="19">
        <v>93588821</v>
      </c>
      <c r="EC76" s="19">
        <v>32821156</v>
      </c>
      <c r="ED76" s="19">
        <v>-62097267</v>
      </c>
      <c r="EE76" s="19">
        <v>12885933</v>
      </c>
      <c r="EF76" s="19">
        <v>13525753</v>
      </c>
      <c r="EG76" s="19">
        <v>-2742133737</v>
      </c>
      <c r="EH76" s="19">
        <v>-41221126</v>
      </c>
      <c r="EI76" s="19">
        <v>-84680797</v>
      </c>
      <c r="EJ76" s="19">
        <v>-33497573</v>
      </c>
      <c r="EK76" s="19" t="s">
        <v>89</v>
      </c>
      <c r="EL76" s="19">
        <v>158017402</v>
      </c>
      <c r="EM76" s="19">
        <v>221727261</v>
      </c>
      <c r="EN76" s="19">
        <v>-111197506</v>
      </c>
      <c r="EO76" s="19">
        <v>10870877</v>
      </c>
      <c r="EP76" s="19">
        <v>24384120</v>
      </c>
      <c r="EQ76" s="19">
        <v>220513689</v>
      </c>
      <c r="ER76" s="19">
        <v>22024290</v>
      </c>
      <c r="ES76" s="19">
        <v>39341597</v>
      </c>
      <c r="ET76" s="19">
        <v>-72576962</v>
      </c>
      <c r="EU76" s="19">
        <v>-254130213</v>
      </c>
      <c r="EV76" s="19">
        <v>23554670</v>
      </c>
      <c r="EW76" s="19">
        <v>4444057</v>
      </c>
      <c r="EX76" s="19">
        <v>18791040</v>
      </c>
      <c r="EY76" s="19">
        <v>49903596</v>
      </c>
      <c r="EZ76" s="19">
        <v>57395720</v>
      </c>
      <c r="FA76" s="19">
        <v>-246345381</v>
      </c>
      <c r="FB76" s="19">
        <v>2572826</v>
      </c>
      <c r="FC76" s="19">
        <v>3099905</v>
      </c>
      <c r="FD76" s="19">
        <v>40194090</v>
      </c>
      <c r="FE76" s="19">
        <v>238171791</v>
      </c>
      <c r="FF76" s="19">
        <v>-14733616</v>
      </c>
      <c r="FG76" s="19">
        <v>215116836</v>
      </c>
      <c r="FH76" s="19">
        <v>-29314039</v>
      </c>
      <c r="FI76" s="19">
        <v>40204884</v>
      </c>
      <c r="FJ76" s="19">
        <v>51586111</v>
      </c>
      <c r="FK76" s="19">
        <v>5263867</v>
      </c>
      <c r="FL76" s="19">
        <v>9515411</v>
      </c>
      <c r="FM76" s="19">
        <v>-7888838</v>
      </c>
      <c r="FN76" s="19">
        <v>-341597833</v>
      </c>
      <c r="FO76" s="19">
        <v>-21297418</v>
      </c>
      <c r="FP76" s="19">
        <v>-21195992</v>
      </c>
      <c r="FQ76" s="19">
        <v>-29046034</v>
      </c>
      <c r="FR76" s="19">
        <v>10096545</v>
      </c>
      <c r="FS76" s="19">
        <v>-12249595</v>
      </c>
      <c r="FT76" s="19">
        <v>383314492</v>
      </c>
      <c r="FU76" s="19" t="s">
        <v>152</v>
      </c>
      <c r="FV76" s="19">
        <v>269102942</v>
      </c>
      <c r="FW76" s="19">
        <v>20701468</v>
      </c>
      <c r="FX76" s="19">
        <v>-54941431</v>
      </c>
      <c r="FY76" s="19">
        <v>-306522967</v>
      </c>
      <c r="FZ76" s="19">
        <v>-157441367</v>
      </c>
      <c r="GA76" s="19">
        <v>104525911</v>
      </c>
      <c r="GB76" s="19">
        <v>-10262119</v>
      </c>
      <c r="GC76" s="19">
        <v>12314283</v>
      </c>
      <c r="GD76" s="19" t="s">
        <v>96</v>
      </c>
      <c r="GE76" s="19">
        <v>-38788052</v>
      </c>
      <c r="GF76" s="19">
        <v>14053634</v>
      </c>
      <c r="GG76" s="19">
        <v>117319739</v>
      </c>
      <c r="GH76" s="19">
        <v>-37793676</v>
      </c>
      <c r="GI76" s="19">
        <v>5873171</v>
      </c>
      <c r="GJ76" s="19">
        <v>29615149</v>
      </c>
      <c r="GK76" s="19">
        <v>-51719566</v>
      </c>
      <c r="GL76" s="19">
        <v>4430798</v>
      </c>
      <c r="GM76" s="19">
        <v>-7040535</v>
      </c>
      <c r="GN76" s="19">
        <v>11188666</v>
      </c>
      <c r="GO76" s="19">
        <v>-1119037072</v>
      </c>
      <c r="GP76" s="19">
        <v>377429274</v>
      </c>
      <c r="GQ76" s="19">
        <v>-35553300</v>
      </c>
      <c r="GR76" s="19">
        <v>48131430</v>
      </c>
      <c r="GS76" s="19">
        <v>-1783252</v>
      </c>
      <c r="GT76" s="19">
        <v>5873171</v>
      </c>
      <c r="GU76" s="19">
        <v>-20637089</v>
      </c>
      <c r="GV76" s="19" t="s">
        <v>89</v>
      </c>
      <c r="GW76" s="19">
        <v>-596548705</v>
      </c>
      <c r="GX76" s="19">
        <v>17052538</v>
      </c>
      <c r="GY76" s="19">
        <v>-254575764</v>
      </c>
      <c r="GZ76" s="19">
        <v>50712983</v>
      </c>
      <c r="HA76" s="19">
        <v>-412257191</v>
      </c>
      <c r="HB76" s="19">
        <v>118499695</v>
      </c>
      <c r="HC76" s="19">
        <v>-91981670</v>
      </c>
      <c r="HD76" s="19" t="s">
        <v>89</v>
      </c>
      <c r="HE76" s="19">
        <v>-57030608</v>
      </c>
      <c r="HF76" s="19">
        <v>13084419</v>
      </c>
      <c r="HG76" s="19">
        <v>41005430</v>
      </c>
      <c r="HH76" s="19">
        <v>8619916</v>
      </c>
      <c r="HI76" s="19">
        <v>7594649</v>
      </c>
      <c r="HJ76" s="19">
        <v>55057960</v>
      </c>
      <c r="HK76" s="19">
        <v>-864579014</v>
      </c>
      <c r="HL76" s="19">
        <v>79791505</v>
      </c>
      <c r="HM76" s="19">
        <v>8764968</v>
      </c>
      <c r="HN76" s="19">
        <v>-99603503</v>
      </c>
      <c r="HO76" s="19">
        <v>197555896</v>
      </c>
      <c r="HP76" s="19" t="s">
        <v>89</v>
      </c>
    </row>
    <row r="77" spans="1:224">
      <c r="A77" s="9" t="s">
        <v>92</v>
      </c>
      <c r="B77" s="10" t="s">
        <v>101</v>
      </c>
      <c r="C77" s="19">
        <v>6762710</v>
      </c>
      <c r="D77" s="19">
        <v>0</v>
      </c>
      <c r="E77" s="19">
        <v>1645630</v>
      </c>
      <c r="F77" s="19">
        <v>28135380</v>
      </c>
      <c r="G77" s="19">
        <v>954040</v>
      </c>
      <c r="H77" s="19">
        <v>1523060</v>
      </c>
      <c r="I77" s="19">
        <v>2463998</v>
      </c>
      <c r="J77" s="19" t="s">
        <v>4</v>
      </c>
      <c r="K77" s="19">
        <v>0</v>
      </c>
      <c r="L77" s="19">
        <v>7520</v>
      </c>
      <c r="M77" s="19" t="s">
        <v>96</v>
      </c>
      <c r="N77" s="19">
        <v>0</v>
      </c>
      <c r="O77" s="19">
        <v>0</v>
      </c>
      <c r="P77" s="19">
        <v>16024660</v>
      </c>
      <c r="Q77" s="19">
        <v>322468</v>
      </c>
      <c r="R77" s="19">
        <v>0</v>
      </c>
      <c r="S77" s="19">
        <v>10545055</v>
      </c>
      <c r="T77" s="19" t="s">
        <v>96</v>
      </c>
      <c r="U77" s="19">
        <v>40767721</v>
      </c>
      <c r="V77" s="19">
        <v>0</v>
      </c>
      <c r="W77" s="19">
        <v>0</v>
      </c>
      <c r="X77" s="19">
        <v>19018370</v>
      </c>
      <c r="Y77" s="19">
        <v>0</v>
      </c>
      <c r="Z77" s="19">
        <v>0</v>
      </c>
      <c r="AA77" s="19">
        <v>11634350</v>
      </c>
      <c r="AB77" s="19">
        <v>2994510</v>
      </c>
      <c r="AC77" s="19">
        <v>453870</v>
      </c>
      <c r="AD77" s="19">
        <v>4122800</v>
      </c>
      <c r="AE77" s="19">
        <v>10636429</v>
      </c>
      <c r="AF77" s="19">
        <v>0</v>
      </c>
      <c r="AG77" s="19">
        <v>0</v>
      </c>
      <c r="AH77" s="19">
        <v>0</v>
      </c>
      <c r="AI77" s="19">
        <v>0</v>
      </c>
      <c r="AJ77" s="19">
        <v>2606733</v>
      </c>
      <c r="AK77" s="19" t="s">
        <v>89</v>
      </c>
      <c r="AL77" s="19">
        <v>5680</v>
      </c>
      <c r="AM77" s="19" t="s">
        <v>4</v>
      </c>
      <c r="AN77" s="19">
        <v>7898934</v>
      </c>
      <c r="AO77" s="19">
        <v>0</v>
      </c>
      <c r="AP77" s="19">
        <v>0</v>
      </c>
      <c r="AQ77" s="19" t="s">
        <v>172</v>
      </c>
      <c r="AR77" s="19">
        <v>1727460</v>
      </c>
      <c r="AS77" s="19">
        <v>0</v>
      </c>
      <c r="AT77" s="19">
        <v>10149167</v>
      </c>
      <c r="AU77" s="19">
        <v>0</v>
      </c>
      <c r="AV77" s="19">
        <v>9054480</v>
      </c>
      <c r="AW77" s="19">
        <v>11510</v>
      </c>
      <c r="AX77" s="19" t="s">
        <v>4</v>
      </c>
      <c r="AY77" s="19">
        <v>978557</v>
      </c>
      <c r="AZ77" s="19">
        <v>0</v>
      </c>
      <c r="BA77" s="19">
        <v>0</v>
      </c>
      <c r="BB77" s="19">
        <v>0</v>
      </c>
      <c r="BC77" s="19">
        <v>0</v>
      </c>
      <c r="BD77" s="19">
        <v>2263480</v>
      </c>
      <c r="BE77" s="19">
        <v>0</v>
      </c>
      <c r="BF77" s="19">
        <v>0</v>
      </c>
      <c r="BG77" s="19">
        <v>0</v>
      </c>
      <c r="BH77" s="19">
        <v>1400440</v>
      </c>
      <c r="BI77" s="19">
        <v>4961650</v>
      </c>
      <c r="BJ77" s="19">
        <v>219500</v>
      </c>
      <c r="BK77" s="19">
        <v>101700</v>
      </c>
      <c r="BL77" s="19">
        <v>0</v>
      </c>
      <c r="BM77" s="19">
        <v>0</v>
      </c>
      <c r="BN77" s="19">
        <v>0</v>
      </c>
      <c r="BO77" s="19">
        <v>0</v>
      </c>
      <c r="BP77" s="19">
        <v>0</v>
      </c>
      <c r="BQ77" s="19" t="s">
        <v>4</v>
      </c>
      <c r="BR77" s="19">
        <v>31546200</v>
      </c>
      <c r="BS77" s="19">
        <v>0</v>
      </c>
      <c r="BT77" s="19">
        <v>0</v>
      </c>
      <c r="BU77" s="19">
        <v>0</v>
      </c>
      <c r="BV77" s="19">
        <v>3788260</v>
      </c>
      <c r="BW77" s="19">
        <v>0</v>
      </c>
      <c r="BX77" s="19">
        <v>0</v>
      </c>
      <c r="BY77" s="19">
        <v>0</v>
      </c>
      <c r="BZ77" s="19">
        <v>22956990</v>
      </c>
      <c r="CA77" s="19">
        <v>2028078</v>
      </c>
      <c r="CB77" s="19">
        <v>487880</v>
      </c>
      <c r="CC77" s="19">
        <v>0</v>
      </c>
      <c r="CD77" s="19">
        <v>0</v>
      </c>
      <c r="CE77" s="19">
        <v>0</v>
      </c>
      <c r="CF77" s="19">
        <v>0</v>
      </c>
      <c r="CG77" s="19">
        <v>3565360</v>
      </c>
      <c r="CH77" s="19">
        <v>0</v>
      </c>
      <c r="CI77" s="19" t="s">
        <v>89</v>
      </c>
      <c r="CJ77" s="19">
        <v>206190</v>
      </c>
      <c r="CK77" s="19">
        <v>3343440</v>
      </c>
      <c r="CL77" s="19">
        <v>93564</v>
      </c>
      <c r="CM77" s="19">
        <v>30791949</v>
      </c>
      <c r="CN77" s="19">
        <v>43350</v>
      </c>
      <c r="CO77" s="19">
        <v>42190</v>
      </c>
      <c r="CP77" s="19">
        <v>146290</v>
      </c>
      <c r="CQ77" s="19" t="s">
        <v>96</v>
      </c>
      <c r="CR77" s="19">
        <v>7903456</v>
      </c>
      <c r="CS77" s="19">
        <v>5357840</v>
      </c>
      <c r="CT77" s="19">
        <v>0</v>
      </c>
      <c r="CU77" s="19">
        <v>0</v>
      </c>
      <c r="CV77" s="19">
        <v>5230</v>
      </c>
      <c r="CW77" s="19">
        <v>0</v>
      </c>
      <c r="CX77" s="19">
        <v>0</v>
      </c>
      <c r="CY77" s="19">
        <v>37729563</v>
      </c>
      <c r="CZ77" s="19">
        <v>3241471</v>
      </c>
      <c r="DA77" s="19">
        <v>1284420</v>
      </c>
      <c r="DB77" s="19">
        <v>9010260</v>
      </c>
      <c r="DC77" s="19">
        <v>0</v>
      </c>
      <c r="DD77" s="19">
        <v>0</v>
      </c>
      <c r="DE77" s="19">
        <v>0</v>
      </c>
      <c r="DF77" s="19">
        <v>0</v>
      </c>
      <c r="DG77" s="19">
        <v>271963</v>
      </c>
      <c r="DH77" s="19">
        <v>0</v>
      </c>
      <c r="DI77" s="19">
        <v>2348350</v>
      </c>
      <c r="DJ77" s="19">
        <v>1882647</v>
      </c>
      <c r="DK77" s="19">
        <v>1747600</v>
      </c>
      <c r="DL77" s="19">
        <v>0</v>
      </c>
      <c r="DM77" s="19">
        <v>0</v>
      </c>
      <c r="DN77" s="19">
        <v>0</v>
      </c>
      <c r="DO77" s="19">
        <v>0</v>
      </c>
      <c r="DP77" s="19">
        <v>4112260</v>
      </c>
      <c r="DQ77" s="19">
        <v>0</v>
      </c>
      <c r="DR77" s="19">
        <v>802074</v>
      </c>
      <c r="DS77" s="19">
        <v>0</v>
      </c>
      <c r="DT77" s="19">
        <v>1260650</v>
      </c>
      <c r="DU77" s="19">
        <v>0</v>
      </c>
      <c r="DV77" s="19">
        <v>0</v>
      </c>
      <c r="DW77" s="19">
        <v>32480</v>
      </c>
      <c r="DX77" s="19">
        <v>4544011</v>
      </c>
      <c r="DY77" s="19">
        <v>0</v>
      </c>
      <c r="DZ77" s="19">
        <v>3124550</v>
      </c>
      <c r="EA77" s="19">
        <v>0</v>
      </c>
      <c r="EB77" s="19">
        <v>2795896</v>
      </c>
      <c r="EC77" s="19">
        <v>3687520</v>
      </c>
      <c r="ED77" s="19">
        <v>174390</v>
      </c>
      <c r="EE77" s="19">
        <v>0</v>
      </c>
      <c r="EF77" s="19">
        <v>673333</v>
      </c>
      <c r="EG77" s="19">
        <v>0</v>
      </c>
      <c r="EH77" s="19">
        <v>0</v>
      </c>
      <c r="EI77" s="19">
        <v>0</v>
      </c>
      <c r="EJ77" s="19">
        <v>0</v>
      </c>
      <c r="EK77" s="19" t="s">
        <v>89</v>
      </c>
      <c r="EL77" s="19">
        <v>0</v>
      </c>
      <c r="EM77" s="19">
        <v>10820400</v>
      </c>
      <c r="EN77" s="19">
        <v>8843801</v>
      </c>
      <c r="EO77" s="19">
        <v>4998622</v>
      </c>
      <c r="EP77" s="19">
        <v>0</v>
      </c>
      <c r="EQ77" s="19">
        <v>0</v>
      </c>
      <c r="ER77" s="19">
        <v>0</v>
      </c>
      <c r="ES77" s="19"/>
      <c r="ET77" s="19">
        <v>0</v>
      </c>
      <c r="EU77" s="19">
        <v>0</v>
      </c>
      <c r="EV77" s="19">
        <v>1340588</v>
      </c>
      <c r="EW77" s="19">
        <v>0</v>
      </c>
      <c r="EX77" s="19">
        <v>10592659</v>
      </c>
      <c r="EY77" s="19">
        <v>20386900</v>
      </c>
      <c r="EZ77" s="19">
        <v>0</v>
      </c>
      <c r="FA77" s="19">
        <v>0</v>
      </c>
      <c r="FB77" s="19">
        <v>0</v>
      </c>
      <c r="FC77" s="19">
        <v>0</v>
      </c>
      <c r="FD77" s="19">
        <v>3916257</v>
      </c>
      <c r="FE77" s="19">
        <v>3867480</v>
      </c>
      <c r="FF77" s="19">
        <v>802250</v>
      </c>
      <c r="FG77" s="19">
        <v>4755420</v>
      </c>
      <c r="FH77" s="19">
        <v>0</v>
      </c>
      <c r="FI77" s="19">
        <v>3751076</v>
      </c>
      <c r="FJ77" s="19">
        <v>1534690</v>
      </c>
      <c r="FK77" s="19">
        <v>0</v>
      </c>
      <c r="FL77" s="19">
        <v>1416080</v>
      </c>
      <c r="FM77" s="19">
        <v>0</v>
      </c>
      <c r="FN77" s="19">
        <v>0</v>
      </c>
      <c r="FO77" s="19">
        <v>0</v>
      </c>
      <c r="FP77" s="19">
        <v>0</v>
      </c>
      <c r="FQ77" s="19">
        <v>0</v>
      </c>
      <c r="FR77" s="19">
        <v>0</v>
      </c>
      <c r="FS77" s="19">
        <v>0</v>
      </c>
      <c r="FT77" s="19">
        <v>30796060</v>
      </c>
      <c r="FU77" s="19" t="s">
        <v>152</v>
      </c>
      <c r="FV77" s="19">
        <v>0</v>
      </c>
      <c r="FW77" s="19">
        <v>0</v>
      </c>
      <c r="FX77" s="19">
        <v>0</v>
      </c>
      <c r="FY77" s="19">
        <v>0</v>
      </c>
      <c r="FZ77" s="19">
        <v>0</v>
      </c>
      <c r="GA77" s="19">
        <v>8989227</v>
      </c>
      <c r="GB77" s="19">
        <v>0</v>
      </c>
      <c r="GC77" s="19">
        <v>4105490</v>
      </c>
      <c r="GD77" s="19" t="s">
        <v>96</v>
      </c>
      <c r="GE77" s="19">
        <v>0</v>
      </c>
      <c r="GF77" s="19">
        <v>1252857</v>
      </c>
      <c r="GG77" s="19">
        <v>0</v>
      </c>
      <c r="GH77" s="19">
        <v>0</v>
      </c>
      <c r="GI77" s="19"/>
      <c r="GJ77" s="19"/>
      <c r="GK77" s="19"/>
      <c r="GL77" s="19">
        <v>58088</v>
      </c>
      <c r="GM77" s="19"/>
      <c r="GN77" s="19">
        <v>1230740</v>
      </c>
      <c r="GO77" s="19"/>
      <c r="GP77" s="19">
        <v>108800235</v>
      </c>
      <c r="GQ77" s="19"/>
      <c r="GR77" s="19">
        <v>1498570</v>
      </c>
      <c r="GS77" s="19">
        <v>2760</v>
      </c>
      <c r="GT77" s="19"/>
      <c r="GU77" s="19"/>
      <c r="GV77" s="19" t="s">
        <v>89</v>
      </c>
      <c r="GW77" s="19"/>
      <c r="GX77" s="19"/>
      <c r="GY77" s="19"/>
      <c r="GZ77" s="19">
        <v>9565040</v>
      </c>
      <c r="HA77" s="19"/>
      <c r="HB77" s="19"/>
      <c r="HC77" s="19"/>
      <c r="HD77" s="19" t="s">
        <v>89</v>
      </c>
      <c r="HE77" s="19"/>
      <c r="HF77" s="19">
        <v>1027766</v>
      </c>
      <c r="HG77" s="19">
        <v>823550</v>
      </c>
      <c r="HH77" s="19"/>
      <c r="HI77" s="19"/>
      <c r="HJ77" s="19">
        <v>536540</v>
      </c>
      <c r="HK77" s="19"/>
      <c r="HL77" s="19"/>
      <c r="HM77" s="19"/>
      <c r="HN77" s="19"/>
      <c r="HO77" s="19">
        <v>1143520</v>
      </c>
      <c r="HP77" s="19" t="s">
        <v>89</v>
      </c>
    </row>
    <row r="78" spans="1:224">
      <c r="A78" s="9" t="s">
        <v>92</v>
      </c>
      <c r="B78" s="10" t="s">
        <v>149</v>
      </c>
      <c r="C78" s="19">
        <v>71593023</v>
      </c>
      <c r="D78" s="19">
        <v>60429385</v>
      </c>
      <c r="E78" s="19">
        <v>103711024</v>
      </c>
      <c r="F78" s="19">
        <v>8133874</v>
      </c>
      <c r="G78" s="19">
        <v>242500</v>
      </c>
      <c r="H78" s="19">
        <v>12315637</v>
      </c>
      <c r="I78" s="19">
        <v>138463724</v>
      </c>
      <c r="J78" s="19" t="s">
        <v>4</v>
      </c>
      <c r="K78" s="19">
        <v>214949608</v>
      </c>
      <c r="L78" s="19">
        <v>22377562</v>
      </c>
      <c r="M78" s="19" t="s">
        <v>96</v>
      </c>
      <c r="N78" s="19">
        <v>-23222194</v>
      </c>
      <c r="O78" s="19">
        <v>40377259</v>
      </c>
      <c r="P78" s="19">
        <v>93713302</v>
      </c>
      <c r="Q78" s="19">
        <v>9948921</v>
      </c>
      <c r="R78" s="19">
        <v>-20613456</v>
      </c>
      <c r="S78" s="19">
        <v>503596474</v>
      </c>
      <c r="T78" s="19" t="s">
        <v>96</v>
      </c>
      <c r="U78" s="19">
        <v>124251711</v>
      </c>
      <c r="V78" s="19">
        <v>-63405995</v>
      </c>
      <c r="W78" s="19">
        <v>117248184</v>
      </c>
      <c r="X78" s="19">
        <v>483265125</v>
      </c>
      <c r="Y78" s="19">
        <v>1363881</v>
      </c>
      <c r="Z78" s="19">
        <v>17384886</v>
      </c>
      <c r="AA78" s="19">
        <v>78423281</v>
      </c>
      <c r="AB78" s="19">
        <v>24419687</v>
      </c>
      <c r="AC78" s="19">
        <v>-27248442</v>
      </c>
      <c r="AD78" s="19">
        <v>10128081</v>
      </c>
      <c r="AE78" s="19">
        <v>68603400</v>
      </c>
      <c r="AF78" s="19">
        <v>163576818</v>
      </c>
      <c r="AG78" s="19">
        <v>40546413</v>
      </c>
      <c r="AH78" s="19">
        <v>218706756</v>
      </c>
      <c r="AI78" s="19">
        <v>-146315996</v>
      </c>
      <c r="AJ78" s="19">
        <v>17143758</v>
      </c>
      <c r="AK78" s="19" t="s">
        <v>89</v>
      </c>
      <c r="AL78" s="19">
        <v>42186792</v>
      </c>
      <c r="AM78" s="19" t="s">
        <v>4</v>
      </c>
      <c r="AN78" s="19">
        <v>44447101</v>
      </c>
      <c r="AO78" s="19">
        <v>-216449735</v>
      </c>
      <c r="AP78" s="19">
        <v>74144670</v>
      </c>
      <c r="AQ78" s="19" t="s">
        <v>172</v>
      </c>
      <c r="AR78" s="19">
        <v>20685334</v>
      </c>
      <c r="AS78" s="19">
        <v>5545763</v>
      </c>
      <c r="AT78" s="19">
        <v>20842264</v>
      </c>
      <c r="AU78" s="19">
        <v>-161184108</v>
      </c>
      <c r="AV78" s="19">
        <v>106971375</v>
      </c>
      <c r="AW78" s="19">
        <v>1005891</v>
      </c>
      <c r="AX78" s="19" t="s">
        <v>4</v>
      </c>
      <c r="AY78" s="19">
        <v>27306700</v>
      </c>
      <c r="AZ78" s="19">
        <v>2241538</v>
      </c>
      <c r="BA78" s="19">
        <v>-95316302</v>
      </c>
      <c r="BB78" s="19">
        <v>-7104925</v>
      </c>
      <c r="BC78" s="19">
        <v>38843583</v>
      </c>
      <c r="BD78" s="19">
        <v>108007650</v>
      </c>
      <c r="BE78" s="19">
        <v>-50934041</v>
      </c>
      <c r="BF78" s="19">
        <v>13702565</v>
      </c>
      <c r="BG78" s="19">
        <v>-417094200</v>
      </c>
      <c r="BH78" s="19">
        <v>-23119941</v>
      </c>
      <c r="BI78" s="19">
        <v>143923399</v>
      </c>
      <c r="BJ78" s="19">
        <v>21586103</v>
      </c>
      <c r="BK78" s="19">
        <v>9924034</v>
      </c>
      <c r="BL78" s="19">
        <v>20320953</v>
      </c>
      <c r="BM78" s="19">
        <v>268718723</v>
      </c>
      <c r="BN78" s="19">
        <v>95729879</v>
      </c>
      <c r="BO78" s="19">
        <v>16018459</v>
      </c>
      <c r="BP78" s="19">
        <v>588482</v>
      </c>
      <c r="BQ78" s="19" t="s">
        <v>4</v>
      </c>
      <c r="BR78" s="19">
        <v>593994063</v>
      </c>
      <c r="BS78" s="19">
        <v>5534307</v>
      </c>
      <c r="BT78" s="19">
        <v>-10499234</v>
      </c>
      <c r="BU78" s="19">
        <v>4977811</v>
      </c>
      <c r="BV78" s="19">
        <v>39981432</v>
      </c>
      <c r="BW78" s="19">
        <v>-25279145</v>
      </c>
      <c r="BX78" s="19">
        <v>4730468</v>
      </c>
      <c r="BY78" s="19">
        <v>-690935129</v>
      </c>
      <c r="BZ78" s="19">
        <v>392457494</v>
      </c>
      <c r="CA78" s="19">
        <v>16409003</v>
      </c>
      <c r="CB78" s="19">
        <v>58760448</v>
      </c>
      <c r="CC78" s="19">
        <v>17698928</v>
      </c>
      <c r="CD78" s="19">
        <v>48512767</v>
      </c>
      <c r="CE78" s="19">
        <v>-6320056</v>
      </c>
      <c r="CF78" s="19">
        <v>-524287425</v>
      </c>
      <c r="CG78" s="19">
        <v>1349677</v>
      </c>
      <c r="CH78" s="19">
        <v>14778598</v>
      </c>
      <c r="CI78" s="19" t="s">
        <v>89</v>
      </c>
      <c r="CJ78" s="19">
        <v>1244193</v>
      </c>
      <c r="CK78" s="19">
        <v>10481245</v>
      </c>
      <c r="CL78" s="19">
        <v>-51837488</v>
      </c>
      <c r="CM78" s="19">
        <v>190062442</v>
      </c>
      <c r="CN78" s="19">
        <v>4956791</v>
      </c>
      <c r="CO78" s="19">
        <v>2341362</v>
      </c>
      <c r="CP78" s="19">
        <v>13574584</v>
      </c>
      <c r="CQ78" s="19" t="s">
        <v>96</v>
      </c>
      <c r="CR78" s="19">
        <v>76173663</v>
      </c>
      <c r="CS78" s="19">
        <v>289109133</v>
      </c>
      <c r="CT78" s="19">
        <v>-624935078</v>
      </c>
      <c r="CU78" s="19">
        <v>-36586988</v>
      </c>
      <c r="CV78" s="19">
        <v>7079964</v>
      </c>
      <c r="CW78" s="19">
        <v>123253610</v>
      </c>
      <c r="CX78" s="19">
        <v>-927303004</v>
      </c>
      <c r="CY78" s="19">
        <v>64838119</v>
      </c>
      <c r="CZ78" s="19">
        <v>104210278</v>
      </c>
      <c r="DA78" s="19">
        <v>17988225</v>
      </c>
      <c r="DB78" s="19">
        <v>64191375</v>
      </c>
      <c r="DC78" s="19">
        <v>-58245961</v>
      </c>
      <c r="DD78" s="19">
        <v>16883565</v>
      </c>
      <c r="DE78" s="19">
        <v>11562549</v>
      </c>
      <c r="DF78" s="19">
        <v>5605929</v>
      </c>
      <c r="DG78" s="19">
        <v>1083383</v>
      </c>
      <c r="DH78" s="19">
        <v>69777348</v>
      </c>
      <c r="DI78" s="19">
        <v>192375355</v>
      </c>
      <c r="DJ78" s="19">
        <v>63075118</v>
      </c>
      <c r="DK78" s="19">
        <v>150968084</v>
      </c>
      <c r="DL78" s="19">
        <v>104519401</v>
      </c>
      <c r="DM78" s="19">
        <v>-57021230</v>
      </c>
      <c r="DN78" s="19">
        <v>4361922</v>
      </c>
      <c r="DO78" s="19">
        <v>19353398</v>
      </c>
      <c r="DP78" s="19">
        <v>32887658</v>
      </c>
      <c r="DQ78" s="19">
        <v>13241154</v>
      </c>
      <c r="DR78" s="19">
        <v>32189715</v>
      </c>
      <c r="DS78" s="19">
        <v>29636965</v>
      </c>
      <c r="DT78" s="19">
        <v>227424796</v>
      </c>
      <c r="DU78" s="19">
        <v>10191481</v>
      </c>
      <c r="DV78" s="19">
        <v>-126780865</v>
      </c>
      <c r="DW78" s="19">
        <v>248849942</v>
      </c>
      <c r="DX78" s="19">
        <v>191089528</v>
      </c>
      <c r="DY78" s="19">
        <v>18630856</v>
      </c>
      <c r="DZ78" s="19">
        <v>22760737</v>
      </c>
      <c r="EA78" s="19">
        <v>12866489</v>
      </c>
      <c r="EB78" s="19">
        <v>90792925</v>
      </c>
      <c r="EC78" s="19">
        <v>29133636</v>
      </c>
      <c r="ED78" s="19">
        <v>-62271657</v>
      </c>
      <c r="EE78" s="19">
        <v>12885933</v>
      </c>
      <c r="EF78" s="19">
        <v>12852420</v>
      </c>
      <c r="EG78" s="19">
        <v>-2742133737</v>
      </c>
      <c r="EH78" s="19">
        <v>-41221126</v>
      </c>
      <c r="EI78" s="19">
        <v>-84680797</v>
      </c>
      <c r="EJ78" s="19">
        <v>-33497573</v>
      </c>
      <c r="EK78" s="19" t="s">
        <v>89</v>
      </c>
      <c r="EL78" s="19">
        <v>158017402</v>
      </c>
      <c r="EM78" s="19">
        <v>210906861</v>
      </c>
      <c r="EN78" s="19">
        <v>-120041307</v>
      </c>
      <c r="EO78" s="19">
        <v>5872255</v>
      </c>
      <c r="EP78" s="19">
        <v>24384120</v>
      </c>
      <c r="EQ78" s="19">
        <v>220513689</v>
      </c>
      <c r="ER78" s="19">
        <v>22024290</v>
      </c>
      <c r="ES78" s="19">
        <v>39341597</v>
      </c>
      <c r="ET78" s="19">
        <v>-72576962</v>
      </c>
      <c r="EU78" s="19">
        <v>-254130213</v>
      </c>
      <c r="EV78" s="19">
        <v>22214082</v>
      </c>
      <c r="EW78" s="19">
        <v>4444057</v>
      </c>
      <c r="EX78" s="19">
        <v>8198381</v>
      </c>
      <c r="EY78" s="19">
        <v>29516696</v>
      </c>
      <c r="EZ78" s="19">
        <v>57395720</v>
      </c>
      <c r="FA78" s="19">
        <v>-246345381</v>
      </c>
      <c r="FB78" s="19">
        <v>2572826</v>
      </c>
      <c r="FC78" s="19">
        <v>3099905</v>
      </c>
      <c r="FD78" s="19">
        <v>36277833</v>
      </c>
      <c r="FE78" s="19">
        <v>234304311</v>
      </c>
      <c r="FF78" s="19">
        <v>-15535866</v>
      </c>
      <c r="FG78" s="19">
        <v>210361416</v>
      </c>
      <c r="FH78" s="19">
        <v>-29314039</v>
      </c>
      <c r="FI78" s="19">
        <v>36453808</v>
      </c>
      <c r="FJ78" s="19">
        <v>50051421</v>
      </c>
      <c r="FK78" s="19">
        <v>5263867</v>
      </c>
      <c r="FL78" s="19">
        <v>8099331</v>
      </c>
      <c r="FM78" s="19">
        <v>-7888838</v>
      </c>
      <c r="FN78" s="19">
        <v>-341597833</v>
      </c>
      <c r="FO78" s="19">
        <v>-21297418</v>
      </c>
      <c r="FP78" s="19">
        <v>-21195992</v>
      </c>
      <c r="FQ78" s="19">
        <v>-29046034</v>
      </c>
      <c r="FR78" s="19">
        <v>10096545</v>
      </c>
      <c r="FS78" s="19">
        <v>-12249595</v>
      </c>
      <c r="FT78" s="19">
        <v>352518432</v>
      </c>
      <c r="FU78" s="19" t="s">
        <v>152</v>
      </c>
      <c r="FV78" s="19">
        <v>269102942</v>
      </c>
      <c r="FW78" s="19">
        <v>20701468</v>
      </c>
      <c r="FX78" s="19">
        <v>-54941431</v>
      </c>
      <c r="FY78" s="19">
        <v>-306522967</v>
      </c>
      <c r="FZ78" s="19">
        <v>-157441367</v>
      </c>
      <c r="GA78" s="19">
        <v>95536684</v>
      </c>
      <c r="GB78" s="19">
        <v>-10262119</v>
      </c>
      <c r="GC78" s="19">
        <v>8208793</v>
      </c>
      <c r="GD78" s="19" t="s">
        <v>96</v>
      </c>
      <c r="GE78" s="19">
        <v>-38788052</v>
      </c>
      <c r="GF78" s="19">
        <v>12800777</v>
      </c>
      <c r="GG78" s="19">
        <v>117319739</v>
      </c>
      <c r="GH78" s="19">
        <v>-37793676</v>
      </c>
      <c r="GI78" s="19">
        <v>5873171</v>
      </c>
      <c r="GJ78" s="19">
        <v>29615149</v>
      </c>
      <c r="GK78" s="19">
        <v>-51719566</v>
      </c>
      <c r="GL78" s="19">
        <v>4372710</v>
      </c>
      <c r="GM78" s="19">
        <v>-7040535</v>
      </c>
      <c r="GN78" s="19">
        <v>9957926</v>
      </c>
      <c r="GO78" s="19">
        <v>-1119037072</v>
      </c>
      <c r="GP78" s="19">
        <v>268629039</v>
      </c>
      <c r="GQ78" s="19">
        <v>-35553300</v>
      </c>
      <c r="GR78" s="19">
        <v>46632860</v>
      </c>
      <c r="GS78" s="19">
        <v>-1786012</v>
      </c>
      <c r="GT78" s="19">
        <v>5873171</v>
      </c>
      <c r="GU78" s="19">
        <v>-20637089</v>
      </c>
      <c r="GV78" s="19" t="s">
        <v>89</v>
      </c>
      <c r="GW78" s="19">
        <v>-596548705</v>
      </c>
      <c r="GX78" s="19">
        <v>17052538</v>
      </c>
      <c r="GY78" s="19">
        <v>-254575764</v>
      </c>
      <c r="GZ78" s="19">
        <v>41147943</v>
      </c>
      <c r="HA78" s="19">
        <v>-412257191</v>
      </c>
      <c r="HB78" s="19">
        <v>118499695</v>
      </c>
      <c r="HC78" s="19">
        <v>-91981670</v>
      </c>
      <c r="HD78" s="19" t="s">
        <v>89</v>
      </c>
      <c r="HE78" s="19">
        <v>-57030608</v>
      </c>
      <c r="HF78" s="19">
        <v>12056653</v>
      </c>
      <c r="HG78" s="19">
        <v>40181880</v>
      </c>
      <c r="HH78" s="19">
        <v>8619916</v>
      </c>
      <c r="HI78" s="19">
        <v>7594649</v>
      </c>
      <c r="HJ78" s="19">
        <v>54521420</v>
      </c>
      <c r="HK78" s="19">
        <v>-864579014</v>
      </c>
      <c r="HL78" s="19">
        <v>79791505</v>
      </c>
      <c r="HM78" s="19">
        <v>8764968</v>
      </c>
      <c r="HN78" s="19">
        <v>-99603503</v>
      </c>
      <c r="HO78" s="19">
        <v>196412376</v>
      </c>
      <c r="HP78" s="19" t="s">
        <v>89</v>
      </c>
    </row>
  </sheetData>
  <phoneticPr fontId="14" type="noConversion"/>
  <pageMargins left="0.69972223043441772" right="0.69972223043441772" top="0.75" bottom="0.75" header="0.30000001192092896" footer="0.30000001192092896"/>
  <pageSetup paperSize="9" orientation="portrait"/>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Sheet8"/>
  <dimension ref="A1:KD78"/>
  <sheetViews>
    <sheetView zoomScale="70" zoomScaleNormal="70" zoomScaleSheetLayoutView="80" workbookViewId="0">
      <pane xSplit="2" topLeftCell="CM1" activePane="topRight" state="frozen"/>
      <selection pane="topRight" activeCell="CS1" sqref="CS1:CY1"/>
    </sheetView>
  </sheetViews>
  <sheetFormatPr defaultColWidth="8.796875" defaultRowHeight="17.399999999999999"/>
  <cols>
    <col min="2" max="2" width="28" customWidth="1"/>
    <col min="3" max="209" width="15.69921875" customWidth="1"/>
    <col min="210" max="210" width="15.69921875" style="38" customWidth="1"/>
    <col min="211" max="224" width="15.69921875" customWidth="1"/>
    <col min="225" max="225" width="11.796875" bestFit="1" customWidth="1"/>
    <col min="226" max="226" width="13.19921875" bestFit="1" customWidth="1"/>
    <col min="227" max="228" width="11.796875" bestFit="1" customWidth="1"/>
    <col min="229" max="229" width="13.19921875" bestFit="1" customWidth="1"/>
    <col min="230" max="230" width="11.796875" bestFit="1" customWidth="1"/>
    <col min="231" max="231" width="14.19921875" bestFit="1" customWidth="1"/>
    <col min="232" max="232" width="13.19921875" bestFit="1" customWidth="1"/>
    <col min="233" max="233" width="8.796875" bestFit="1" customWidth="1"/>
    <col min="234" max="234" width="13.19921875" bestFit="1" customWidth="1"/>
    <col min="235" max="238" width="11.796875" bestFit="1" customWidth="1"/>
    <col min="239" max="239" width="8.796875" bestFit="1" customWidth="1"/>
    <col min="240" max="249" width="11.796875" bestFit="1" customWidth="1"/>
    <col min="250" max="253" width="13.19921875" bestFit="1" customWidth="1"/>
    <col min="254" max="257" width="11.796875" bestFit="1" customWidth="1"/>
    <col min="258" max="258" width="8.796875" bestFit="1" customWidth="1"/>
    <col min="259" max="259" width="11.796875" bestFit="1" customWidth="1"/>
    <col min="260" max="260" width="13.19921875" bestFit="1" customWidth="1"/>
    <col min="261" max="262" width="11.796875" bestFit="1" customWidth="1"/>
    <col min="263" max="263" width="13.19921875" bestFit="1" customWidth="1"/>
    <col min="264" max="264" width="11.796875" bestFit="1" customWidth="1"/>
    <col min="265" max="265" width="8.796875" bestFit="1" customWidth="1"/>
    <col min="266" max="266" width="11.796875" bestFit="1" customWidth="1"/>
    <col min="267" max="267" width="13.19921875" bestFit="1" customWidth="1"/>
    <col min="268" max="269" width="11.796875" bestFit="1" customWidth="1"/>
    <col min="270" max="271" width="13.19921875" bestFit="1" customWidth="1"/>
    <col min="272" max="273" width="11.796875" bestFit="1" customWidth="1"/>
    <col min="274" max="274" width="13.19921875" bestFit="1" customWidth="1"/>
    <col min="275" max="275" width="11.796875" bestFit="1" customWidth="1"/>
    <col min="276" max="276" width="8.796875" bestFit="1" customWidth="1"/>
    <col min="277" max="282" width="11.796875" bestFit="1" customWidth="1"/>
    <col min="283" max="283" width="13.19921875" bestFit="1" customWidth="1"/>
    <col min="284" max="286" width="11.796875" bestFit="1" customWidth="1"/>
    <col min="287" max="287" width="13.19921875" bestFit="1" customWidth="1"/>
    <col min="288" max="288" width="11.796875" bestFit="1" customWidth="1"/>
    <col min="289" max="289" width="13.19921875" bestFit="1" customWidth="1"/>
    <col min="290" max="290" width="14.19921875" bestFit="1" customWidth="1"/>
  </cols>
  <sheetData>
    <row r="1" spans="1:290">
      <c r="A1" s="5"/>
      <c r="B1" s="6" t="s">
        <v>111</v>
      </c>
      <c r="C1" s="20">
        <v>1510001</v>
      </c>
      <c r="D1" s="20">
        <v>1510002</v>
      </c>
      <c r="E1" s="20">
        <v>1510003</v>
      </c>
      <c r="F1" s="20">
        <v>1510004</v>
      </c>
      <c r="G1" s="20">
        <v>1510005</v>
      </c>
      <c r="H1" s="20">
        <v>1510006</v>
      </c>
      <c r="I1" s="20">
        <v>1510007</v>
      </c>
      <c r="J1" s="20">
        <v>1510008</v>
      </c>
      <c r="K1" s="20">
        <v>1510009</v>
      </c>
      <c r="L1" s="20">
        <v>1510010</v>
      </c>
      <c r="M1" s="20">
        <v>1510011</v>
      </c>
      <c r="N1" s="20">
        <v>1510012</v>
      </c>
      <c r="O1" s="20">
        <v>1510013</v>
      </c>
      <c r="P1" s="20">
        <v>1510014</v>
      </c>
      <c r="Q1" s="20">
        <v>1510015</v>
      </c>
      <c r="R1" s="20">
        <v>1510016</v>
      </c>
      <c r="S1" s="20">
        <v>1510017</v>
      </c>
      <c r="T1" s="20">
        <v>1510018</v>
      </c>
      <c r="U1" s="20">
        <v>1510019</v>
      </c>
      <c r="V1" s="20">
        <v>1510020</v>
      </c>
      <c r="W1" s="20">
        <v>1510021</v>
      </c>
      <c r="X1" s="20">
        <v>1510022</v>
      </c>
      <c r="Y1" s="20">
        <v>1510023</v>
      </c>
      <c r="Z1" s="20">
        <v>1510024</v>
      </c>
      <c r="AA1" s="20">
        <v>1510025</v>
      </c>
      <c r="AB1" s="20">
        <v>1510026</v>
      </c>
      <c r="AC1" s="20">
        <v>1510027</v>
      </c>
      <c r="AD1" s="20">
        <v>1510028</v>
      </c>
      <c r="AE1" s="20">
        <v>1510029</v>
      </c>
      <c r="AF1" s="20">
        <v>1510030</v>
      </c>
      <c r="AG1" s="20">
        <v>1510031</v>
      </c>
      <c r="AH1" s="20">
        <v>1510032</v>
      </c>
      <c r="AI1" s="20">
        <v>1510033</v>
      </c>
      <c r="AJ1" s="20">
        <v>1510034</v>
      </c>
      <c r="AK1" s="20">
        <v>1510035</v>
      </c>
      <c r="AL1" s="20">
        <v>1510036</v>
      </c>
      <c r="AM1" s="20">
        <v>1510037</v>
      </c>
      <c r="AN1" s="20">
        <v>1510038</v>
      </c>
      <c r="AO1" s="20">
        <v>1510039</v>
      </c>
      <c r="AP1" s="20">
        <v>1510040</v>
      </c>
      <c r="AQ1" s="20">
        <v>1510041</v>
      </c>
      <c r="AR1" s="20">
        <v>1510042</v>
      </c>
      <c r="AS1" s="20">
        <v>1510043</v>
      </c>
      <c r="AT1" s="20">
        <v>1510044</v>
      </c>
      <c r="AU1" s="20">
        <v>1510045</v>
      </c>
      <c r="AV1" s="20">
        <v>1510046</v>
      </c>
      <c r="AW1" s="20">
        <v>1510047</v>
      </c>
      <c r="AX1" s="20">
        <v>1510048</v>
      </c>
      <c r="AY1" s="20">
        <v>1510049</v>
      </c>
      <c r="AZ1" s="20">
        <v>1510050</v>
      </c>
      <c r="BA1" s="20">
        <v>1510051</v>
      </c>
      <c r="BB1" s="20">
        <v>1510052</v>
      </c>
      <c r="BC1" s="20">
        <v>1604053</v>
      </c>
      <c r="BD1" s="20">
        <v>1604054</v>
      </c>
      <c r="BE1" s="20">
        <v>1604055</v>
      </c>
      <c r="BF1" s="20">
        <v>1604056</v>
      </c>
      <c r="BG1" s="20">
        <v>1604057</v>
      </c>
      <c r="BH1" s="20">
        <v>1604058</v>
      </c>
      <c r="BI1" s="20">
        <v>1604059</v>
      </c>
      <c r="BJ1" s="20">
        <v>1604060</v>
      </c>
      <c r="BK1" s="20">
        <v>1604061</v>
      </c>
      <c r="BL1" s="20">
        <v>1608062</v>
      </c>
      <c r="BM1" s="20">
        <v>1608063</v>
      </c>
      <c r="BN1" s="20">
        <v>1608064</v>
      </c>
      <c r="BO1" s="20">
        <v>1608065</v>
      </c>
      <c r="BP1" s="20">
        <v>1608066</v>
      </c>
      <c r="BQ1" s="20">
        <v>1608067</v>
      </c>
      <c r="BR1" s="20">
        <v>1608068</v>
      </c>
      <c r="BS1" s="20">
        <v>1608069</v>
      </c>
      <c r="BT1" s="20">
        <v>1608070</v>
      </c>
      <c r="BU1" s="20">
        <v>1608071</v>
      </c>
      <c r="BV1" s="20">
        <v>1608072</v>
      </c>
      <c r="BW1" s="20">
        <v>1608073</v>
      </c>
      <c r="BX1" s="20">
        <v>1608074</v>
      </c>
      <c r="BY1" s="20">
        <v>1608075</v>
      </c>
      <c r="BZ1" s="20">
        <v>1608076</v>
      </c>
      <c r="CA1" s="20">
        <v>1608077</v>
      </c>
      <c r="CB1" s="20">
        <v>1608078</v>
      </c>
      <c r="CC1" s="20">
        <v>1608079</v>
      </c>
      <c r="CD1" s="20">
        <v>1608080</v>
      </c>
      <c r="CE1" s="20">
        <v>1608081</v>
      </c>
      <c r="CF1" s="20">
        <v>1608082</v>
      </c>
      <c r="CG1" s="20">
        <v>1608083</v>
      </c>
      <c r="CH1" s="20">
        <v>1608084</v>
      </c>
      <c r="CI1" s="20">
        <v>1608085</v>
      </c>
      <c r="CJ1" s="20">
        <v>1608086</v>
      </c>
      <c r="CK1" s="20">
        <v>1608087</v>
      </c>
      <c r="CL1" s="20">
        <v>1608088</v>
      </c>
      <c r="CM1" s="20">
        <v>1608089</v>
      </c>
      <c r="CN1" s="20">
        <v>1608090</v>
      </c>
      <c r="CO1" s="20">
        <v>1608091</v>
      </c>
      <c r="CP1" s="20">
        <v>1608092</v>
      </c>
      <c r="CQ1" s="20">
        <v>1608093</v>
      </c>
      <c r="CR1" s="20">
        <v>1608094</v>
      </c>
      <c r="CS1" s="20">
        <v>1612095</v>
      </c>
      <c r="CT1" s="20">
        <v>1612096</v>
      </c>
      <c r="CU1" s="20">
        <v>1612097</v>
      </c>
      <c r="CV1" s="20">
        <v>1612098</v>
      </c>
      <c r="CW1" s="20">
        <v>1612099</v>
      </c>
      <c r="CX1" s="20">
        <v>1612100</v>
      </c>
      <c r="CY1" s="20">
        <v>1612101</v>
      </c>
      <c r="CZ1" s="20">
        <v>1708102</v>
      </c>
      <c r="DA1" s="20">
        <v>1708103</v>
      </c>
      <c r="DB1" s="20">
        <v>1708104</v>
      </c>
      <c r="DC1" s="20">
        <v>1708105</v>
      </c>
      <c r="DD1" s="20">
        <v>1708106</v>
      </c>
      <c r="DE1" s="20">
        <v>1708107</v>
      </c>
      <c r="DF1" s="20">
        <v>1708108</v>
      </c>
      <c r="DG1" s="20">
        <v>1708109</v>
      </c>
      <c r="DH1" s="20">
        <v>1708110</v>
      </c>
      <c r="DI1" s="20">
        <v>1708111</v>
      </c>
      <c r="DJ1" s="20">
        <v>1708112</v>
      </c>
      <c r="DK1" s="20">
        <v>1708113</v>
      </c>
      <c r="DL1" s="20">
        <v>1708114</v>
      </c>
      <c r="DM1" s="20">
        <v>1708115</v>
      </c>
      <c r="DN1" s="20">
        <v>1708116</v>
      </c>
      <c r="DO1" s="20">
        <v>1708117</v>
      </c>
      <c r="DP1" s="20">
        <v>1708118</v>
      </c>
      <c r="DQ1" s="20">
        <v>1708119</v>
      </c>
      <c r="DR1" s="20">
        <v>1708120</v>
      </c>
      <c r="DS1" s="20">
        <v>1708121</v>
      </c>
      <c r="DT1" s="20">
        <v>1708122</v>
      </c>
      <c r="DU1" s="20">
        <v>1708123</v>
      </c>
      <c r="DV1" s="39">
        <v>1708124</v>
      </c>
      <c r="DW1" s="20">
        <v>1708125</v>
      </c>
      <c r="DX1" s="20">
        <v>1708126</v>
      </c>
      <c r="DY1" s="20">
        <v>1708127</v>
      </c>
      <c r="DZ1" s="20">
        <v>1708128</v>
      </c>
      <c r="EA1" s="20">
        <v>1708129</v>
      </c>
      <c r="EB1" s="20">
        <v>1708130</v>
      </c>
      <c r="EC1" s="20">
        <v>1808131</v>
      </c>
      <c r="ED1" s="20">
        <v>1808132</v>
      </c>
      <c r="EE1" s="20">
        <v>1808133</v>
      </c>
      <c r="EF1" s="20">
        <v>1808134</v>
      </c>
      <c r="EG1" s="20">
        <v>1808135</v>
      </c>
      <c r="EH1" s="20">
        <v>1808136</v>
      </c>
      <c r="EI1" s="20">
        <v>1808137</v>
      </c>
      <c r="EJ1" s="20">
        <v>1808138</v>
      </c>
      <c r="EK1" s="20">
        <v>1808139</v>
      </c>
      <c r="EL1" s="20">
        <v>1808140</v>
      </c>
      <c r="EM1" s="20">
        <v>1808141</v>
      </c>
      <c r="EN1" s="20">
        <v>1808142</v>
      </c>
      <c r="EO1" s="20">
        <v>1808143</v>
      </c>
      <c r="EP1" s="20">
        <v>1808144</v>
      </c>
      <c r="EQ1" s="20">
        <v>1808145</v>
      </c>
      <c r="ER1" s="20">
        <v>1808146</v>
      </c>
      <c r="ES1" s="20">
        <v>1808147</v>
      </c>
      <c r="ET1" s="20">
        <v>1808148</v>
      </c>
      <c r="EU1" s="20">
        <v>1808149</v>
      </c>
      <c r="EV1" s="20">
        <v>1808150</v>
      </c>
      <c r="EW1" s="20">
        <v>1808151</v>
      </c>
      <c r="EX1" s="20">
        <v>1808152</v>
      </c>
      <c r="EY1" s="20">
        <v>1808153</v>
      </c>
      <c r="EZ1" s="20">
        <v>1808154</v>
      </c>
      <c r="FA1" s="20">
        <v>1808155</v>
      </c>
      <c r="FB1" s="20">
        <v>1808156</v>
      </c>
      <c r="FC1" s="20">
        <v>1808157</v>
      </c>
      <c r="FD1" s="20">
        <v>1808158</v>
      </c>
      <c r="FE1" s="20">
        <v>1808159</v>
      </c>
      <c r="FF1" s="20">
        <v>1808160</v>
      </c>
      <c r="FG1" s="20">
        <v>1808161</v>
      </c>
      <c r="FH1" s="20">
        <v>1808162</v>
      </c>
      <c r="FI1" s="20">
        <v>1808163</v>
      </c>
      <c r="FJ1" s="20">
        <v>1808164</v>
      </c>
      <c r="FK1" s="20">
        <v>1808165</v>
      </c>
      <c r="FL1" s="20">
        <v>1810166</v>
      </c>
      <c r="FM1" s="20">
        <v>1810167</v>
      </c>
      <c r="FN1" s="20">
        <v>1810168</v>
      </c>
      <c r="FO1" s="20">
        <v>1810169</v>
      </c>
      <c r="FP1" s="20">
        <v>1810170</v>
      </c>
      <c r="FQ1" s="20">
        <v>1810171</v>
      </c>
      <c r="FR1" s="20">
        <v>1810172</v>
      </c>
      <c r="FS1" s="20">
        <v>1810173</v>
      </c>
      <c r="FT1" s="20">
        <v>1810174</v>
      </c>
      <c r="FU1" s="20">
        <v>1810175</v>
      </c>
      <c r="FV1" s="20">
        <v>1810176</v>
      </c>
      <c r="FW1" s="20">
        <v>1810177</v>
      </c>
      <c r="FX1" s="20">
        <v>1810178</v>
      </c>
      <c r="FY1" s="20">
        <v>1810179</v>
      </c>
      <c r="FZ1" s="20">
        <v>1810180</v>
      </c>
      <c r="GA1" s="20">
        <v>1810181</v>
      </c>
      <c r="GB1" s="20">
        <v>1810182</v>
      </c>
      <c r="GC1" s="20">
        <v>1810183</v>
      </c>
      <c r="GD1" s="20">
        <v>1810184</v>
      </c>
      <c r="GE1" s="20">
        <v>1810185</v>
      </c>
      <c r="GF1" s="20">
        <v>1810186</v>
      </c>
      <c r="GG1" s="20">
        <v>1810187</v>
      </c>
      <c r="GH1" s="20">
        <v>1810188</v>
      </c>
      <c r="GI1" s="20">
        <v>1909189</v>
      </c>
      <c r="GJ1" s="20">
        <v>1909190</v>
      </c>
      <c r="GK1" s="20">
        <v>1909191</v>
      </c>
      <c r="GL1" s="20">
        <v>1909192</v>
      </c>
      <c r="GM1" s="20">
        <v>1909193</v>
      </c>
      <c r="GN1" s="20">
        <v>1909194</v>
      </c>
      <c r="GO1" s="20">
        <v>1909195</v>
      </c>
      <c r="GP1" s="20">
        <v>1909196</v>
      </c>
      <c r="GQ1" s="20">
        <v>1909197</v>
      </c>
      <c r="GR1" s="20">
        <v>1909198</v>
      </c>
      <c r="GS1" s="20">
        <v>1909199</v>
      </c>
      <c r="GT1" s="20">
        <v>1909200</v>
      </c>
      <c r="GU1" s="20">
        <v>1909201</v>
      </c>
      <c r="GV1" s="20">
        <v>1909202</v>
      </c>
      <c r="GW1" s="20">
        <v>1909203</v>
      </c>
      <c r="GX1" s="20">
        <v>1909204</v>
      </c>
      <c r="GY1" s="20">
        <v>1909205</v>
      </c>
      <c r="GZ1" s="20">
        <v>1909206</v>
      </c>
      <c r="HA1" s="20">
        <v>1909207</v>
      </c>
      <c r="HB1" s="36">
        <v>1909208</v>
      </c>
      <c r="HC1" s="20">
        <v>1909209</v>
      </c>
      <c r="HD1" s="20">
        <v>1909210</v>
      </c>
      <c r="HE1" s="20">
        <v>1909211</v>
      </c>
      <c r="HF1" s="20">
        <v>1909212</v>
      </c>
      <c r="HG1" s="20">
        <v>1909213</v>
      </c>
      <c r="HH1" s="20">
        <v>1909214</v>
      </c>
      <c r="HI1" s="20">
        <v>1909215</v>
      </c>
      <c r="HJ1" s="20">
        <v>1909216</v>
      </c>
      <c r="HK1" s="20">
        <v>1909217</v>
      </c>
      <c r="HL1" s="20">
        <v>1909218</v>
      </c>
      <c r="HM1" s="20">
        <v>1909219</v>
      </c>
      <c r="HN1" s="20">
        <v>1909220</v>
      </c>
      <c r="HO1" s="20">
        <v>1909221</v>
      </c>
      <c r="HP1" s="20">
        <v>1909222</v>
      </c>
      <c r="HQ1" s="20">
        <v>2010223</v>
      </c>
      <c r="HR1" s="20">
        <v>2010224</v>
      </c>
      <c r="HS1" s="20">
        <v>2010225</v>
      </c>
      <c r="HT1" s="20">
        <v>2010226</v>
      </c>
      <c r="HU1" s="20">
        <v>2010227</v>
      </c>
      <c r="HV1" s="20">
        <v>2010228</v>
      </c>
      <c r="HW1" s="20">
        <v>2010229</v>
      </c>
      <c r="HX1" s="20">
        <v>2010230</v>
      </c>
      <c r="HY1" s="20">
        <v>2010231</v>
      </c>
      <c r="HZ1" s="20">
        <v>2010232</v>
      </c>
      <c r="IA1" s="20">
        <v>2010233</v>
      </c>
      <c r="IB1" s="20">
        <v>2010234</v>
      </c>
      <c r="IC1" s="20">
        <v>2010235</v>
      </c>
      <c r="ID1" s="20">
        <v>2010236</v>
      </c>
      <c r="IE1" s="20">
        <v>2010237</v>
      </c>
      <c r="IF1" s="20">
        <v>2010238</v>
      </c>
      <c r="IG1" s="20">
        <v>2010239</v>
      </c>
      <c r="IH1" s="20">
        <v>2010240</v>
      </c>
      <c r="II1" s="20">
        <v>2010241</v>
      </c>
      <c r="IJ1" s="20">
        <v>2010242</v>
      </c>
      <c r="IK1" s="20">
        <v>2010243</v>
      </c>
      <c r="IL1" s="20">
        <v>2010244</v>
      </c>
      <c r="IM1" s="20">
        <v>2010245</v>
      </c>
      <c r="IN1" s="20">
        <v>2010246</v>
      </c>
      <c r="IO1" s="20">
        <v>2010247</v>
      </c>
      <c r="IP1" s="20">
        <v>2010248</v>
      </c>
      <c r="IQ1" s="20">
        <v>2010249</v>
      </c>
      <c r="IR1" s="20">
        <v>2010250</v>
      </c>
      <c r="IS1" s="20">
        <v>2010251</v>
      </c>
      <c r="IT1" s="20">
        <v>2010252</v>
      </c>
      <c r="IU1" s="20">
        <v>2011253</v>
      </c>
      <c r="IV1" s="20">
        <v>2011254</v>
      </c>
      <c r="IW1" s="20">
        <v>2011255</v>
      </c>
      <c r="IX1" s="20">
        <v>2011256</v>
      </c>
      <c r="IY1" s="20">
        <v>2011257</v>
      </c>
      <c r="IZ1" s="20">
        <v>2011258</v>
      </c>
      <c r="JA1" s="20">
        <v>2011259</v>
      </c>
      <c r="JB1" s="20">
        <v>2011260</v>
      </c>
      <c r="JC1" s="20">
        <v>2011261</v>
      </c>
      <c r="JD1" s="20">
        <v>2011262</v>
      </c>
      <c r="JE1" s="20">
        <v>2011263</v>
      </c>
      <c r="JF1" s="20">
        <v>2011264</v>
      </c>
      <c r="JG1" s="20">
        <v>2011265</v>
      </c>
      <c r="JH1" s="20">
        <v>2011266</v>
      </c>
      <c r="JI1" s="20">
        <v>2011267</v>
      </c>
      <c r="JJ1" s="20">
        <v>2011268</v>
      </c>
      <c r="JK1" s="20">
        <v>2011269</v>
      </c>
      <c r="JL1" s="20">
        <v>2011270</v>
      </c>
      <c r="JM1" s="20">
        <v>2011271</v>
      </c>
      <c r="JN1" s="20">
        <v>2011272</v>
      </c>
      <c r="JO1" s="20">
        <v>2011273</v>
      </c>
      <c r="JP1" s="20">
        <v>2011274</v>
      </c>
      <c r="JQ1" s="20">
        <v>2011275</v>
      </c>
      <c r="JR1" s="20">
        <v>2011276</v>
      </c>
      <c r="JS1" s="20">
        <v>2011277</v>
      </c>
      <c r="JT1" s="20">
        <v>2011278</v>
      </c>
      <c r="JU1" s="20">
        <v>2011279</v>
      </c>
      <c r="JV1" s="20">
        <v>2011280</v>
      </c>
      <c r="JW1" s="20">
        <v>2011281</v>
      </c>
      <c r="JX1" s="20">
        <v>2011282</v>
      </c>
      <c r="JY1" s="20">
        <v>2011283</v>
      </c>
      <c r="JZ1" s="20">
        <v>2011284</v>
      </c>
      <c r="KA1" s="20">
        <v>2011285</v>
      </c>
      <c r="KB1" s="20">
        <v>2011286</v>
      </c>
      <c r="KC1" s="20">
        <v>2011287</v>
      </c>
      <c r="KD1" s="20">
        <v>2011288</v>
      </c>
    </row>
    <row r="2" spans="1:290">
      <c r="A2" s="7" t="s">
        <v>120</v>
      </c>
      <c r="B2" s="8" t="s">
        <v>112</v>
      </c>
      <c r="C2" s="19">
        <v>585448111</v>
      </c>
      <c r="D2" s="19">
        <v>2401346698</v>
      </c>
      <c r="E2" s="19">
        <v>969962883</v>
      </c>
      <c r="F2" s="19">
        <v>1666436993</v>
      </c>
      <c r="G2" s="19">
        <v>270967520</v>
      </c>
      <c r="H2" s="19">
        <v>1861380214</v>
      </c>
      <c r="I2" s="19">
        <v>4322450278</v>
      </c>
      <c r="J2" s="19" t="s">
        <v>4</v>
      </c>
      <c r="K2" s="19">
        <v>1171829121</v>
      </c>
      <c r="L2" s="19" t="s">
        <v>130</v>
      </c>
      <c r="M2" s="19" t="s">
        <v>96</v>
      </c>
      <c r="N2" s="19">
        <v>354646512</v>
      </c>
      <c r="O2" s="19">
        <v>4550536530</v>
      </c>
      <c r="P2" s="19">
        <v>2517710013</v>
      </c>
      <c r="Q2" s="19">
        <v>191358488</v>
      </c>
      <c r="R2" s="19">
        <v>447561238</v>
      </c>
      <c r="S2" s="19">
        <v>9258865871</v>
      </c>
      <c r="T2" s="19" t="s">
        <v>96</v>
      </c>
      <c r="U2" s="19">
        <v>3031247592</v>
      </c>
      <c r="V2" s="19" t="s">
        <v>128</v>
      </c>
      <c r="W2" s="19">
        <v>852526059</v>
      </c>
      <c r="X2" s="19">
        <v>6490149279</v>
      </c>
      <c r="Y2" s="19">
        <v>446073430</v>
      </c>
      <c r="Z2" s="19">
        <v>6574111498</v>
      </c>
      <c r="AA2" s="19">
        <v>5383376271</v>
      </c>
      <c r="AB2" s="19">
        <v>267552070</v>
      </c>
      <c r="AC2" s="19">
        <v>1563824951</v>
      </c>
      <c r="AD2" s="19">
        <v>6163379122</v>
      </c>
      <c r="AE2" s="19">
        <v>6088445557</v>
      </c>
      <c r="AF2" s="19">
        <v>593831090</v>
      </c>
      <c r="AG2" s="19">
        <v>2763529320</v>
      </c>
      <c r="AH2" s="19">
        <v>1426340790</v>
      </c>
      <c r="AI2" s="19">
        <v>630626265</v>
      </c>
      <c r="AJ2" s="19">
        <v>912472141</v>
      </c>
      <c r="AK2" s="19" t="s">
        <v>89</v>
      </c>
      <c r="AL2" s="19">
        <v>2267674855</v>
      </c>
      <c r="AM2" s="19" t="s">
        <v>4</v>
      </c>
      <c r="AN2" s="19">
        <v>908751745</v>
      </c>
      <c r="AO2" s="19">
        <v>1230213435</v>
      </c>
      <c r="AP2" s="19">
        <v>396823974</v>
      </c>
      <c r="AQ2" s="19" t="s">
        <v>96</v>
      </c>
      <c r="AR2" s="19">
        <v>880853994</v>
      </c>
      <c r="AS2" s="19">
        <v>1569580027</v>
      </c>
      <c r="AT2" s="19">
        <v>2656001483</v>
      </c>
      <c r="AU2" s="19">
        <v>2772938760</v>
      </c>
      <c r="AV2" s="19">
        <v>441134151</v>
      </c>
      <c r="AW2" s="19">
        <v>667574178</v>
      </c>
      <c r="AX2" s="19" t="s">
        <v>4</v>
      </c>
      <c r="AY2" s="19">
        <v>634462313</v>
      </c>
      <c r="AZ2" s="19">
        <v>683088060</v>
      </c>
      <c r="BA2" s="19">
        <v>2717789350</v>
      </c>
      <c r="BB2" s="19">
        <v>29308967</v>
      </c>
      <c r="BC2" s="19" t="s">
        <v>4</v>
      </c>
      <c r="BD2" s="19" t="s">
        <v>128</v>
      </c>
      <c r="BE2" s="19">
        <v>2152375587</v>
      </c>
      <c r="BF2" s="19">
        <v>2390991270</v>
      </c>
      <c r="BG2" s="19">
        <v>1308597282</v>
      </c>
      <c r="BH2" s="19">
        <v>887727776</v>
      </c>
      <c r="BI2" s="19">
        <v>659407224</v>
      </c>
      <c r="BJ2" s="19">
        <v>799837275</v>
      </c>
      <c r="BK2" s="19">
        <v>3148707396</v>
      </c>
      <c r="BL2" s="19">
        <v>470814523</v>
      </c>
      <c r="BM2" s="19">
        <v>1231949215</v>
      </c>
      <c r="BN2" s="19">
        <v>384095046</v>
      </c>
      <c r="BO2" s="19">
        <v>468955918</v>
      </c>
      <c r="BP2" s="19" t="s">
        <v>96</v>
      </c>
      <c r="BQ2" s="19" t="s">
        <v>4</v>
      </c>
      <c r="BR2" s="19">
        <v>1807067379</v>
      </c>
      <c r="BS2" s="19">
        <v>92041801</v>
      </c>
      <c r="BT2" s="19">
        <v>54208769</v>
      </c>
      <c r="BU2" s="19">
        <v>1152034928</v>
      </c>
      <c r="BV2" s="19">
        <v>508671945</v>
      </c>
      <c r="BW2" s="19">
        <v>50243145</v>
      </c>
      <c r="BX2" s="19">
        <v>208436975</v>
      </c>
      <c r="BY2" s="19">
        <v>1290752266</v>
      </c>
      <c r="BZ2" s="19">
        <v>1342553016</v>
      </c>
      <c r="CA2" s="19">
        <v>1324158162</v>
      </c>
      <c r="CB2" s="19">
        <v>391352347</v>
      </c>
      <c r="CC2" s="19">
        <v>120996321</v>
      </c>
      <c r="CD2" s="19">
        <v>978009667</v>
      </c>
      <c r="CE2" s="19">
        <v>361296977</v>
      </c>
      <c r="CF2" s="19">
        <v>407795374</v>
      </c>
      <c r="CG2" s="19">
        <v>235651844</v>
      </c>
      <c r="CH2" s="19">
        <v>365840448</v>
      </c>
      <c r="CI2" s="19" t="s">
        <v>128</v>
      </c>
      <c r="CJ2" s="19" t="s">
        <v>89</v>
      </c>
      <c r="CK2" s="19">
        <v>6979676632</v>
      </c>
      <c r="CL2" s="19">
        <v>868186789</v>
      </c>
      <c r="CM2" s="19">
        <v>3231739189</v>
      </c>
      <c r="CN2" s="19">
        <v>150417514</v>
      </c>
      <c r="CO2" s="19">
        <v>206653621</v>
      </c>
      <c r="CP2" s="19">
        <v>2099010760</v>
      </c>
      <c r="CQ2" s="19" t="s">
        <v>96</v>
      </c>
      <c r="CR2" s="19">
        <v>785426961</v>
      </c>
      <c r="CS2" s="19">
        <v>2101828427</v>
      </c>
      <c r="CT2" s="19">
        <v>15890032850</v>
      </c>
      <c r="CU2" s="19">
        <v>507670873</v>
      </c>
      <c r="CV2" s="19">
        <v>33792040</v>
      </c>
      <c r="CW2" s="19">
        <v>1750645172</v>
      </c>
      <c r="CX2" s="19">
        <v>2763529320</v>
      </c>
      <c r="CY2" s="19">
        <v>5969800291</v>
      </c>
      <c r="CZ2" s="19">
        <v>423971910</v>
      </c>
      <c r="DA2" s="19">
        <v>215749839</v>
      </c>
      <c r="DB2" s="19">
        <v>604896931</v>
      </c>
      <c r="DC2" s="19">
        <v>26068776</v>
      </c>
      <c r="DD2" s="19">
        <v>259182057</v>
      </c>
      <c r="DE2" s="19" t="s">
        <v>89</v>
      </c>
      <c r="DF2" s="19">
        <v>66632339</v>
      </c>
      <c r="DG2" s="19">
        <v>526642422</v>
      </c>
      <c r="DH2" s="19">
        <v>591159095</v>
      </c>
      <c r="DI2" s="19" t="s">
        <v>128</v>
      </c>
      <c r="DJ2" s="19">
        <v>145275632</v>
      </c>
      <c r="DK2" s="19">
        <v>8259177605</v>
      </c>
      <c r="DL2" s="19">
        <v>552756365</v>
      </c>
      <c r="DM2" s="19">
        <v>1958207008</v>
      </c>
      <c r="DN2" s="19">
        <v>442323376</v>
      </c>
      <c r="DO2" s="19">
        <v>107926671</v>
      </c>
      <c r="DP2" s="19">
        <v>2601191660</v>
      </c>
      <c r="DQ2" s="19">
        <v>488573021</v>
      </c>
      <c r="DR2" s="19">
        <v>5611962359</v>
      </c>
      <c r="DS2" s="19">
        <v>291666022</v>
      </c>
      <c r="DT2" s="19">
        <v>1570520021</v>
      </c>
      <c r="DU2" s="19">
        <v>267906282</v>
      </c>
      <c r="DV2" s="19">
        <f>DV3+DV14</f>
        <v>892309816</v>
      </c>
      <c r="DW2" s="19">
        <v>1597624416</v>
      </c>
      <c r="DX2" s="19">
        <v>2987534645</v>
      </c>
      <c r="DY2" s="19">
        <v>627179845</v>
      </c>
      <c r="DZ2" s="19">
        <v>952586595</v>
      </c>
      <c r="EA2" s="19">
        <v>162457304</v>
      </c>
      <c r="EB2" s="19">
        <v>3889353469</v>
      </c>
      <c r="EC2" s="19">
        <v>391813208</v>
      </c>
      <c r="ED2" s="19">
        <v>105611476</v>
      </c>
      <c r="EE2" s="19">
        <v>300177791</v>
      </c>
      <c r="EF2" s="19">
        <v>3774300469</v>
      </c>
      <c r="EG2" s="19">
        <v>6296150316</v>
      </c>
      <c r="EH2" s="19">
        <v>6656111344</v>
      </c>
      <c r="EI2" s="19">
        <v>5309205067</v>
      </c>
      <c r="EJ2" s="19">
        <v>191889049</v>
      </c>
      <c r="EK2" s="19">
        <v>1697362356</v>
      </c>
      <c r="EL2" s="19">
        <v>2349161323</v>
      </c>
      <c r="EM2" s="19">
        <v>739856233</v>
      </c>
      <c r="EN2" s="19">
        <v>3001701146</v>
      </c>
      <c r="EO2" s="19">
        <v>836215674</v>
      </c>
      <c r="EP2" s="19">
        <v>568337329</v>
      </c>
      <c r="EQ2" s="19">
        <v>1162874534</v>
      </c>
      <c r="ER2" s="19">
        <v>2774806173</v>
      </c>
      <c r="ES2" s="19">
        <v>3126217304</v>
      </c>
      <c r="ET2" s="19">
        <v>3623473730</v>
      </c>
      <c r="EU2" s="19">
        <v>1955183318</v>
      </c>
      <c r="EV2" s="19">
        <v>217572310</v>
      </c>
      <c r="EW2" s="19">
        <v>402632234</v>
      </c>
      <c r="EX2" s="19">
        <v>3262613371</v>
      </c>
      <c r="EY2" s="19">
        <v>3747618766</v>
      </c>
      <c r="EZ2" s="19">
        <v>422302988</v>
      </c>
      <c r="FA2" s="19">
        <v>2577996041</v>
      </c>
      <c r="FB2" s="19">
        <v>315123098</v>
      </c>
      <c r="FC2" s="19">
        <v>1030330123</v>
      </c>
      <c r="FD2" s="19">
        <v>339779788</v>
      </c>
      <c r="FE2" s="19">
        <v>5427940040</v>
      </c>
      <c r="FF2" s="19">
        <v>80823188</v>
      </c>
      <c r="FG2" s="19">
        <f>FG3+FG14</f>
        <v>1501123218</v>
      </c>
      <c r="FH2" s="19">
        <v>290829949</v>
      </c>
      <c r="FI2" s="19">
        <v>72834749</v>
      </c>
      <c r="FJ2" s="19">
        <v>187855400</v>
      </c>
      <c r="FK2" s="19">
        <v>518047215</v>
      </c>
      <c r="FL2" s="19">
        <v>245315833</v>
      </c>
      <c r="FM2" s="19">
        <v>219586315</v>
      </c>
      <c r="FN2" s="19">
        <v>1200458909</v>
      </c>
      <c r="FO2" s="19">
        <v>14453468</v>
      </c>
      <c r="FP2" s="19">
        <v>416005406</v>
      </c>
      <c r="FQ2" s="19">
        <v>316115508</v>
      </c>
      <c r="FR2" s="19">
        <v>200944469</v>
      </c>
      <c r="FS2" s="19">
        <v>161769805</v>
      </c>
      <c r="FT2" s="19">
        <v>3803396198</v>
      </c>
      <c r="FU2" s="19">
        <v>21945842</v>
      </c>
      <c r="FV2" s="19">
        <v>2823746145</v>
      </c>
      <c r="FW2" s="19">
        <v>325572694</v>
      </c>
      <c r="FX2" s="19">
        <v>121310766</v>
      </c>
      <c r="FY2" s="19">
        <v>2149626353</v>
      </c>
      <c r="FZ2" s="19">
        <v>381925762</v>
      </c>
      <c r="GA2" s="19">
        <v>305886318</v>
      </c>
      <c r="GB2" s="19">
        <v>80600298</v>
      </c>
      <c r="GC2" s="19">
        <v>361539342</v>
      </c>
      <c r="GD2" s="19" t="s">
        <v>96</v>
      </c>
      <c r="GE2" s="19">
        <v>291811724</v>
      </c>
      <c r="GF2" s="19">
        <v>175430872</v>
      </c>
      <c r="GG2" s="19">
        <v>1033045335</v>
      </c>
      <c r="GH2" s="19">
        <v>131933585</v>
      </c>
      <c r="GI2" s="19">
        <v>207770283</v>
      </c>
      <c r="GJ2" s="19">
        <v>100707760</v>
      </c>
      <c r="GK2" s="19">
        <v>184706244</v>
      </c>
      <c r="GL2" s="19">
        <v>189630252</v>
      </c>
      <c r="GM2" s="19">
        <v>101224729</v>
      </c>
      <c r="GN2" s="19">
        <v>2500441172</v>
      </c>
      <c r="GO2" s="19">
        <v>1761301163</v>
      </c>
      <c r="GP2" s="19">
        <v>5205375053</v>
      </c>
      <c r="GQ2" s="19">
        <v>377607233</v>
      </c>
      <c r="GR2" s="19">
        <v>908854966</v>
      </c>
      <c r="GS2" s="19">
        <v>2129740904</v>
      </c>
      <c r="GT2" s="19">
        <v>381940710</v>
      </c>
      <c r="GU2" s="19">
        <v>196207349</v>
      </c>
      <c r="GV2" s="19">
        <v>1747201501</v>
      </c>
      <c r="GW2" s="19">
        <v>3074746132</v>
      </c>
      <c r="GX2" s="19">
        <v>839088936</v>
      </c>
      <c r="GY2" s="19">
        <v>1652828976</v>
      </c>
      <c r="GZ2" s="19">
        <v>4428374627</v>
      </c>
      <c r="HA2" s="19">
        <v>950107876</v>
      </c>
      <c r="HB2" s="37">
        <v>226995603</v>
      </c>
      <c r="HC2" s="19">
        <v>947084822</v>
      </c>
      <c r="HD2" s="19">
        <v>210701612</v>
      </c>
      <c r="HE2" s="19">
        <v>200222304</v>
      </c>
      <c r="HF2" s="19">
        <v>1114989006</v>
      </c>
      <c r="HG2" s="19">
        <v>180252954</v>
      </c>
      <c r="HH2" s="19">
        <v>114868922</v>
      </c>
      <c r="HI2" s="19">
        <v>1134296427</v>
      </c>
      <c r="HJ2" s="19">
        <v>879652214</v>
      </c>
      <c r="HK2" s="19">
        <v>2198938365</v>
      </c>
      <c r="HL2" s="19">
        <v>656427123</v>
      </c>
      <c r="HM2" s="19">
        <v>302143838</v>
      </c>
      <c r="HN2" s="19">
        <v>355472107</v>
      </c>
      <c r="HO2" s="19">
        <v>1088626898</v>
      </c>
      <c r="HP2" s="19">
        <v>305736627</v>
      </c>
      <c r="HQ2" s="41">
        <v>41973249</v>
      </c>
      <c r="HR2" s="41">
        <v>1130954290</v>
      </c>
      <c r="HS2" s="41">
        <v>422014448</v>
      </c>
      <c r="HT2" s="41">
        <v>100865386</v>
      </c>
      <c r="HU2" s="41">
        <v>1768682654</v>
      </c>
      <c r="HV2" s="41">
        <v>59740972</v>
      </c>
      <c r="HW2" s="41">
        <v>16000619251</v>
      </c>
      <c r="HX2" s="41">
        <v>2224163407</v>
      </c>
      <c r="HY2" s="41" t="s">
        <v>114</v>
      </c>
      <c r="HZ2" s="41">
        <v>6583267794</v>
      </c>
      <c r="IA2" s="41">
        <v>193203590</v>
      </c>
      <c r="IB2" s="41">
        <v>470955653</v>
      </c>
      <c r="IC2" s="41">
        <v>726620610</v>
      </c>
      <c r="ID2" s="41">
        <v>84073591</v>
      </c>
      <c r="IE2" s="41" t="s">
        <v>4</v>
      </c>
      <c r="IF2" s="41">
        <v>61380742</v>
      </c>
      <c r="IG2" s="41">
        <v>79184686</v>
      </c>
      <c r="IH2" s="41">
        <v>277076085</v>
      </c>
      <c r="II2" s="41">
        <v>215191637</v>
      </c>
      <c r="IJ2" s="41">
        <v>509221422</v>
      </c>
      <c r="IK2" s="41">
        <v>418208408</v>
      </c>
      <c r="IL2" s="41">
        <v>99391657</v>
      </c>
      <c r="IM2" s="41">
        <v>56267923</v>
      </c>
      <c r="IN2" s="41">
        <v>151770286</v>
      </c>
      <c r="IO2" s="41">
        <v>331225558</v>
      </c>
      <c r="IP2" s="41">
        <v>278702180</v>
      </c>
      <c r="IQ2" s="41">
        <v>1148261403</v>
      </c>
      <c r="IR2" s="41">
        <v>1616571581</v>
      </c>
      <c r="IS2" s="41">
        <v>6214365939</v>
      </c>
      <c r="IT2" s="41">
        <v>217387595</v>
      </c>
      <c r="IU2" s="41">
        <v>181470934</v>
      </c>
      <c r="IV2" s="41">
        <v>193594020</v>
      </c>
      <c r="IW2" s="41">
        <v>146121600</v>
      </c>
      <c r="IX2" s="41" t="s">
        <v>114</v>
      </c>
      <c r="IY2" s="41">
        <v>64642413</v>
      </c>
      <c r="IZ2" s="41">
        <v>4879288398</v>
      </c>
      <c r="JA2" s="41">
        <v>78270304</v>
      </c>
      <c r="JB2" s="41">
        <v>79224308</v>
      </c>
      <c r="JC2" s="41">
        <v>335304492</v>
      </c>
      <c r="JD2" s="41">
        <v>237507190</v>
      </c>
      <c r="JE2" s="41" t="s">
        <v>114</v>
      </c>
      <c r="JF2" s="41">
        <v>105580585</v>
      </c>
      <c r="JG2" s="41">
        <v>1841889300</v>
      </c>
      <c r="JH2" s="41">
        <v>106536870</v>
      </c>
      <c r="JI2" s="41">
        <v>342170852</v>
      </c>
      <c r="JJ2" s="41">
        <v>2770200941</v>
      </c>
      <c r="JK2" s="41">
        <v>982428158</v>
      </c>
      <c r="JL2" s="41">
        <v>329537608</v>
      </c>
      <c r="JM2" s="41">
        <v>91961442</v>
      </c>
      <c r="JN2" s="41">
        <v>90292044</v>
      </c>
      <c r="JO2" s="41">
        <v>249536497</v>
      </c>
      <c r="JP2" s="41" t="s">
        <v>4</v>
      </c>
      <c r="JQ2" s="41">
        <v>686038411</v>
      </c>
      <c r="JR2" s="41">
        <v>698616000</v>
      </c>
      <c r="JS2" s="41">
        <v>337760979</v>
      </c>
      <c r="JT2" s="41">
        <v>165740698</v>
      </c>
      <c r="JU2" s="41">
        <v>176899768</v>
      </c>
      <c r="JV2" s="41">
        <v>334947972</v>
      </c>
      <c r="JW2" s="41">
        <v>1347011640</v>
      </c>
      <c r="JX2" s="41">
        <v>38583198</v>
      </c>
      <c r="JY2" s="41">
        <v>593969747</v>
      </c>
      <c r="JZ2" s="41">
        <v>146471805</v>
      </c>
      <c r="KA2" s="41">
        <v>890771412</v>
      </c>
      <c r="KB2" s="41">
        <v>32636942</v>
      </c>
      <c r="KC2" s="41">
        <v>2317996111</v>
      </c>
      <c r="KD2" s="41">
        <v>2164185643</v>
      </c>
    </row>
    <row r="3" spans="1:290">
      <c r="A3" s="7" t="s">
        <v>120</v>
      </c>
      <c r="B3" s="8" t="s">
        <v>84</v>
      </c>
      <c r="C3" s="19">
        <v>507059768</v>
      </c>
      <c r="D3" s="19">
        <v>1395831775</v>
      </c>
      <c r="E3" s="19">
        <v>365368350</v>
      </c>
      <c r="F3" s="19">
        <v>431513420</v>
      </c>
      <c r="G3" s="19">
        <v>255247686</v>
      </c>
      <c r="H3" s="19">
        <v>892334431</v>
      </c>
      <c r="I3" s="19">
        <v>1148860088</v>
      </c>
      <c r="J3" s="19" t="s">
        <v>4</v>
      </c>
      <c r="K3" s="19">
        <v>932500806</v>
      </c>
      <c r="L3" s="19" t="s">
        <v>130</v>
      </c>
      <c r="M3" s="19" t="s">
        <v>96</v>
      </c>
      <c r="N3" s="19">
        <v>192331680</v>
      </c>
      <c r="O3" s="19">
        <v>1131393674</v>
      </c>
      <c r="P3" s="19">
        <v>1122343574</v>
      </c>
      <c r="Q3" s="19">
        <v>161688307</v>
      </c>
      <c r="R3" s="19">
        <v>272727698</v>
      </c>
      <c r="S3" s="19">
        <v>2228694507</v>
      </c>
      <c r="T3" s="19" t="s">
        <v>96</v>
      </c>
      <c r="U3" s="19">
        <v>2606978044</v>
      </c>
      <c r="V3" s="19" t="s">
        <v>128</v>
      </c>
      <c r="W3" s="19">
        <v>404116307</v>
      </c>
      <c r="X3" s="19">
        <v>1577246715</v>
      </c>
      <c r="Y3" s="19">
        <v>184774627</v>
      </c>
      <c r="Z3" s="19">
        <v>543442078</v>
      </c>
      <c r="AA3" s="19">
        <v>3630684724</v>
      </c>
      <c r="AB3" s="19">
        <v>261103221</v>
      </c>
      <c r="AC3" s="19">
        <v>304123386</v>
      </c>
      <c r="AD3" s="19">
        <v>615750792</v>
      </c>
      <c r="AE3" s="19">
        <v>1021721838</v>
      </c>
      <c r="AF3" s="19">
        <v>73758360</v>
      </c>
      <c r="AG3" s="19">
        <v>2381457517</v>
      </c>
      <c r="AH3" s="19">
        <v>1012289329</v>
      </c>
      <c r="AI3" s="19">
        <v>318149506</v>
      </c>
      <c r="AJ3" s="19">
        <v>752916908</v>
      </c>
      <c r="AK3" s="19" t="s">
        <v>89</v>
      </c>
      <c r="AL3" s="19">
        <v>340289576</v>
      </c>
      <c r="AM3" s="19" t="s">
        <v>4</v>
      </c>
      <c r="AN3" s="19">
        <v>334518216</v>
      </c>
      <c r="AO3" s="19">
        <v>992266195</v>
      </c>
      <c r="AP3" s="19">
        <v>357102673</v>
      </c>
      <c r="AQ3" s="19" t="s">
        <v>96</v>
      </c>
      <c r="AR3" s="19">
        <v>218808062</v>
      </c>
      <c r="AS3" s="19">
        <v>1461464294</v>
      </c>
      <c r="AT3" s="19">
        <v>771813150</v>
      </c>
      <c r="AU3" s="19">
        <v>612949681</v>
      </c>
      <c r="AV3" s="19">
        <v>253611220</v>
      </c>
      <c r="AW3" s="19">
        <v>62516764</v>
      </c>
      <c r="AX3" s="19" t="s">
        <v>4</v>
      </c>
      <c r="AY3" s="19">
        <v>187501698</v>
      </c>
      <c r="AZ3" s="19">
        <v>343897828</v>
      </c>
      <c r="BA3" s="19">
        <v>1448778779</v>
      </c>
      <c r="BB3" s="19">
        <v>15793811</v>
      </c>
      <c r="BC3" s="19" t="s">
        <v>4</v>
      </c>
      <c r="BD3" s="19" t="s">
        <v>128</v>
      </c>
      <c r="BE3" s="19">
        <v>401148444</v>
      </c>
      <c r="BF3" s="19">
        <v>1345061374</v>
      </c>
      <c r="BG3" s="19">
        <v>1091757913</v>
      </c>
      <c r="BH3" s="19">
        <v>155799764</v>
      </c>
      <c r="BI3" s="19">
        <v>604764406</v>
      </c>
      <c r="BJ3" s="19">
        <v>740086970</v>
      </c>
      <c r="BK3" s="19">
        <v>2980680153</v>
      </c>
      <c r="BL3" s="19">
        <v>261373385</v>
      </c>
      <c r="BM3" s="19">
        <v>402197543</v>
      </c>
      <c r="BN3" s="19">
        <v>215682392</v>
      </c>
      <c r="BO3" s="19">
        <v>406475550</v>
      </c>
      <c r="BP3" s="19" t="s">
        <v>96</v>
      </c>
      <c r="BQ3" s="19" t="s">
        <v>4</v>
      </c>
      <c r="BR3" s="19">
        <v>1519118895</v>
      </c>
      <c r="BS3" s="19">
        <v>38961666</v>
      </c>
      <c r="BT3" s="19">
        <v>22628126</v>
      </c>
      <c r="BU3" s="19">
        <v>470893189</v>
      </c>
      <c r="BV3" s="19">
        <v>508488915</v>
      </c>
      <c r="BW3" s="19">
        <v>42050817</v>
      </c>
      <c r="BX3" s="19">
        <v>159740209</v>
      </c>
      <c r="BY3" s="19">
        <v>799805934</v>
      </c>
      <c r="BZ3" s="19">
        <v>1329569152</v>
      </c>
      <c r="CA3" s="19">
        <v>735369835</v>
      </c>
      <c r="CB3" s="19">
        <v>174534012</v>
      </c>
      <c r="CC3" s="19">
        <v>117946321</v>
      </c>
      <c r="CD3" s="19">
        <v>961535681</v>
      </c>
      <c r="CE3" s="19">
        <v>270550977</v>
      </c>
      <c r="CF3" s="19">
        <v>397021935</v>
      </c>
      <c r="CG3" s="19">
        <v>96386897</v>
      </c>
      <c r="CH3" s="19">
        <v>289007364</v>
      </c>
      <c r="CI3" s="19" t="s">
        <v>128</v>
      </c>
      <c r="CJ3" s="19" t="s">
        <v>89</v>
      </c>
      <c r="CK3" s="19">
        <v>490869624</v>
      </c>
      <c r="CL3" s="19">
        <v>230983947</v>
      </c>
      <c r="CM3" s="19">
        <v>1797492066</v>
      </c>
      <c r="CN3" s="19">
        <v>122657452</v>
      </c>
      <c r="CO3" s="19">
        <v>158306002</v>
      </c>
      <c r="CP3" s="19">
        <v>1603939329</v>
      </c>
      <c r="CQ3" s="19" t="s">
        <v>96</v>
      </c>
      <c r="CR3" s="19">
        <v>645940299</v>
      </c>
      <c r="CS3" s="19">
        <v>921815606</v>
      </c>
      <c r="CT3" s="19">
        <v>12509974400</v>
      </c>
      <c r="CU3" s="19">
        <v>341512312</v>
      </c>
      <c r="CV3" s="19">
        <v>33792040</v>
      </c>
      <c r="CW3" s="19">
        <v>1252051792</v>
      </c>
      <c r="CX3" s="19">
        <v>2381457517</v>
      </c>
      <c r="CY3" s="19">
        <v>3403983313</v>
      </c>
      <c r="CZ3" s="19">
        <v>254323223</v>
      </c>
      <c r="DA3" s="19">
        <v>158377124</v>
      </c>
      <c r="DB3" s="19">
        <v>543351285</v>
      </c>
      <c r="DC3" s="19">
        <v>20319993</v>
      </c>
      <c r="DD3" s="19">
        <v>87300539</v>
      </c>
      <c r="DE3" s="19" t="s">
        <v>89</v>
      </c>
      <c r="DF3" s="19">
        <v>41552209</v>
      </c>
      <c r="DG3" s="19">
        <v>300633276</v>
      </c>
      <c r="DH3" s="19">
        <v>502538082</v>
      </c>
      <c r="DI3" s="19" t="s">
        <v>128</v>
      </c>
      <c r="DJ3" s="19">
        <v>140679718</v>
      </c>
      <c r="DK3" s="19">
        <v>3720558889</v>
      </c>
      <c r="DL3" s="19">
        <v>519918096</v>
      </c>
      <c r="DM3" s="19">
        <v>1208548486</v>
      </c>
      <c r="DN3" s="19">
        <v>274859205</v>
      </c>
      <c r="DO3" s="19">
        <v>20968901</v>
      </c>
      <c r="DP3" s="19">
        <v>1587135555</v>
      </c>
      <c r="DQ3" s="19">
        <v>464351830</v>
      </c>
      <c r="DR3" s="19">
        <v>758706477</v>
      </c>
      <c r="DS3" s="19">
        <v>235543807</v>
      </c>
      <c r="DT3" s="19">
        <v>452221457</v>
      </c>
      <c r="DU3" s="19">
        <v>224318395</v>
      </c>
      <c r="DV3" s="19">
        <v>741168816</v>
      </c>
      <c r="DW3" s="19">
        <v>410736932</v>
      </c>
      <c r="DX3" s="19">
        <v>2225739807</v>
      </c>
      <c r="DY3" s="19">
        <v>453290742</v>
      </c>
      <c r="DZ3" s="19">
        <v>867684571</v>
      </c>
      <c r="EA3" s="19">
        <v>98886094</v>
      </c>
      <c r="EB3" s="19">
        <v>1297850774</v>
      </c>
      <c r="EC3" s="19">
        <v>380801018</v>
      </c>
      <c r="ED3" s="19">
        <v>61878929</v>
      </c>
      <c r="EE3" s="19">
        <v>120454326</v>
      </c>
      <c r="EF3" s="19">
        <v>716302414</v>
      </c>
      <c r="EG3" s="19">
        <v>3329929447</v>
      </c>
      <c r="EH3" s="19">
        <v>81705066</v>
      </c>
      <c r="EI3" s="19">
        <v>4725106005</v>
      </c>
      <c r="EJ3" s="19">
        <v>183909124</v>
      </c>
      <c r="EK3" s="19">
        <v>1363036753</v>
      </c>
      <c r="EL3" s="19">
        <v>1688491822</v>
      </c>
      <c r="EM3" s="19">
        <v>620298643</v>
      </c>
      <c r="EN3" s="19">
        <v>2357511790</v>
      </c>
      <c r="EO3" s="19">
        <v>514053068</v>
      </c>
      <c r="EP3" s="19">
        <v>228987452</v>
      </c>
      <c r="EQ3" s="19">
        <v>1152874534</v>
      </c>
      <c r="ER3" s="19">
        <v>1674046209</v>
      </c>
      <c r="ES3" s="19">
        <v>645118380</v>
      </c>
      <c r="ET3" s="19">
        <v>2134553492</v>
      </c>
      <c r="EU3" s="19">
        <v>1728319887</v>
      </c>
      <c r="EV3" s="19">
        <v>211156604</v>
      </c>
      <c r="EW3" s="19">
        <v>296638092</v>
      </c>
      <c r="EX3" s="19">
        <v>785723814</v>
      </c>
      <c r="EY3" s="19">
        <v>760825214</v>
      </c>
      <c r="EZ3" s="19">
        <v>88133048</v>
      </c>
      <c r="FA3" s="19">
        <v>431406270</v>
      </c>
      <c r="FB3" s="19">
        <v>73309980</v>
      </c>
      <c r="FC3" s="19">
        <v>361927418</v>
      </c>
      <c r="FD3" s="19">
        <v>244501902</v>
      </c>
      <c r="FE3" s="19">
        <v>4871994486</v>
      </c>
      <c r="FF3" s="19">
        <v>43890869</v>
      </c>
      <c r="FG3" s="19">
        <v>1501123218</v>
      </c>
      <c r="FH3" s="19">
        <v>133470357</v>
      </c>
      <c r="FI3" s="19">
        <v>67306061</v>
      </c>
      <c r="FJ3" s="19">
        <v>115649612</v>
      </c>
      <c r="FK3" s="19">
        <v>181100940</v>
      </c>
      <c r="FL3" s="19">
        <v>181766081</v>
      </c>
      <c r="FM3" s="19">
        <v>75912415</v>
      </c>
      <c r="FN3" s="19">
        <v>346336240</v>
      </c>
      <c r="FO3" s="19">
        <v>14453468</v>
      </c>
      <c r="FP3" s="19">
        <v>233034162</v>
      </c>
      <c r="FQ3" s="19">
        <v>250566173</v>
      </c>
      <c r="FR3" s="19">
        <v>129523814</v>
      </c>
      <c r="FS3" s="19">
        <v>128971956</v>
      </c>
      <c r="FT3" s="19">
        <v>2990473592</v>
      </c>
      <c r="FU3" s="19">
        <v>21945842</v>
      </c>
      <c r="FV3" s="19">
        <v>1729450830</v>
      </c>
      <c r="FW3" s="19">
        <v>309471268</v>
      </c>
      <c r="FX3" s="19">
        <v>117603951</v>
      </c>
      <c r="FY3" s="19">
        <v>1974060788</v>
      </c>
      <c r="FZ3" s="19">
        <v>151619385</v>
      </c>
      <c r="GA3" s="19">
        <v>246341795</v>
      </c>
      <c r="GB3" s="19">
        <v>58066352</v>
      </c>
      <c r="GC3" s="19">
        <v>325349962</v>
      </c>
      <c r="GD3" s="19" t="s">
        <v>96</v>
      </c>
      <c r="GE3" s="19">
        <v>235481458</v>
      </c>
      <c r="GF3" s="19">
        <v>135935572</v>
      </c>
      <c r="GG3" s="19">
        <v>705756983</v>
      </c>
      <c r="GH3" s="19">
        <v>124493585</v>
      </c>
      <c r="GI3" s="19">
        <v>173664544</v>
      </c>
      <c r="GJ3" s="19">
        <v>85567450</v>
      </c>
      <c r="GK3" s="19">
        <v>128898914</v>
      </c>
      <c r="GL3" s="19">
        <v>135059079</v>
      </c>
      <c r="GM3" s="19">
        <v>17037855</v>
      </c>
      <c r="GN3" s="19">
        <v>416410393</v>
      </c>
      <c r="GO3" s="19">
        <v>664695929</v>
      </c>
      <c r="GP3" s="19">
        <v>2840104155</v>
      </c>
      <c r="GQ3" s="19">
        <v>353032421</v>
      </c>
      <c r="GR3" s="19">
        <v>508368279</v>
      </c>
      <c r="GS3" s="19">
        <v>2129245904</v>
      </c>
      <c r="GT3" s="19">
        <v>78254923</v>
      </c>
      <c r="GU3" s="19">
        <v>46207349</v>
      </c>
      <c r="GV3" s="19">
        <v>665057700</v>
      </c>
      <c r="GW3" s="19">
        <v>1125155708</v>
      </c>
      <c r="GX3" s="19">
        <v>436007421</v>
      </c>
      <c r="GY3" s="19">
        <v>1538740018</v>
      </c>
      <c r="GZ3" s="19">
        <v>290311637</v>
      </c>
      <c r="HA3" s="19">
        <v>561441651</v>
      </c>
      <c r="HB3" s="37">
        <v>203986445</v>
      </c>
      <c r="HC3" s="19">
        <v>530112322</v>
      </c>
      <c r="HD3" s="19">
        <v>170870153</v>
      </c>
      <c r="HE3" s="19">
        <v>148491963</v>
      </c>
      <c r="HF3" s="19">
        <v>809094858</v>
      </c>
      <c r="HG3" s="19">
        <v>146952037</v>
      </c>
      <c r="HH3" s="19">
        <v>80270938</v>
      </c>
      <c r="HI3" s="19">
        <v>738372780</v>
      </c>
      <c r="HJ3" s="19">
        <v>532091513</v>
      </c>
      <c r="HK3" s="19">
        <v>1670669927</v>
      </c>
      <c r="HL3" s="19">
        <v>561030230</v>
      </c>
      <c r="HM3" s="19">
        <v>187050310</v>
      </c>
      <c r="HN3" s="19">
        <v>18175454</v>
      </c>
      <c r="HO3" s="19">
        <v>441636297</v>
      </c>
      <c r="HP3" s="19">
        <v>53994375</v>
      </c>
      <c r="HQ3" s="41">
        <v>41973249</v>
      </c>
      <c r="HR3" s="41">
        <v>780264837</v>
      </c>
      <c r="HS3" s="41">
        <v>341070775</v>
      </c>
      <c r="HT3" s="41">
        <v>86020527</v>
      </c>
      <c r="HU3" s="41">
        <v>1568984739</v>
      </c>
      <c r="HV3" s="41">
        <v>37173343</v>
      </c>
      <c r="HW3" s="41">
        <v>15425827268</v>
      </c>
      <c r="HX3" s="41">
        <v>966750252</v>
      </c>
      <c r="HY3" s="41" t="s">
        <v>114</v>
      </c>
      <c r="HZ3" s="41">
        <v>1492136328</v>
      </c>
      <c r="IA3" s="41">
        <v>164059187</v>
      </c>
      <c r="IB3" s="41">
        <v>417632199</v>
      </c>
      <c r="IC3" s="41">
        <v>135282415</v>
      </c>
      <c r="ID3" s="41">
        <v>72433928</v>
      </c>
      <c r="IE3" s="41" t="s">
        <v>4</v>
      </c>
      <c r="IF3" s="41">
        <v>26038946</v>
      </c>
      <c r="IG3" s="41">
        <v>74112269</v>
      </c>
      <c r="IH3" s="41">
        <v>211979700</v>
      </c>
      <c r="II3" s="41">
        <v>114734637</v>
      </c>
      <c r="IJ3" s="41">
        <v>169455587</v>
      </c>
      <c r="IK3" s="41">
        <v>385193169</v>
      </c>
      <c r="IL3" s="41">
        <v>96505047</v>
      </c>
      <c r="IM3" s="41">
        <v>44808696</v>
      </c>
      <c r="IN3" s="41">
        <v>28501400</v>
      </c>
      <c r="IO3" s="41">
        <v>331225558</v>
      </c>
      <c r="IP3" s="41">
        <v>229455782</v>
      </c>
      <c r="IQ3" s="41">
        <v>1134724592</v>
      </c>
      <c r="IR3" s="41">
        <v>1521431166</v>
      </c>
      <c r="IS3" s="41">
        <v>229016392</v>
      </c>
      <c r="IT3" s="41">
        <v>165555858</v>
      </c>
      <c r="IU3" s="41">
        <v>122865994</v>
      </c>
      <c r="IV3" s="41">
        <v>133053693</v>
      </c>
      <c r="IW3" s="41">
        <v>61450761</v>
      </c>
      <c r="IX3" s="41" t="s">
        <v>114</v>
      </c>
      <c r="IY3" s="41">
        <v>61242413</v>
      </c>
      <c r="IZ3" s="41">
        <v>823680527</v>
      </c>
      <c r="JA3" s="41">
        <v>45747943</v>
      </c>
      <c r="JB3" s="41">
        <v>47199683</v>
      </c>
      <c r="JC3" s="41">
        <v>243863279</v>
      </c>
      <c r="JD3" s="41">
        <v>172244307</v>
      </c>
      <c r="JE3" s="41" t="s">
        <v>114</v>
      </c>
      <c r="JF3" s="41">
        <v>76083805</v>
      </c>
      <c r="JG3" s="41">
        <v>642664502</v>
      </c>
      <c r="JH3" s="41">
        <v>94514965</v>
      </c>
      <c r="JI3" s="41">
        <v>87945629</v>
      </c>
      <c r="JJ3" s="41">
        <v>1455849992</v>
      </c>
      <c r="JK3" s="41">
        <v>248585389</v>
      </c>
      <c r="JL3" s="41">
        <v>287667608</v>
      </c>
      <c r="JM3" s="41">
        <v>11494442</v>
      </c>
      <c r="JN3" s="41">
        <v>7666612</v>
      </c>
      <c r="JO3" s="41">
        <v>197220776</v>
      </c>
      <c r="JP3" s="41" t="s">
        <v>4</v>
      </c>
      <c r="JQ3" s="41">
        <v>372036728</v>
      </c>
      <c r="JR3" s="41">
        <v>148573773</v>
      </c>
      <c r="JS3" s="41">
        <v>172782115</v>
      </c>
      <c r="JT3" s="41">
        <v>165740698</v>
      </c>
      <c r="JU3" s="41">
        <v>52984152</v>
      </c>
      <c r="JV3" s="41">
        <v>249651476</v>
      </c>
      <c r="JW3" s="41">
        <v>430620894</v>
      </c>
      <c r="JX3" s="41">
        <v>28300412</v>
      </c>
      <c r="JY3" s="41">
        <v>47567657</v>
      </c>
      <c r="JZ3" s="41">
        <v>35132013</v>
      </c>
      <c r="KA3" s="41">
        <v>868604412</v>
      </c>
      <c r="KB3" s="41">
        <v>18258209</v>
      </c>
      <c r="KC3" s="41">
        <v>307278559</v>
      </c>
      <c r="KD3" s="41">
        <v>1827269804</v>
      </c>
    </row>
    <row r="4" spans="1:290">
      <c r="A4" s="7" t="s">
        <v>120</v>
      </c>
      <c r="B4" s="11" t="s">
        <v>23</v>
      </c>
      <c r="C4" s="19">
        <v>507059768</v>
      </c>
      <c r="D4" s="19">
        <v>1315102775</v>
      </c>
      <c r="E4" s="19">
        <v>365368350</v>
      </c>
      <c r="F4" s="19">
        <v>431513420</v>
      </c>
      <c r="G4" s="19">
        <v>134806148</v>
      </c>
      <c r="H4" s="19">
        <v>892334431</v>
      </c>
      <c r="I4" s="19">
        <v>1148860088</v>
      </c>
      <c r="J4" s="19" t="s">
        <v>4</v>
      </c>
      <c r="K4" s="19">
        <v>736983208</v>
      </c>
      <c r="L4" s="19" t="s">
        <v>130</v>
      </c>
      <c r="M4" s="19" t="s">
        <v>96</v>
      </c>
      <c r="N4" s="19">
        <v>192331680</v>
      </c>
      <c r="O4" s="19">
        <v>1058533003</v>
      </c>
      <c r="P4" s="19">
        <v>1037266438</v>
      </c>
      <c r="Q4" s="19">
        <v>87028307</v>
      </c>
      <c r="R4" s="19">
        <v>272727698</v>
      </c>
      <c r="S4" s="19">
        <v>1978579300</v>
      </c>
      <c r="T4" s="19" t="s">
        <v>96</v>
      </c>
      <c r="U4" s="19">
        <v>2576658099</v>
      </c>
      <c r="V4" s="19" t="s">
        <v>128</v>
      </c>
      <c r="W4" s="19">
        <v>367901957</v>
      </c>
      <c r="X4" s="19">
        <v>1577246715</v>
      </c>
      <c r="Y4" s="19">
        <v>184774627</v>
      </c>
      <c r="Z4" s="19">
        <v>228321078</v>
      </c>
      <c r="AA4" s="19">
        <v>3040944112</v>
      </c>
      <c r="AB4" s="19">
        <v>261103221</v>
      </c>
      <c r="AC4" s="19">
        <v>302465946</v>
      </c>
      <c r="AD4" s="19">
        <v>349754612</v>
      </c>
      <c r="AE4" s="19">
        <v>941721838</v>
      </c>
      <c r="AF4" s="19">
        <v>73758360</v>
      </c>
      <c r="AG4" s="19">
        <v>2381457517</v>
      </c>
      <c r="AH4" s="19">
        <v>975293546</v>
      </c>
      <c r="AI4" s="19">
        <v>182724506</v>
      </c>
      <c r="AJ4" s="19">
        <v>239023019</v>
      </c>
      <c r="AK4" s="19" t="s">
        <v>89</v>
      </c>
      <c r="AL4" s="19">
        <v>340289576</v>
      </c>
      <c r="AM4" s="19" t="s">
        <v>4</v>
      </c>
      <c r="AN4" s="19">
        <v>331253356</v>
      </c>
      <c r="AO4" s="19">
        <v>992266195</v>
      </c>
      <c r="AP4" s="19">
        <v>356717287</v>
      </c>
      <c r="AQ4" s="19" t="s">
        <v>96</v>
      </c>
      <c r="AR4" s="19">
        <v>138170229</v>
      </c>
      <c r="AS4" s="19">
        <v>1461464294</v>
      </c>
      <c r="AT4" s="19">
        <v>175830666</v>
      </c>
      <c r="AU4" s="19">
        <v>612949681</v>
      </c>
      <c r="AV4" s="19">
        <v>253611220</v>
      </c>
      <c r="AW4" s="19">
        <v>62015334</v>
      </c>
      <c r="AX4" s="19" t="s">
        <v>4</v>
      </c>
      <c r="AY4" s="19">
        <v>129451698</v>
      </c>
      <c r="AZ4" s="19">
        <v>343897828</v>
      </c>
      <c r="BA4" s="19">
        <v>979227654</v>
      </c>
      <c r="BB4" s="19">
        <v>15793811</v>
      </c>
      <c r="BC4" s="19" t="s">
        <v>4</v>
      </c>
      <c r="BD4" s="19" t="s">
        <v>128</v>
      </c>
      <c r="BE4" s="19">
        <v>58727444</v>
      </c>
      <c r="BF4" s="19">
        <v>848508374</v>
      </c>
      <c r="BG4" s="19">
        <v>519745724</v>
      </c>
      <c r="BH4" s="19">
        <v>100190187</v>
      </c>
      <c r="BI4" s="19">
        <v>548459261</v>
      </c>
      <c r="BJ4" s="19">
        <v>581280110</v>
      </c>
      <c r="BK4" s="19">
        <v>2541997790</v>
      </c>
      <c r="BL4" s="19">
        <v>238080885</v>
      </c>
      <c r="BM4" s="19">
        <v>389673543</v>
      </c>
      <c r="BN4" s="19">
        <v>215682392</v>
      </c>
      <c r="BO4" s="19">
        <v>99264589</v>
      </c>
      <c r="BP4" s="19" t="s">
        <v>96</v>
      </c>
      <c r="BQ4" s="19" t="s">
        <v>4</v>
      </c>
      <c r="BR4" s="19">
        <v>1519118895</v>
      </c>
      <c r="BS4" s="19">
        <v>35095426</v>
      </c>
      <c r="BT4" s="19">
        <v>17504006</v>
      </c>
      <c r="BU4" s="19">
        <v>233142920</v>
      </c>
      <c r="BV4" s="19">
        <v>508488915</v>
      </c>
      <c r="BW4" s="19">
        <v>42050817</v>
      </c>
      <c r="BX4" s="19">
        <v>159740209</v>
      </c>
      <c r="BY4" s="19">
        <v>747411972</v>
      </c>
      <c r="BZ4" s="19">
        <v>1279855259</v>
      </c>
      <c r="CA4" s="19">
        <v>735369835</v>
      </c>
      <c r="CB4" s="19">
        <v>91969232</v>
      </c>
      <c r="CC4" s="19">
        <v>106616921</v>
      </c>
      <c r="CD4" s="19">
        <v>864818787</v>
      </c>
      <c r="CE4" s="19">
        <v>225244477</v>
      </c>
      <c r="CF4" s="19">
        <v>220914580</v>
      </c>
      <c r="CG4" s="19">
        <v>96386897</v>
      </c>
      <c r="CH4" s="19">
        <v>258362064</v>
      </c>
      <c r="CI4" s="19" t="s">
        <v>128</v>
      </c>
      <c r="CJ4" s="19" t="s">
        <v>89</v>
      </c>
      <c r="CK4" s="19">
        <v>269516571</v>
      </c>
      <c r="CL4" s="19">
        <v>196961377</v>
      </c>
      <c r="CM4" s="19">
        <v>1797492066</v>
      </c>
      <c r="CN4" s="19">
        <v>122657452</v>
      </c>
      <c r="CO4" s="19">
        <v>158306002</v>
      </c>
      <c r="CP4" s="19">
        <v>544538424</v>
      </c>
      <c r="CQ4" s="19" t="s">
        <v>96</v>
      </c>
      <c r="CR4" s="19">
        <v>550083599</v>
      </c>
      <c r="CS4" s="19">
        <v>921815606</v>
      </c>
      <c r="CT4" s="19">
        <v>12509974400</v>
      </c>
      <c r="CU4" s="19">
        <v>341512312</v>
      </c>
      <c r="CV4" s="19">
        <v>33792040</v>
      </c>
      <c r="CW4" s="19">
        <v>1206379379</v>
      </c>
      <c r="CX4" s="19">
        <v>2381457517</v>
      </c>
      <c r="CY4" s="19">
        <v>3358219558</v>
      </c>
      <c r="CZ4" s="19">
        <v>254323223</v>
      </c>
      <c r="DA4" s="19">
        <v>158377124</v>
      </c>
      <c r="DB4" s="19">
        <v>543351285</v>
      </c>
      <c r="DC4" s="19">
        <v>20319993</v>
      </c>
      <c r="DD4" s="19">
        <v>86027669</v>
      </c>
      <c r="DE4" s="19" t="s">
        <v>89</v>
      </c>
      <c r="DF4" s="19">
        <v>32444069</v>
      </c>
      <c r="DG4" s="19">
        <v>300633276</v>
      </c>
      <c r="DH4" s="19">
        <v>487267762</v>
      </c>
      <c r="DI4" s="19" t="s">
        <v>128</v>
      </c>
      <c r="DJ4" s="19">
        <v>140679718</v>
      </c>
      <c r="DK4" s="19">
        <v>2867357974</v>
      </c>
      <c r="DL4" s="19">
        <v>500735096</v>
      </c>
      <c r="DM4" s="19">
        <v>357784383</v>
      </c>
      <c r="DN4" s="19">
        <v>164009542</v>
      </c>
      <c r="DO4" s="19">
        <v>20968901</v>
      </c>
      <c r="DP4" s="19">
        <v>1559552875</v>
      </c>
      <c r="DQ4" s="19">
        <v>356307130</v>
      </c>
      <c r="DR4" s="19">
        <v>647560074</v>
      </c>
      <c r="DS4" s="19">
        <v>235543807</v>
      </c>
      <c r="DT4" s="19">
        <v>452221457</v>
      </c>
      <c r="DU4" s="19">
        <v>224318395</v>
      </c>
      <c r="DV4" s="19">
        <f>DV5+DV6+DV7+DV8+DV9+DV10+DV11</f>
        <v>741168816</v>
      </c>
      <c r="DW4" s="19">
        <v>402756932</v>
      </c>
      <c r="DX4" s="19">
        <v>2223545689</v>
      </c>
      <c r="DY4" s="19">
        <v>302170242</v>
      </c>
      <c r="DZ4" s="19">
        <v>743809991</v>
      </c>
      <c r="EA4" s="19">
        <v>98886094</v>
      </c>
      <c r="EB4" s="19">
        <v>1256675774</v>
      </c>
      <c r="EC4" s="19">
        <v>224746378</v>
      </c>
      <c r="ED4" s="19">
        <v>61878929</v>
      </c>
      <c r="EE4" s="19">
        <v>92438446</v>
      </c>
      <c r="EF4" s="19">
        <v>602437579</v>
      </c>
      <c r="EG4" s="19">
        <v>2117510910</v>
      </c>
      <c r="EH4" s="19">
        <v>46474811</v>
      </c>
      <c r="EI4" s="19">
        <v>4725106005</v>
      </c>
      <c r="EJ4" s="19">
        <v>183909124</v>
      </c>
      <c r="EK4" s="19">
        <v>1363036753</v>
      </c>
      <c r="EL4" s="19">
        <v>1552682717</v>
      </c>
      <c r="EM4" s="19">
        <v>604009943</v>
      </c>
      <c r="EN4" s="19">
        <v>2357511790</v>
      </c>
      <c r="EO4" s="19">
        <v>504882818</v>
      </c>
      <c r="EP4" s="19">
        <v>134249761</v>
      </c>
      <c r="EQ4" s="19">
        <v>1152874534</v>
      </c>
      <c r="ER4" s="19">
        <v>1641443267</v>
      </c>
      <c r="ES4" s="19">
        <v>181419864</v>
      </c>
      <c r="ET4" s="19">
        <v>2134553492</v>
      </c>
      <c r="EU4" s="19">
        <v>1728319887</v>
      </c>
      <c r="EV4" s="19">
        <v>61972769</v>
      </c>
      <c r="EW4" s="19">
        <v>71038417</v>
      </c>
      <c r="EX4" s="19">
        <v>770086994</v>
      </c>
      <c r="EY4" s="19">
        <v>760825214</v>
      </c>
      <c r="EZ4" s="19">
        <v>83553934</v>
      </c>
      <c r="FA4" s="19">
        <v>425750270</v>
      </c>
      <c r="FB4" s="19">
        <v>50196649</v>
      </c>
      <c r="FC4" s="19">
        <v>273777418</v>
      </c>
      <c r="FD4" s="19">
        <v>178501902</v>
      </c>
      <c r="FE4" s="19">
        <v>4734548634</v>
      </c>
      <c r="FF4" s="19">
        <v>43890869</v>
      </c>
      <c r="FG4" s="19">
        <v>1379307142</v>
      </c>
      <c r="FH4" s="19">
        <v>113924631</v>
      </c>
      <c r="FI4" s="19">
        <v>49209475</v>
      </c>
      <c r="FJ4" s="19">
        <v>115649612</v>
      </c>
      <c r="FK4" s="19">
        <v>169600940</v>
      </c>
      <c r="FL4" s="19">
        <v>181766081</v>
      </c>
      <c r="FM4" s="19">
        <v>75912415</v>
      </c>
      <c r="FN4" s="19">
        <v>346336240</v>
      </c>
      <c r="FO4" s="19">
        <v>14453468</v>
      </c>
      <c r="FP4" s="19">
        <v>233034162</v>
      </c>
      <c r="FQ4" s="19">
        <v>235566173</v>
      </c>
      <c r="FR4" s="19">
        <v>71080473</v>
      </c>
      <c r="FS4" s="19">
        <v>58727756</v>
      </c>
      <c r="FT4" s="19">
        <v>1717894481</v>
      </c>
      <c r="FU4" s="19">
        <v>21945842</v>
      </c>
      <c r="FV4" s="19">
        <v>1729450830</v>
      </c>
      <c r="FW4" s="19">
        <v>52328728</v>
      </c>
      <c r="FX4" s="19">
        <v>117603951</v>
      </c>
      <c r="FY4" s="19">
        <v>1974060788</v>
      </c>
      <c r="FZ4" s="19">
        <v>151619385</v>
      </c>
      <c r="GA4" s="19">
        <v>246341795</v>
      </c>
      <c r="GB4" s="19">
        <v>53179077</v>
      </c>
      <c r="GC4" s="19">
        <v>325349962</v>
      </c>
      <c r="GD4" s="19" t="s">
        <v>96</v>
      </c>
      <c r="GE4" s="19">
        <v>207924192</v>
      </c>
      <c r="GF4" s="19">
        <v>94665572</v>
      </c>
      <c r="GG4" s="19">
        <v>580161526</v>
      </c>
      <c r="GH4" s="19">
        <v>121369085</v>
      </c>
      <c r="GI4" s="19">
        <v>23875257</v>
      </c>
      <c r="GJ4" s="19">
        <v>85567450</v>
      </c>
      <c r="GK4" s="19">
        <v>101251642</v>
      </c>
      <c r="GL4" s="19">
        <v>107415393</v>
      </c>
      <c r="GM4" s="19">
        <v>17037855</v>
      </c>
      <c r="GN4" s="19">
        <v>412546883</v>
      </c>
      <c r="GO4" s="19">
        <v>466995929</v>
      </c>
      <c r="GP4" s="19">
        <v>1462904255</v>
      </c>
      <c r="GQ4" s="19">
        <v>337189831</v>
      </c>
      <c r="GR4" s="19">
        <v>187467409</v>
      </c>
      <c r="GS4" s="19">
        <v>2129245904</v>
      </c>
      <c r="GT4" s="19">
        <v>64993268</v>
      </c>
      <c r="GU4" s="19">
        <v>46207349</v>
      </c>
      <c r="GV4" s="19">
        <v>665057700</v>
      </c>
      <c r="GW4" s="19">
        <v>852489550</v>
      </c>
      <c r="GX4" s="19">
        <v>208505651</v>
      </c>
      <c r="GY4" s="19">
        <v>1521186578</v>
      </c>
      <c r="GZ4" s="19">
        <v>281263137</v>
      </c>
      <c r="HA4" s="19">
        <v>443049311</v>
      </c>
      <c r="HB4" s="37">
        <v>203986445</v>
      </c>
      <c r="HC4" s="19">
        <v>530112322</v>
      </c>
      <c r="HD4" s="19">
        <v>132265991</v>
      </c>
      <c r="HE4" s="19">
        <v>88627372</v>
      </c>
      <c r="HF4" s="19">
        <v>809094858</v>
      </c>
      <c r="HG4" s="19">
        <v>135905687</v>
      </c>
      <c r="HH4" s="19">
        <v>80270938</v>
      </c>
      <c r="HI4" s="19">
        <v>738372780</v>
      </c>
      <c r="HJ4" s="19">
        <v>347640723</v>
      </c>
      <c r="HK4" s="19">
        <v>1322193634</v>
      </c>
      <c r="HL4" s="19">
        <v>561030230</v>
      </c>
      <c r="HM4" s="19">
        <v>178137290</v>
      </c>
      <c r="HN4" s="19">
        <v>18175454</v>
      </c>
      <c r="HO4" s="19">
        <v>434917997</v>
      </c>
      <c r="HP4" s="19">
        <v>53994375</v>
      </c>
      <c r="HQ4" s="41">
        <v>15400249</v>
      </c>
      <c r="HR4" s="41">
        <v>780264837</v>
      </c>
      <c r="HS4" s="41">
        <v>325310523</v>
      </c>
      <c r="HT4" s="41">
        <v>10040527</v>
      </c>
      <c r="HU4" s="41">
        <v>1568984739</v>
      </c>
      <c r="HV4" s="41">
        <v>34327893</v>
      </c>
      <c r="HW4" s="41">
        <v>15425827268</v>
      </c>
      <c r="HX4" s="41">
        <v>647309932</v>
      </c>
      <c r="HY4" s="41" t="s">
        <v>114</v>
      </c>
      <c r="HZ4" s="41">
        <v>1299611236</v>
      </c>
      <c r="IA4" s="41">
        <v>164059187</v>
      </c>
      <c r="IB4" s="41">
        <v>400315859</v>
      </c>
      <c r="IC4" s="41">
        <v>108949215</v>
      </c>
      <c r="ID4" s="41">
        <v>66504095</v>
      </c>
      <c r="IE4" s="41" t="s">
        <v>4</v>
      </c>
      <c r="IF4" s="41">
        <v>26038946</v>
      </c>
      <c r="IG4" s="41">
        <v>26381133</v>
      </c>
      <c r="IH4" s="41">
        <v>163941117</v>
      </c>
      <c r="II4" s="41">
        <v>10333668</v>
      </c>
      <c r="IJ4" s="41">
        <v>169455587</v>
      </c>
      <c r="IK4" s="41">
        <v>166769221</v>
      </c>
      <c r="IL4" s="41">
        <v>83563047</v>
      </c>
      <c r="IM4" s="41">
        <v>44808696</v>
      </c>
      <c r="IN4" s="41">
        <v>28501400</v>
      </c>
      <c r="IO4" s="41">
        <v>280488208</v>
      </c>
      <c r="IP4" s="41">
        <v>229455782</v>
      </c>
      <c r="IQ4" s="41">
        <v>1134724592</v>
      </c>
      <c r="IR4" s="41">
        <v>1314315394</v>
      </c>
      <c r="IS4" s="41">
        <v>229016392</v>
      </c>
      <c r="IT4" s="41">
        <v>162847958</v>
      </c>
      <c r="IU4" s="41">
        <v>122865994</v>
      </c>
      <c r="IV4" s="41">
        <v>133053693</v>
      </c>
      <c r="IW4" s="41">
        <v>61450761</v>
      </c>
      <c r="IX4" s="41" t="s">
        <v>114</v>
      </c>
      <c r="IY4" s="41">
        <v>61242413</v>
      </c>
      <c r="IZ4" s="41">
        <v>800570067</v>
      </c>
      <c r="JA4" s="41">
        <v>45747943</v>
      </c>
      <c r="JB4" s="41">
        <v>34699683</v>
      </c>
      <c r="JC4" s="41">
        <v>243863279</v>
      </c>
      <c r="JD4" s="41">
        <v>172244307</v>
      </c>
      <c r="JE4" s="41" t="s">
        <v>114</v>
      </c>
      <c r="JF4" s="41">
        <v>76083805</v>
      </c>
      <c r="JG4" s="41">
        <v>642664502</v>
      </c>
      <c r="JH4" s="41">
        <v>94514965</v>
      </c>
      <c r="JI4" s="41">
        <v>87945629</v>
      </c>
      <c r="JJ4" s="41">
        <v>810108665</v>
      </c>
      <c r="JK4" s="41">
        <v>248585389</v>
      </c>
      <c r="JL4" s="41">
        <v>264437108</v>
      </c>
      <c r="JM4" s="41">
        <v>11494442</v>
      </c>
      <c r="JN4" s="41">
        <v>7666612</v>
      </c>
      <c r="JO4" s="41">
        <v>130365590</v>
      </c>
      <c r="JP4" s="41" t="s">
        <v>4</v>
      </c>
      <c r="JQ4" s="41">
        <v>177581728</v>
      </c>
      <c r="JR4" s="41">
        <v>128586385</v>
      </c>
      <c r="JS4" s="41">
        <v>165740723</v>
      </c>
      <c r="JT4" s="41">
        <v>165740698</v>
      </c>
      <c r="JU4" s="41">
        <v>52984152</v>
      </c>
      <c r="JV4" s="41">
        <v>212841476</v>
      </c>
      <c r="JW4" s="41">
        <v>370364083</v>
      </c>
      <c r="JX4" s="41">
        <v>28300412</v>
      </c>
      <c r="JY4" s="41">
        <v>47567657</v>
      </c>
      <c r="JZ4" s="41">
        <v>35132013</v>
      </c>
      <c r="KA4" s="41">
        <v>714918607</v>
      </c>
      <c r="KB4" s="41">
        <v>17641600</v>
      </c>
      <c r="KC4" s="41">
        <v>307278559</v>
      </c>
      <c r="KD4" s="41">
        <v>1342096178</v>
      </c>
    </row>
    <row r="5" spans="1:290">
      <c r="A5" s="7" t="s">
        <v>120</v>
      </c>
      <c r="B5" s="12" t="s">
        <v>61</v>
      </c>
      <c r="C5" s="19">
        <v>111372948</v>
      </c>
      <c r="D5" s="19">
        <v>190632002</v>
      </c>
      <c r="E5" s="19">
        <v>344507930</v>
      </c>
      <c r="F5" s="19">
        <v>124336880</v>
      </c>
      <c r="G5" s="19">
        <v>119635026</v>
      </c>
      <c r="H5" s="19">
        <v>56363734</v>
      </c>
      <c r="I5" s="19">
        <v>97440288</v>
      </c>
      <c r="J5" s="19" t="s">
        <v>4</v>
      </c>
      <c r="K5" s="19">
        <v>242068390</v>
      </c>
      <c r="L5" s="19" t="s">
        <v>130</v>
      </c>
      <c r="M5" s="19" t="s">
        <v>96</v>
      </c>
      <c r="N5" s="19">
        <v>146271218</v>
      </c>
      <c r="O5" s="19">
        <v>559570195</v>
      </c>
      <c r="P5" s="19">
        <v>588292986</v>
      </c>
      <c r="Q5" s="19">
        <v>55644347</v>
      </c>
      <c r="R5" s="19">
        <v>215177042</v>
      </c>
      <c r="S5" s="19">
        <v>1041755422</v>
      </c>
      <c r="T5" s="19" t="s">
        <v>96</v>
      </c>
      <c r="U5" s="19">
        <v>2360601062</v>
      </c>
      <c r="V5" s="19" t="s">
        <v>128</v>
      </c>
      <c r="W5" s="19">
        <v>171533369</v>
      </c>
      <c r="X5" s="19">
        <v>594090764</v>
      </c>
      <c r="Y5" s="19">
        <v>171559686</v>
      </c>
      <c r="Z5" s="19">
        <v>105673090</v>
      </c>
      <c r="AA5" s="19">
        <v>958366244</v>
      </c>
      <c r="AB5" s="19">
        <v>204856587</v>
      </c>
      <c r="AC5" s="19">
        <v>278506581</v>
      </c>
      <c r="AD5" s="19">
        <v>29225230</v>
      </c>
      <c r="AE5" s="19">
        <v>227714419</v>
      </c>
      <c r="AF5" s="19">
        <v>47834886</v>
      </c>
      <c r="AG5" s="19">
        <v>471301447</v>
      </c>
      <c r="AH5" s="19">
        <v>54003014</v>
      </c>
      <c r="AI5" s="19">
        <v>136750865</v>
      </c>
      <c r="AJ5" s="19">
        <v>126237261</v>
      </c>
      <c r="AK5" s="19" t="s">
        <v>89</v>
      </c>
      <c r="AL5" s="19">
        <v>304649305</v>
      </c>
      <c r="AM5" s="19" t="s">
        <v>4</v>
      </c>
      <c r="AN5" s="19">
        <v>266452773</v>
      </c>
      <c r="AO5" s="19">
        <v>818334165</v>
      </c>
      <c r="AP5" s="19">
        <v>329924374</v>
      </c>
      <c r="AQ5" s="19" t="s">
        <v>96</v>
      </c>
      <c r="AR5" s="19">
        <v>38193434</v>
      </c>
      <c r="AS5" s="19">
        <v>166331846</v>
      </c>
      <c r="AT5" s="19">
        <v>151270662</v>
      </c>
      <c r="AU5" s="19">
        <v>271695285</v>
      </c>
      <c r="AV5" s="19">
        <v>218961220</v>
      </c>
      <c r="AW5" s="19">
        <v>30272089</v>
      </c>
      <c r="AX5" s="19" t="s">
        <v>4</v>
      </c>
      <c r="AY5" s="19">
        <v>111943924</v>
      </c>
      <c r="AZ5" s="19">
        <v>57179229</v>
      </c>
      <c r="BA5" s="19">
        <v>120965646</v>
      </c>
      <c r="BB5" s="19">
        <v>14892460</v>
      </c>
      <c r="BC5" s="19" t="s">
        <v>4</v>
      </c>
      <c r="BD5" s="19" t="s">
        <v>128</v>
      </c>
      <c r="BE5" s="19">
        <v>41157432</v>
      </c>
      <c r="BF5" s="19">
        <v>452780816</v>
      </c>
      <c r="BG5" s="19">
        <v>378159837</v>
      </c>
      <c r="BH5" s="19">
        <v>67306032</v>
      </c>
      <c r="BI5" s="19">
        <v>514672857</v>
      </c>
      <c r="BJ5" s="19">
        <v>180216748</v>
      </c>
      <c r="BK5" s="19">
        <v>519550396</v>
      </c>
      <c r="BL5" s="19">
        <v>125373122</v>
      </c>
      <c r="BM5" s="19">
        <v>237548685</v>
      </c>
      <c r="BN5" s="19">
        <v>190102385</v>
      </c>
      <c r="BO5" s="19">
        <v>77995673</v>
      </c>
      <c r="BP5" s="19" t="s">
        <v>96</v>
      </c>
      <c r="BQ5" s="19" t="s">
        <v>4</v>
      </c>
      <c r="BR5" s="19">
        <v>1375982577</v>
      </c>
      <c r="BS5" s="19">
        <v>33992826</v>
      </c>
      <c r="BT5" s="19">
        <v>15734006</v>
      </c>
      <c r="BU5" s="19">
        <v>123580592</v>
      </c>
      <c r="BV5" s="19">
        <v>49541738</v>
      </c>
      <c r="BW5" s="19">
        <v>41443548</v>
      </c>
      <c r="BX5" s="19">
        <v>156669082</v>
      </c>
      <c r="BY5" s="19">
        <v>204164430</v>
      </c>
      <c r="BZ5" s="19">
        <v>14547382</v>
      </c>
      <c r="CA5" s="19">
        <v>510479957</v>
      </c>
      <c r="CB5" s="19">
        <v>60144427</v>
      </c>
      <c r="CC5" s="19">
        <v>101115781</v>
      </c>
      <c r="CD5" s="19">
        <v>672138941</v>
      </c>
      <c r="CE5" s="19">
        <v>706799</v>
      </c>
      <c r="CF5" s="19">
        <v>13650759</v>
      </c>
      <c r="CG5" s="19">
        <v>75046817</v>
      </c>
      <c r="CH5" s="19">
        <v>198302477</v>
      </c>
      <c r="CI5" s="19" t="s">
        <v>128</v>
      </c>
      <c r="CJ5" s="19" t="s">
        <v>89</v>
      </c>
      <c r="CK5" s="19">
        <v>64869495</v>
      </c>
      <c r="CL5" s="19">
        <v>78380859</v>
      </c>
      <c r="CM5" s="19">
        <v>485488915</v>
      </c>
      <c r="CN5" s="19">
        <v>83477675</v>
      </c>
      <c r="CO5" s="19">
        <v>149668356</v>
      </c>
      <c r="CP5" s="19">
        <v>3488897</v>
      </c>
      <c r="CQ5" s="19" t="s">
        <v>96</v>
      </c>
      <c r="CR5" s="19">
        <v>442056549</v>
      </c>
      <c r="CS5" s="19">
        <v>247175616</v>
      </c>
      <c r="CT5" s="19">
        <v>12282251992</v>
      </c>
      <c r="CU5" s="19">
        <v>341512312</v>
      </c>
      <c r="CV5" s="19">
        <v>14451105</v>
      </c>
      <c r="CW5" s="19">
        <v>1007675692</v>
      </c>
      <c r="CX5" s="19">
        <v>471301447</v>
      </c>
      <c r="CY5" s="19">
        <v>1924688041</v>
      </c>
      <c r="CZ5" s="19">
        <v>155646822</v>
      </c>
      <c r="DA5" s="19">
        <v>62863961</v>
      </c>
      <c r="DB5" s="19">
        <v>170644589</v>
      </c>
      <c r="DC5" s="19">
        <v>17048012</v>
      </c>
      <c r="DD5" s="19">
        <v>72507514</v>
      </c>
      <c r="DE5" s="19" t="s">
        <v>89</v>
      </c>
      <c r="DF5" s="19">
        <v>14081668</v>
      </c>
      <c r="DG5" s="19">
        <v>65195970</v>
      </c>
      <c r="DH5" s="19">
        <v>319019608</v>
      </c>
      <c r="DI5" s="19" t="s">
        <v>128</v>
      </c>
      <c r="DJ5" s="19">
        <v>115179718</v>
      </c>
      <c r="DK5" s="19">
        <v>1823568220</v>
      </c>
      <c r="DL5" s="19">
        <v>331627595</v>
      </c>
      <c r="DM5" s="19">
        <v>26648278</v>
      </c>
      <c r="DN5" s="19">
        <v>89177308</v>
      </c>
      <c r="DO5" s="19">
        <v>18179288</v>
      </c>
      <c r="DP5" s="19">
        <v>1252294503</v>
      </c>
      <c r="DQ5" s="19">
        <v>8206677</v>
      </c>
      <c r="DR5" s="19">
        <v>535532458</v>
      </c>
      <c r="DS5" s="19">
        <v>72439740</v>
      </c>
      <c r="DT5" s="19">
        <v>268346985</v>
      </c>
      <c r="DU5" s="19">
        <v>207818395</v>
      </c>
      <c r="DV5" s="19">
        <f>735700045</f>
        <v>735700045</v>
      </c>
      <c r="DW5" s="19">
        <v>75283531</v>
      </c>
      <c r="DX5" s="19">
        <v>1485088602</v>
      </c>
      <c r="DY5" s="19">
        <v>159058811</v>
      </c>
      <c r="DZ5" s="19">
        <v>190679687</v>
      </c>
      <c r="EA5" s="19">
        <v>1886094</v>
      </c>
      <c r="EB5" s="19">
        <v>579309404</v>
      </c>
      <c r="EC5" s="19">
        <v>180814416</v>
      </c>
      <c r="ED5" s="19">
        <v>35287281</v>
      </c>
      <c r="EE5" s="19">
        <v>8538689</v>
      </c>
      <c r="EF5" s="19">
        <v>46387933</v>
      </c>
      <c r="EG5" s="19">
        <v>1921990653</v>
      </c>
      <c r="EH5" s="19">
        <v>39033929</v>
      </c>
      <c r="EI5" s="19">
        <v>4153149591</v>
      </c>
      <c r="EJ5" s="19">
        <v>183891804</v>
      </c>
      <c r="EK5" s="19">
        <v>1334842373</v>
      </c>
      <c r="EL5" s="19">
        <v>1381450720</v>
      </c>
      <c r="EM5" s="19">
        <v>564902245</v>
      </c>
      <c r="EN5" s="19">
        <v>2094169950</v>
      </c>
      <c r="EO5" s="19">
        <v>478492264</v>
      </c>
      <c r="EP5" s="19">
        <v>129007973</v>
      </c>
      <c r="EQ5" s="19">
        <v>1152874534</v>
      </c>
      <c r="ER5" s="19">
        <v>1005331188</v>
      </c>
      <c r="ES5" s="19">
        <v>32787786</v>
      </c>
      <c r="ET5" s="19">
        <v>1155885724</v>
      </c>
      <c r="EU5" s="19">
        <v>907016980</v>
      </c>
      <c r="EV5" s="19">
        <v>18451112</v>
      </c>
      <c r="EW5" s="19">
        <v>29408708</v>
      </c>
      <c r="EX5" s="19">
        <v>484786030</v>
      </c>
      <c r="EY5" s="19">
        <v>577227184</v>
      </c>
      <c r="EZ5" s="19">
        <v>72028704</v>
      </c>
      <c r="FA5" s="19">
        <v>17364695</v>
      </c>
      <c r="FB5" s="19">
        <v>25498881</v>
      </c>
      <c r="FC5" s="19">
        <v>46374656</v>
      </c>
      <c r="FD5" s="19">
        <v>21072456</v>
      </c>
      <c r="FE5" s="19">
        <v>2670837950</v>
      </c>
      <c r="FF5" s="19">
        <v>39278314</v>
      </c>
      <c r="FG5" s="19">
        <f>2704890+846840556+30462065+3500000</f>
        <v>883507511</v>
      </c>
      <c r="FH5" s="19">
        <v>51719595</v>
      </c>
      <c r="FI5" s="19">
        <v>34649552</v>
      </c>
      <c r="FJ5" s="19">
        <v>87964882</v>
      </c>
      <c r="FK5" s="19">
        <v>75120324</v>
      </c>
      <c r="FL5" s="19">
        <v>121640487</v>
      </c>
      <c r="FM5" s="19">
        <v>74014178</v>
      </c>
      <c r="FN5" s="19">
        <v>229627074</v>
      </c>
      <c r="FO5" s="19">
        <v>10453468</v>
      </c>
      <c r="FP5" s="19">
        <v>231133617</v>
      </c>
      <c r="FQ5" s="19">
        <v>231286558</v>
      </c>
      <c r="FR5" s="19">
        <v>45478453</v>
      </c>
      <c r="FS5" s="19">
        <v>53493240</v>
      </c>
      <c r="FT5" s="19">
        <v>1102563398</v>
      </c>
      <c r="FU5" s="19">
        <v>9174842</v>
      </c>
      <c r="FV5" s="19">
        <v>84162065</v>
      </c>
      <c r="FW5" s="19">
        <v>5000776</v>
      </c>
      <c r="FX5" s="19">
        <v>114005995</v>
      </c>
      <c r="FY5" s="19">
        <v>814118376</v>
      </c>
      <c r="FZ5" s="19">
        <v>98102723</v>
      </c>
      <c r="GA5" s="19">
        <v>198330201</v>
      </c>
      <c r="GB5" s="19">
        <v>41005446</v>
      </c>
      <c r="GC5" s="19">
        <v>133223129</v>
      </c>
      <c r="GD5" s="19" t="s">
        <v>96</v>
      </c>
      <c r="GE5" s="19">
        <v>191402828</v>
      </c>
      <c r="GF5" s="19">
        <v>22411903</v>
      </c>
      <c r="GG5" s="19">
        <v>530984709</v>
      </c>
      <c r="GH5" s="19">
        <v>65128000</v>
      </c>
      <c r="GI5" s="19">
        <v>15409136</v>
      </c>
      <c r="GJ5" s="19">
        <v>85567450</v>
      </c>
      <c r="GK5" s="19">
        <v>86454374</v>
      </c>
      <c r="GL5" s="19">
        <v>78830225</v>
      </c>
      <c r="GM5" s="19">
        <v>16299772</v>
      </c>
      <c r="GN5" s="19">
        <v>302370503</v>
      </c>
      <c r="GO5" s="19">
        <v>27801044</v>
      </c>
      <c r="GP5" s="19">
        <v>556907508</v>
      </c>
      <c r="GQ5" s="19">
        <v>330397809</v>
      </c>
      <c r="GR5" s="19">
        <v>81055005</v>
      </c>
      <c r="GS5" s="19">
        <v>450141024</v>
      </c>
      <c r="GT5" s="19">
        <v>54542498</v>
      </c>
      <c r="GU5" s="19">
        <v>44474489</v>
      </c>
      <c r="GV5" s="19">
        <v>636211670</v>
      </c>
      <c r="GW5" s="19">
        <v>715738493</v>
      </c>
      <c r="GX5" s="19">
        <v>149102670</v>
      </c>
      <c r="GY5" s="19">
        <v>1350449457</v>
      </c>
      <c r="GZ5" s="19">
        <v>100267167</v>
      </c>
      <c r="HA5" s="19">
        <v>395761909</v>
      </c>
      <c r="HB5" s="37">
        <v>186729145</v>
      </c>
      <c r="HC5" s="19">
        <v>334178273</v>
      </c>
      <c r="HD5" s="19">
        <v>62666874</v>
      </c>
      <c r="HE5" s="19">
        <v>16200527</v>
      </c>
      <c r="HF5" s="19">
        <v>505385200</v>
      </c>
      <c r="HG5" s="19">
        <v>132944306</v>
      </c>
      <c r="HH5" s="19">
        <v>4416415</v>
      </c>
      <c r="HI5" s="19">
        <v>345971588</v>
      </c>
      <c r="HJ5" s="19">
        <v>317556223</v>
      </c>
      <c r="HK5" s="19">
        <v>1283515584</v>
      </c>
      <c r="HL5" s="19">
        <v>528903835</v>
      </c>
      <c r="HM5" s="19">
        <v>56983090</v>
      </c>
      <c r="HN5" s="19">
        <v>18163350</v>
      </c>
      <c r="HO5" s="19">
        <v>353315714</v>
      </c>
      <c r="HP5" s="19">
        <v>50808187</v>
      </c>
      <c r="HQ5" s="41">
        <v>6433529</v>
      </c>
      <c r="HR5" s="41">
        <v>640498691</v>
      </c>
      <c r="HS5" s="41">
        <v>292754332</v>
      </c>
      <c r="HT5" s="41">
        <v>3973527</v>
      </c>
      <c r="HU5" s="41">
        <v>1497421133</v>
      </c>
      <c r="HV5" s="41">
        <v>21996270</v>
      </c>
      <c r="HW5" s="41">
        <v>7430540600</v>
      </c>
      <c r="HX5" s="41">
        <v>301772768</v>
      </c>
      <c r="HY5" s="41" t="s">
        <v>114</v>
      </c>
      <c r="HZ5" s="41">
        <v>809215819</v>
      </c>
      <c r="IA5" s="41">
        <v>60282337</v>
      </c>
      <c r="IB5" s="41">
        <v>103999763</v>
      </c>
      <c r="IC5" s="41">
        <v>75024956</v>
      </c>
      <c r="ID5" s="41">
        <v>58188071</v>
      </c>
      <c r="IE5" s="41" t="s">
        <v>4</v>
      </c>
      <c r="IF5" s="41">
        <v>24542398</v>
      </c>
      <c r="IG5" s="41">
        <v>24826746</v>
      </c>
      <c r="IH5" s="41">
        <v>154273266</v>
      </c>
      <c r="II5" s="41">
        <v>9468723</v>
      </c>
      <c r="IJ5" s="41">
        <v>159820790</v>
      </c>
      <c r="IK5" s="41">
        <v>142218448</v>
      </c>
      <c r="IL5" s="41">
        <v>16493527</v>
      </c>
      <c r="IM5" s="41">
        <v>43410577</v>
      </c>
      <c r="IN5" s="41">
        <v>14357671</v>
      </c>
      <c r="IO5" s="41">
        <v>278888705</v>
      </c>
      <c r="IP5" s="41">
        <v>74620034</v>
      </c>
      <c r="IQ5" s="41">
        <v>1103418202</v>
      </c>
      <c r="IR5" s="41">
        <v>942982649</v>
      </c>
      <c r="IS5" s="41">
        <v>168562312</v>
      </c>
      <c r="IT5" s="41">
        <v>139899001</v>
      </c>
      <c r="IU5" s="41">
        <v>108734325</v>
      </c>
      <c r="IV5" s="41">
        <v>128516693</v>
      </c>
      <c r="IW5" s="41">
        <v>44661466</v>
      </c>
      <c r="IX5" s="41" t="s">
        <v>114</v>
      </c>
      <c r="IY5" s="41">
        <v>57854079</v>
      </c>
      <c r="IZ5" s="41">
        <v>29723642</v>
      </c>
      <c r="JA5" s="41">
        <v>45377943</v>
      </c>
      <c r="JB5" s="41">
        <v>26851550</v>
      </c>
      <c r="JC5" s="41">
        <v>131218466</v>
      </c>
      <c r="JD5" s="41">
        <v>48510056</v>
      </c>
      <c r="JE5" s="41" t="s">
        <v>114</v>
      </c>
      <c r="JF5" s="41">
        <v>36690346</v>
      </c>
      <c r="JG5" s="41">
        <v>612603776</v>
      </c>
      <c r="JH5" s="41">
        <v>94412465</v>
      </c>
      <c r="JI5" s="41">
        <v>87945629</v>
      </c>
      <c r="JJ5" s="41">
        <v>70006735</v>
      </c>
      <c r="JK5" s="41">
        <v>212345864</v>
      </c>
      <c r="JL5" s="41">
        <v>259981539</v>
      </c>
      <c r="JM5" s="41">
        <v>690362</v>
      </c>
      <c r="JN5" s="41">
        <v>7666612</v>
      </c>
      <c r="JO5" s="41">
        <v>5786241</v>
      </c>
      <c r="JP5" s="41" t="s">
        <v>4</v>
      </c>
      <c r="JQ5" s="41">
        <v>44950882</v>
      </c>
      <c r="JR5" s="41">
        <v>96028719</v>
      </c>
      <c r="JS5" s="41">
        <v>159497758</v>
      </c>
      <c r="JT5" s="41">
        <v>57718584</v>
      </c>
      <c r="JU5" s="41">
        <v>43542168</v>
      </c>
      <c r="JV5" s="41">
        <v>126991106</v>
      </c>
      <c r="JW5" s="41">
        <v>169446864</v>
      </c>
      <c r="JX5" s="41">
        <v>9780986</v>
      </c>
      <c r="JY5" s="41">
        <v>30002698</v>
      </c>
      <c r="JZ5" s="41">
        <v>2730049</v>
      </c>
      <c r="KA5" s="41">
        <v>300087786</v>
      </c>
      <c r="KB5" s="41">
        <v>5669400</v>
      </c>
      <c r="KC5" s="41">
        <v>303325146</v>
      </c>
      <c r="KD5" s="41">
        <v>72970401</v>
      </c>
    </row>
    <row r="6" spans="1:290">
      <c r="A6" s="7" t="s">
        <v>120</v>
      </c>
      <c r="B6" s="12" t="s">
        <v>75</v>
      </c>
      <c r="C6" s="19">
        <v>243394260</v>
      </c>
      <c r="D6" s="19">
        <v>0</v>
      </c>
      <c r="E6" s="19">
        <v>0</v>
      </c>
      <c r="F6" s="19">
        <v>303377810</v>
      </c>
      <c r="G6" s="19">
        <v>0</v>
      </c>
      <c r="H6" s="19"/>
      <c r="I6" s="19">
        <v>0</v>
      </c>
      <c r="J6" s="19" t="s">
        <v>4</v>
      </c>
      <c r="K6" s="19"/>
      <c r="L6" s="19" t="s">
        <v>130</v>
      </c>
      <c r="M6" s="19" t="s">
        <v>96</v>
      </c>
      <c r="N6" s="19"/>
      <c r="O6" s="19">
        <v>4400000</v>
      </c>
      <c r="P6" s="19">
        <v>50000</v>
      </c>
      <c r="Q6" s="19"/>
      <c r="R6" s="19"/>
      <c r="S6" s="19"/>
      <c r="T6" s="19" t="s">
        <v>96</v>
      </c>
      <c r="U6" s="19"/>
      <c r="V6" s="19" t="s">
        <v>128</v>
      </c>
      <c r="W6" s="19">
        <v>4000000</v>
      </c>
      <c r="X6" s="19">
        <v>179657558</v>
      </c>
      <c r="Y6" s="19"/>
      <c r="Z6" s="19"/>
      <c r="AA6" s="19"/>
      <c r="AB6" s="19"/>
      <c r="AC6" s="19">
        <v>385266</v>
      </c>
      <c r="AD6" s="19">
        <v>24000000</v>
      </c>
      <c r="AE6" s="19"/>
      <c r="AF6" s="19"/>
      <c r="AG6" s="19">
        <v>1771226403</v>
      </c>
      <c r="AH6" s="19">
        <v>574578466</v>
      </c>
      <c r="AI6" s="19"/>
      <c r="AJ6" s="19">
        <v>1600000</v>
      </c>
      <c r="AK6" s="19" t="s">
        <v>89</v>
      </c>
      <c r="AL6" s="19"/>
      <c r="AM6" s="19" t="s">
        <v>4</v>
      </c>
      <c r="AN6" s="19"/>
      <c r="AO6" s="19"/>
      <c r="AP6" s="19">
        <v>3600000</v>
      </c>
      <c r="AQ6" s="19" t="s">
        <v>96</v>
      </c>
      <c r="AR6" s="19"/>
      <c r="AS6" s="19">
        <v>622600501</v>
      </c>
      <c r="AT6" s="19"/>
      <c r="AU6" s="19">
        <v>3977776</v>
      </c>
      <c r="AV6" s="19"/>
      <c r="AW6" s="19">
        <v>4104840</v>
      </c>
      <c r="AX6" s="19" t="s">
        <v>4</v>
      </c>
      <c r="AY6" s="19"/>
      <c r="AZ6" s="19"/>
      <c r="BA6" s="19"/>
      <c r="BB6" s="19"/>
      <c r="BC6" s="19" t="s">
        <v>4</v>
      </c>
      <c r="BD6" s="19" t="s">
        <v>128</v>
      </c>
      <c r="BE6" s="19">
        <v>800000</v>
      </c>
      <c r="BF6" s="19">
        <v>80000000</v>
      </c>
      <c r="BG6" s="19"/>
      <c r="BH6" s="19"/>
      <c r="BI6" s="19"/>
      <c r="BJ6" s="19"/>
      <c r="BK6" s="19">
        <v>1499972934</v>
      </c>
      <c r="BL6" s="19">
        <v>61684883</v>
      </c>
      <c r="BM6" s="19"/>
      <c r="BN6" s="19"/>
      <c r="BO6" s="19"/>
      <c r="BP6" s="19" t="s">
        <v>96</v>
      </c>
      <c r="BQ6" s="19" t="s">
        <v>4</v>
      </c>
      <c r="BR6" s="19"/>
      <c r="BS6" s="19"/>
      <c r="BT6" s="19"/>
      <c r="BU6" s="19"/>
      <c r="BV6" s="19"/>
      <c r="BW6" s="19"/>
      <c r="BX6" s="19"/>
      <c r="BY6" s="19"/>
      <c r="BZ6" s="19">
        <v>1112081495</v>
      </c>
      <c r="CA6" s="19"/>
      <c r="CB6" s="19"/>
      <c r="CC6" s="19"/>
      <c r="CD6" s="19"/>
      <c r="CE6" s="19"/>
      <c r="CF6" s="19"/>
      <c r="CG6" s="19"/>
      <c r="CH6" s="19"/>
      <c r="CI6" s="19" t="s">
        <v>128</v>
      </c>
      <c r="CJ6" s="19" t="s">
        <v>89</v>
      </c>
      <c r="CK6" s="19">
        <v>17500000</v>
      </c>
      <c r="CL6" s="19">
        <v>75568145</v>
      </c>
      <c r="CM6" s="19">
        <v>977552120</v>
      </c>
      <c r="CN6" s="19">
        <v>9297260</v>
      </c>
      <c r="CO6" s="19"/>
      <c r="CP6" s="19">
        <v>18000000</v>
      </c>
      <c r="CQ6" s="19" t="s">
        <v>96</v>
      </c>
      <c r="CR6" s="19"/>
      <c r="CS6" s="19"/>
      <c r="CT6" s="19">
        <v>10000000</v>
      </c>
      <c r="CU6" s="19"/>
      <c r="CV6" s="19"/>
      <c r="CW6" s="19">
        <v>9000000</v>
      </c>
      <c r="CX6" s="19">
        <v>1771226403</v>
      </c>
      <c r="CY6" s="19">
        <v>635347283</v>
      </c>
      <c r="CZ6" s="19"/>
      <c r="DA6" s="19"/>
      <c r="DB6" s="19"/>
      <c r="DC6" s="19"/>
      <c r="DD6" s="19"/>
      <c r="DE6" s="19" t="s">
        <v>89</v>
      </c>
      <c r="DF6" s="19"/>
      <c r="DG6" s="19"/>
      <c r="DH6" s="19"/>
      <c r="DI6" s="19" t="s">
        <v>128</v>
      </c>
      <c r="DJ6" s="19">
        <v>12000000</v>
      </c>
      <c r="DK6" s="19"/>
      <c r="DL6" s="19"/>
      <c r="DM6" s="19"/>
      <c r="DN6" s="19"/>
      <c r="DO6" s="19"/>
      <c r="DP6" s="19"/>
      <c r="DQ6" s="19">
        <v>3000000</v>
      </c>
      <c r="DR6" s="19"/>
      <c r="DS6" s="19">
        <v>50512499</v>
      </c>
      <c r="DT6" s="19"/>
      <c r="DU6" s="19"/>
      <c r="DV6" s="19"/>
      <c r="DW6" s="19"/>
      <c r="DX6" s="19"/>
      <c r="DY6" s="19"/>
      <c r="DZ6" s="19">
        <v>296464080</v>
      </c>
      <c r="EA6" s="19"/>
      <c r="EB6" s="19"/>
      <c r="EC6" s="19"/>
      <c r="ED6" s="19"/>
      <c r="EE6" s="19">
        <v>7200000</v>
      </c>
      <c r="EF6" s="19">
        <v>3760983</v>
      </c>
      <c r="EG6" s="19">
        <v>78000000</v>
      </c>
      <c r="EH6" s="19"/>
      <c r="EI6" s="19"/>
      <c r="EJ6" s="19"/>
      <c r="EK6" s="19"/>
      <c r="EL6" s="19">
        <v>140815324</v>
      </c>
      <c r="EM6" s="19"/>
      <c r="EN6" s="19"/>
      <c r="EO6" s="19"/>
      <c r="EP6" s="19"/>
      <c r="EQ6" s="19"/>
      <c r="ER6" s="19">
        <v>61000000</v>
      </c>
      <c r="ES6" s="19">
        <v>36000000</v>
      </c>
      <c r="ET6" s="19">
        <v>776395053</v>
      </c>
      <c r="EU6" s="19"/>
      <c r="EV6" s="19"/>
      <c r="EW6" s="19"/>
      <c r="EX6" s="19"/>
      <c r="EY6" s="19"/>
      <c r="EZ6" s="19"/>
      <c r="FA6" s="19"/>
      <c r="FB6" s="19"/>
      <c r="FC6" s="19"/>
      <c r="FD6" s="19">
        <v>486917</v>
      </c>
      <c r="FE6" s="19">
        <v>67576000</v>
      </c>
      <c r="FF6" s="19"/>
      <c r="FG6" s="19"/>
      <c r="FH6" s="19"/>
      <c r="FI6" s="19"/>
      <c r="FJ6" s="19">
        <v>20933455</v>
      </c>
      <c r="FK6" s="19">
        <v>702840</v>
      </c>
      <c r="FL6" s="19"/>
      <c r="FM6" s="19"/>
      <c r="FN6" s="19"/>
      <c r="FO6" s="19"/>
      <c r="FP6" s="19"/>
      <c r="FQ6" s="19"/>
      <c r="FR6" s="19"/>
      <c r="FS6" s="19"/>
      <c r="FT6" s="19">
        <v>464657476</v>
      </c>
      <c r="FU6" s="19"/>
      <c r="FV6" s="19">
        <v>2000000</v>
      </c>
      <c r="FW6" s="19"/>
      <c r="FX6" s="19"/>
      <c r="FY6" s="19">
        <v>1000000000</v>
      </c>
      <c r="FZ6" s="19"/>
      <c r="GA6" s="19"/>
      <c r="GB6" s="19"/>
      <c r="GC6" s="19"/>
      <c r="GD6" s="19" t="s">
        <v>96</v>
      </c>
      <c r="GE6" s="19"/>
      <c r="GF6" s="19"/>
      <c r="GG6" s="19"/>
      <c r="GH6" s="19"/>
      <c r="GI6" s="19"/>
      <c r="GJ6" s="19"/>
      <c r="GK6" s="19"/>
      <c r="GL6" s="19"/>
      <c r="GM6" s="19"/>
      <c r="GN6" s="19"/>
      <c r="GO6" s="19"/>
      <c r="GP6" s="19">
        <v>9000000</v>
      </c>
      <c r="GQ6" s="19"/>
      <c r="GR6" s="19"/>
      <c r="GS6" s="19"/>
      <c r="GT6" s="19"/>
      <c r="GU6" s="19"/>
      <c r="GV6" s="19"/>
      <c r="GW6" s="19"/>
      <c r="GX6" s="19"/>
      <c r="GY6" s="19"/>
      <c r="GZ6" s="19"/>
      <c r="HA6" s="19"/>
      <c r="HB6" s="37"/>
      <c r="HC6" s="19"/>
      <c r="HD6" s="19"/>
      <c r="HE6" s="19"/>
      <c r="HF6" s="19">
        <v>14400000</v>
      </c>
      <c r="HG6" s="19"/>
      <c r="HH6" s="19">
        <v>2325806</v>
      </c>
      <c r="HI6" s="19"/>
      <c r="HJ6" s="19"/>
      <c r="HK6" s="19"/>
      <c r="HL6" s="19"/>
      <c r="HM6" s="19">
        <v>29000000</v>
      </c>
      <c r="HN6" s="19"/>
      <c r="HO6" s="19"/>
      <c r="HP6" s="19"/>
      <c r="HQ6" s="41"/>
      <c r="HR6" s="41"/>
      <c r="HS6" s="41"/>
      <c r="HT6" s="41"/>
      <c r="HU6" s="41"/>
      <c r="HV6" s="41"/>
      <c r="HW6" s="41">
        <v>3562864555</v>
      </c>
      <c r="HX6" s="41"/>
      <c r="HY6" s="41" t="s">
        <v>114</v>
      </c>
      <c r="HZ6" s="41"/>
      <c r="IA6" s="41"/>
      <c r="IB6" s="41"/>
      <c r="IC6" s="41"/>
      <c r="ID6" s="41"/>
      <c r="IE6" s="41" t="s">
        <v>4</v>
      </c>
      <c r="IF6" s="41"/>
      <c r="IG6" s="41"/>
      <c r="IH6" s="41"/>
      <c r="II6" s="41"/>
      <c r="IJ6" s="41"/>
      <c r="IK6" s="41"/>
      <c r="IL6" s="41"/>
      <c r="IM6" s="41"/>
      <c r="IN6" s="41"/>
      <c r="IO6" s="41"/>
      <c r="IP6" s="41"/>
      <c r="IQ6" s="41"/>
      <c r="IR6" s="41"/>
      <c r="IS6" s="41"/>
      <c r="IT6" s="41">
        <v>10000000</v>
      </c>
      <c r="IU6" s="41"/>
      <c r="IV6" s="41"/>
      <c r="IW6" s="41"/>
      <c r="IX6" s="41" t="s">
        <v>114</v>
      </c>
      <c r="IY6" s="41"/>
      <c r="IZ6" s="41">
        <v>10000000</v>
      </c>
      <c r="JA6" s="41"/>
      <c r="JB6" s="41"/>
      <c r="JC6" s="41"/>
      <c r="JD6" s="41"/>
      <c r="JE6" s="41" t="s">
        <v>114</v>
      </c>
      <c r="JF6" s="41"/>
      <c r="JG6" s="41"/>
      <c r="JH6" s="41"/>
      <c r="JI6" s="41"/>
      <c r="JJ6" s="41"/>
      <c r="JK6" s="41"/>
      <c r="JL6" s="41"/>
      <c r="JM6" s="41"/>
      <c r="JN6" s="41"/>
      <c r="JO6" s="41"/>
      <c r="JP6" s="41" t="s">
        <v>4</v>
      </c>
      <c r="JQ6" s="41"/>
      <c r="JR6" s="41"/>
      <c r="JS6" s="41"/>
      <c r="JT6" s="41"/>
      <c r="JU6" s="41"/>
      <c r="JV6" s="41"/>
      <c r="JW6" s="41"/>
      <c r="JX6" s="41"/>
      <c r="JY6" s="41"/>
      <c r="JZ6" s="41"/>
      <c r="KA6" s="41"/>
      <c r="KB6" s="41"/>
      <c r="KC6" s="41"/>
      <c r="KD6" s="41"/>
    </row>
    <row r="7" spans="1:290">
      <c r="A7" s="7" t="s">
        <v>120</v>
      </c>
      <c r="B7" s="13" t="s">
        <v>51</v>
      </c>
      <c r="C7" s="19">
        <v>42876602</v>
      </c>
      <c r="D7" s="19">
        <v>784180669</v>
      </c>
      <c r="E7" s="19">
        <v>1050000</v>
      </c>
      <c r="F7" s="19">
        <v>0</v>
      </c>
      <c r="G7" s="19">
        <v>8286922</v>
      </c>
      <c r="H7" s="19">
        <v>575000000</v>
      </c>
      <c r="I7" s="19">
        <v>0</v>
      </c>
      <c r="J7" s="19" t="s">
        <v>4</v>
      </c>
      <c r="K7" s="19">
        <v>496329575</v>
      </c>
      <c r="L7" s="19" t="s">
        <v>130</v>
      </c>
      <c r="M7" s="19" t="s">
        <v>96</v>
      </c>
      <c r="N7" s="19">
        <v>13972628</v>
      </c>
      <c r="O7" s="19"/>
      <c r="P7" s="19"/>
      <c r="Q7" s="19">
        <v>26098960</v>
      </c>
      <c r="R7" s="19">
        <v>57472706</v>
      </c>
      <c r="S7" s="19">
        <v>479747262</v>
      </c>
      <c r="T7" s="19" t="s">
        <v>96</v>
      </c>
      <c r="U7" s="19">
        <v>163754083</v>
      </c>
      <c r="V7" s="19" t="s">
        <v>128</v>
      </c>
      <c r="W7" s="19">
        <v>9774680</v>
      </c>
      <c r="X7" s="19">
        <v>292019670</v>
      </c>
      <c r="Y7" s="19">
        <v>13140050</v>
      </c>
      <c r="Z7" s="19">
        <v>2216213</v>
      </c>
      <c r="AA7" s="19">
        <v>2049905708</v>
      </c>
      <c r="AB7" s="19">
        <v>52158168</v>
      </c>
      <c r="AC7" s="19">
        <v>5840000</v>
      </c>
      <c r="AD7" s="19">
        <v>143454950</v>
      </c>
      <c r="AE7" s="19">
        <v>53080182</v>
      </c>
      <c r="AF7" s="19"/>
      <c r="AG7" s="19">
        <v>42609708</v>
      </c>
      <c r="AH7" s="19"/>
      <c r="AI7" s="19">
        <v>4867100</v>
      </c>
      <c r="AJ7" s="19">
        <v>108818162</v>
      </c>
      <c r="AK7" s="19" t="s">
        <v>89</v>
      </c>
      <c r="AL7" s="19">
        <v>17766650</v>
      </c>
      <c r="AM7" s="19" t="s">
        <v>4</v>
      </c>
      <c r="AN7" s="19"/>
      <c r="AO7" s="19"/>
      <c r="AP7" s="19">
        <v>12701944</v>
      </c>
      <c r="AQ7" s="19" t="s">
        <v>96</v>
      </c>
      <c r="AR7" s="19">
        <v>526979</v>
      </c>
      <c r="AS7" s="19"/>
      <c r="AT7" s="19"/>
      <c r="AU7" s="19">
        <v>29300000</v>
      </c>
      <c r="AV7" s="19">
        <v>35000000</v>
      </c>
      <c r="AW7" s="19">
        <v>23434130</v>
      </c>
      <c r="AX7" s="19" t="s">
        <v>4</v>
      </c>
      <c r="AY7" s="19">
        <v>13538250</v>
      </c>
      <c r="AZ7" s="19">
        <v>115834526</v>
      </c>
      <c r="BA7" s="19">
        <v>586437637</v>
      </c>
      <c r="BB7" s="19"/>
      <c r="BC7" s="19" t="s">
        <v>4</v>
      </c>
      <c r="BD7" s="19" t="s">
        <v>128</v>
      </c>
      <c r="BE7" s="19">
        <v>14212000</v>
      </c>
      <c r="BF7" s="19">
        <v>257157096</v>
      </c>
      <c r="BG7" s="19">
        <v>133798881</v>
      </c>
      <c r="BH7" s="19">
        <v>32601213</v>
      </c>
      <c r="BI7" s="19">
        <v>14958757</v>
      </c>
      <c r="BJ7" s="19">
        <v>206536224</v>
      </c>
      <c r="BK7" s="19">
        <v>449598972</v>
      </c>
      <c r="BL7" s="19">
        <v>46694950</v>
      </c>
      <c r="BM7" s="19">
        <v>34606316</v>
      </c>
      <c r="BN7" s="19">
        <v>16087788</v>
      </c>
      <c r="BO7" s="19">
        <v>20092764</v>
      </c>
      <c r="BP7" s="19" t="s">
        <v>96</v>
      </c>
      <c r="BQ7" s="19" t="s">
        <v>4</v>
      </c>
      <c r="BR7" s="19">
        <v>141598501</v>
      </c>
      <c r="BS7" s="19"/>
      <c r="BT7" s="19"/>
      <c r="BU7" s="19">
        <v>42964084</v>
      </c>
      <c r="BV7" s="19">
        <v>151807411</v>
      </c>
      <c r="BW7" s="19"/>
      <c r="BX7" s="19">
        <v>1618582</v>
      </c>
      <c r="BY7" s="19">
        <v>510333376</v>
      </c>
      <c r="BZ7" s="19">
        <v>105642196</v>
      </c>
      <c r="CA7" s="19">
        <v>44306625</v>
      </c>
      <c r="CB7" s="19">
        <v>28047181</v>
      </c>
      <c r="CC7" s="19"/>
      <c r="CD7" s="19">
        <v>11462000</v>
      </c>
      <c r="CE7" s="19">
        <v>224537678</v>
      </c>
      <c r="CF7" s="19"/>
      <c r="CG7" s="19"/>
      <c r="CH7" s="19">
        <v>41906867</v>
      </c>
      <c r="CI7" s="19" t="s">
        <v>128</v>
      </c>
      <c r="CJ7" s="19" t="s">
        <v>89</v>
      </c>
      <c r="CK7" s="19">
        <v>156872721</v>
      </c>
      <c r="CL7" s="19">
        <v>43009663</v>
      </c>
      <c r="CM7" s="19">
        <v>239797521</v>
      </c>
      <c r="CN7" s="19">
        <v>10926977</v>
      </c>
      <c r="CO7" s="19"/>
      <c r="CP7" s="19">
        <v>370632121</v>
      </c>
      <c r="CQ7" s="19" t="s">
        <v>96</v>
      </c>
      <c r="CR7" s="19"/>
      <c r="CS7" s="19">
        <v>475127000</v>
      </c>
      <c r="CT7" s="19">
        <v>154185387</v>
      </c>
      <c r="CU7" s="19"/>
      <c r="CV7" s="19">
        <v>15319253</v>
      </c>
      <c r="CW7" s="19">
        <v>97579329</v>
      </c>
      <c r="CX7" s="19">
        <v>15389708</v>
      </c>
      <c r="CY7" s="19">
        <v>661891857</v>
      </c>
      <c r="CZ7" s="19">
        <v>54232304</v>
      </c>
      <c r="DA7" s="19"/>
      <c r="DB7" s="19">
        <v>363118259</v>
      </c>
      <c r="DC7" s="19">
        <v>334319</v>
      </c>
      <c r="DD7" s="19">
        <v>5555000</v>
      </c>
      <c r="DE7" s="19" t="s">
        <v>89</v>
      </c>
      <c r="DF7" s="19"/>
      <c r="DG7" s="19"/>
      <c r="DH7" s="19">
        <v>128085532</v>
      </c>
      <c r="DI7" s="19" t="s">
        <v>128</v>
      </c>
      <c r="DJ7" s="19">
        <v>13500000</v>
      </c>
      <c r="DK7" s="19">
        <v>811908088</v>
      </c>
      <c r="DL7" s="19">
        <v>119088952</v>
      </c>
      <c r="DM7" s="19">
        <v>314815060</v>
      </c>
      <c r="DN7" s="19">
        <v>30508770</v>
      </c>
      <c r="DO7" s="19">
        <v>1307910</v>
      </c>
      <c r="DP7" s="19">
        <v>245359943</v>
      </c>
      <c r="DQ7" s="19">
        <v>245696266</v>
      </c>
      <c r="DR7" s="19">
        <v>18061513</v>
      </c>
      <c r="DS7" s="19">
        <v>102444960</v>
      </c>
      <c r="DT7" s="19">
        <v>142080555</v>
      </c>
      <c r="DU7" s="19">
        <v>16500000</v>
      </c>
      <c r="DV7" s="19"/>
      <c r="DW7" s="19">
        <v>312770959</v>
      </c>
      <c r="DX7" s="19">
        <v>686526100</v>
      </c>
      <c r="DY7" s="19">
        <v>135050217</v>
      </c>
      <c r="DZ7" s="19">
        <v>4750000</v>
      </c>
      <c r="EA7" s="19"/>
      <c r="EB7" s="19">
        <v>324199800</v>
      </c>
      <c r="EC7" s="19">
        <v>30098416</v>
      </c>
      <c r="ED7" s="19">
        <v>26353233</v>
      </c>
      <c r="EE7" s="19">
        <v>2587200</v>
      </c>
      <c r="EF7" s="19">
        <v>399760245</v>
      </c>
      <c r="EG7" s="19">
        <v>29141079</v>
      </c>
      <c r="EH7" s="19">
        <v>5224300</v>
      </c>
      <c r="EI7" s="19">
        <v>512904895</v>
      </c>
      <c r="EJ7" s="19"/>
      <c r="EK7" s="19"/>
      <c r="EL7" s="19"/>
      <c r="EM7" s="19">
        <v>34899442</v>
      </c>
      <c r="EN7" s="19">
        <v>114354060</v>
      </c>
      <c r="EO7" s="19"/>
      <c r="EP7" s="19"/>
      <c r="EQ7" s="19"/>
      <c r="ER7" s="19"/>
      <c r="ES7" s="19">
        <v>63833816</v>
      </c>
      <c r="ET7" s="19">
        <v>158541849</v>
      </c>
      <c r="EU7" s="19">
        <v>797178844</v>
      </c>
      <c r="EV7" s="19">
        <v>35038205</v>
      </c>
      <c r="EW7" s="19">
        <v>33866040</v>
      </c>
      <c r="EX7" s="19">
        <v>123264879</v>
      </c>
      <c r="EY7" s="19"/>
      <c r="EZ7" s="19">
        <v>4957330</v>
      </c>
      <c r="FA7" s="19">
        <v>345276548</v>
      </c>
      <c r="FB7" s="19">
        <v>11232290</v>
      </c>
      <c r="FC7" s="19">
        <v>163574789</v>
      </c>
      <c r="FD7" s="19">
        <v>73850500</v>
      </c>
      <c r="FE7" s="19">
        <v>1180180477</v>
      </c>
      <c r="FF7" s="19">
        <v>3362555</v>
      </c>
      <c r="FG7" s="19">
        <v>487166384</v>
      </c>
      <c r="FH7" s="19">
        <v>49732337</v>
      </c>
      <c r="FI7" s="19">
        <v>10786432</v>
      </c>
      <c r="FJ7" s="19">
        <v>4782765</v>
      </c>
      <c r="FK7" s="19">
        <v>78038391</v>
      </c>
      <c r="FL7" s="19">
        <v>12908562</v>
      </c>
      <c r="FM7" s="19"/>
      <c r="FN7" s="19"/>
      <c r="FO7" s="19"/>
      <c r="FP7" s="19"/>
      <c r="FQ7" s="19"/>
      <c r="FR7" s="19">
        <v>6879249</v>
      </c>
      <c r="FS7" s="19"/>
      <c r="FT7" s="19">
        <v>2804450</v>
      </c>
      <c r="FU7" s="19">
        <v>12771000</v>
      </c>
      <c r="FV7" s="19">
        <v>1165158501</v>
      </c>
      <c r="FW7" s="19">
        <v>46649727</v>
      </c>
      <c r="FX7" s="19">
        <v>734360</v>
      </c>
      <c r="FY7" s="19">
        <v>26582947</v>
      </c>
      <c r="FZ7" s="19">
        <v>37060400</v>
      </c>
      <c r="GA7" s="19">
        <v>22127500</v>
      </c>
      <c r="GB7" s="19">
        <v>178624</v>
      </c>
      <c r="GC7" s="19"/>
      <c r="GD7" s="19" t="s">
        <v>96</v>
      </c>
      <c r="GE7" s="19">
        <v>7195734</v>
      </c>
      <c r="GF7" s="19">
        <v>56526875</v>
      </c>
      <c r="GG7" s="19">
        <v>19065991</v>
      </c>
      <c r="GH7" s="19">
        <v>10090445</v>
      </c>
      <c r="GI7" s="19">
        <v>2381385</v>
      </c>
      <c r="GJ7" s="19"/>
      <c r="GK7" s="19">
        <v>6546824</v>
      </c>
      <c r="GL7" s="19">
        <v>4076218</v>
      </c>
      <c r="GM7" s="19"/>
      <c r="GN7" s="19">
        <v>42069506</v>
      </c>
      <c r="GO7" s="19">
        <v>333818937</v>
      </c>
      <c r="GP7" s="19">
        <v>682063980</v>
      </c>
      <c r="GQ7" s="19">
        <v>6462022</v>
      </c>
      <c r="GR7" s="19">
        <v>38805555</v>
      </c>
      <c r="GS7" s="19">
        <v>741494</v>
      </c>
      <c r="GT7" s="19">
        <v>3565670</v>
      </c>
      <c r="GU7" s="19"/>
      <c r="GV7" s="19"/>
      <c r="GW7" s="19">
        <v>16694755</v>
      </c>
      <c r="GX7" s="19">
        <v>56285070</v>
      </c>
      <c r="GY7" s="19"/>
      <c r="GZ7" s="19">
        <v>109013169</v>
      </c>
      <c r="HA7" s="19">
        <v>1000000</v>
      </c>
      <c r="HB7" s="37">
        <v>17257300</v>
      </c>
      <c r="HC7" s="19"/>
      <c r="HD7" s="19">
        <v>18620291</v>
      </c>
      <c r="HE7" s="19">
        <v>12544226</v>
      </c>
      <c r="HF7" s="19">
        <v>289309658</v>
      </c>
      <c r="HG7" s="19">
        <v>878000</v>
      </c>
      <c r="HH7" s="19">
        <v>9498740</v>
      </c>
      <c r="HI7" s="19">
        <v>148148000</v>
      </c>
      <c r="HJ7" s="19">
        <v>27800000</v>
      </c>
      <c r="HK7" s="19">
        <v>23305194</v>
      </c>
      <c r="HL7" s="19">
        <v>31584066</v>
      </c>
      <c r="HM7" s="19">
        <v>42154200</v>
      </c>
      <c r="HN7" s="19"/>
      <c r="HO7" s="19">
        <v>74720520</v>
      </c>
      <c r="HP7" s="19">
        <v>1461118</v>
      </c>
      <c r="HQ7" s="41"/>
      <c r="HR7" s="41">
        <v>120257646</v>
      </c>
      <c r="HS7" s="41">
        <v>7643172</v>
      </c>
      <c r="HT7" s="41"/>
      <c r="HU7" s="41"/>
      <c r="HV7" s="41">
        <v>12331623</v>
      </c>
      <c r="HW7" s="41">
        <v>2165769039</v>
      </c>
      <c r="HX7" s="41">
        <v>214327775</v>
      </c>
      <c r="HY7" s="41" t="s">
        <v>114</v>
      </c>
      <c r="HZ7" s="41">
        <v>384827917</v>
      </c>
      <c r="IA7" s="41">
        <v>2250000</v>
      </c>
      <c r="IB7" s="41">
        <v>44059517</v>
      </c>
      <c r="IC7" s="41"/>
      <c r="ID7" s="41">
        <v>6244424</v>
      </c>
      <c r="IE7" s="41" t="s">
        <v>4</v>
      </c>
      <c r="IF7" s="41"/>
      <c r="IG7" s="41">
        <v>1554387</v>
      </c>
      <c r="IH7" s="41">
        <v>2354000</v>
      </c>
      <c r="II7" s="41">
        <v>701000</v>
      </c>
      <c r="IJ7" s="41">
        <v>6335227</v>
      </c>
      <c r="IK7" s="41">
        <v>5598000</v>
      </c>
      <c r="IL7" s="41">
        <v>51452664</v>
      </c>
      <c r="IM7" s="41"/>
      <c r="IN7" s="41"/>
      <c r="IO7" s="41">
        <v>6868811</v>
      </c>
      <c r="IP7" s="41"/>
      <c r="IQ7" s="41">
        <v>9035000</v>
      </c>
      <c r="IR7" s="41">
        <v>111009774</v>
      </c>
      <c r="IS7" s="41">
        <v>36330800</v>
      </c>
      <c r="IT7" s="41">
        <v>9947180</v>
      </c>
      <c r="IU7" s="41">
        <v>13182119</v>
      </c>
      <c r="IV7" s="41"/>
      <c r="IW7" s="41"/>
      <c r="IX7" s="41" t="s">
        <v>114</v>
      </c>
      <c r="IY7" s="41">
        <v>3388334</v>
      </c>
      <c r="IZ7" s="41">
        <v>605760197</v>
      </c>
      <c r="JA7" s="41"/>
      <c r="JB7" s="41">
        <v>7848125</v>
      </c>
      <c r="JC7" s="41">
        <v>26237570</v>
      </c>
      <c r="JD7" s="41">
        <v>3296024</v>
      </c>
      <c r="JE7" s="41" t="s">
        <v>114</v>
      </c>
      <c r="JF7" s="41"/>
      <c r="JG7" s="41">
        <v>554894</v>
      </c>
      <c r="JH7" s="41">
        <v>102500</v>
      </c>
      <c r="JI7" s="41"/>
      <c r="JJ7" s="41">
        <v>392033687</v>
      </c>
      <c r="JK7" s="41">
        <v>21238754</v>
      </c>
      <c r="JL7" s="41"/>
      <c r="JM7" s="41">
        <v>7641500</v>
      </c>
      <c r="JN7" s="41"/>
      <c r="JO7" s="41">
        <v>81136532</v>
      </c>
      <c r="JP7" s="41" t="s">
        <v>4</v>
      </c>
      <c r="JQ7" s="41">
        <v>60500000</v>
      </c>
      <c r="JR7" s="41">
        <v>3215001</v>
      </c>
      <c r="JS7" s="41">
        <v>1707035</v>
      </c>
      <c r="JT7" s="41">
        <v>108022114</v>
      </c>
      <c r="JU7" s="41"/>
      <c r="JV7" s="41">
        <v>26563480</v>
      </c>
      <c r="JW7" s="41">
        <v>176417219</v>
      </c>
      <c r="JX7" s="41">
        <v>3901636</v>
      </c>
      <c r="JY7" s="41"/>
      <c r="JZ7" s="41">
        <v>3153000</v>
      </c>
      <c r="KA7" s="41">
        <v>177019518</v>
      </c>
      <c r="KB7" s="41"/>
      <c r="KC7" s="41">
        <v>523600</v>
      </c>
      <c r="KD7" s="41">
        <v>1207021083</v>
      </c>
    </row>
    <row r="8" spans="1:290">
      <c r="A8" s="7" t="s">
        <v>120</v>
      </c>
      <c r="B8" s="13" t="s">
        <v>69</v>
      </c>
      <c r="C8" s="19">
        <v>77527954</v>
      </c>
      <c r="D8" s="19">
        <v>0</v>
      </c>
      <c r="E8" s="19">
        <v>0</v>
      </c>
      <c r="F8" s="19">
        <v>0</v>
      </c>
      <c r="G8" s="19">
        <v>0</v>
      </c>
      <c r="H8" s="19"/>
      <c r="I8" s="19">
        <v>100143066</v>
      </c>
      <c r="J8" s="19" t="s">
        <v>4</v>
      </c>
      <c r="K8" s="19">
        <v>0</v>
      </c>
      <c r="L8" s="19" t="s">
        <v>130</v>
      </c>
      <c r="M8" s="19" t="s">
        <v>96</v>
      </c>
      <c r="N8" s="19"/>
      <c r="O8" s="19"/>
      <c r="P8" s="19"/>
      <c r="Q8" s="19"/>
      <c r="R8" s="19"/>
      <c r="S8" s="19">
        <v>31380000</v>
      </c>
      <c r="T8" s="19" t="s">
        <v>96</v>
      </c>
      <c r="U8" s="19"/>
      <c r="V8" s="19" t="s">
        <v>128</v>
      </c>
      <c r="W8" s="19">
        <v>177608622</v>
      </c>
      <c r="X8" s="19"/>
      <c r="Y8" s="19"/>
      <c r="Z8" s="19">
        <v>30000000</v>
      </c>
      <c r="AA8" s="19"/>
      <c r="AB8" s="19"/>
      <c r="AC8" s="19"/>
      <c r="AD8" s="19"/>
      <c r="AE8" s="19">
        <v>343500000</v>
      </c>
      <c r="AF8" s="19"/>
      <c r="AG8" s="19"/>
      <c r="AH8" s="19"/>
      <c r="AI8" s="19"/>
      <c r="AJ8" s="19">
        <v>1005000</v>
      </c>
      <c r="AK8" s="19" t="s">
        <v>89</v>
      </c>
      <c r="AL8" s="19"/>
      <c r="AM8" s="19" t="s">
        <v>4</v>
      </c>
      <c r="AN8" s="19"/>
      <c r="AO8" s="19"/>
      <c r="AP8" s="19">
        <v>5380000</v>
      </c>
      <c r="AQ8" s="19" t="s">
        <v>96</v>
      </c>
      <c r="AR8" s="19"/>
      <c r="AS8" s="19">
        <v>28300000</v>
      </c>
      <c r="AT8" s="19"/>
      <c r="AU8" s="19"/>
      <c r="AV8" s="19"/>
      <c r="AW8" s="19"/>
      <c r="AX8" s="19" t="s">
        <v>4</v>
      </c>
      <c r="AY8" s="19">
        <v>1580260</v>
      </c>
      <c r="AZ8" s="19"/>
      <c r="BA8" s="19">
        <v>134819594</v>
      </c>
      <c r="BB8" s="19"/>
      <c r="BC8" s="19" t="s">
        <v>4</v>
      </c>
      <c r="BD8" s="19" t="s">
        <v>128</v>
      </c>
      <c r="BE8" s="19"/>
      <c r="BF8" s="19"/>
      <c r="BG8" s="19"/>
      <c r="BH8" s="19"/>
      <c r="BI8" s="19"/>
      <c r="BJ8" s="19"/>
      <c r="BK8" s="19"/>
      <c r="BL8" s="19"/>
      <c r="BM8" s="19"/>
      <c r="BN8" s="19"/>
      <c r="BO8" s="19"/>
      <c r="BP8" s="19" t="s">
        <v>96</v>
      </c>
      <c r="BQ8" s="19" t="s">
        <v>4</v>
      </c>
      <c r="BR8" s="19"/>
      <c r="BS8" s="19"/>
      <c r="BT8" s="19"/>
      <c r="BU8" s="19"/>
      <c r="BV8" s="19">
        <v>74856400</v>
      </c>
      <c r="BW8" s="19"/>
      <c r="BX8" s="19"/>
      <c r="BY8" s="19">
        <v>27470000</v>
      </c>
      <c r="BZ8" s="19"/>
      <c r="CA8" s="19"/>
      <c r="CB8" s="19"/>
      <c r="CC8" s="19"/>
      <c r="CD8" s="19">
        <v>170000000</v>
      </c>
      <c r="CE8" s="19"/>
      <c r="CF8" s="19"/>
      <c r="CG8" s="19">
        <v>20000000</v>
      </c>
      <c r="CH8" s="19"/>
      <c r="CI8" s="19" t="s">
        <v>128</v>
      </c>
      <c r="CJ8" s="19" t="s">
        <v>89</v>
      </c>
      <c r="CK8" s="19"/>
      <c r="CL8" s="19"/>
      <c r="CM8" s="19"/>
      <c r="CN8" s="19"/>
      <c r="CO8" s="19"/>
      <c r="CP8" s="19">
        <v>7718077</v>
      </c>
      <c r="CQ8" s="19" t="s">
        <v>96</v>
      </c>
      <c r="CR8" s="19"/>
      <c r="CS8" s="19"/>
      <c r="CT8" s="19"/>
      <c r="CU8" s="19"/>
      <c r="CV8" s="19"/>
      <c r="CW8" s="19"/>
      <c r="CX8" s="19">
        <v>20920000</v>
      </c>
      <c r="CY8" s="19">
        <v>130000000</v>
      </c>
      <c r="CZ8" s="19"/>
      <c r="DA8" s="19"/>
      <c r="DB8" s="19"/>
      <c r="DC8" s="19"/>
      <c r="DD8" s="19"/>
      <c r="DE8" s="19" t="s">
        <v>89</v>
      </c>
      <c r="DF8" s="19"/>
      <c r="DG8" s="19"/>
      <c r="DH8" s="19"/>
      <c r="DI8" s="19" t="s">
        <v>128</v>
      </c>
      <c r="DJ8" s="19"/>
      <c r="DK8" s="19">
        <v>158805000</v>
      </c>
      <c r="DL8" s="19"/>
      <c r="DM8" s="19"/>
      <c r="DN8" s="19">
        <v>9780000</v>
      </c>
      <c r="DO8" s="19"/>
      <c r="DP8" s="19"/>
      <c r="DQ8" s="19"/>
      <c r="DR8" s="19"/>
      <c r="DS8" s="19"/>
      <c r="DT8" s="19">
        <v>15700000</v>
      </c>
      <c r="DU8" s="19"/>
      <c r="DV8" s="19">
        <v>0</v>
      </c>
      <c r="DW8" s="19"/>
      <c r="DX8" s="19">
        <v>50000000</v>
      </c>
      <c r="DY8" s="19"/>
      <c r="DZ8" s="19"/>
      <c r="EA8" s="19"/>
      <c r="EB8" s="19"/>
      <c r="EC8" s="19"/>
      <c r="ED8" s="19"/>
      <c r="EE8" s="19"/>
      <c r="EF8" s="19"/>
      <c r="EG8" s="19"/>
      <c r="EH8" s="19"/>
      <c r="EI8" s="19">
        <v>10670000</v>
      </c>
      <c r="EJ8" s="19"/>
      <c r="EK8" s="19">
        <v>1164500</v>
      </c>
      <c r="EL8" s="19"/>
      <c r="EM8" s="19">
        <v>3000000</v>
      </c>
      <c r="EN8" s="19"/>
      <c r="EO8" s="19"/>
      <c r="EP8" s="19"/>
      <c r="EQ8" s="19"/>
      <c r="ER8" s="19"/>
      <c r="ES8" s="19"/>
      <c r="ET8" s="19"/>
      <c r="EU8" s="19"/>
      <c r="EV8" s="19"/>
      <c r="EW8" s="19"/>
      <c r="EX8" s="19"/>
      <c r="EY8" s="19">
        <v>19000000</v>
      </c>
      <c r="EZ8" s="19"/>
      <c r="FA8" s="19"/>
      <c r="FB8" s="19"/>
      <c r="FC8" s="19"/>
      <c r="FD8" s="19"/>
      <c r="FE8" s="19"/>
      <c r="FF8" s="19"/>
      <c r="FG8" s="19"/>
      <c r="FH8" s="19"/>
      <c r="FI8" s="19"/>
      <c r="FJ8" s="19"/>
      <c r="FK8" s="19"/>
      <c r="FL8" s="19"/>
      <c r="FM8" s="19"/>
      <c r="FN8" s="19"/>
      <c r="FO8" s="19"/>
      <c r="FP8" s="19"/>
      <c r="FQ8" s="19"/>
      <c r="FR8" s="19"/>
      <c r="FS8" s="19"/>
      <c r="FT8" s="19"/>
      <c r="FU8" s="19"/>
      <c r="FV8" s="19"/>
      <c r="FW8" s="19"/>
      <c r="FX8" s="19"/>
      <c r="FY8" s="19"/>
      <c r="FZ8" s="19"/>
      <c r="GA8" s="19"/>
      <c r="GB8" s="19"/>
      <c r="GC8" s="19">
        <v>189000000</v>
      </c>
      <c r="GD8" s="19" t="s">
        <v>96</v>
      </c>
      <c r="GE8" s="19"/>
      <c r="GF8" s="19"/>
      <c r="GG8" s="19"/>
      <c r="GH8" s="19"/>
      <c r="GI8" s="19"/>
      <c r="GJ8" s="19"/>
      <c r="GK8" s="19"/>
      <c r="GL8" s="19"/>
      <c r="GM8" s="19"/>
      <c r="GN8" s="19"/>
      <c r="GO8" s="19"/>
      <c r="GP8" s="19">
        <v>108491000</v>
      </c>
      <c r="GQ8" s="19"/>
      <c r="GR8" s="19"/>
      <c r="GS8" s="19">
        <v>1458723498</v>
      </c>
      <c r="GT8" s="19"/>
      <c r="GU8" s="19"/>
      <c r="GV8" s="19">
        <v>10000000</v>
      </c>
      <c r="GW8" s="19">
        <v>5000000</v>
      </c>
      <c r="GX8" s="19"/>
      <c r="GY8" s="19"/>
      <c r="GZ8" s="19"/>
      <c r="HA8" s="19"/>
      <c r="HB8" s="37"/>
      <c r="HC8" s="19"/>
      <c r="HD8" s="19"/>
      <c r="HE8" s="19"/>
      <c r="HF8" s="19"/>
      <c r="HG8" s="19"/>
      <c r="HH8" s="19"/>
      <c r="HI8" s="19">
        <v>7011030</v>
      </c>
      <c r="HJ8" s="19"/>
      <c r="HK8" s="19"/>
      <c r="HL8" s="19"/>
      <c r="HM8" s="19"/>
      <c r="HN8" s="19"/>
      <c r="HO8" s="19"/>
      <c r="HP8" s="19"/>
      <c r="HQ8" s="41"/>
      <c r="HR8" s="41"/>
      <c r="HS8" s="41"/>
      <c r="HT8" s="41"/>
      <c r="HU8" s="41">
        <v>23884010</v>
      </c>
      <c r="HV8" s="41"/>
      <c r="HW8" s="41">
        <v>267795000</v>
      </c>
      <c r="HX8" s="41"/>
      <c r="HY8" s="41" t="s">
        <v>114</v>
      </c>
      <c r="HZ8" s="41">
        <v>100000000</v>
      </c>
      <c r="IA8" s="41"/>
      <c r="IB8" s="41">
        <v>240921490</v>
      </c>
      <c r="IC8" s="41"/>
      <c r="ID8" s="41"/>
      <c r="IE8" s="41" t="s">
        <v>4</v>
      </c>
      <c r="IF8" s="41"/>
      <c r="IG8" s="41"/>
      <c r="IH8" s="41"/>
      <c r="II8" s="41"/>
      <c r="IJ8" s="41"/>
      <c r="IK8" s="41"/>
      <c r="IL8" s="41"/>
      <c r="IM8" s="41"/>
      <c r="IN8" s="41"/>
      <c r="IO8" s="41"/>
      <c r="IP8" s="41"/>
      <c r="IQ8" s="41"/>
      <c r="IR8" s="41">
        <v>216281139</v>
      </c>
      <c r="IS8" s="41"/>
      <c r="IT8" s="41"/>
      <c r="IU8" s="41"/>
      <c r="IV8" s="41"/>
      <c r="IW8" s="41"/>
      <c r="IX8" s="41" t="s">
        <v>114</v>
      </c>
      <c r="IY8" s="41"/>
      <c r="IZ8" s="41">
        <v>29499900</v>
      </c>
      <c r="JA8" s="41"/>
      <c r="JB8" s="41"/>
      <c r="JC8" s="41"/>
      <c r="JD8" s="41">
        <v>116000000</v>
      </c>
      <c r="JE8" s="41" t="s">
        <v>114</v>
      </c>
      <c r="JF8" s="41">
        <v>39300000</v>
      </c>
      <c r="JG8" s="41"/>
      <c r="JH8" s="41"/>
      <c r="JI8" s="41"/>
      <c r="JJ8" s="41">
        <v>328876301</v>
      </c>
      <c r="JK8" s="41"/>
      <c r="JL8" s="41"/>
      <c r="JM8" s="41"/>
      <c r="JN8" s="41"/>
      <c r="JO8" s="41"/>
      <c r="JP8" s="41" t="s">
        <v>4</v>
      </c>
      <c r="JQ8" s="41"/>
      <c r="JR8" s="41"/>
      <c r="JS8" s="41"/>
      <c r="JT8" s="41"/>
      <c r="JU8" s="41"/>
      <c r="JV8" s="41"/>
      <c r="JW8" s="41">
        <v>24500000</v>
      </c>
      <c r="JX8" s="41"/>
      <c r="JY8" s="41"/>
      <c r="JZ8" s="41"/>
      <c r="KA8" s="41"/>
      <c r="KB8" s="41"/>
      <c r="KC8" s="41"/>
      <c r="KD8" s="41"/>
    </row>
    <row r="9" spans="1:290">
      <c r="A9" s="7" t="s">
        <v>120</v>
      </c>
      <c r="B9" s="13" t="s">
        <v>134</v>
      </c>
      <c r="C9" s="19">
        <v>0</v>
      </c>
      <c r="D9" s="19">
        <v>1345960</v>
      </c>
      <c r="E9" s="19">
        <v>3078500</v>
      </c>
      <c r="F9" s="19">
        <v>0</v>
      </c>
      <c r="G9" s="19">
        <v>0</v>
      </c>
      <c r="H9" s="19"/>
      <c r="I9" s="19">
        <v>947871912</v>
      </c>
      <c r="J9" s="19" t="s">
        <v>4</v>
      </c>
      <c r="K9" s="19">
        <v>0</v>
      </c>
      <c r="L9" s="19" t="s">
        <v>130</v>
      </c>
      <c r="M9" s="19" t="s">
        <v>96</v>
      </c>
      <c r="N9" s="19">
        <v>18720287</v>
      </c>
      <c r="O9" s="19">
        <v>427443462</v>
      </c>
      <c r="P9" s="19">
        <v>412897368</v>
      </c>
      <c r="Q9" s="19"/>
      <c r="R9" s="19"/>
      <c r="S9" s="19">
        <v>192564188</v>
      </c>
      <c r="T9" s="19" t="s">
        <v>96</v>
      </c>
      <c r="U9" s="19"/>
      <c r="V9" s="19" t="s">
        <v>128</v>
      </c>
      <c r="W9" s="19">
        <v>1003322</v>
      </c>
      <c r="X9" s="19"/>
      <c r="Y9" s="19"/>
      <c r="Z9" s="19">
        <v>3723396</v>
      </c>
      <c r="AA9" s="19"/>
      <c r="AB9" s="19">
        <v>2534536</v>
      </c>
      <c r="AC9" s="19">
        <v>800000</v>
      </c>
      <c r="AD9" s="19">
        <v>68887400</v>
      </c>
      <c r="AE9" s="19">
        <v>89077237</v>
      </c>
      <c r="AF9" s="19"/>
      <c r="AG9" s="19">
        <v>68726260</v>
      </c>
      <c r="AH9" s="19"/>
      <c r="AI9" s="19"/>
      <c r="AJ9" s="19"/>
      <c r="AK9" s="19" t="s">
        <v>89</v>
      </c>
      <c r="AL9" s="19">
        <v>5000000</v>
      </c>
      <c r="AM9" s="19" t="s">
        <v>4</v>
      </c>
      <c r="AN9" s="19">
        <v>8483100</v>
      </c>
      <c r="AO9" s="19"/>
      <c r="AP9" s="19">
        <v>16278403</v>
      </c>
      <c r="AQ9" s="19" t="s">
        <v>96</v>
      </c>
      <c r="AR9" s="19">
        <v>26077407</v>
      </c>
      <c r="AS9" s="19">
        <v>3180582</v>
      </c>
      <c r="AT9" s="19">
        <v>1314000</v>
      </c>
      <c r="AU9" s="19">
        <v>4158400</v>
      </c>
      <c r="AV9" s="19"/>
      <c r="AW9" s="19">
        <v>139912</v>
      </c>
      <c r="AX9" s="19" t="s">
        <v>4</v>
      </c>
      <c r="AY9" s="19">
        <v>471240</v>
      </c>
      <c r="AZ9" s="19"/>
      <c r="BA9" s="19">
        <v>94700</v>
      </c>
      <c r="BB9" s="19"/>
      <c r="BC9" s="19" t="s">
        <v>4</v>
      </c>
      <c r="BD9" s="19" t="s">
        <v>128</v>
      </c>
      <c r="BE9" s="19">
        <v>2378785</v>
      </c>
      <c r="BF9" s="19">
        <v>7140</v>
      </c>
      <c r="BG9" s="19">
        <v>44652345</v>
      </c>
      <c r="BH9" s="19"/>
      <c r="BI9" s="19">
        <v>7344585</v>
      </c>
      <c r="BJ9" s="19"/>
      <c r="BK9" s="19"/>
      <c r="BL9" s="19"/>
      <c r="BM9" s="19"/>
      <c r="BN9" s="19">
        <v>1609844</v>
      </c>
      <c r="BO9" s="19">
        <v>1176152</v>
      </c>
      <c r="BP9" s="19" t="s">
        <v>96</v>
      </c>
      <c r="BQ9" s="19" t="s">
        <v>4</v>
      </c>
      <c r="BR9" s="19"/>
      <c r="BS9" s="19"/>
      <c r="BT9" s="19">
        <v>1770000</v>
      </c>
      <c r="BU9" s="19">
        <v>3750994</v>
      </c>
      <c r="BV9" s="19">
        <v>33915359</v>
      </c>
      <c r="BW9" s="19"/>
      <c r="BX9" s="19">
        <v>1239775</v>
      </c>
      <c r="BY9" s="19">
        <v>5386826</v>
      </c>
      <c r="BZ9" s="19">
        <v>45557186</v>
      </c>
      <c r="CA9" s="19">
        <v>3716105</v>
      </c>
      <c r="CB9" s="19">
        <v>200000</v>
      </c>
      <c r="CC9" s="19">
        <v>4594220</v>
      </c>
      <c r="CD9" s="19"/>
      <c r="CE9" s="19"/>
      <c r="CF9" s="19">
        <v>2529690</v>
      </c>
      <c r="CG9" s="19">
        <v>1175680</v>
      </c>
      <c r="CH9" s="19"/>
      <c r="CI9" s="19" t="s">
        <v>128</v>
      </c>
      <c r="CJ9" s="19" t="s">
        <v>89</v>
      </c>
      <c r="CK9" s="19"/>
      <c r="CL9" s="19"/>
      <c r="CM9" s="19">
        <v>373230</v>
      </c>
      <c r="CN9" s="19"/>
      <c r="CO9" s="19">
        <v>1461636</v>
      </c>
      <c r="CP9" s="19">
        <v>1084077</v>
      </c>
      <c r="CQ9" s="19" t="s">
        <v>96</v>
      </c>
      <c r="CR9" s="19">
        <v>71512964</v>
      </c>
      <c r="CS9" s="19"/>
      <c r="CT9" s="19">
        <v>70000</v>
      </c>
      <c r="CU9" s="19"/>
      <c r="CV9" s="19">
        <v>2718033</v>
      </c>
      <c r="CW9" s="19">
        <v>23130897</v>
      </c>
      <c r="CX9" s="19">
        <v>68726260</v>
      </c>
      <c r="CY9" s="19">
        <v>5671962</v>
      </c>
      <c r="CZ9" s="19"/>
      <c r="DA9" s="19">
        <v>95513163</v>
      </c>
      <c r="DB9" s="19"/>
      <c r="DC9" s="19">
        <v>1270</v>
      </c>
      <c r="DD9" s="19">
        <v>704307</v>
      </c>
      <c r="DE9" s="19" t="s">
        <v>89</v>
      </c>
      <c r="DF9" s="19">
        <v>1389168</v>
      </c>
      <c r="DG9" s="19"/>
      <c r="DH9" s="19">
        <v>35202160</v>
      </c>
      <c r="DI9" s="19" t="s">
        <v>128</v>
      </c>
      <c r="DJ9" s="19"/>
      <c r="DK9" s="19">
        <v>27176037</v>
      </c>
      <c r="DL9" s="19"/>
      <c r="DM9" s="19">
        <v>6570253</v>
      </c>
      <c r="DN9" s="19"/>
      <c r="DO9" s="19"/>
      <c r="DP9" s="19"/>
      <c r="DQ9" s="19">
        <v>1044611</v>
      </c>
      <c r="DR9" s="19">
        <v>232750</v>
      </c>
      <c r="DS9" s="19">
        <v>5126298</v>
      </c>
      <c r="DT9" s="19">
        <v>19575797</v>
      </c>
      <c r="DU9" s="19"/>
      <c r="DV9" s="19">
        <v>4809606</v>
      </c>
      <c r="DW9" s="19">
        <v>10662535</v>
      </c>
      <c r="DX9" s="19">
        <v>748797</v>
      </c>
      <c r="DY9" s="19">
        <v>1172523</v>
      </c>
      <c r="DZ9" s="19">
        <v>251916224</v>
      </c>
      <c r="EA9" s="19"/>
      <c r="EB9" s="19">
        <v>313204470</v>
      </c>
      <c r="EC9" s="19">
        <v>472930</v>
      </c>
      <c r="ED9" s="19"/>
      <c r="EE9" s="19">
        <v>71951845</v>
      </c>
      <c r="EF9" s="19"/>
      <c r="EG9" s="19">
        <v>4450727</v>
      </c>
      <c r="EH9" s="19">
        <v>348659</v>
      </c>
      <c r="EI9" s="19">
        <v>41644854</v>
      </c>
      <c r="EJ9" s="19"/>
      <c r="EK9" s="19">
        <v>26512042</v>
      </c>
      <c r="EL9" s="19">
        <v>30416673</v>
      </c>
      <c r="EM9" s="19">
        <v>696551</v>
      </c>
      <c r="EN9" s="19">
        <v>145554677</v>
      </c>
      <c r="EO9" s="19">
        <v>19295964</v>
      </c>
      <c r="EP9" s="19"/>
      <c r="EQ9" s="19"/>
      <c r="ER9" s="19">
        <v>253365259</v>
      </c>
      <c r="ES9" s="19">
        <v>629690</v>
      </c>
      <c r="ET9" s="19">
        <v>11998470</v>
      </c>
      <c r="EU9" s="19"/>
      <c r="EV9" s="19">
        <v>5449200</v>
      </c>
      <c r="EW9" s="19"/>
      <c r="EX9" s="19">
        <v>4629104</v>
      </c>
      <c r="EY9" s="19">
        <v>148483980</v>
      </c>
      <c r="EZ9" s="19">
        <v>1517900</v>
      </c>
      <c r="FA9" s="19">
        <v>12518441</v>
      </c>
      <c r="FB9" s="19">
        <v>12636170</v>
      </c>
      <c r="FC9" s="19"/>
      <c r="FD9" s="19">
        <v>1642930</v>
      </c>
      <c r="FE9" s="19">
        <v>455342071</v>
      </c>
      <c r="FF9" s="19">
        <v>1250000</v>
      </c>
      <c r="FG9" s="19">
        <f>956762</f>
        <v>956762</v>
      </c>
      <c r="FH9" s="19">
        <v>2907699</v>
      </c>
      <c r="FI9" s="19"/>
      <c r="FJ9" s="19">
        <v>1968510</v>
      </c>
      <c r="FK9" s="19">
        <v>4523506</v>
      </c>
      <c r="FL9" s="19">
        <v>45607410</v>
      </c>
      <c r="FM9" s="19"/>
      <c r="FN9" s="19">
        <v>590318</v>
      </c>
      <c r="FO9" s="19"/>
      <c r="FP9" s="19"/>
      <c r="FQ9" s="19"/>
      <c r="FR9" s="19">
        <v>2408775</v>
      </c>
      <c r="FS9" s="19">
        <v>2234516</v>
      </c>
      <c r="FT9" s="19">
        <v>14032740</v>
      </c>
      <c r="FU9" s="19"/>
      <c r="FV9" s="19"/>
      <c r="FW9" s="19"/>
      <c r="FX9" s="19"/>
      <c r="FY9" s="19">
        <v>4651220</v>
      </c>
      <c r="FZ9" s="19">
        <v>5226690</v>
      </c>
      <c r="GA9" s="19">
        <v>2229642</v>
      </c>
      <c r="GB9" s="19">
        <v>7719477</v>
      </c>
      <c r="GC9" s="19">
        <v>952633</v>
      </c>
      <c r="GD9" s="19" t="s">
        <v>96</v>
      </c>
      <c r="GE9" s="19"/>
      <c r="GF9" s="19">
        <v>695698</v>
      </c>
      <c r="GG9" s="19"/>
      <c r="GH9" s="19">
        <v>4838080</v>
      </c>
      <c r="GI9" s="19"/>
      <c r="GJ9" s="19"/>
      <c r="GK9" s="19">
        <v>3647089</v>
      </c>
      <c r="GL9" s="19"/>
      <c r="GM9" s="19">
        <v>580</v>
      </c>
      <c r="GN9" s="19">
        <v>11146276</v>
      </c>
      <c r="GO9" s="19">
        <v>70816085</v>
      </c>
      <c r="GP9" s="19">
        <v>14569207</v>
      </c>
      <c r="GQ9" s="19">
        <v>330000</v>
      </c>
      <c r="GR9" s="19">
        <v>21997495</v>
      </c>
      <c r="GS9" s="19"/>
      <c r="GT9" s="19">
        <v>3935278</v>
      </c>
      <c r="GU9" s="19">
        <v>1730000</v>
      </c>
      <c r="GV9" s="19"/>
      <c r="GW9" s="19">
        <v>12870072</v>
      </c>
      <c r="GX9" s="19"/>
      <c r="GY9" s="19">
        <v>79510619</v>
      </c>
      <c r="GZ9" s="19"/>
      <c r="HA9" s="19">
        <v>41051458</v>
      </c>
      <c r="HB9" s="37"/>
      <c r="HC9" s="19">
        <v>33314960</v>
      </c>
      <c r="HD9" s="19">
        <v>9016998</v>
      </c>
      <c r="HE9" s="19">
        <v>3342007</v>
      </c>
      <c r="HF9" s="19"/>
      <c r="HG9" s="19"/>
      <c r="HH9" s="19">
        <v>647190</v>
      </c>
      <c r="HI9" s="19">
        <v>2068920</v>
      </c>
      <c r="HJ9" s="19"/>
      <c r="HK9" s="19">
        <v>261090</v>
      </c>
      <c r="HL9" s="19">
        <v>534649</v>
      </c>
      <c r="HM9" s="19">
        <v>50000000</v>
      </c>
      <c r="HN9" s="19"/>
      <c r="HO9" s="19"/>
      <c r="HP9" s="19">
        <v>1725070</v>
      </c>
      <c r="HQ9" s="41">
        <v>8711120</v>
      </c>
      <c r="HR9" s="41">
        <v>4717090</v>
      </c>
      <c r="HS9" s="41">
        <v>170548</v>
      </c>
      <c r="HT9" s="41"/>
      <c r="HU9" s="41">
        <v>21518857</v>
      </c>
      <c r="HV9" s="41"/>
      <c r="HW9" s="41">
        <v>38122915</v>
      </c>
      <c r="HX9" s="41">
        <v>61405729</v>
      </c>
      <c r="HY9" s="41" t="s">
        <v>114</v>
      </c>
      <c r="HZ9" s="41">
        <v>500000</v>
      </c>
      <c r="IA9" s="41">
        <v>513010</v>
      </c>
      <c r="IB9" s="41">
        <v>626895</v>
      </c>
      <c r="IC9" s="41">
        <v>33390957</v>
      </c>
      <c r="ID9" s="41"/>
      <c r="IE9" s="41" t="s">
        <v>4</v>
      </c>
      <c r="IF9" s="41">
        <v>1439411</v>
      </c>
      <c r="IG9" s="41"/>
      <c r="IH9" s="41">
        <v>453129</v>
      </c>
      <c r="II9" s="41"/>
      <c r="IJ9" s="41">
        <v>499570</v>
      </c>
      <c r="IK9" s="41">
        <v>1025273</v>
      </c>
      <c r="IL9" s="41"/>
      <c r="IM9" s="41">
        <v>1398119</v>
      </c>
      <c r="IN9" s="41">
        <v>13450729</v>
      </c>
      <c r="IO9" s="41">
        <v>3314480</v>
      </c>
      <c r="IP9" s="41">
        <v>154835748</v>
      </c>
      <c r="IQ9" s="41">
        <v>215570</v>
      </c>
      <c r="IR9" s="41">
        <v>22592230</v>
      </c>
      <c r="IS9" s="41"/>
      <c r="IT9" s="41"/>
      <c r="IU9" s="41">
        <v>543000</v>
      </c>
      <c r="IV9" s="41"/>
      <c r="IW9" s="41"/>
      <c r="IX9" s="41" t="s">
        <v>114</v>
      </c>
      <c r="IY9" s="41"/>
      <c r="IZ9" s="41">
        <v>201710</v>
      </c>
      <c r="JA9" s="41"/>
      <c r="JB9" s="41"/>
      <c r="JC9" s="41">
        <v>68940056</v>
      </c>
      <c r="JD9" s="41">
        <v>4438227</v>
      </c>
      <c r="JE9" s="41" t="s">
        <v>114</v>
      </c>
      <c r="JF9" s="41"/>
      <c r="JG9" s="41"/>
      <c r="JH9" s="41"/>
      <c r="JI9" s="41"/>
      <c r="JJ9" s="41">
        <v>9186694</v>
      </c>
      <c r="JK9" s="41">
        <v>1000771</v>
      </c>
      <c r="JL9" s="41">
        <v>3256750</v>
      </c>
      <c r="JM9" s="41">
        <v>1133580</v>
      </c>
      <c r="JN9" s="41"/>
      <c r="JO9" s="41">
        <v>3549027</v>
      </c>
      <c r="JP9" s="41" t="s">
        <v>4</v>
      </c>
      <c r="JQ9" s="41"/>
      <c r="JR9" s="41">
        <v>1042453</v>
      </c>
      <c r="JS9" s="41">
        <v>4524070</v>
      </c>
      <c r="JT9" s="41"/>
      <c r="JU9" s="41">
        <v>4231152</v>
      </c>
      <c r="JV9" s="41">
        <v>977000</v>
      </c>
      <c r="JW9" s="41"/>
      <c r="JX9" s="41">
        <v>121050</v>
      </c>
      <c r="JY9" s="41">
        <v>7109535</v>
      </c>
      <c r="JZ9" s="41">
        <v>248964</v>
      </c>
      <c r="KA9" s="41"/>
      <c r="KB9" s="41">
        <v>11972200</v>
      </c>
      <c r="KC9" s="41">
        <v>22520</v>
      </c>
      <c r="KD9" s="41">
        <v>57830466</v>
      </c>
    </row>
    <row r="10" spans="1:290">
      <c r="A10" s="7" t="s">
        <v>120</v>
      </c>
      <c r="B10" s="13" t="s">
        <v>135</v>
      </c>
      <c r="C10" s="19">
        <v>540000</v>
      </c>
      <c r="D10" s="19">
        <v>2558051</v>
      </c>
      <c r="E10" s="19">
        <v>2650120</v>
      </c>
      <c r="F10" s="19">
        <v>3798730</v>
      </c>
      <c r="G10" s="19">
        <v>6884200</v>
      </c>
      <c r="H10" s="19">
        <v>640810</v>
      </c>
      <c r="I10" s="19">
        <v>3404822</v>
      </c>
      <c r="J10" s="19" t="s">
        <v>4</v>
      </c>
      <c r="K10" s="19">
        <v>3548537</v>
      </c>
      <c r="L10" s="19" t="s">
        <v>130</v>
      </c>
      <c r="M10" s="19" t="s">
        <v>96</v>
      </c>
      <c r="N10" s="19">
        <v>13367547</v>
      </c>
      <c r="O10" s="19">
        <v>7521286</v>
      </c>
      <c r="P10" s="19">
        <v>966533</v>
      </c>
      <c r="Q10" s="19">
        <v>5285000</v>
      </c>
      <c r="R10" s="19">
        <v>77950</v>
      </c>
      <c r="S10" s="19">
        <v>250875435</v>
      </c>
      <c r="T10" s="19" t="s">
        <v>96</v>
      </c>
      <c r="U10" s="19">
        <v>22177954</v>
      </c>
      <c r="V10" s="19" t="s">
        <v>128</v>
      </c>
      <c r="W10" s="19">
        <v>3981964</v>
      </c>
      <c r="X10" s="19">
        <v>511478723</v>
      </c>
      <c r="Y10" s="19">
        <v>74891</v>
      </c>
      <c r="Z10" s="19">
        <v>86708379</v>
      </c>
      <c r="AA10" s="19">
        <v>24734290</v>
      </c>
      <c r="AB10" s="19">
        <v>1353030</v>
      </c>
      <c r="AC10" s="19">
        <v>16934099</v>
      </c>
      <c r="AD10" s="19">
        <v>4494763</v>
      </c>
      <c r="AE10" s="19">
        <v>220000000</v>
      </c>
      <c r="AF10" s="19">
        <v>6118640</v>
      </c>
      <c r="AG10" s="19">
        <v>33893699</v>
      </c>
      <c r="AH10" s="19">
        <v>7177375</v>
      </c>
      <c r="AI10" s="19">
        <v>41106541</v>
      </c>
      <c r="AJ10" s="19">
        <v>1018168</v>
      </c>
      <c r="AK10" s="19" t="s">
        <v>89</v>
      </c>
      <c r="AL10" s="19">
        <v>12873621</v>
      </c>
      <c r="AM10" s="19" t="s">
        <v>4</v>
      </c>
      <c r="AN10" s="19">
        <v>52317483</v>
      </c>
      <c r="AO10" s="19">
        <v>15358693</v>
      </c>
      <c r="AP10" s="19">
        <v>2445000</v>
      </c>
      <c r="AQ10" s="19" t="s">
        <v>96</v>
      </c>
      <c r="AR10" s="19">
        <v>73372409</v>
      </c>
      <c r="AS10" s="19">
        <v>641051365</v>
      </c>
      <c r="AT10" s="19">
        <v>23131217</v>
      </c>
      <c r="AU10" s="19">
        <v>303818220</v>
      </c>
      <c r="AV10" s="19"/>
      <c r="AW10" s="19">
        <v>4064363</v>
      </c>
      <c r="AX10" s="19" t="s">
        <v>4</v>
      </c>
      <c r="AY10" s="19">
        <v>1918024</v>
      </c>
      <c r="AZ10" s="19">
        <v>170884073</v>
      </c>
      <c r="BA10" s="19">
        <v>136910077</v>
      </c>
      <c r="BB10" s="19"/>
      <c r="BC10" s="19" t="s">
        <v>4</v>
      </c>
      <c r="BD10" s="19" t="s">
        <v>128</v>
      </c>
      <c r="BE10" s="19">
        <v>179227</v>
      </c>
      <c r="BF10" s="19">
        <v>58563322</v>
      </c>
      <c r="BG10" s="19">
        <v>6645273</v>
      </c>
      <c r="BH10" s="19">
        <v>282942</v>
      </c>
      <c r="BI10" s="19">
        <v>11483062</v>
      </c>
      <c r="BJ10" s="19">
        <v>194457138</v>
      </c>
      <c r="BK10" s="19">
        <v>77371477</v>
      </c>
      <c r="BL10" s="19">
        <v>4327930</v>
      </c>
      <c r="BM10" s="19">
        <v>34126242</v>
      </c>
      <c r="BN10" s="19">
        <v>7882375</v>
      </c>
      <c r="BO10" s="19"/>
      <c r="BP10" s="19" t="s">
        <v>96</v>
      </c>
      <c r="BQ10" s="19" t="s">
        <v>4</v>
      </c>
      <c r="BR10" s="19">
        <v>1537817</v>
      </c>
      <c r="BS10" s="19">
        <v>1102600</v>
      </c>
      <c r="BT10" s="19"/>
      <c r="BU10" s="19">
        <v>62847250</v>
      </c>
      <c r="BV10" s="19">
        <v>198368007</v>
      </c>
      <c r="BW10" s="19">
        <v>607269</v>
      </c>
      <c r="BX10" s="19">
        <v>212770</v>
      </c>
      <c r="BY10" s="19">
        <v>57340</v>
      </c>
      <c r="BZ10" s="19">
        <v>2027000</v>
      </c>
      <c r="CA10" s="19">
        <v>6736143</v>
      </c>
      <c r="CB10" s="19">
        <v>3577624</v>
      </c>
      <c r="CC10" s="19">
        <v>864800</v>
      </c>
      <c r="CD10" s="19">
        <v>1200000</v>
      </c>
      <c r="CE10" s="19"/>
      <c r="CF10" s="19">
        <v>203776858</v>
      </c>
      <c r="CG10" s="19">
        <v>164400</v>
      </c>
      <c r="CH10" s="19">
        <v>18152720</v>
      </c>
      <c r="CI10" s="19" t="s">
        <v>128</v>
      </c>
      <c r="CJ10" s="19" t="s">
        <v>89</v>
      </c>
      <c r="CK10" s="19">
        <v>4309444</v>
      </c>
      <c r="CL10" s="19">
        <v>2710</v>
      </c>
      <c r="CM10" s="19">
        <v>34280280</v>
      </c>
      <c r="CN10" s="19">
        <v>18955540</v>
      </c>
      <c r="CO10" s="19">
        <v>7176010</v>
      </c>
      <c r="CP10" s="19">
        <v>50957568</v>
      </c>
      <c r="CQ10" s="19" t="s">
        <v>96</v>
      </c>
      <c r="CR10" s="19">
        <v>36183706</v>
      </c>
      <c r="CS10" s="19">
        <v>68401691</v>
      </c>
      <c r="CT10" s="19">
        <v>63467021</v>
      </c>
      <c r="CU10" s="19"/>
      <c r="CV10" s="19">
        <v>1303649</v>
      </c>
      <c r="CW10" s="19">
        <v>68993461</v>
      </c>
      <c r="CX10" s="19">
        <v>33893699</v>
      </c>
      <c r="CY10" s="19">
        <v>620415</v>
      </c>
      <c r="CZ10" s="19">
        <v>44444097</v>
      </c>
      <c r="DA10" s="19"/>
      <c r="DB10" s="19">
        <v>9588437</v>
      </c>
      <c r="DC10" s="19">
        <v>2936392</v>
      </c>
      <c r="DD10" s="19">
        <v>7177848</v>
      </c>
      <c r="DE10" s="19" t="s">
        <v>89</v>
      </c>
      <c r="DF10" s="19">
        <v>15792950</v>
      </c>
      <c r="DG10" s="19">
        <v>235437306</v>
      </c>
      <c r="DH10" s="19">
        <v>4960462</v>
      </c>
      <c r="DI10" s="19" t="s">
        <v>128</v>
      </c>
      <c r="DJ10" s="19"/>
      <c r="DK10" s="19">
        <v>45900629</v>
      </c>
      <c r="DL10" s="19">
        <v>50018549</v>
      </c>
      <c r="DM10" s="19">
        <v>9750792</v>
      </c>
      <c r="DN10" s="19">
        <v>13543464</v>
      </c>
      <c r="DO10" s="19">
        <v>1481703</v>
      </c>
      <c r="DP10" s="19">
        <v>61898429</v>
      </c>
      <c r="DQ10" s="19">
        <v>98359576</v>
      </c>
      <c r="DR10" s="19">
        <v>93733353</v>
      </c>
      <c r="DS10" s="19">
        <v>5020310</v>
      </c>
      <c r="DT10" s="19">
        <v>6518120</v>
      </c>
      <c r="DU10" s="19"/>
      <c r="DV10" s="19">
        <f>518085+141080</f>
        <v>659165</v>
      </c>
      <c r="DW10" s="19">
        <v>4039907</v>
      </c>
      <c r="DX10" s="19">
        <v>1182190</v>
      </c>
      <c r="DY10" s="19">
        <v>6888691</v>
      </c>
      <c r="DZ10" s="19"/>
      <c r="EA10" s="19"/>
      <c r="EB10" s="19">
        <v>39962100</v>
      </c>
      <c r="EC10" s="19">
        <v>12993926</v>
      </c>
      <c r="ED10" s="19">
        <v>238415</v>
      </c>
      <c r="EE10" s="19">
        <v>2160712</v>
      </c>
      <c r="EF10" s="19">
        <v>152528418</v>
      </c>
      <c r="EG10" s="19">
        <v>30285703</v>
      </c>
      <c r="EH10" s="19">
        <v>1867923</v>
      </c>
      <c r="EI10" s="19">
        <v>6736665</v>
      </c>
      <c r="EJ10" s="19">
        <v>17320</v>
      </c>
      <c r="EK10" s="19">
        <v>517838</v>
      </c>
      <c r="EL10" s="19"/>
      <c r="EM10" s="19">
        <v>511705</v>
      </c>
      <c r="EN10" s="19">
        <v>3433103</v>
      </c>
      <c r="EO10" s="19">
        <v>7094590</v>
      </c>
      <c r="EP10" s="19"/>
      <c r="EQ10" s="19"/>
      <c r="ER10" s="19">
        <v>108668621</v>
      </c>
      <c r="ES10" s="19">
        <v>40680197</v>
      </c>
      <c r="ET10" s="19">
        <v>31732396</v>
      </c>
      <c r="EU10" s="19"/>
      <c r="EV10" s="19">
        <v>3034252</v>
      </c>
      <c r="EW10" s="19">
        <v>7763669</v>
      </c>
      <c r="EX10" s="19">
        <v>7325327</v>
      </c>
      <c r="EY10" s="19">
        <v>16114050</v>
      </c>
      <c r="EZ10" s="19">
        <v>5050000</v>
      </c>
      <c r="FA10" s="19">
        <v>2247658</v>
      </c>
      <c r="FB10" s="19">
        <v>829308</v>
      </c>
      <c r="FC10" s="19">
        <v>63827973</v>
      </c>
      <c r="FD10" s="19">
        <v>81449099</v>
      </c>
      <c r="FE10" s="19">
        <v>348670</v>
      </c>
      <c r="FF10" s="19"/>
      <c r="FG10" s="19">
        <f>3315162+4361323</f>
        <v>7676485</v>
      </c>
      <c r="FH10" s="19">
        <v>9565000</v>
      </c>
      <c r="FI10" s="19">
        <v>3067981</v>
      </c>
      <c r="FJ10" s="19"/>
      <c r="FK10" s="19">
        <v>11215879</v>
      </c>
      <c r="FL10" s="19">
        <v>1609622</v>
      </c>
      <c r="FM10" s="19">
        <v>1898237</v>
      </c>
      <c r="FN10" s="19">
        <v>105461095</v>
      </c>
      <c r="FO10" s="19"/>
      <c r="FP10" s="19">
        <v>336495</v>
      </c>
      <c r="FQ10" s="19">
        <v>13680</v>
      </c>
      <c r="FR10" s="19">
        <v>9243743</v>
      </c>
      <c r="FS10" s="19">
        <v>3000000</v>
      </c>
      <c r="FT10" s="19">
        <v>133836417</v>
      </c>
      <c r="FU10" s="19"/>
      <c r="FV10" s="19">
        <v>478130264</v>
      </c>
      <c r="FW10" s="19">
        <v>678225</v>
      </c>
      <c r="FX10" s="19">
        <v>698590</v>
      </c>
      <c r="FY10" s="19">
        <v>109987765</v>
      </c>
      <c r="FZ10" s="19">
        <v>11229572</v>
      </c>
      <c r="GA10" s="19">
        <v>8764452</v>
      </c>
      <c r="GB10" s="19">
        <v>4275530</v>
      </c>
      <c r="GC10" s="19">
        <v>2174200</v>
      </c>
      <c r="GD10" s="19" t="s">
        <v>96</v>
      </c>
      <c r="GE10" s="19">
        <v>9325630</v>
      </c>
      <c r="GF10" s="19">
        <v>15031096</v>
      </c>
      <c r="GG10" s="19">
        <v>16382264</v>
      </c>
      <c r="GH10" s="19">
        <v>41312560</v>
      </c>
      <c r="GI10" s="19">
        <v>6084736</v>
      </c>
      <c r="GJ10" s="19"/>
      <c r="GK10" s="19">
        <v>4603355</v>
      </c>
      <c r="GL10" s="19">
        <v>24508950</v>
      </c>
      <c r="GM10" s="19">
        <v>737503</v>
      </c>
      <c r="GN10" s="19">
        <v>56960598</v>
      </c>
      <c r="GO10" s="19">
        <v>34559863</v>
      </c>
      <c r="GP10" s="19">
        <v>91872560</v>
      </c>
      <c r="GQ10" s="19"/>
      <c r="GR10" s="19">
        <v>45609354</v>
      </c>
      <c r="GS10" s="19"/>
      <c r="GT10" s="19">
        <v>2949822</v>
      </c>
      <c r="GU10" s="19">
        <v>2860</v>
      </c>
      <c r="GV10" s="19">
        <v>6934590</v>
      </c>
      <c r="GW10" s="19">
        <v>99907530</v>
      </c>
      <c r="GX10" s="19">
        <v>3117911</v>
      </c>
      <c r="GY10" s="19">
        <v>91226502</v>
      </c>
      <c r="GZ10" s="19">
        <v>71982801</v>
      </c>
      <c r="HA10" s="19">
        <v>5235944</v>
      </c>
      <c r="HB10" s="37"/>
      <c r="HC10" s="19">
        <v>18420</v>
      </c>
      <c r="HD10" s="19">
        <v>9255800</v>
      </c>
      <c r="HE10" s="19">
        <v>56540612</v>
      </c>
      <c r="HF10" s="19"/>
      <c r="HG10" s="19">
        <v>2083381</v>
      </c>
      <c r="HH10" s="19">
        <v>17</v>
      </c>
      <c r="HI10" s="19">
        <v>5343182</v>
      </c>
      <c r="HJ10" s="19">
        <v>2283000</v>
      </c>
      <c r="HK10" s="19">
        <v>15111766</v>
      </c>
      <c r="HL10" s="19">
        <v>7680</v>
      </c>
      <c r="HM10" s="19"/>
      <c r="HN10" s="19">
        <v>12104</v>
      </c>
      <c r="HO10" s="19">
        <v>6881763</v>
      </c>
      <c r="HP10" s="19"/>
      <c r="HQ10" s="41">
        <v>255600</v>
      </c>
      <c r="HR10" s="41">
        <v>14791410</v>
      </c>
      <c r="HS10" s="41">
        <v>19742471</v>
      </c>
      <c r="HT10" s="41">
        <v>6067000</v>
      </c>
      <c r="HU10" s="41">
        <v>26160739</v>
      </c>
      <c r="HV10" s="41"/>
      <c r="HW10" s="41">
        <v>1327928301</v>
      </c>
      <c r="HX10" s="41">
        <v>69803660</v>
      </c>
      <c r="HY10" s="41" t="s">
        <v>114</v>
      </c>
      <c r="HZ10" s="41">
        <v>5067500</v>
      </c>
      <c r="IA10" s="41">
        <v>9408900</v>
      </c>
      <c r="IB10" s="41">
        <v>10708194</v>
      </c>
      <c r="IC10" s="41">
        <v>434302</v>
      </c>
      <c r="ID10" s="41">
        <v>2071600</v>
      </c>
      <c r="IE10" s="41" t="s">
        <v>4</v>
      </c>
      <c r="IF10" s="41">
        <v>57137</v>
      </c>
      <c r="IG10" s="41"/>
      <c r="IH10" s="41">
        <v>6860722</v>
      </c>
      <c r="II10" s="41">
        <v>163945</v>
      </c>
      <c r="IJ10" s="41"/>
      <c r="IK10" s="41">
        <v>17927500</v>
      </c>
      <c r="IL10" s="41">
        <v>878750</v>
      </c>
      <c r="IM10" s="41"/>
      <c r="IN10" s="41">
        <v>693000</v>
      </c>
      <c r="IO10" s="41">
        <v>1416212</v>
      </c>
      <c r="IP10" s="41"/>
      <c r="IQ10" s="41">
        <v>22055820</v>
      </c>
      <c r="IR10" s="41">
        <v>16032602</v>
      </c>
      <c r="IS10" s="41">
        <v>24123280</v>
      </c>
      <c r="IT10" s="41">
        <v>3001777</v>
      </c>
      <c r="IU10" s="41">
        <v>406550</v>
      </c>
      <c r="IV10" s="41">
        <v>4537000</v>
      </c>
      <c r="IW10" s="41">
        <v>16789295</v>
      </c>
      <c r="IX10" s="41" t="s">
        <v>114</v>
      </c>
      <c r="IY10" s="41"/>
      <c r="IZ10" s="41">
        <v>125384618</v>
      </c>
      <c r="JA10" s="41"/>
      <c r="JB10" s="41"/>
      <c r="JC10" s="41">
        <v>1567187</v>
      </c>
      <c r="JD10" s="41"/>
      <c r="JE10" s="41" t="s">
        <v>114</v>
      </c>
      <c r="JF10" s="41">
        <v>93459</v>
      </c>
      <c r="JG10" s="41">
        <v>29505832</v>
      </c>
      <c r="JH10" s="41"/>
      <c r="JI10" s="41"/>
      <c r="JJ10" s="41">
        <v>10005248</v>
      </c>
      <c r="JK10" s="41">
        <v>14000000</v>
      </c>
      <c r="JL10" s="41">
        <v>1198819</v>
      </c>
      <c r="JM10" s="41">
        <v>2029000</v>
      </c>
      <c r="JN10" s="41"/>
      <c r="JO10" s="41">
        <v>39893790</v>
      </c>
      <c r="JP10" s="41" t="s">
        <v>4</v>
      </c>
      <c r="JQ10" s="41">
        <v>72130846</v>
      </c>
      <c r="JR10" s="41">
        <v>3427007</v>
      </c>
      <c r="JS10" s="41">
        <v>11860</v>
      </c>
      <c r="JT10" s="41"/>
      <c r="JU10" s="41">
        <v>5210832</v>
      </c>
      <c r="JV10" s="41">
        <v>20309890</v>
      </c>
      <c r="JW10" s="41"/>
      <c r="JX10" s="41">
        <v>3892240</v>
      </c>
      <c r="JY10" s="41">
        <v>10455424</v>
      </c>
      <c r="JZ10" s="41">
        <v>29000000</v>
      </c>
      <c r="KA10" s="41">
        <v>237811303</v>
      </c>
      <c r="KB10" s="41"/>
      <c r="KC10" s="41">
        <v>3407293</v>
      </c>
      <c r="KD10" s="41">
        <v>26530</v>
      </c>
    </row>
    <row r="11" spans="1:290">
      <c r="A11" s="7" t="s">
        <v>120</v>
      </c>
      <c r="B11" s="13" t="s">
        <v>40</v>
      </c>
      <c r="C11" s="19">
        <v>31348004</v>
      </c>
      <c r="D11" s="19">
        <v>336386093</v>
      </c>
      <c r="E11" s="19">
        <v>14081800</v>
      </c>
      <c r="F11" s="19">
        <v>0</v>
      </c>
      <c r="G11" s="19">
        <v>0</v>
      </c>
      <c r="H11" s="19">
        <v>260329887</v>
      </c>
      <c r="I11" s="19">
        <v>0</v>
      </c>
      <c r="J11" s="19" t="s">
        <v>4</v>
      </c>
      <c r="K11" s="19">
        <v>-4963294</v>
      </c>
      <c r="L11" s="19" t="s">
        <v>130</v>
      </c>
      <c r="M11" s="19" t="s">
        <v>96</v>
      </c>
      <c r="N11" s="19"/>
      <c r="O11" s="19">
        <v>59598060</v>
      </c>
      <c r="P11" s="19">
        <v>35059551</v>
      </c>
      <c r="Q11" s="19"/>
      <c r="R11" s="19"/>
      <c r="S11" s="19">
        <v>-17743007</v>
      </c>
      <c r="T11" s="19" t="s">
        <v>96</v>
      </c>
      <c r="U11" s="19">
        <v>30125000</v>
      </c>
      <c r="V11" s="19" t="s">
        <v>128</v>
      </c>
      <c r="W11" s="19"/>
      <c r="X11" s="19"/>
      <c r="Y11" s="19"/>
      <c r="Z11" s="19"/>
      <c r="AA11" s="19">
        <v>7937870</v>
      </c>
      <c r="AB11" s="19">
        <v>200900</v>
      </c>
      <c r="AC11" s="19"/>
      <c r="AD11" s="19">
        <v>79692269</v>
      </c>
      <c r="AE11" s="19">
        <v>8350000</v>
      </c>
      <c r="AF11" s="19">
        <v>19804834</v>
      </c>
      <c r="AG11" s="19">
        <v>-6300000</v>
      </c>
      <c r="AH11" s="19">
        <v>339534691</v>
      </c>
      <c r="AI11" s="19"/>
      <c r="AJ11" s="19">
        <v>344428</v>
      </c>
      <c r="AK11" s="19" t="s">
        <v>89</v>
      </c>
      <c r="AL11" s="19"/>
      <c r="AM11" s="19" t="s">
        <v>4</v>
      </c>
      <c r="AN11" s="19">
        <v>4000000</v>
      </c>
      <c r="AO11" s="19">
        <v>158573337</v>
      </c>
      <c r="AP11" s="19">
        <v>-13612434</v>
      </c>
      <c r="AQ11" s="19" t="s">
        <v>96</v>
      </c>
      <c r="AR11" s="19"/>
      <c r="AS11" s="19"/>
      <c r="AT11" s="19">
        <v>114787</v>
      </c>
      <c r="AU11" s="19"/>
      <c r="AV11" s="19">
        <v>-350000</v>
      </c>
      <c r="AW11" s="19"/>
      <c r="AX11" s="19" t="s">
        <v>4</v>
      </c>
      <c r="AY11" s="19"/>
      <c r="AZ11" s="19"/>
      <c r="BA11" s="19"/>
      <c r="BB11" s="19">
        <v>901351</v>
      </c>
      <c r="BC11" s="19" t="s">
        <v>4</v>
      </c>
      <c r="BD11" s="19" t="s">
        <v>128</v>
      </c>
      <c r="BE11" s="19"/>
      <c r="BF11" s="19"/>
      <c r="BG11" s="19">
        <v>-43510612</v>
      </c>
      <c r="BH11" s="19"/>
      <c r="BI11" s="19"/>
      <c r="BJ11" s="19">
        <v>70000</v>
      </c>
      <c r="BK11" s="19">
        <v>-4495989</v>
      </c>
      <c r="BL11" s="19"/>
      <c r="BM11" s="19">
        <v>83392300</v>
      </c>
      <c r="BN11" s="19"/>
      <c r="BO11" s="19"/>
      <c r="BP11" s="19" t="s">
        <v>96</v>
      </c>
      <c r="BQ11" s="19" t="s">
        <v>4</v>
      </c>
      <c r="BR11" s="19"/>
      <c r="BS11" s="19"/>
      <c r="BT11" s="19"/>
      <c r="BU11" s="19"/>
      <c r="BV11" s="19"/>
      <c r="BW11" s="19"/>
      <c r="BX11" s="19"/>
      <c r="BY11" s="19"/>
      <c r="BZ11" s="19"/>
      <c r="CA11" s="19">
        <v>170131005</v>
      </c>
      <c r="CB11" s="19"/>
      <c r="CC11" s="19">
        <v>42120</v>
      </c>
      <c r="CD11" s="19">
        <v>10017846</v>
      </c>
      <c r="CE11" s="19"/>
      <c r="CF11" s="19">
        <v>957273</v>
      </c>
      <c r="CG11" s="19"/>
      <c r="CH11" s="19"/>
      <c r="CI11" s="19" t="s">
        <v>128</v>
      </c>
      <c r="CJ11" s="19" t="s">
        <v>89</v>
      </c>
      <c r="CK11" s="19">
        <v>25964911</v>
      </c>
      <c r="CL11" s="19"/>
      <c r="CM11" s="19">
        <v>60000000</v>
      </c>
      <c r="CN11" s="19"/>
      <c r="CO11" s="19"/>
      <c r="CP11" s="19">
        <v>92657684</v>
      </c>
      <c r="CQ11" s="19" t="s">
        <v>96</v>
      </c>
      <c r="CR11" s="19">
        <v>330380</v>
      </c>
      <c r="CS11" s="19">
        <v>131111299</v>
      </c>
      <c r="CT11" s="19"/>
      <c r="CU11" s="19"/>
      <c r="CV11" s="19"/>
      <c r="CW11" s="19"/>
      <c r="CX11" s="19"/>
      <c r="CY11" s="19"/>
      <c r="CZ11" s="19"/>
      <c r="DA11" s="19"/>
      <c r="DB11" s="19"/>
      <c r="DC11" s="19"/>
      <c r="DD11" s="19">
        <v>83000</v>
      </c>
      <c r="DE11" s="19" t="s">
        <v>89</v>
      </c>
      <c r="DF11" s="19">
        <v>1180283</v>
      </c>
      <c r="DG11" s="19"/>
      <c r="DH11" s="19"/>
      <c r="DI11" s="19" t="s">
        <v>128</v>
      </c>
      <c r="DJ11" s="19"/>
      <c r="DK11" s="19"/>
      <c r="DL11" s="19"/>
      <c r="DM11" s="19"/>
      <c r="DN11" s="19">
        <v>21000000</v>
      </c>
      <c r="DO11" s="19"/>
      <c r="DP11" s="19"/>
      <c r="DQ11" s="19"/>
      <c r="DR11" s="19"/>
      <c r="DS11" s="19"/>
      <c r="DT11" s="19"/>
      <c r="DU11" s="19"/>
      <c r="DV11" s="19"/>
      <c r="DW11" s="19"/>
      <c r="DX11" s="19"/>
      <c r="DY11" s="19"/>
      <c r="DZ11" s="19"/>
      <c r="EA11" s="19">
        <v>97000000</v>
      </c>
      <c r="EB11" s="19"/>
      <c r="EC11" s="19">
        <v>366690</v>
      </c>
      <c r="ED11" s="19"/>
      <c r="EE11" s="19"/>
      <c r="EF11" s="19"/>
      <c r="EG11" s="19">
        <v>53642748</v>
      </c>
      <c r="EH11" s="19"/>
      <c r="EI11" s="19"/>
      <c r="EJ11" s="19"/>
      <c r="EK11" s="19"/>
      <c r="EL11" s="19"/>
      <c r="EM11" s="19"/>
      <c r="EN11" s="19"/>
      <c r="EO11" s="19"/>
      <c r="EP11" s="19">
        <v>5241788</v>
      </c>
      <c r="EQ11" s="19"/>
      <c r="ER11" s="19">
        <v>213078199</v>
      </c>
      <c r="ES11" s="19">
        <v>7488375</v>
      </c>
      <c r="ET11" s="19"/>
      <c r="EU11" s="19">
        <v>24124063</v>
      </c>
      <c r="EV11" s="19"/>
      <c r="EW11" s="19"/>
      <c r="EX11" s="19">
        <v>150081654</v>
      </c>
      <c r="EY11" s="19"/>
      <c r="EZ11" s="19"/>
      <c r="FA11" s="19">
        <v>48342928</v>
      </c>
      <c r="FB11" s="19"/>
      <c r="FC11" s="19"/>
      <c r="FD11" s="19"/>
      <c r="FE11" s="19">
        <v>360263466</v>
      </c>
      <c r="FF11" s="19"/>
      <c r="FG11" s="19"/>
      <c r="FH11" s="19"/>
      <c r="FI11" s="19">
        <v>705510</v>
      </c>
      <c r="FJ11" s="19"/>
      <c r="FK11" s="19"/>
      <c r="FL11" s="19"/>
      <c r="FM11" s="19"/>
      <c r="FN11" s="19">
        <v>10657753</v>
      </c>
      <c r="FO11" s="19">
        <v>4000000</v>
      </c>
      <c r="FP11" s="19">
        <v>1564050</v>
      </c>
      <c r="FQ11" s="19">
        <v>4265935</v>
      </c>
      <c r="FR11" s="19">
        <v>7070253</v>
      </c>
      <c r="FS11" s="19"/>
      <c r="FT11" s="19"/>
      <c r="FU11" s="19"/>
      <c r="FV11" s="19"/>
      <c r="FW11" s="19"/>
      <c r="FX11" s="19">
        <v>2165006</v>
      </c>
      <c r="FY11" s="19">
        <v>18720480</v>
      </c>
      <c r="FZ11" s="19"/>
      <c r="GA11" s="19">
        <v>14890000</v>
      </c>
      <c r="GB11" s="19"/>
      <c r="GC11" s="19"/>
      <c r="GD11" s="19" t="s">
        <v>96</v>
      </c>
      <c r="GE11" s="19"/>
      <c r="GF11" s="19"/>
      <c r="GG11" s="19">
        <v>13728562</v>
      </c>
      <c r="GH11" s="19"/>
      <c r="GI11" s="19"/>
      <c r="GJ11" s="19"/>
      <c r="GK11" s="19"/>
      <c r="GL11" s="19"/>
      <c r="GM11" s="19"/>
      <c r="GN11" s="19"/>
      <c r="GO11" s="19"/>
      <c r="GP11" s="19"/>
      <c r="GQ11" s="19"/>
      <c r="GR11" s="19"/>
      <c r="GS11" s="19">
        <v>219639888</v>
      </c>
      <c r="GT11" s="19"/>
      <c r="GU11" s="19"/>
      <c r="GV11" s="19">
        <v>11911440</v>
      </c>
      <c r="GW11" s="19">
        <v>2278700</v>
      </c>
      <c r="GX11" s="19"/>
      <c r="GY11" s="19"/>
      <c r="GZ11" s="19"/>
      <c r="HA11" s="19"/>
      <c r="HB11" s="37"/>
      <c r="HC11" s="19">
        <v>162600669</v>
      </c>
      <c r="HD11" s="19">
        <v>32706028</v>
      </c>
      <c r="HE11" s="19"/>
      <c r="HF11" s="19"/>
      <c r="HG11" s="19"/>
      <c r="HH11" s="19">
        <v>63382770</v>
      </c>
      <c r="HI11" s="19">
        <v>229830060</v>
      </c>
      <c r="HJ11" s="19">
        <v>1500</v>
      </c>
      <c r="HK11" s="19"/>
      <c r="HL11" s="19"/>
      <c r="HM11" s="19"/>
      <c r="HN11" s="19"/>
      <c r="HO11" s="19"/>
      <c r="HP11" s="19"/>
      <c r="HQ11" s="41"/>
      <c r="HR11" s="41"/>
      <c r="HS11" s="41">
        <v>5000000</v>
      </c>
      <c r="HT11" s="41"/>
      <c r="HU11" s="41"/>
      <c r="HV11" s="41"/>
      <c r="HW11" s="41">
        <v>632806858</v>
      </c>
      <c r="HX11" s="41"/>
      <c r="HY11" s="41" t="s">
        <v>114</v>
      </c>
      <c r="HZ11" s="41"/>
      <c r="IA11" s="41">
        <v>91604940</v>
      </c>
      <c r="IB11" s="41"/>
      <c r="IC11" s="41">
        <v>99000</v>
      </c>
      <c r="ID11" s="41"/>
      <c r="IE11" s="41" t="s">
        <v>4</v>
      </c>
      <c r="IF11" s="41"/>
      <c r="IG11" s="41"/>
      <c r="IH11" s="41"/>
      <c r="II11" s="41"/>
      <c r="IJ11" s="41">
        <v>2800000</v>
      </c>
      <c r="IK11" s="41"/>
      <c r="IL11" s="41">
        <v>14738106</v>
      </c>
      <c r="IM11" s="41"/>
      <c r="IN11" s="41"/>
      <c r="IO11" s="41">
        <v>-10000000</v>
      </c>
      <c r="IP11" s="41"/>
      <c r="IQ11" s="41"/>
      <c r="IR11" s="41">
        <v>5417000</v>
      </c>
      <c r="IS11" s="41"/>
      <c r="IT11" s="41"/>
      <c r="IU11" s="41"/>
      <c r="IV11" s="41"/>
      <c r="IW11" s="41"/>
      <c r="IX11" s="41" t="s">
        <v>114</v>
      </c>
      <c r="IY11" s="41"/>
      <c r="IZ11" s="41"/>
      <c r="JA11" s="41">
        <v>370000</v>
      </c>
      <c r="JB11" s="41">
        <v>8</v>
      </c>
      <c r="JC11" s="41">
        <v>15900000</v>
      </c>
      <c r="JD11" s="41"/>
      <c r="JE11" s="41" t="s">
        <v>114</v>
      </c>
      <c r="JF11" s="41"/>
      <c r="JG11" s="41"/>
      <c r="JH11" s="41"/>
      <c r="JI11" s="41"/>
      <c r="JJ11" s="41"/>
      <c r="JK11" s="41"/>
      <c r="JL11" s="41"/>
      <c r="JM11" s="41"/>
      <c r="JN11" s="41"/>
      <c r="JO11" s="41"/>
      <c r="JP11" s="41" t="s">
        <v>4</v>
      </c>
      <c r="JQ11" s="41"/>
      <c r="JR11" s="41">
        <v>24873205</v>
      </c>
      <c r="JS11" s="41"/>
      <c r="JT11" s="41"/>
      <c r="JU11" s="41"/>
      <c r="JV11" s="41">
        <v>38000000</v>
      </c>
      <c r="JW11" s="41"/>
      <c r="JX11" s="41">
        <v>10604500</v>
      </c>
      <c r="JY11" s="41"/>
      <c r="JZ11" s="41"/>
      <c r="KA11" s="41"/>
      <c r="KB11" s="41"/>
      <c r="KC11" s="41"/>
      <c r="KD11" s="41">
        <v>4247698</v>
      </c>
    </row>
    <row r="12" spans="1:290">
      <c r="A12" s="7" t="s">
        <v>120</v>
      </c>
      <c r="B12" s="14" t="s">
        <v>30</v>
      </c>
      <c r="C12" s="19">
        <v>0</v>
      </c>
      <c r="D12" s="19">
        <v>80729000</v>
      </c>
      <c r="E12" s="19">
        <v>0</v>
      </c>
      <c r="F12" s="19">
        <v>0</v>
      </c>
      <c r="G12" s="19">
        <v>120441538</v>
      </c>
      <c r="H12" s="19">
        <v>0</v>
      </c>
      <c r="I12" s="19">
        <v>0</v>
      </c>
      <c r="J12" s="19" t="s">
        <v>4</v>
      </c>
      <c r="K12" s="19">
        <v>195517598</v>
      </c>
      <c r="L12" s="19" t="s">
        <v>130</v>
      </c>
      <c r="M12" s="19" t="s">
        <v>96</v>
      </c>
      <c r="N12" s="19">
        <v>0</v>
      </c>
      <c r="O12" s="19">
        <v>72860671</v>
      </c>
      <c r="P12" s="19">
        <v>85077136</v>
      </c>
      <c r="Q12" s="19">
        <v>74660000</v>
      </c>
      <c r="R12" s="19"/>
      <c r="S12" s="19">
        <v>250115207</v>
      </c>
      <c r="T12" s="19" t="s">
        <v>96</v>
      </c>
      <c r="U12" s="19">
        <v>30319945</v>
      </c>
      <c r="V12" s="19" t="s">
        <v>128</v>
      </c>
      <c r="W12" s="19">
        <v>36214350</v>
      </c>
      <c r="X12" s="19"/>
      <c r="Y12" s="19"/>
      <c r="Z12" s="19">
        <v>315121000</v>
      </c>
      <c r="AA12" s="19">
        <v>589740612</v>
      </c>
      <c r="AB12" s="19"/>
      <c r="AC12" s="19">
        <v>1657440</v>
      </c>
      <c r="AD12" s="19">
        <v>265996180</v>
      </c>
      <c r="AE12" s="19">
        <v>80000000</v>
      </c>
      <c r="AF12" s="19"/>
      <c r="AG12" s="19"/>
      <c r="AH12" s="19">
        <v>36995783</v>
      </c>
      <c r="AI12" s="19">
        <v>135425000</v>
      </c>
      <c r="AJ12" s="19">
        <v>513893889</v>
      </c>
      <c r="AK12" s="19" t="s">
        <v>89</v>
      </c>
      <c r="AL12" s="19"/>
      <c r="AM12" s="19" t="s">
        <v>4</v>
      </c>
      <c r="AN12" s="19">
        <v>3264860</v>
      </c>
      <c r="AO12" s="19"/>
      <c r="AP12" s="19">
        <v>385386</v>
      </c>
      <c r="AQ12" s="19" t="s">
        <v>96</v>
      </c>
      <c r="AR12" s="19">
        <v>80637833</v>
      </c>
      <c r="AS12" s="19"/>
      <c r="AT12" s="19">
        <v>595982484</v>
      </c>
      <c r="AU12" s="19"/>
      <c r="AV12" s="19"/>
      <c r="AW12" s="19">
        <v>501430</v>
      </c>
      <c r="AX12" s="19" t="s">
        <v>4</v>
      </c>
      <c r="AY12" s="19">
        <v>58050000</v>
      </c>
      <c r="AZ12" s="19"/>
      <c r="BA12" s="19">
        <v>469551125</v>
      </c>
      <c r="BB12" s="19"/>
      <c r="BC12" s="19" t="s">
        <v>4</v>
      </c>
      <c r="BD12" s="19" t="s">
        <v>128</v>
      </c>
      <c r="BE12" s="19">
        <v>342421000</v>
      </c>
      <c r="BF12" s="19">
        <v>496553000</v>
      </c>
      <c r="BG12" s="19">
        <v>572012189</v>
      </c>
      <c r="BH12" s="19">
        <v>55609577</v>
      </c>
      <c r="BI12" s="19">
        <v>56305145</v>
      </c>
      <c r="BJ12" s="19">
        <v>158806860</v>
      </c>
      <c r="BK12" s="19">
        <v>438682363</v>
      </c>
      <c r="BL12" s="19">
        <v>23292500</v>
      </c>
      <c r="BM12" s="19">
        <v>12524000</v>
      </c>
      <c r="BN12" s="19"/>
      <c r="BO12" s="19">
        <v>307210961</v>
      </c>
      <c r="BP12" s="19" t="s">
        <v>96</v>
      </c>
      <c r="BQ12" s="19" t="s">
        <v>4</v>
      </c>
      <c r="BR12" s="19"/>
      <c r="BS12" s="19">
        <v>3866240</v>
      </c>
      <c r="BT12" s="19">
        <v>5124120</v>
      </c>
      <c r="BU12" s="19">
        <v>237750269</v>
      </c>
      <c r="BV12" s="19"/>
      <c r="BW12" s="19"/>
      <c r="BX12" s="19"/>
      <c r="BY12" s="19">
        <v>52393962</v>
      </c>
      <c r="BZ12" s="19">
        <v>49713893</v>
      </c>
      <c r="CA12" s="19"/>
      <c r="CB12" s="19">
        <v>82564780</v>
      </c>
      <c r="CC12" s="19">
        <v>11329400</v>
      </c>
      <c r="CD12" s="19">
        <v>96716894</v>
      </c>
      <c r="CE12" s="19">
        <v>45306500</v>
      </c>
      <c r="CF12" s="19">
        <v>176107355</v>
      </c>
      <c r="CG12" s="19"/>
      <c r="CH12" s="19">
        <v>30645300</v>
      </c>
      <c r="CI12" s="19" t="s">
        <v>128</v>
      </c>
      <c r="CJ12" s="19" t="s">
        <v>89</v>
      </c>
      <c r="CK12" s="19">
        <v>221353053</v>
      </c>
      <c r="CL12" s="19">
        <v>34022570</v>
      </c>
      <c r="CM12" s="19"/>
      <c r="CN12" s="19"/>
      <c r="CO12" s="19"/>
      <c r="CP12" s="19">
        <v>1059400905</v>
      </c>
      <c r="CQ12" s="19" t="s">
        <v>96</v>
      </c>
      <c r="CR12" s="19">
        <v>95856700</v>
      </c>
      <c r="CS12" s="19"/>
      <c r="CT12" s="19"/>
      <c r="CU12" s="19"/>
      <c r="CV12" s="19"/>
      <c r="CW12" s="19">
        <v>45672413</v>
      </c>
      <c r="CX12" s="19"/>
      <c r="CY12" s="19">
        <v>45763755</v>
      </c>
      <c r="CZ12" s="19"/>
      <c r="DA12" s="19"/>
      <c r="DB12" s="19"/>
      <c r="DC12" s="19"/>
      <c r="DD12" s="19">
        <v>1272870</v>
      </c>
      <c r="DE12" s="19" t="s">
        <v>89</v>
      </c>
      <c r="DF12" s="19">
        <v>9108140</v>
      </c>
      <c r="DG12" s="19"/>
      <c r="DH12" s="19">
        <v>15270320</v>
      </c>
      <c r="DI12" s="19" t="s">
        <v>128</v>
      </c>
      <c r="DJ12" s="19"/>
      <c r="DK12" s="19">
        <v>853200915</v>
      </c>
      <c r="DL12" s="19">
        <v>19183000</v>
      </c>
      <c r="DM12" s="19">
        <v>850764103</v>
      </c>
      <c r="DN12" s="19">
        <v>110849663</v>
      </c>
      <c r="DO12" s="19"/>
      <c r="DP12" s="19">
        <v>27582680</v>
      </c>
      <c r="DQ12" s="19">
        <v>108044700</v>
      </c>
      <c r="DR12" s="19">
        <v>111146403</v>
      </c>
      <c r="DS12" s="19"/>
      <c r="DT12" s="19"/>
      <c r="DU12" s="19"/>
      <c r="DV12" s="19"/>
      <c r="DW12" s="19">
        <v>7980000</v>
      </c>
      <c r="DX12" s="19"/>
      <c r="DY12" s="19">
        <v>151120500</v>
      </c>
      <c r="DZ12" s="19">
        <v>123874580</v>
      </c>
      <c r="EA12" s="19"/>
      <c r="EB12" s="19">
        <v>41175000</v>
      </c>
      <c r="EC12" s="19">
        <v>156054640</v>
      </c>
      <c r="ED12" s="19"/>
      <c r="EE12" s="19">
        <v>28015880</v>
      </c>
      <c r="EF12" s="19">
        <v>113864835</v>
      </c>
      <c r="EG12" s="19">
        <v>1212418537</v>
      </c>
      <c r="EH12" s="19"/>
      <c r="EI12" s="19"/>
      <c r="EJ12" s="19"/>
      <c r="EK12" s="19"/>
      <c r="EL12" s="19">
        <v>135809105</v>
      </c>
      <c r="EM12" s="19">
        <v>16288700</v>
      </c>
      <c r="EN12" s="19"/>
      <c r="EO12" s="19">
        <v>9170250</v>
      </c>
      <c r="EP12" s="19">
        <v>94737691</v>
      </c>
      <c r="EQ12" s="19"/>
      <c r="ER12" s="19">
        <v>32602942</v>
      </c>
      <c r="ES12" s="19">
        <v>463698516</v>
      </c>
      <c r="ET12" s="19"/>
      <c r="EU12" s="19"/>
      <c r="EV12" s="19">
        <v>149183835</v>
      </c>
      <c r="EW12" s="19">
        <v>225599675</v>
      </c>
      <c r="EX12" s="19">
        <v>15636820</v>
      </c>
      <c r="EY12" s="19"/>
      <c r="EZ12" s="19">
        <v>4579114</v>
      </c>
      <c r="FA12" s="19">
        <v>5656000</v>
      </c>
      <c r="FB12" s="19">
        <v>23113331</v>
      </c>
      <c r="FC12" s="19">
        <v>88150000</v>
      </c>
      <c r="FD12" s="19">
        <v>66000000</v>
      </c>
      <c r="FE12" s="19">
        <v>137445852</v>
      </c>
      <c r="FF12" s="19"/>
      <c r="FG12" s="19">
        <v>121816076</v>
      </c>
      <c r="FH12" s="19">
        <v>19545726</v>
      </c>
      <c r="FI12" s="19">
        <v>18096586</v>
      </c>
      <c r="FJ12" s="19"/>
      <c r="FK12" s="19">
        <v>11500000</v>
      </c>
      <c r="FL12" s="19"/>
      <c r="FM12" s="19"/>
      <c r="FN12" s="19"/>
      <c r="FO12" s="19"/>
      <c r="FP12" s="19"/>
      <c r="FQ12" s="19">
        <v>15000000</v>
      </c>
      <c r="FR12" s="19">
        <v>58443341</v>
      </c>
      <c r="FS12" s="19">
        <v>70244200</v>
      </c>
      <c r="FT12" s="19">
        <v>1272579111</v>
      </c>
      <c r="FU12" s="19"/>
      <c r="FV12" s="19"/>
      <c r="FW12" s="19">
        <v>257142540</v>
      </c>
      <c r="FX12" s="19"/>
      <c r="FY12" s="19"/>
      <c r="FZ12" s="19"/>
      <c r="GA12" s="19"/>
      <c r="GB12" s="19">
        <v>4887275</v>
      </c>
      <c r="GC12" s="19"/>
      <c r="GD12" s="19" t="s">
        <v>96</v>
      </c>
      <c r="GE12" s="19">
        <v>27557266</v>
      </c>
      <c r="GF12" s="19">
        <v>41270000</v>
      </c>
      <c r="GG12" s="19">
        <v>125595457</v>
      </c>
      <c r="GH12" s="19">
        <v>3124500</v>
      </c>
      <c r="GI12" s="19">
        <v>149789287</v>
      </c>
      <c r="GJ12" s="19"/>
      <c r="GK12" s="19">
        <v>27647272</v>
      </c>
      <c r="GL12" s="19">
        <v>27643686</v>
      </c>
      <c r="GM12" s="19"/>
      <c r="GN12" s="19">
        <v>3863510</v>
      </c>
      <c r="GO12" s="19">
        <v>197700000</v>
      </c>
      <c r="GP12" s="19">
        <v>1377199900</v>
      </c>
      <c r="GQ12" s="19">
        <v>15842590</v>
      </c>
      <c r="GR12" s="19">
        <v>320900870</v>
      </c>
      <c r="GS12" s="19"/>
      <c r="GT12" s="19">
        <v>13261655</v>
      </c>
      <c r="GU12" s="19"/>
      <c r="GV12" s="19"/>
      <c r="GW12" s="19">
        <v>272666158</v>
      </c>
      <c r="GX12" s="19">
        <v>227501770</v>
      </c>
      <c r="GY12" s="19">
        <v>17553440</v>
      </c>
      <c r="GZ12" s="19">
        <v>9048500</v>
      </c>
      <c r="HA12" s="19">
        <v>118392340</v>
      </c>
      <c r="HB12" s="37"/>
      <c r="HC12" s="19"/>
      <c r="HD12" s="19">
        <v>38604162</v>
      </c>
      <c r="HE12" s="19">
        <v>59864591</v>
      </c>
      <c r="HF12" s="19"/>
      <c r="HG12" s="19">
        <v>11046350</v>
      </c>
      <c r="HH12" s="19"/>
      <c r="HI12" s="19"/>
      <c r="HJ12" s="19">
        <v>184450790</v>
      </c>
      <c r="HK12" s="19">
        <v>348476293</v>
      </c>
      <c r="HL12" s="19"/>
      <c r="HM12" s="19">
        <v>8913020</v>
      </c>
      <c r="HN12" s="19"/>
      <c r="HO12" s="19">
        <v>6718300</v>
      </c>
      <c r="HP12" s="19"/>
      <c r="HQ12" s="41"/>
      <c r="HR12" s="41"/>
      <c r="HS12" s="41">
        <v>15760252</v>
      </c>
      <c r="HT12" s="41">
        <v>75980000</v>
      </c>
      <c r="HU12" s="41"/>
      <c r="HV12" s="41">
        <v>2845450</v>
      </c>
      <c r="HW12" s="41"/>
      <c r="HX12" s="41">
        <v>319440320</v>
      </c>
      <c r="HY12" s="41" t="s">
        <v>114</v>
      </c>
      <c r="HZ12" s="41">
        <v>192525092</v>
      </c>
      <c r="IA12" s="41"/>
      <c r="IB12" s="41">
        <v>17316340</v>
      </c>
      <c r="IC12" s="41">
        <v>26333200</v>
      </c>
      <c r="ID12" s="41">
        <v>5929833</v>
      </c>
      <c r="IE12" s="41" t="s">
        <v>4</v>
      </c>
      <c r="IF12" s="41"/>
      <c r="IG12" s="41">
        <v>47731136</v>
      </c>
      <c r="IH12" s="41">
        <v>48038583</v>
      </c>
      <c r="II12" s="41">
        <v>104400969</v>
      </c>
      <c r="IJ12" s="41"/>
      <c r="IK12" s="41">
        <v>218423948</v>
      </c>
      <c r="IL12" s="41">
        <v>12942000</v>
      </c>
      <c r="IM12" s="41"/>
      <c r="IN12" s="41"/>
      <c r="IO12" s="41">
        <v>50737350</v>
      </c>
      <c r="IP12" s="41"/>
      <c r="IQ12" s="41"/>
      <c r="IR12" s="41">
        <v>207115772</v>
      </c>
      <c r="IS12" s="41"/>
      <c r="IT12" s="41">
        <v>2707900</v>
      </c>
      <c r="IU12" s="41"/>
      <c r="IV12" s="41"/>
      <c r="IW12" s="41"/>
      <c r="IX12" s="41" t="s">
        <v>114</v>
      </c>
      <c r="IY12" s="41"/>
      <c r="IZ12" s="41">
        <v>23110460</v>
      </c>
      <c r="JA12" s="41"/>
      <c r="JB12" s="41">
        <v>12500000</v>
      </c>
      <c r="JC12" s="41"/>
      <c r="JD12" s="41"/>
      <c r="JE12" s="41" t="s">
        <v>114</v>
      </c>
      <c r="JF12" s="41"/>
      <c r="JG12" s="41"/>
      <c r="JH12" s="41"/>
      <c r="JI12" s="41"/>
      <c r="JJ12" s="41">
        <v>645741327</v>
      </c>
      <c r="JK12" s="41"/>
      <c r="JL12" s="41">
        <v>23230500</v>
      </c>
      <c r="JM12" s="41"/>
      <c r="JN12" s="41"/>
      <c r="JO12" s="41">
        <v>66855186</v>
      </c>
      <c r="JP12" s="41" t="s">
        <v>4</v>
      </c>
      <c r="JQ12" s="41">
        <v>194455000</v>
      </c>
      <c r="JR12" s="41">
        <v>19987388</v>
      </c>
      <c r="JS12" s="41">
        <v>7041392</v>
      </c>
      <c r="JT12" s="41"/>
      <c r="JU12" s="41"/>
      <c r="JV12" s="41">
        <v>36810000</v>
      </c>
      <c r="JW12" s="41">
        <v>60256811</v>
      </c>
      <c r="JX12" s="41"/>
      <c r="JY12" s="41"/>
      <c r="JZ12" s="41"/>
      <c r="KA12" s="41">
        <v>153685805</v>
      </c>
      <c r="KB12" s="41">
        <v>616609</v>
      </c>
      <c r="KC12" s="41"/>
      <c r="KD12" s="41">
        <v>485173626</v>
      </c>
    </row>
    <row r="13" spans="1:290">
      <c r="A13" s="7" t="s">
        <v>120</v>
      </c>
      <c r="B13" s="14" t="s">
        <v>66</v>
      </c>
      <c r="C13" s="19">
        <v>0</v>
      </c>
      <c r="D13" s="19">
        <v>0</v>
      </c>
      <c r="E13" s="19">
        <v>0</v>
      </c>
      <c r="F13" s="19">
        <v>0</v>
      </c>
      <c r="G13" s="19">
        <v>0</v>
      </c>
      <c r="H13" s="19">
        <v>0</v>
      </c>
      <c r="I13" s="19">
        <v>0</v>
      </c>
      <c r="J13" s="19" t="s">
        <v>4</v>
      </c>
      <c r="K13" s="19"/>
      <c r="L13" s="19" t="s">
        <v>130</v>
      </c>
      <c r="M13" s="19" t="s">
        <v>96</v>
      </c>
      <c r="N13" s="19"/>
      <c r="O13" s="19"/>
      <c r="P13" s="19"/>
      <c r="Q13" s="19"/>
      <c r="R13" s="19"/>
      <c r="S13" s="19">
        <v>0</v>
      </c>
      <c r="T13" s="19" t="s">
        <v>96</v>
      </c>
      <c r="U13" s="19"/>
      <c r="V13" s="19" t="s">
        <v>128</v>
      </c>
      <c r="W13" s="19"/>
      <c r="X13" s="19"/>
      <c r="Y13" s="19"/>
      <c r="Z13" s="19"/>
      <c r="AA13" s="19"/>
      <c r="AB13" s="19"/>
      <c r="AC13" s="19"/>
      <c r="AD13" s="19"/>
      <c r="AE13" s="19"/>
      <c r="AF13" s="19"/>
      <c r="AG13" s="19"/>
      <c r="AH13" s="19"/>
      <c r="AI13" s="19"/>
      <c r="AJ13" s="19"/>
      <c r="AK13" s="19" t="s">
        <v>89</v>
      </c>
      <c r="AL13" s="19"/>
      <c r="AM13" s="19" t="s">
        <v>4</v>
      </c>
      <c r="AN13" s="19"/>
      <c r="AO13" s="19"/>
      <c r="AP13" s="19"/>
      <c r="AQ13" s="19" t="s">
        <v>96</v>
      </c>
      <c r="AR13" s="19"/>
      <c r="AS13" s="19"/>
      <c r="AT13" s="19"/>
      <c r="AU13" s="19"/>
      <c r="AV13" s="19"/>
      <c r="AW13" s="19"/>
      <c r="AX13" s="19" t="s">
        <v>4</v>
      </c>
      <c r="AY13" s="19"/>
      <c r="AZ13" s="19"/>
      <c r="BA13" s="19"/>
      <c r="BB13" s="19"/>
      <c r="BC13" s="19" t="s">
        <v>4</v>
      </c>
      <c r="BD13" s="19" t="s">
        <v>128</v>
      </c>
      <c r="BE13" s="19"/>
      <c r="BF13" s="19"/>
      <c r="BG13" s="19"/>
      <c r="BH13" s="19"/>
      <c r="BI13" s="19"/>
      <c r="BJ13" s="19"/>
      <c r="BK13" s="19"/>
      <c r="BL13" s="19"/>
      <c r="BM13" s="19"/>
      <c r="BN13" s="19"/>
      <c r="BO13" s="19"/>
      <c r="BP13" s="19" t="s">
        <v>96</v>
      </c>
      <c r="BQ13" s="19" t="s">
        <v>4</v>
      </c>
      <c r="BR13" s="19"/>
      <c r="BS13" s="19"/>
      <c r="BT13" s="19"/>
      <c r="BU13" s="19"/>
      <c r="BV13" s="19"/>
      <c r="BW13" s="19"/>
      <c r="BX13" s="19"/>
      <c r="BY13" s="19"/>
      <c r="BZ13" s="19"/>
      <c r="CA13" s="19"/>
      <c r="CB13" s="19"/>
      <c r="CC13" s="19"/>
      <c r="CD13" s="19"/>
      <c r="CE13" s="19"/>
      <c r="CF13" s="19"/>
      <c r="CG13" s="19"/>
      <c r="CH13" s="19"/>
      <c r="CI13" s="19" t="s">
        <v>128</v>
      </c>
      <c r="CJ13" s="19" t="s">
        <v>89</v>
      </c>
      <c r="CK13" s="19"/>
      <c r="CL13" s="19"/>
      <c r="CM13" s="19"/>
      <c r="CN13" s="19"/>
      <c r="CO13" s="19"/>
      <c r="CP13" s="19"/>
      <c r="CQ13" s="19" t="s">
        <v>96</v>
      </c>
      <c r="CR13" s="19"/>
      <c r="CS13" s="19"/>
      <c r="CT13" s="19"/>
      <c r="CU13" s="19"/>
      <c r="CV13" s="19"/>
      <c r="CW13" s="19"/>
      <c r="CX13" s="19"/>
      <c r="CY13" s="19"/>
      <c r="CZ13" s="19"/>
      <c r="DA13" s="19"/>
      <c r="DB13" s="19"/>
      <c r="DC13" s="19"/>
      <c r="DD13" s="19"/>
      <c r="DE13" s="19" t="s">
        <v>89</v>
      </c>
      <c r="DF13" s="19"/>
      <c r="DG13" s="19"/>
      <c r="DH13" s="19"/>
      <c r="DI13" s="19" t="s">
        <v>128</v>
      </c>
      <c r="DJ13" s="19"/>
      <c r="DK13" s="19"/>
      <c r="DL13" s="19"/>
      <c r="DM13" s="19"/>
      <c r="DN13" s="19"/>
      <c r="DO13" s="19"/>
      <c r="DP13" s="19"/>
      <c r="DQ13" s="19"/>
      <c r="DR13" s="19"/>
      <c r="DS13" s="19"/>
      <c r="DT13" s="19"/>
      <c r="DU13" s="19"/>
      <c r="DV13" s="19"/>
      <c r="DW13" s="19"/>
      <c r="DX13" s="19">
        <v>2194118</v>
      </c>
      <c r="DY13" s="19"/>
      <c r="DZ13" s="19"/>
      <c r="EA13" s="19"/>
      <c r="EB13" s="19"/>
      <c r="EC13" s="19"/>
      <c r="ED13" s="19"/>
      <c r="EE13" s="19"/>
      <c r="EF13" s="19"/>
      <c r="EG13" s="19"/>
      <c r="EH13" s="19">
        <v>35230255</v>
      </c>
      <c r="EI13" s="19"/>
      <c r="EJ13" s="19"/>
      <c r="EK13" s="19"/>
      <c r="EL13" s="19"/>
      <c r="EM13" s="19"/>
      <c r="EN13" s="19"/>
      <c r="EO13" s="19"/>
      <c r="EP13" s="19"/>
      <c r="EQ13" s="19"/>
      <c r="ER13" s="19"/>
      <c r="ES13" s="19"/>
      <c r="ET13" s="19"/>
      <c r="EU13" s="19"/>
      <c r="EV13" s="19"/>
      <c r="EW13" s="19"/>
      <c r="EX13" s="19"/>
      <c r="EY13" s="19"/>
      <c r="EZ13" s="19"/>
      <c r="FA13" s="19"/>
      <c r="FB13" s="19"/>
      <c r="FC13" s="19"/>
      <c r="FD13" s="19"/>
      <c r="FE13" s="19"/>
      <c r="FF13" s="19"/>
      <c r="FG13" s="19"/>
      <c r="FH13" s="19"/>
      <c r="FI13" s="19"/>
      <c r="FJ13" s="19"/>
      <c r="FK13" s="19"/>
      <c r="FL13" s="19"/>
      <c r="FM13" s="19"/>
      <c r="FN13" s="19"/>
      <c r="FO13" s="19"/>
      <c r="FP13" s="19"/>
      <c r="FQ13" s="19"/>
      <c r="FR13" s="19"/>
      <c r="FS13" s="19"/>
      <c r="FT13" s="19"/>
      <c r="FU13" s="19"/>
      <c r="FV13" s="19"/>
      <c r="FW13" s="19"/>
      <c r="FX13" s="19"/>
      <c r="FY13" s="19"/>
      <c r="FZ13" s="19"/>
      <c r="GA13" s="19"/>
      <c r="GB13" s="19"/>
      <c r="GC13" s="19"/>
      <c r="GD13" s="19" t="s">
        <v>96</v>
      </c>
      <c r="GE13" s="19"/>
      <c r="GF13" s="19"/>
      <c r="GG13" s="19"/>
      <c r="GH13" s="19"/>
      <c r="GI13" s="19"/>
      <c r="GJ13" s="19"/>
      <c r="GK13" s="19"/>
      <c r="GL13" s="19"/>
      <c r="GM13" s="19"/>
      <c r="GN13" s="19"/>
      <c r="GO13" s="19"/>
      <c r="GP13" s="19"/>
      <c r="GQ13" s="19"/>
      <c r="GR13" s="19"/>
      <c r="GS13" s="19"/>
      <c r="GT13" s="19"/>
      <c r="GU13" s="19"/>
      <c r="GV13" s="19"/>
      <c r="GW13" s="19"/>
      <c r="GX13" s="19"/>
      <c r="GY13" s="19"/>
      <c r="GZ13" s="19"/>
      <c r="HA13" s="19"/>
      <c r="HB13" s="37"/>
      <c r="HC13" s="19"/>
      <c r="HD13" s="19"/>
      <c r="HE13" s="19"/>
      <c r="HF13" s="19"/>
      <c r="HG13" s="19"/>
      <c r="HH13" s="19"/>
      <c r="HI13" s="19"/>
      <c r="HJ13" s="19"/>
      <c r="HK13" s="19"/>
      <c r="HL13" s="19"/>
      <c r="HM13" s="19"/>
      <c r="HN13" s="19"/>
      <c r="HO13" s="19"/>
      <c r="HP13" s="19"/>
      <c r="HQ13" s="41">
        <v>26573000</v>
      </c>
      <c r="HR13" s="41"/>
      <c r="HS13" s="41"/>
      <c r="HT13" s="41"/>
      <c r="HU13" s="41"/>
      <c r="HV13" s="41"/>
      <c r="HW13" s="41"/>
      <c r="HX13" s="41"/>
      <c r="HY13" s="41" t="s">
        <v>114</v>
      </c>
      <c r="HZ13" s="41"/>
      <c r="IA13" s="41"/>
      <c r="IB13" s="41"/>
      <c r="IC13" s="41"/>
      <c r="ID13" s="41"/>
      <c r="IE13" s="41" t="s">
        <v>4</v>
      </c>
      <c r="IF13" s="41"/>
      <c r="IG13" s="41"/>
      <c r="IH13" s="41"/>
      <c r="II13" s="41"/>
      <c r="IJ13" s="41"/>
      <c r="IK13" s="41"/>
      <c r="IL13" s="41"/>
      <c r="IM13" s="41"/>
      <c r="IN13" s="41"/>
      <c r="IO13" s="41"/>
      <c r="IP13" s="41"/>
      <c r="IQ13" s="41"/>
      <c r="IR13" s="41"/>
      <c r="IS13" s="41"/>
      <c r="IT13" s="41"/>
      <c r="IU13" s="41"/>
      <c r="IV13" s="41"/>
      <c r="IW13" s="41"/>
      <c r="IX13" s="41" t="s">
        <v>114</v>
      </c>
      <c r="IY13" s="41"/>
      <c r="IZ13" s="41"/>
      <c r="JA13" s="41"/>
      <c r="JB13" s="41"/>
      <c r="JC13" s="41"/>
      <c r="JD13" s="41"/>
      <c r="JE13" s="41" t="s">
        <v>114</v>
      </c>
      <c r="JF13" s="41"/>
      <c r="JG13" s="41"/>
      <c r="JH13" s="41"/>
      <c r="JI13" s="41"/>
      <c r="JJ13" s="41"/>
      <c r="JK13" s="41"/>
      <c r="JL13" s="41"/>
      <c r="JM13" s="41"/>
      <c r="JN13" s="41"/>
      <c r="JO13" s="41"/>
      <c r="JP13" s="41" t="s">
        <v>4</v>
      </c>
      <c r="JQ13" s="41"/>
      <c r="JR13" s="41"/>
      <c r="JS13" s="41"/>
      <c r="JT13" s="41"/>
      <c r="JU13" s="41"/>
      <c r="JV13" s="41"/>
      <c r="JW13" s="41"/>
      <c r="JX13" s="41"/>
      <c r="JY13" s="41"/>
      <c r="JZ13" s="41"/>
      <c r="KA13" s="41"/>
      <c r="KB13" s="41"/>
      <c r="KC13" s="41"/>
      <c r="KD13" s="41"/>
    </row>
    <row r="14" spans="1:290">
      <c r="A14" s="7" t="s">
        <v>120</v>
      </c>
      <c r="B14" s="8" t="s">
        <v>19</v>
      </c>
      <c r="C14" s="19">
        <v>78388343</v>
      </c>
      <c r="D14" s="19">
        <v>1005514923</v>
      </c>
      <c r="E14" s="19">
        <v>604594533</v>
      </c>
      <c r="F14" s="19">
        <v>1234923573</v>
      </c>
      <c r="G14" s="19">
        <v>15719834</v>
      </c>
      <c r="H14" s="19">
        <v>969045783</v>
      </c>
      <c r="I14" s="19">
        <v>3173590190</v>
      </c>
      <c r="J14" s="19" t="s">
        <v>4</v>
      </c>
      <c r="K14" s="19">
        <v>239328315</v>
      </c>
      <c r="L14" s="19" t="s">
        <v>130</v>
      </c>
      <c r="M14" s="19" t="s">
        <v>96</v>
      </c>
      <c r="N14" s="19">
        <v>162314832</v>
      </c>
      <c r="O14" s="19">
        <v>3419142856</v>
      </c>
      <c r="P14" s="19">
        <v>1395366439</v>
      </c>
      <c r="Q14" s="19">
        <v>29670181</v>
      </c>
      <c r="R14" s="19">
        <v>174833540</v>
      </c>
      <c r="S14" s="19">
        <v>7030171364</v>
      </c>
      <c r="T14" s="19" t="s">
        <v>96</v>
      </c>
      <c r="U14" s="19">
        <v>424269548</v>
      </c>
      <c r="V14" s="19" t="s">
        <v>128</v>
      </c>
      <c r="W14" s="19">
        <v>448409752</v>
      </c>
      <c r="X14" s="19">
        <v>4912902564</v>
      </c>
      <c r="Y14" s="19">
        <v>261298803</v>
      </c>
      <c r="Z14" s="19">
        <v>6030669420</v>
      </c>
      <c r="AA14" s="19">
        <v>1752691547</v>
      </c>
      <c r="AB14" s="19">
        <v>6448849</v>
      </c>
      <c r="AC14" s="19">
        <v>1259701565</v>
      </c>
      <c r="AD14" s="19">
        <v>5547628330</v>
      </c>
      <c r="AE14" s="19">
        <v>5066723719</v>
      </c>
      <c r="AF14" s="19">
        <v>520072730</v>
      </c>
      <c r="AG14" s="19">
        <v>382071803</v>
      </c>
      <c r="AH14" s="19">
        <v>414051461</v>
      </c>
      <c r="AI14" s="19">
        <v>312476759</v>
      </c>
      <c r="AJ14" s="19">
        <v>159555233</v>
      </c>
      <c r="AK14" s="19" t="s">
        <v>89</v>
      </c>
      <c r="AL14" s="19">
        <v>1927385279</v>
      </c>
      <c r="AM14" s="19" t="s">
        <v>4</v>
      </c>
      <c r="AN14" s="19">
        <v>574233529</v>
      </c>
      <c r="AO14" s="19">
        <v>237947240</v>
      </c>
      <c r="AP14" s="19">
        <v>39721301</v>
      </c>
      <c r="AQ14" s="19" t="s">
        <v>96</v>
      </c>
      <c r="AR14" s="19">
        <v>662045932</v>
      </c>
      <c r="AS14" s="19">
        <v>108115733</v>
      </c>
      <c r="AT14" s="19">
        <v>1884188333</v>
      </c>
      <c r="AU14" s="19">
        <v>2159989079</v>
      </c>
      <c r="AV14" s="19">
        <v>187522931</v>
      </c>
      <c r="AW14" s="19">
        <v>605057414</v>
      </c>
      <c r="AX14" s="19" t="s">
        <v>4</v>
      </c>
      <c r="AY14" s="19">
        <v>446960615</v>
      </c>
      <c r="AZ14" s="19">
        <v>339190232</v>
      </c>
      <c r="BA14" s="19">
        <v>1269010571</v>
      </c>
      <c r="BB14" s="19">
        <v>13515156</v>
      </c>
      <c r="BC14" s="19" t="s">
        <v>4</v>
      </c>
      <c r="BD14" s="19" t="s">
        <v>128</v>
      </c>
      <c r="BE14" s="19">
        <v>1751227143</v>
      </c>
      <c r="BF14" s="19">
        <v>1045929896</v>
      </c>
      <c r="BG14" s="19">
        <v>216839369</v>
      </c>
      <c r="BH14" s="19">
        <v>731928012</v>
      </c>
      <c r="BI14" s="19">
        <v>54642818</v>
      </c>
      <c r="BJ14" s="19">
        <v>59750305</v>
      </c>
      <c r="BK14" s="19">
        <v>168027243</v>
      </c>
      <c r="BL14" s="19">
        <v>209441138</v>
      </c>
      <c r="BM14" s="19">
        <v>829751672</v>
      </c>
      <c r="BN14" s="19">
        <v>168412654</v>
      </c>
      <c r="BO14" s="19">
        <v>62480368</v>
      </c>
      <c r="BP14" s="19" t="s">
        <v>96</v>
      </c>
      <c r="BQ14" s="19" t="s">
        <v>4</v>
      </c>
      <c r="BR14" s="19">
        <v>287948484</v>
      </c>
      <c r="BS14" s="19">
        <v>53080135</v>
      </c>
      <c r="BT14" s="19">
        <v>31580643</v>
      </c>
      <c r="BU14" s="19">
        <v>681141739</v>
      </c>
      <c r="BV14" s="19">
        <v>183030</v>
      </c>
      <c r="BW14" s="19">
        <v>8192328</v>
      </c>
      <c r="BX14" s="19">
        <v>48696766</v>
      </c>
      <c r="BY14" s="19">
        <v>490946332</v>
      </c>
      <c r="BZ14" s="19">
        <v>12983864</v>
      </c>
      <c r="CA14" s="19">
        <v>588788327</v>
      </c>
      <c r="CB14" s="19">
        <v>216818335</v>
      </c>
      <c r="CC14" s="19">
        <v>3050000</v>
      </c>
      <c r="CD14" s="19">
        <v>16473986</v>
      </c>
      <c r="CE14" s="19">
        <v>90746000</v>
      </c>
      <c r="CF14" s="19">
        <v>10773439</v>
      </c>
      <c r="CG14" s="19">
        <v>139264947</v>
      </c>
      <c r="CH14" s="19">
        <v>76833084</v>
      </c>
      <c r="CI14" s="19" t="s">
        <v>128</v>
      </c>
      <c r="CJ14" s="19" t="s">
        <v>89</v>
      </c>
      <c r="CK14" s="19">
        <v>6488807008</v>
      </c>
      <c r="CL14" s="19">
        <v>637202842</v>
      </c>
      <c r="CM14" s="19">
        <v>1434247123</v>
      </c>
      <c r="CN14" s="19">
        <v>27760062</v>
      </c>
      <c r="CO14" s="19">
        <v>48347619</v>
      </c>
      <c r="CP14" s="19">
        <v>495071431</v>
      </c>
      <c r="CQ14" s="19" t="s">
        <v>96</v>
      </c>
      <c r="CR14" s="19">
        <v>139486662</v>
      </c>
      <c r="CS14" s="19">
        <v>1180012821</v>
      </c>
      <c r="CT14" s="19">
        <v>3380058450</v>
      </c>
      <c r="CU14" s="19">
        <v>166158561</v>
      </c>
      <c r="CV14" s="19">
        <v>0</v>
      </c>
      <c r="CW14" s="19">
        <v>498593380</v>
      </c>
      <c r="CX14" s="19">
        <v>382071803</v>
      </c>
      <c r="CY14" s="19">
        <v>2565816978</v>
      </c>
      <c r="CZ14" s="19">
        <v>169648687</v>
      </c>
      <c r="DA14" s="19">
        <v>57372715</v>
      </c>
      <c r="DB14" s="19">
        <v>61545646</v>
      </c>
      <c r="DC14" s="19">
        <v>5748783</v>
      </c>
      <c r="DD14" s="19">
        <v>171881518</v>
      </c>
      <c r="DE14" s="19" t="s">
        <v>89</v>
      </c>
      <c r="DF14" s="19">
        <v>25080130</v>
      </c>
      <c r="DG14" s="19">
        <v>226009146</v>
      </c>
      <c r="DH14" s="19">
        <v>88621013</v>
      </c>
      <c r="DI14" s="19" t="s">
        <v>128</v>
      </c>
      <c r="DJ14" s="19">
        <v>4595914</v>
      </c>
      <c r="DK14" s="19">
        <v>4538618716</v>
      </c>
      <c r="DL14" s="19">
        <v>32838269</v>
      </c>
      <c r="DM14" s="19">
        <v>749658522</v>
      </c>
      <c r="DN14" s="19">
        <v>167464171</v>
      </c>
      <c r="DO14" s="19">
        <v>86957770</v>
      </c>
      <c r="DP14" s="19">
        <v>1014056105</v>
      </c>
      <c r="DQ14" s="19">
        <v>24221191</v>
      </c>
      <c r="DR14" s="19">
        <v>4853255882</v>
      </c>
      <c r="DS14" s="19">
        <v>56122215</v>
      </c>
      <c r="DT14" s="19">
        <v>1118298564</v>
      </c>
      <c r="DU14" s="19">
        <v>43587887</v>
      </c>
      <c r="DV14" s="19">
        <v>151141000</v>
      </c>
      <c r="DW14" s="19">
        <v>1186887484</v>
      </c>
      <c r="DX14" s="19">
        <v>761794838</v>
      </c>
      <c r="DY14" s="19">
        <v>173889103</v>
      </c>
      <c r="DZ14" s="19">
        <v>84902024</v>
      </c>
      <c r="EA14" s="19">
        <v>63571210</v>
      </c>
      <c r="EB14" s="19">
        <v>2591502695</v>
      </c>
      <c r="EC14" s="19">
        <v>11012190</v>
      </c>
      <c r="ED14" s="19">
        <v>43732547</v>
      </c>
      <c r="EE14" s="19">
        <v>179723465</v>
      </c>
      <c r="EF14" s="19">
        <v>3057998055</v>
      </c>
      <c r="EG14" s="19">
        <v>2966220869</v>
      </c>
      <c r="EH14" s="19">
        <v>6574406278</v>
      </c>
      <c r="EI14" s="19">
        <v>584099062</v>
      </c>
      <c r="EJ14" s="19">
        <v>7979925</v>
      </c>
      <c r="EK14" s="19">
        <v>334325603</v>
      </c>
      <c r="EL14" s="19">
        <v>660669501</v>
      </c>
      <c r="EM14" s="19">
        <v>119557590</v>
      </c>
      <c r="EN14" s="19">
        <v>644189356</v>
      </c>
      <c r="EO14" s="19">
        <v>322162606</v>
      </c>
      <c r="EP14" s="19">
        <v>339349877</v>
      </c>
      <c r="EQ14" s="19">
        <v>10000000</v>
      </c>
      <c r="ER14" s="19">
        <v>1100759964</v>
      </c>
      <c r="ES14" s="19">
        <v>2481098924</v>
      </c>
      <c r="ET14" s="19">
        <v>1488920238</v>
      </c>
      <c r="EU14" s="19">
        <v>226863431</v>
      </c>
      <c r="EV14" s="19">
        <v>6415706</v>
      </c>
      <c r="EW14" s="19">
        <v>105994142</v>
      </c>
      <c r="EX14" s="19">
        <v>2476889557</v>
      </c>
      <c r="EY14" s="19">
        <v>2986793552</v>
      </c>
      <c r="EZ14" s="19">
        <v>334169940</v>
      </c>
      <c r="FA14" s="19">
        <v>2146589771</v>
      </c>
      <c r="FB14" s="19">
        <v>241813118</v>
      </c>
      <c r="FC14" s="19">
        <v>668402705</v>
      </c>
      <c r="FD14" s="19">
        <v>95277886</v>
      </c>
      <c r="FE14" s="19">
        <v>555945554</v>
      </c>
      <c r="FF14" s="19">
        <v>36932319</v>
      </c>
      <c r="FG14" s="19"/>
      <c r="FH14" s="19">
        <v>157359592</v>
      </c>
      <c r="FI14" s="19">
        <v>5528688</v>
      </c>
      <c r="FJ14" s="19">
        <v>72205788</v>
      </c>
      <c r="FK14" s="19">
        <v>336946275</v>
      </c>
      <c r="FL14" s="19">
        <v>63549752</v>
      </c>
      <c r="FM14" s="19">
        <v>143673900</v>
      </c>
      <c r="FN14" s="19">
        <v>854122669</v>
      </c>
      <c r="FO14" s="19">
        <v>0</v>
      </c>
      <c r="FP14" s="19">
        <v>182971244</v>
      </c>
      <c r="FQ14" s="19">
        <v>65549335</v>
      </c>
      <c r="FR14" s="19">
        <v>71420655</v>
      </c>
      <c r="FS14" s="19">
        <v>32797849</v>
      </c>
      <c r="FT14" s="19">
        <v>812922606</v>
      </c>
      <c r="FU14" s="19">
        <v>0</v>
      </c>
      <c r="FV14" s="19">
        <v>1094295315</v>
      </c>
      <c r="FW14" s="19">
        <v>16101426</v>
      </c>
      <c r="FX14" s="19">
        <v>3706815</v>
      </c>
      <c r="FY14" s="19">
        <v>175565565</v>
      </c>
      <c r="FZ14" s="19">
        <v>230306377</v>
      </c>
      <c r="GA14" s="19">
        <v>59544523</v>
      </c>
      <c r="GB14" s="19">
        <v>22533946</v>
      </c>
      <c r="GC14" s="19">
        <v>36189380</v>
      </c>
      <c r="GD14" s="19" t="s">
        <v>96</v>
      </c>
      <c r="GE14" s="19">
        <v>56330266</v>
      </c>
      <c r="GF14" s="19">
        <v>39495300</v>
      </c>
      <c r="GG14" s="19">
        <v>327288352</v>
      </c>
      <c r="GH14" s="19">
        <v>7440000</v>
      </c>
      <c r="GI14" s="19">
        <v>34105739</v>
      </c>
      <c r="GJ14" s="19">
        <v>15140310</v>
      </c>
      <c r="GK14" s="19">
        <v>55807330</v>
      </c>
      <c r="GL14" s="19">
        <v>54571173</v>
      </c>
      <c r="GM14" s="19">
        <v>84186874</v>
      </c>
      <c r="GN14" s="19">
        <v>2084030779</v>
      </c>
      <c r="GO14" s="19">
        <v>1096605234</v>
      </c>
      <c r="GP14" s="19">
        <v>2365270898</v>
      </c>
      <c r="GQ14" s="19">
        <v>24574812</v>
      </c>
      <c r="GR14" s="19">
        <v>400486687</v>
      </c>
      <c r="GS14" s="19">
        <v>495000</v>
      </c>
      <c r="GT14" s="19">
        <v>303685787</v>
      </c>
      <c r="GU14" s="19">
        <v>150000000</v>
      </c>
      <c r="GV14" s="19">
        <v>1082143801</v>
      </c>
      <c r="GW14" s="19">
        <v>1949590424</v>
      </c>
      <c r="GX14" s="19">
        <v>403081515</v>
      </c>
      <c r="GY14" s="19">
        <v>114088958</v>
      </c>
      <c r="GZ14" s="19">
        <v>4138062990</v>
      </c>
      <c r="HA14" s="19">
        <v>388666225</v>
      </c>
      <c r="HB14" s="37">
        <v>23009158</v>
      </c>
      <c r="HC14" s="19">
        <v>416972500</v>
      </c>
      <c r="HD14" s="19">
        <v>39831459</v>
      </c>
      <c r="HE14" s="19">
        <v>51730341</v>
      </c>
      <c r="HF14" s="19">
        <v>305894148</v>
      </c>
      <c r="HG14" s="19">
        <v>33300917</v>
      </c>
      <c r="HH14" s="19">
        <v>34597984</v>
      </c>
      <c r="HI14" s="19">
        <v>395923647</v>
      </c>
      <c r="HJ14" s="19">
        <v>347560701</v>
      </c>
      <c r="HK14" s="19">
        <v>528268438</v>
      </c>
      <c r="HL14" s="19">
        <v>95396893</v>
      </c>
      <c r="HM14" s="19">
        <v>115093528</v>
      </c>
      <c r="HN14" s="19">
        <v>337296653</v>
      </c>
      <c r="HO14" s="19">
        <v>646990601</v>
      </c>
      <c r="HP14" s="19">
        <v>251742252</v>
      </c>
      <c r="HQ14" s="41">
        <v>0</v>
      </c>
      <c r="HR14" s="41">
        <v>350689453</v>
      </c>
      <c r="HS14" s="41">
        <v>80943673</v>
      </c>
      <c r="HT14" s="41">
        <v>14844859</v>
      </c>
      <c r="HU14" s="41">
        <v>199697915</v>
      </c>
      <c r="HV14" s="41">
        <v>22567629</v>
      </c>
      <c r="HW14" s="41">
        <v>574791983</v>
      </c>
      <c r="HX14" s="41">
        <v>1257413155</v>
      </c>
      <c r="HY14" s="41" t="s">
        <v>114</v>
      </c>
      <c r="HZ14" s="41">
        <v>5091131466</v>
      </c>
      <c r="IA14" s="41">
        <v>29144403</v>
      </c>
      <c r="IB14" s="41">
        <v>53323454</v>
      </c>
      <c r="IC14" s="41">
        <v>591338195</v>
      </c>
      <c r="ID14" s="41">
        <v>11639663</v>
      </c>
      <c r="IE14" s="41" t="s">
        <v>4</v>
      </c>
      <c r="IF14" s="41">
        <v>35341796</v>
      </c>
      <c r="IG14" s="41">
        <v>5072417</v>
      </c>
      <c r="IH14" s="41">
        <v>65096385</v>
      </c>
      <c r="II14" s="41">
        <v>100457000</v>
      </c>
      <c r="IJ14" s="41">
        <v>339765835</v>
      </c>
      <c r="IK14" s="41">
        <v>33015239</v>
      </c>
      <c r="IL14" s="41">
        <v>2886610</v>
      </c>
      <c r="IM14" s="41">
        <v>11459227</v>
      </c>
      <c r="IN14" s="41">
        <v>123268886</v>
      </c>
      <c r="IO14" s="41">
        <v>0</v>
      </c>
      <c r="IP14" s="41">
        <v>49246398</v>
      </c>
      <c r="IQ14" s="41">
        <v>13536811</v>
      </c>
      <c r="IR14" s="41">
        <v>95140415</v>
      </c>
      <c r="IS14" s="41">
        <v>5985349547</v>
      </c>
      <c r="IT14" s="41">
        <v>51831737</v>
      </c>
      <c r="IU14" s="41">
        <v>58604940</v>
      </c>
      <c r="IV14" s="41">
        <v>60540327</v>
      </c>
      <c r="IW14" s="41">
        <v>84670839</v>
      </c>
      <c r="IX14" s="41" t="s">
        <v>114</v>
      </c>
      <c r="IY14" s="41">
        <v>3400000</v>
      </c>
      <c r="IZ14" s="41">
        <v>4055607871</v>
      </c>
      <c r="JA14" s="41">
        <v>32522361</v>
      </c>
      <c r="JB14" s="41">
        <v>32024625</v>
      </c>
      <c r="JC14" s="41">
        <v>91441213</v>
      </c>
      <c r="JD14" s="41">
        <v>65262883</v>
      </c>
      <c r="JE14" s="41" t="s">
        <v>114</v>
      </c>
      <c r="JF14" s="41">
        <v>29496780</v>
      </c>
      <c r="JG14" s="41">
        <v>1199224798</v>
      </c>
      <c r="JH14" s="41">
        <v>12021905</v>
      </c>
      <c r="JI14" s="41">
        <v>254225223</v>
      </c>
      <c r="JJ14" s="41">
        <v>1314350949</v>
      </c>
      <c r="JK14" s="41">
        <v>733842769</v>
      </c>
      <c r="JL14" s="41">
        <v>41870000</v>
      </c>
      <c r="JM14" s="41">
        <v>80467000</v>
      </c>
      <c r="JN14" s="41">
        <v>82625432</v>
      </c>
      <c r="JO14" s="41">
        <v>52315721</v>
      </c>
      <c r="JP14" s="41" t="s">
        <v>4</v>
      </c>
      <c r="JQ14" s="41">
        <v>314001683</v>
      </c>
      <c r="JR14" s="41">
        <v>550042227</v>
      </c>
      <c r="JS14" s="41">
        <v>164978864</v>
      </c>
      <c r="JT14" s="41">
        <v>0</v>
      </c>
      <c r="JU14" s="41">
        <v>123915616</v>
      </c>
      <c r="JV14" s="41">
        <v>85296496</v>
      </c>
      <c r="JW14" s="41">
        <v>916390746</v>
      </c>
      <c r="JX14" s="41">
        <v>10282786</v>
      </c>
      <c r="JY14" s="41">
        <v>546402090</v>
      </c>
      <c r="JZ14" s="41">
        <v>111339792</v>
      </c>
      <c r="KA14" s="41">
        <v>22167000</v>
      </c>
      <c r="KB14" s="41">
        <v>14378733</v>
      </c>
      <c r="KC14" s="41">
        <v>2010717552</v>
      </c>
      <c r="KD14" s="41">
        <v>336915839</v>
      </c>
    </row>
    <row r="15" spans="1:290">
      <c r="A15" s="7" t="s">
        <v>120</v>
      </c>
      <c r="B15" s="11" t="s">
        <v>8</v>
      </c>
      <c r="C15" s="19">
        <v>0</v>
      </c>
      <c r="D15" s="19">
        <v>5000000</v>
      </c>
      <c r="E15" s="19">
        <v>61937315</v>
      </c>
      <c r="F15" s="19">
        <v>83135436</v>
      </c>
      <c r="G15" s="19">
        <v>0</v>
      </c>
      <c r="H15" s="19">
        <v>31860000</v>
      </c>
      <c r="I15" s="19">
        <v>231000000</v>
      </c>
      <c r="J15" s="19" t="s">
        <v>4</v>
      </c>
      <c r="K15" s="19"/>
      <c r="L15" s="19" t="s">
        <v>130</v>
      </c>
      <c r="M15" s="19" t="s">
        <v>96</v>
      </c>
      <c r="N15" s="19">
        <v>0</v>
      </c>
      <c r="O15" s="19">
        <v>87613238</v>
      </c>
      <c r="P15" s="19">
        <v>14760000</v>
      </c>
      <c r="Q15" s="19"/>
      <c r="R15" s="19">
        <v>25800000</v>
      </c>
      <c r="S15" s="19">
        <v>70346197</v>
      </c>
      <c r="T15" s="19" t="s">
        <v>96</v>
      </c>
      <c r="U15" s="19">
        <v>3360000</v>
      </c>
      <c r="V15" s="19" t="s">
        <v>128</v>
      </c>
      <c r="W15" s="19">
        <v>190499954</v>
      </c>
      <c r="X15" s="19">
        <v>226299683</v>
      </c>
      <c r="Y15" s="19">
        <v>20000000</v>
      </c>
      <c r="Z15" s="19">
        <v>395296255</v>
      </c>
      <c r="AA15" s="19">
        <v>531522640</v>
      </c>
      <c r="AB15" s="19"/>
      <c r="AC15" s="19">
        <v>18000000</v>
      </c>
      <c r="AD15" s="19">
        <v>116155352</v>
      </c>
      <c r="AE15" s="19"/>
      <c r="AF15" s="19"/>
      <c r="AG15" s="19"/>
      <c r="AH15" s="19">
        <v>113500000</v>
      </c>
      <c r="AI15" s="19"/>
      <c r="AJ15" s="19"/>
      <c r="AK15" s="19" t="s">
        <v>89</v>
      </c>
      <c r="AL15" s="19">
        <v>107244134</v>
      </c>
      <c r="AM15" s="19" t="s">
        <v>4</v>
      </c>
      <c r="AN15" s="19"/>
      <c r="AO15" s="19"/>
      <c r="AP15" s="19">
        <v>30000000</v>
      </c>
      <c r="AQ15" s="19" t="s">
        <v>96</v>
      </c>
      <c r="AR15" s="19"/>
      <c r="AS15" s="19"/>
      <c r="AT15" s="19"/>
      <c r="AU15" s="19">
        <v>35487000</v>
      </c>
      <c r="AV15" s="19"/>
      <c r="AW15" s="19"/>
      <c r="AX15" s="19" t="s">
        <v>4</v>
      </c>
      <c r="AY15" s="19">
        <v>219150937</v>
      </c>
      <c r="AZ15" s="19">
        <v>14668501</v>
      </c>
      <c r="BA15" s="19">
        <v>41688539</v>
      </c>
      <c r="BB15" s="19"/>
      <c r="BC15" s="19" t="s">
        <v>4</v>
      </c>
      <c r="BD15" s="19" t="s">
        <v>128</v>
      </c>
      <c r="BE15" s="19"/>
      <c r="BF15" s="19"/>
      <c r="BG15" s="19"/>
      <c r="BH15" s="19">
        <v>6600000</v>
      </c>
      <c r="BI15" s="19"/>
      <c r="BJ15" s="19">
        <v>3972044</v>
      </c>
      <c r="BK15" s="19"/>
      <c r="BL15" s="19">
        <v>9875000</v>
      </c>
      <c r="BM15" s="19">
        <v>92055736</v>
      </c>
      <c r="BN15" s="19">
        <v>10870762</v>
      </c>
      <c r="BO15" s="19">
        <v>3629199</v>
      </c>
      <c r="BP15" s="19" t="s">
        <v>96</v>
      </c>
      <c r="BQ15" s="19" t="s">
        <v>4</v>
      </c>
      <c r="BR15" s="19"/>
      <c r="BS15" s="19">
        <v>50000</v>
      </c>
      <c r="BT15" s="19"/>
      <c r="BU15" s="19"/>
      <c r="BV15" s="19"/>
      <c r="BW15" s="19"/>
      <c r="BX15" s="19"/>
      <c r="BY15" s="19">
        <v>95972500</v>
      </c>
      <c r="BZ15" s="19"/>
      <c r="CA15" s="19">
        <v>10200000</v>
      </c>
      <c r="CB15" s="19">
        <v>94400000</v>
      </c>
      <c r="CC15" s="19">
        <v>3050000</v>
      </c>
      <c r="CD15" s="19">
        <v>300000</v>
      </c>
      <c r="CE15" s="19"/>
      <c r="CF15" s="19">
        <v>5000000</v>
      </c>
      <c r="CG15" s="19">
        <v>75110000</v>
      </c>
      <c r="CH15" s="19"/>
      <c r="CI15" s="19" t="s">
        <v>128</v>
      </c>
      <c r="CJ15" s="19" t="s">
        <v>89</v>
      </c>
      <c r="CK15" s="19">
        <v>18400000</v>
      </c>
      <c r="CL15" s="19">
        <v>1000000</v>
      </c>
      <c r="CM15" s="19">
        <v>395260909</v>
      </c>
      <c r="CN15" s="19">
        <v>26804</v>
      </c>
      <c r="CO15" s="19"/>
      <c r="CP15" s="19">
        <v>25300000</v>
      </c>
      <c r="CQ15" s="19" t="s">
        <v>96</v>
      </c>
      <c r="CR15" s="19"/>
      <c r="CS15" s="19">
        <v>152285680</v>
      </c>
      <c r="CT15" s="19">
        <v>3200061138</v>
      </c>
      <c r="CU15" s="19">
        <v>97624508</v>
      </c>
      <c r="CV15" s="19"/>
      <c r="CW15" s="19"/>
      <c r="CX15" s="19"/>
      <c r="CY15" s="19">
        <v>721830592</v>
      </c>
      <c r="CZ15" s="19"/>
      <c r="DA15" s="19"/>
      <c r="DB15" s="19"/>
      <c r="DC15" s="19"/>
      <c r="DD15" s="19">
        <v>178040</v>
      </c>
      <c r="DE15" s="19" t="s">
        <v>89</v>
      </c>
      <c r="DF15" s="19">
        <v>9000000</v>
      </c>
      <c r="DG15" s="19"/>
      <c r="DH15" s="19"/>
      <c r="DI15" s="19" t="s">
        <v>128</v>
      </c>
      <c r="DJ15" s="19">
        <v>3000000</v>
      </c>
      <c r="DK15" s="19">
        <v>124974920</v>
      </c>
      <c r="DL15" s="19"/>
      <c r="DM15" s="19"/>
      <c r="DN15" s="19">
        <v>6000000</v>
      </c>
      <c r="DO15" s="19">
        <v>7200000</v>
      </c>
      <c r="DP15" s="19"/>
      <c r="DQ15" s="19"/>
      <c r="DR15" s="19"/>
      <c r="DS15" s="19"/>
      <c r="DT15" s="19"/>
      <c r="DU15" s="19"/>
      <c r="DV15" s="19">
        <v>5000000</v>
      </c>
      <c r="DW15" s="19">
        <v>116022966</v>
      </c>
      <c r="DX15" s="19"/>
      <c r="DY15" s="19"/>
      <c r="DZ15" s="19">
        <v>52435304</v>
      </c>
      <c r="EA15" s="19"/>
      <c r="EB15" s="19"/>
      <c r="EC15" s="19"/>
      <c r="ED15" s="19"/>
      <c r="EE15" s="19">
        <v>6000000</v>
      </c>
      <c r="EF15" s="19"/>
      <c r="EG15" s="19">
        <v>90000000</v>
      </c>
      <c r="EH15" s="19">
        <v>40000000</v>
      </c>
      <c r="EI15" s="19"/>
      <c r="EJ15" s="19"/>
      <c r="EK15" s="19">
        <v>300000000</v>
      </c>
      <c r="EL15" s="19"/>
      <c r="EM15" s="19">
        <v>1000000</v>
      </c>
      <c r="EN15" s="19">
        <v>2500000</v>
      </c>
      <c r="EO15" s="19">
        <v>45100000</v>
      </c>
      <c r="EP15" s="19"/>
      <c r="EQ15" s="19"/>
      <c r="ER15" s="19">
        <v>2984000</v>
      </c>
      <c r="ES15" s="19"/>
      <c r="ET15" s="19"/>
      <c r="EU15" s="19">
        <v>100000000</v>
      </c>
      <c r="EV15" s="19"/>
      <c r="EW15" s="19">
        <v>8100000</v>
      </c>
      <c r="EX15" s="19">
        <v>75496000</v>
      </c>
      <c r="EY15" s="19">
        <v>352199712</v>
      </c>
      <c r="EZ15" s="19"/>
      <c r="FA15" s="19">
        <v>5000000</v>
      </c>
      <c r="FB15" s="19"/>
      <c r="FC15" s="19">
        <v>28167200</v>
      </c>
      <c r="FD15" s="19"/>
      <c r="FE15" s="19">
        <v>7669063</v>
      </c>
      <c r="FF15" s="19">
        <v>36932319</v>
      </c>
      <c r="FG15" s="19">
        <v>0</v>
      </c>
      <c r="FH15" s="19"/>
      <c r="FI15" s="19"/>
      <c r="FJ15" s="19"/>
      <c r="FK15" s="19">
        <v>371748</v>
      </c>
      <c r="FL15" s="19"/>
      <c r="FM15" s="19"/>
      <c r="FN15" s="19">
        <v>34038000</v>
      </c>
      <c r="FO15" s="19"/>
      <c r="FP15" s="19"/>
      <c r="FQ15" s="19"/>
      <c r="FR15" s="19"/>
      <c r="FS15" s="19"/>
      <c r="FT15" s="19">
        <v>375929</v>
      </c>
      <c r="FU15" s="19"/>
      <c r="FV15" s="19"/>
      <c r="FW15" s="19"/>
      <c r="FX15" s="19"/>
      <c r="FY15" s="19"/>
      <c r="FZ15" s="19"/>
      <c r="GA15" s="19"/>
      <c r="GB15" s="19"/>
      <c r="GC15" s="19">
        <v>1000000</v>
      </c>
      <c r="GD15" s="19" t="s">
        <v>96</v>
      </c>
      <c r="GE15" s="19"/>
      <c r="GF15" s="19"/>
      <c r="GG15" s="19"/>
      <c r="GH15" s="19"/>
      <c r="GI15" s="19"/>
      <c r="GJ15" s="19"/>
      <c r="GK15" s="19"/>
      <c r="GL15" s="19"/>
      <c r="GM15" s="19"/>
      <c r="GN15" s="19"/>
      <c r="GO15" s="19"/>
      <c r="GP15" s="19">
        <v>412064249</v>
      </c>
      <c r="GQ15" s="19"/>
      <c r="GR15" s="19"/>
      <c r="GS15" s="19"/>
      <c r="GT15" s="19"/>
      <c r="GU15" s="19"/>
      <c r="GV15" s="19">
        <v>687187752</v>
      </c>
      <c r="GW15" s="19"/>
      <c r="GX15" s="19"/>
      <c r="GY15" s="19"/>
      <c r="GZ15" s="19"/>
      <c r="HA15" s="19"/>
      <c r="HB15" s="37">
        <v>10279064</v>
      </c>
      <c r="HC15" s="19"/>
      <c r="HD15" s="19"/>
      <c r="HE15" s="19"/>
      <c r="HF15" s="19">
        <v>3800000</v>
      </c>
      <c r="HG15" s="19"/>
      <c r="HH15" s="19"/>
      <c r="HI15" s="19">
        <v>380000000</v>
      </c>
      <c r="HJ15" s="19"/>
      <c r="HK15" s="19"/>
      <c r="HL15" s="19"/>
      <c r="HM15" s="19"/>
      <c r="HN15" s="19">
        <v>301464715</v>
      </c>
      <c r="HO15" s="19">
        <v>51087430</v>
      </c>
      <c r="HP15" s="19"/>
      <c r="HQ15" s="41"/>
      <c r="HR15" s="41"/>
      <c r="HS15" s="41"/>
      <c r="HT15" s="41">
        <v>8032000</v>
      </c>
      <c r="HU15" s="41"/>
      <c r="HV15" s="41"/>
      <c r="HW15" s="41"/>
      <c r="HX15" s="41">
        <v>5610811</v>
      </c>
      <c r="HY15" s="41" t="s">
        <v>114</v>
      </c>
      <c r="HZ15" s="41">
        <v>74324215</v>
      </c>
      <c r="IA15" s="41"/>
      <c r="IB15" s="41"/>
      <c r="IC15" s="41"/>
      <c r="ID15" s="41"/>
      <c r="IE15" s="41" t="s">
        <v>4</v>
      </c>
      <c r="IF15" s="41"/>
      <c r="IG15" s="41">
        <v>4200000</v>
      </c>
      <c r="IH15" s="41">
        <v>3000000</v>
      </c>
      <c r="II15" s="41"/>
      <c r="IJ15" s="41"/>
      <c r="IK15" s="41"/>
      <c r="IL15" s="41"/>
      <c r="IM15" s="41"/>
      <c r="IN15" s="41"/>
      <c r="IO15" s="41"/>
      <c r="IP15" s="41">
        <v>4800000</v>
      </c>
      <c r="IQ15" s="41"/>
      <c r="IR15" s="41"/>
      <c r="IS15" s="41"/>
      <c r="IT15" s="41">
        <v>4621574</v>
      </c>
      <c r="IU15" s="41"/>
      <c r="IV15" s="41">
        <v>46140327</v>
      </c>
      <c r="IW15" s="41"/>
      <c r="IX15" s="41" t="s">
        <v>114</v>
      </c>
      <c r="IY15" s="41"/>
      <c r="IZ15" s="41">
        <v>10400000</v>
      </c>
      <c r="JA15" s="41">
        <v>1220000</v>
      </c>
      <c r="JB15" s="41">
        <v>500000</v>
      </c>
      <c r="JC15" s="41"/>
      <c r="JD15" s="41"/>
      <c r="JE15" s="41" t="s">
        <v>114</v>
      </c>
      <c r="JF15" s="41"/>
      <c r="JG15" s="41"/>
      <c r="JH15" s="41"/>
      <c r="JI15" s="41"/>
      <c r="JJ15" s="41">
        <v>17411881</v>
      </c>
      <c r="JK15" s="41">
        <v>132942613</v>
      </c>
      <c r="JL15" s="41"/>
      <c r="JM15" s="41"/>
      <c r="JN15" s="41"/>
      <c r="JO15" s="41"/>
      <c r="JP15" s="41" t="s">
        <v>4</v>
      </c>
      <c r="JQ15" s="41"/>
      <c r="JR15" s="41"/>
      <c r="JS15" s="41"/>
      <c r="JT15" s="41"/>
      <c r="JU15" s="41"/>
      <c r="JV15" s="41"/>
      <c r="JW15" s="41">
        <v>42560000</v>
      </c>
      <c r="JX15" s="41"/>
      <c r="JY15" s="41"/>
      <c r="JZ15" s="41"/>
      <c r="KA15" s="41"/>
      <c r="KB15" s="41"/>
      <c r="KC15" s="41">
        <v>410030000</v>
      </c>
      <c r="KD15" s="41">
        <v>209265000</v>
      </c>
    </row>
    <row r="16" spans="1:290">
      <c r="A16" s="7" t="s">
        <v>120</v>
      </c>
      <c r="B16" s="11" t="s">
        <v>151</v>
      </c>
      <c r="C16" s="19">
        <v>13085343</v>
      </c>
      <c r="D16" s="19">
        <v>1000514923</v>
      </c>
      <c r="E16" s="19">
        <v>311164144</v>
      </c>
      <c r="F16" s="19">
        <v>1116747897</v>
      </c>
      <c r="G16" s="19">
        <v>9243167</v>
      </c>
      <c r="H16" s="19">
        <v>52572783</v>
      </c>
      <c r="I16" s="19">
        <v>2429902590</v>
      </c>
      <c r="J16" s="19" t="s">
        <v>4</v>
      </c>
      <c r="K16" s="19">
        <v>236841115</v>
      </c>
      <c r="L16" s="19" t="s">
        <v>130</v>
      </c>
      <c r="M16" s="19" t="s">
        <v>96</v>
      </c>
      <c r="N16" s="19">
        <v>4012203</v>
      </c>
      <c r="O16" s="19">
        <v>3127453470</v>
      </c>
      <c r="P16" s="19">
        <v>998092695</v>
      </c>
      <c r="Q16" s="19">
        <v>2881746</v>
      </c>
      <c r="R16" s="19">
        <v>78658540</v>
      </c>
      <c r="S16" s="19">
        <v>6721781197</v>
      </c>
      <c r="T16" s="19" t="s">
        <v>96</v>
      </c>
      <c r="U16" s="19">
        <v>274948123</v>
      </c>
      <c r="V16" s="19" t="s">
        <v>128</v>
      </c>
      <c r="W16" s="19">
        <v>111651301</v>
      </c>
      <c r="X16" s="19">
        <v>4666602881</v>
      </c>
      <c r="Y16" s="19">
        <v>61440004</v>
      </c>
      <c r="Z16" s="19">
        <v>4654938727</v>
      </c>
      <c r="AA16" s="19">
        <v>658818907</v>
      </c>
      <c r="AB16" s="19">
        <v>6447849</v>
      </c>
      <c r="AC16" s="19">
        <v>1241261325</v>
      </c>
      <c r="AD16" s="19">
        <v>5394472978</v>
      </c>
      <c r="AE16" s="19">
        <v>4905087753</v>
      </c>
      <c r="AF16" s="19">
        <v>520072730</v>
      </c>
      <c r="AG16" s="19">
        <v>147147559</v>
      </c>
      <c r="AH16" s="19">
        <v>211573532</v>
      </c>
      <c r="AI16" s="19">
        <v>185484493</v>
      </c>
      <c r="AJ16" s="19">
        <v>10506493</v>
      </c>
      <c r="AK16" s="19" t="s">
        <v>89</v>
      </c>
      <c r="AL16" s="19">
        <v>1753006262</v>
      </c>
      <c r="AM16" s="19" t="s">
        <v>4</v>
      </c>
      <c r="AN16" s="19">
        <v>443109418</v>
      </c>
      <c r="AO16" s="19">
        <v>29706936</v>
      </c>
      <c r="AP16" s="19">
        <v>9478963</v>
      </c>
      <c r="AQ16" s="19" t="s">
        <v>96</v>
      </c>
      <c r="AR16" s="19">
        <v>82566142</v>
      </c>
      <c r="AS16" s="19">
        <v>63111733</v>
      </c>
      <c r="AT16" s="19">
        <v>1809454133</v>
      </c>
      <c r="AU16" s="19">
        <v>1655806079</v>
      </c>
      <c r="AV16" s="19">
        <v>17522931</v>
      </c>
      <c r="AW16" s="19">
        <v>604057414</v>
      </c>
      <c r="AX16" s="19" t="s">
        <v>4</v>
      </c>
      <c r="AY16" s="19">
        <v>185037640</v>
      </c>
      <c r="AZ16" s="19">
        <v>208321730</v>
      </c>
      <c r="BA16" s="19">
        <v>861070839</v>
      </c>
      <c r="BB16" s="19"/>
      <c r="BC16" s="19" t="s">
        <v>4</v>
      </c>
      <c r="BD16" s="19" t="s">
        <v>128</v>
      </c>
      <c r="BE16" s="19">
        <v>961604442</v>
      </c>
      <c r="BF16" s="19">
        <v>459584550</v>
      </c>
      <c r="BG16" s="19">
        <v>26301090</v>
      </c>
      <c r="BH16" s="19">
        <v>725324012</v>
      </c>
      <c r="BI16" s="19">
        <v>11925321</v>
      </c>
      <c r="BJ16" s="19">
        <v>24703260</v>
      </c>
      <c r="BK16" s="19">
        <v>102219170</v>
      </c>
      <c r="BL16" s="19">
        <v>3355291</v>
      </c>
      <c r="BM16" s="19">
        <v>734093439</v>
      </c>
      <c r="BN16" s="19">
        <v>54753672</v>
      </c>
      <c r="BO16" s="19">
        <v>5387071</v>
      </c>
      <c r="BP16" s="19" t="s">
        <v>96</v>
      </c>
      <c r="BQ16" s="19" t="s">
        <v>4</v>
      </c>
      <c r="BR16" s="19">
        <v>175438429</v>
      </c>
      <c r="BS16" s="19">
        <v>38030135</v>
      </c>
      <c r="BT16" s="19">
        <v>16080643</v>
      </c>
      <c r="BU16" s="19">
        <v>52694356</v>
      </c>
      <c r="BV16" s="19">
        <v>183030</v>
      </c>
      <c r="BW16" s="19">
        <v>8192328</v>
      </c>
      <c r="BX16" s="19">
        <v>11316766</v>
      </c>
      <c r="BY16" s="19">
        <v>109286869</v>
      </c>
      <c r="BZ16" s="19">
        <v>783864</v>
      </c>
      <c r="CA16" s="19">
        <v>264708208</v>
      </c>
      <c r="CB16" s="19">
        <v>79531334</v>
      </c>
      <c r="CC16" s="19"/>
      <c r="CD16" s="19">
        <v>16173986</v>
      </c>
      <c r="CE16" s="19">
        <v>17000</v>
      </c>
      <c r="CF16" s="19">
        <v>2649949</v>
      </c>
      <c r="CG16" s="19">
        <v>59154947</v>
      </c>
      <c r="CH16" s="19">
        <v>14748704</v>
      </c>
      <c r="CI16" s="19" t="s">
        <v>128</v>
      </c>
      <c r="CJ16" s="19" t="s">
        <v>89</v>
      </c>
      <c r="CK16" s="19">
        <v>6419012008</v>
      </c>
      <c r="CL16" s="19">
        <v>607373505</v>
      </c>
      <c r="CM16" s="19">
        <v>763643214</v>
      </c>
      <c r="CN16" s="19">
        <v>20890858</v>
      </c>
      <c r="CO16" s="19">
        <v>18346619</v>
      </c>
      <c r="CP16" s="19">
        <v>100526795</v>
      </c>
      <c r="CQ16" s="19" t="s">
        <v>96</v>
      </c>
      <c r="CR16" s="19">
        <v>22209752</v>
      </c>
      <c r="CS16" s="19">
        <v>178456561</v>
      </c>
      <c r="CT16" s="19">
        <v>34973912</v>
      </c>
      <c r="CU16" s="19">
        <v>48294053</v>
      </c>
      <c r="CV16" s="19"/>
      <c r="CW16" s="19">
        <v>154705380</v>
      </c>
      <c r="CX16" s="19">
        <v>147147559</v>
      </c>
      <c r="CY16" s="19">
        <v>1740445899</v>
      </c>
      <c r="CZ16" s="19">
        <v>126958687</v>
      </c>
      <c r="DA16" s="19">
        <v>24296905</v>
      </c>
      <c r="DB16" s="19">
        <v>40615646</v>
      </c>
      <c r="DC16" s="19">
        <v>5748783</v>
      </c>
      <c r="DD16" s="19">
        <v>111703478</v>
      </c>
      <c r="DE16" s="19" t="s">
        <v>89</v>
      </c>
      <c r="DF16" s="19">
        <v>6080130</v>
      </c>
      <c r="DG16" s="19">
        <v>102545508</v>
      </c>
      <c r="DH16" s="19">
        <v>59076877</v>
      </c>
      <c r="DI16" s="19" t="s">
        <v>128</v>
      </c>
      <c r="DJ16" s="19">
        <v>868639</v>
      </c>
      <c r="DK16" s="19">
        <v>3831274959</v>
      </c>
      <c r="DL16" s="19">
        <v>12437907</v>
      </c>
      <c r="DM16" s="19">
        <v>45779071</v>
      </c>
      <c r="DN16" s="19">
        <v>33276651</v>
      </c>
      <c r="DO16" s="19">
        <v>43637589</v>
      </c>
      <c r="DP16" s="19">
        <v>938519874</v>
      </c>
      <c r="DQ16" s="19">
        <v>4221191</v>
      </c>
      <c r="DR16" s="19">
        <v>4817633472</v>
      </c>
      <c r="DS16" s="19">
        <v>56122215</v>
      </c>
      <c r="DT16" s="19">
        <v>974330722</v>
      </c>
      <c r="DU16" s="19">
        <v>6402552</v>
      </c>
      <c r="DV16" s="19">
        <v>14421000</v>
      </c>
      <c r="DW16" s="19">
        <v>852277987</v>
      </c>
      <c r="DX16" s="19">
        <v>85302110</v>
      </c>
      <c r="DY16" s="19">
        <v>61389103</v>
      </c>
      <c r="DZ16" s="19">
        <v>19266720</v>
      </c>
      <c r="EA16" s="19">
        <v>33571210</v>
      </c>
      <c r="EB16" s="19">
        <v>2590385510</v>
      </c>
      <c r="EC16" s="19"/>
      <c r="ED16" s="19">
        <v>23732547</v>
      </c>
      <c r="EE16" s="19">
        <v>173723465</v>
      </c>
      <c r="EF16" s="19">
        <v>2965818366</v>
      </c>
      <c r="EG16" s="19">
        <v>1315535639</v>
      </c>
      <c r="EH16" s="19">
        <v>6526911732</v>
      </c>
      <c r="EI16" s="19">
        <v>155284798</v>
      </c>
      <c r="EJ16" s="19">
        <v>4513258</v>
      </c>
      <c r="EK16" s="19">
        <v>1321521</v>
      </c>
      <c r="EL16" s="19">
        <v>464599501</v>
      </c>
      <c r="EM16" s="19">
        <v>13557590</v>
      </c>
      <c r="EN16" s="19">
        <v>134187356</v>
      </c>
      <c r="EO16" s="19">
        <v>135731662</v>
      </c>
      <c r="EP16" s="19">
        <v>339349877</v>
      </c>
      <c r="EQ16" s="19"/>
      <c r="ER16" s="19">
        <v>1093374948</v>
      </c>
      <c r="ES16" s="19">
        <v>2470763755</v>
      </c>
      <c r="ET16" s="19">
        <v>978743863</v>
      </c>
      <c r="EU16" s="19">
        <v>77979131</v>
      </c>
      <c r="EV16" s="19">
        <v>1315706</v>
      </c>
      <c r="EW16" s="19">
        <v>53438796</v>
      </c>
      <c r="EX16" s="19">
        <v>2216966100</v>
      </c>
      <c r="EY16" s="19">
        <v>2620566840</v>
      </c>
      <c r="EZ16" s="19">
        <v>201596152</v>
      </c>
      <c r="FA16" s="19">
        <v>2090539771</v>
      </c>
      <c r="FB16" s="19">
        <v>226639443</v>
      </c>
      <c r="FC16" s="19">
        <v>412478494</v>
      </c>
      <c r="FD16" s="19">
        <v>75277886</v>
      </c>
      <c r="FE16" s="19">
        <v>90859651</v>
      </c>
      <c r="FF16" s="19"/>
      <c r="FG16" s="19">
        <v>19523014</v>
      </c>
      <c r="FH16" s="19">
        <v>26442180</v>
      </c>
      <c r="FI16" s="19">
        <v>1348688</v>
      </c>
      <c r="FJ16" s="19">
        <v>11615788</v>
      </c>
      <c r="FK16" s="19">
        <v>229188527</v>
      </c>
      <c r="FL16" s="19">
        <v>12849632</v>
      </c>
      <c r="FM16" s="19"/>
      <c r="FN16" s="19">
        <v>550287795</v>
      </c>
      <c r="FO16" s="19"/>
      <c r="FP16" s="19">
        <v>12167842</v>
      </c>
      <c r="FQ16" s="19">
        <v>45693935</v>
      </c>
      <c r="FR16" s="19"/>
      <c r="FS16" s="19">
        <v>7616034</v>
      </c>
      <c r="FT16" s="19">
        <v>536161343</v>
      </c>
      <c r="FU16" s="19"/>
      <c r="FV16" s="19">
        <v>147217361</v>
      </c>
      <c r="FW16" s="19">
        <v>6101426</v>
      </c>
      <c r="FX16" s="19">
        <v>3706815</v>
      </c>
      <c r="FY16" s="19">
        <v>70745565</v>
      </c>
      <c r="FZ16" s="19">
        <v>55526519</v>
      </c>
      <c r="GA16" s="19">
        <v>9277350</v>
      </c>
      <c r="GB16" s="19">
        <v>9081946</v>
      </c>
      <c r="GC16" s="19">
        <v>3000</v>
      </c>
      <c r="GD16" s="19" t="s">
        <v>96</v>
      </c>
      <c r="GE16" s="19">
        <v>21158385</v>
      </c>
      <c r="GF16" s="19">
        <v>34495300</v>
      </c>
      <c r="GG16" s="19">
        <v>281654532</v>
      </c>
      <c r="GH16" s="19"/>
      <c r="GI16" s="19">
        <v>1702239</v>
      </c>
      <c r="GJ16" s="19">
        <v>15140310</v>
      </c>
      <c r="GK16" s="19">
        <v>29523261</v>
      </c>
      <c r="GL16" s="19">
        <v>54471173</v>
      </c>
      <c r="GM16" s="19">
        <v>68186874</v>
      </c>
      <c r="GN16" s="19">
        <v>828254416</v>
      </c>
      <c r="GO16" s="19">
        <v>246521310</v>
      </c>
      <c r="GP16" s="19">
        <v>1856391783</v>
      </c>
      <c r="GQ16" s="19">
        <v>15314912</v>
      </c>
      <c r="GR16" s="19">
        <v>153234414</v>
      </c>
      <c r="GS16" s="19"/>
      <c r="GT16" s="19">
        <v>181235787</v>
      </c>
      <c r="GU16" s="19"/>
      <c r="GV16" s="19">
        <v>354187508</v>
      </c>
      <c r="GW16" s="19">
        <v>967013764</v>
      </c>
      <c r="GX16" s="19">
        <v>397423515</v>
      </c>
      <c r="GY16" s="19">
        <v>45902832</v>
      </c>
      <c r="GZ16" s="19">
        <v>4102573309</v>
      </c>
      <c r="HA16" s="19">
        <v>265564576</v>
      </c>
      <c r="HB16" s="37">
        <v>11689998</v>
      </c>
      <c r="HC16" s="19">
        <v>343575000</v>
      </c>
      <c r="HD16" s="19">
        <v>19831459</v>
      </c>
      <c r="HE16" s="19">
        <v>16270800</v>
      </c>
      <c r="HF16" s="19">
        <v>182094148</v>
      </c>
      <c r="HG16" s="19">
        <v>30300917</v>
      </c>
      <c r="HH16" s="19">
        <v>6597984</v>
      </c>
      <c r="HI16" s="19">
        <v>15024907</v>
      </c>
      <c r="HJ16" s="19">
        <v>325181821</v>
      </c>
      <c r="HK16" s="19">
        <v>400579491</v>
      </c>
      <c r="HL16" s="19">
        <v>25715075</v>
      </c>
      <c r="HM16" s="19">
        <v>60093528</v>
      </c>
      <c r="HN16" s="19">
        <v>498604</v>
      </c>
      <c r="HO16" s="19">
        <v>583303171</v>
      </c>
      <c r="HP16" s="19">
        <v>77696797</v>
      </c>
      <c r="HQ16" s="41"/>
      <c r="HR16" s="41">
        <v>140958737</v>
      </c>
      <c r="HS16" s="41">
        <v>54953182</v>
      </c>
      <c r="HT16" s="41">
        <v>369859</v>
      </c>
      <c r="HU16" s="41">
        <v>40669465</v>
      </c>
      <c r="HV16" s="41">
        <v>12537629</v>
      </c>
      <c r="HW16" s="41">
        <v>417897489</v>
      </c>
      <c r="HX16" s="41">
        <v>948669297</v>
      </c>
      <c r="HY16" s="41" t="s">
        <v>114</v>
      </c>
      <c r="HZ16" s="41">
        <v>4995412684</v>
      </c>
      <c r="IA16" s="41">
        <v>29144403</v>
      </c>
      <c r="IB16" s="41">
        <v>49123454</v>
      </c>
      <c r="IC16" s="41">
        <v>96817651</v>
      </c>
      <c r="ID16" s="41">
        <v>11439663</v>
      </c>
      <c r="IE16" s="41" t="s">
        <v>4</v>
      </c>
      <c r="IF16" s="41">
        <v>5341796</v>
      </c>
      <c r="IG16" s="41">
        <v>872417</v>
      </c>
      <c r="IH16" s="41">
        <v>23773301</v>
      </c>
      <c r="II16" s="41">
        <v>67487000</v>
      </c>
      <c r="IJ16" s="41">
        <v>298729835</v>
      </c>
      <c r="IK16" s="41">
        <v>27935239</v>
      </c>
      <c r="IL16" s="41">
        <v>786610</v>
      </c>
      <c r="IM16" s="41">
        <v>11459227</v>
      </c>
      <c r="IN16" s="41">
        <v>73088886</v>
      </c>
      <c r="IO16" s="41"/>
      <c r="IP16" s="41">
        <v>25413063</v>
      </c>
      <c r="IQ16" s="41">
        <v>13236811</v>
      </c>
      <c r="IR16" s="41">
        <v>45140415</v>
      </c>
      <c r="IS16" s="41">
        <v>5972858637</v>
      </c>
      <c r="IT16" s="41">
        <v>27010163</v>
      </c>
      <c r="IU16" s="41">
        <v>58604940</v>
      </c>
      <c r="IV16" s="41"/>
      <c r="IW16" s="41">
        <v>43851589</v>
      </c>
      <c r="IX16" s="41" t="s">
        <v>114</v>
      </c>
      <c r="IY16" s="41">
        <v>3400000</v>
      </c>
      <c r="IZ16" s="41">
        <v>3514509682</v>
      </c>
      <c r="JA16" s="41">
        <v>16302361</v>
      </c>
      <c r="JB16" s="41">
        <v>1524625</v>
      </c>
      <c r="JC16" s="41">
        <v>20126213</v>
      </c>
      <c r="JD16" s="41">
        <v>55262883</v>
      </c>
      <c r="JE16" s="41" t="s">
        <v>114</v>
      </c>
      <c r="JF16" s="41">
        <v>28249287</v>
      </c>
      <c r="JG16" s="41">
        <v>190502798</v>
      </c>
      <c r="JH16" s="41">
        <v>2021905</v>
      </c>
      <c r="JI16" s="41">
        <v>4225223</v>
      </c>
      <c r="JJ16" s="41">
        <v>1296449068</v>
      </c>
      <c r="JK16" s="41">
        <v>571941656</v>
      </c>
      <c r="JL16" s="41"/>
      <c r="JM16" s="41">
        <v>26977000</v>
      </c>
      <c r="JN16" s="41">
        <v>82625432</v>
      </c>
      <c r="JO16" s="41">
        <v>42315721</v>
      </c>
      <c r="JP16" s="41" t="s">
        <v>4</v>
      </c>
      <c r="JQ16" s="41">
        <v>110867184</v>
      </c>
      <c r="JR16" s="41">
        <v>513918590</v>
      </c>
      <c r="JS16" s="41">
        <v>14181936</v>
      </c>
      <c r="JT16" s="41"/>
      <c r="JU16" s="41">
        <v>100915616</v>
      </c>
      <c r="JV16" s="41">
        <v>49303182</v>
      </c>
      <c r="JW16" s="41">
        <v>334039385</v>
      </c>
      <c r="JX16" s="41">
        <v>876932</v>
      </c>
      <c r="JY16" s="41">
        <v>540711609</v>
      </c>
      <c r="JZ16" s="41">
        <v>61611300</v>
      </c>
      <c r="KA16" s="41">
        <v>2000</v>
      </c>
      <c r="KB16" s="41">
        <v>12498253</v>
      </c>
      <c r="KC16" s="41">
        <v>1600205613</v>
      </c>
      <c r="KD16" s="41">
        <v>7068039</v>
      </c>
    </row>
    <row r="17" spans="1:290">
      <c r="A17" s="7" t="s">
        <v>120</v>
      </c>
      <c r="B17" s="11" t="s">
        <v>27</v>
      </c>
      <c r="C17" s="19">
        <v>3000</v>
      </c>
      <c r="D17" s="19">
        <v>0</v>
      </c>
      <c r="E17" s="19">
        <v>231493074</v>
      </c>
      <c r="F17" s="19">
        <v>35040240</v>
      </c>
      <c r="G17" s="19">
        <v>426667</v>
      </c>
      <c r="H17" s="19">
        <v>80000</v>
      </c>
      <c r="I17" s="19">
        <v>0</v>
      </c>
      <c r="J17" s="19" t="s">
        <v>4</v>
      </c>
      <c r="K17" s="19">
        <v>427200</v>
      </c>
      <c r="L17" s="19" t="s">
        <v>130</v>
      </c>
      <c r="M17" s="19" t="s">
        <v>96</v>
      </c>
      <c r="N17" s="19">
        <v>145702629</v>
      </c>
      <c r="O17" s="19">
        <v>52837300</v>
      </c>
      <c r="P17" s="19">
        <v>13943814</v>
      </c>
      <c r="Q17" s="19">
        <v>10240455</v>
      </c>
      <c r="R17" s="19">
        <v>5400000</v>
      </c>
      <c r="S17" s="19">
        <v>162971470</v>
      </c>
      <c r="T17" s="19" t="s">
        <v>96</v>
      </c>
      <c r="U17" s="19">
        <v>0</v>
      </c>
      <c r="V17" s="19" t="s">
        <v>128</v>
      </c>
      <c r="W17" s="19">
        <v>46258497</v>
      </c>
      <c r="X17" s="19">
        <v>0</v>
      </c>
      <c r="Y17" s="19">
        <v>155102799</v>
      </c>
      <c r="Z17" s="19">
        <v>458413438</v>
      </c>
      <c r="AA17" s="19">
        <v>0</v>
      </c>
      <c r="AB17" s="19">
        <v>1000</v>
      </c>
      <c r="AC17" s="19">
        <v>440240</v>
      </c>
      <c r="AD17" s="19">
        <v>0</v>
      </c>
      <c r="AE17" s="19">
        <v>93318966</v>
      </c>
      <c r="AF17" s="19">
        <v>0</v>
      </c>
      <c r="AG17" s="19">
        <v>27882244</v>
      </c>
      <c r="AH17" s="19">
        <v>35777929</v>
      </c>
      <c r="AI17" s="19">
        <v>84710266</v>
      </c>
      <c r="AJ17" s="19">
        <v>118586740</v>
      </c>
      <c r="AK17" s="19" t="s">
        <v>89</v>
      </c>
      <c r="AL17" s="19">
        <v>30821000</v>
      </c>
      <c r="AM17" s="19" t="s">
        <v>4</v>
      </c>
      <c r="AN17" s="19">
        <v>44794111</v>
      </c>
      <c r="AO17" s="19">
        <v>128240304</v>
      </c>
      <c r="AP17" s="19">
        <v>242338</v>
      </c>
      <c r="AQ17" s="19" t="s">
        <v>96</v>
      </c>
      <c r="AR17" s="19">
        <v>58900120</v>
      </c>
      <c r="AS17" s="19">
        <v>4000</v>
      </c>
      <c r="AT17" s="19">
        <v>74414200</v>
      </c>
      <c r="AU17" s="19">
        <v>1000000</v>
      </c>
      <c r="AV17" s="19">
        <v>0</v>
      </c>
      <c r="AW17" s="19">
        <v>0</v>
      </c>
      <c r="AX17" s="19" t="s">
        <v>4</v>
      </c>
      <c r="AY17" s="19">
        <v>42772038</v>
      </c>
      <c r="AZ17" s="19">
        <v>5500001</v>
      </c>
      <c r="BA17" s="19">
        <v>152864693</v>
      </c>
      <c r="BB17" s="19">
        <v>10715156</v>
      </c>
      <c r="BC17" s="19" t="s">
        <v>4</v>
      </c>
      <c r="BD17" s="19" t="s">
        <v>128</v>
      </c>
      <c r="BE17" s="19">
        <v>769622701</v>
      </c>
      <c r="BF17" s="19">
        <v>534260746</v>
      </c>
      <c r="BG17" s="19">
        <v>21648279</v>
      </c>
      <c r="BH17" s="19">
        <v>4000</v>
      </c>
      <c r="BI17" s="19">
        <v>5622497</v>
      </c>
      <c r="BJ17" s="19">
        <v>8025001</v>
      </c>
      <c r="BK17" s="19">
        <v>52598073</v>
      </c>
      <c r="BL17" s="19">
        <v>7676847</v>
      </c>
      <c r="BM17" s="19">
        <v>3602497</v>
      </c>
      <c r="BN17" s="19">
        <v>2788220</v>
      </c>
      <c r="BO17" s="19">
        <v>52964098</v>
      </c>
      <c r="BP17" s="19" t="s">
        <v>96</v>
      </c>
      <c r="BQ17" s="19" t="s">
        <v>4</v>
      </c>
      <c r="BR17" s="19">
        <v>650055</v>
      </c>
      <c r="BS17" s="19">
        <v>0</v>
      </c>
      <c r="BT17" s="19">
        <v>0</v>
      </c>
      <c r="BU17" s="19">
        <v>561825979</v>
      </c>
      <c r="BV17" s="19">
        <v>0</v>
      </c>
      <c r="BW17" s="19">
        <v>0</v>
      </c>
      <c r="BX17" s="19">
        <v>36180000</v>
      </c>
      <c r="BY17" s="19">
        <v>220647263</v>
      </c>
      <c r="BZ17" s="19">
        <v>0</v>
      </c>
      <c r="CA17" s="19">
        <v>78747989</v>
      </c>
      <c r="CB17" s="19">
        <v>867001</v>
      </c>
      <c r="CC17" s="19">
        <v>0</v>
      </c>
      <c r="CD17" s="19">
        <v>0</v>
      </c>
      <c r="CE17" s="19">
        <v>30729000</v>
      </c>
      <c r="CF17" s="19">
        <v>2823490</v>
      </c>
      <c r="CG17" s="19">
        <v>0</v>
      </c>
      <c r="CH17" s="19">
        <v>1380380</v>
      </c>
      <c r="CI17" s="19" t="s">
        <v>128</v>
      </c>
      <c r="CJ17" s="19" t="s">
        <v>89</v>
      </c>
      <c r="CK17" s="19">
        <v>0</v>
      </c>
      <c r="CL17" s="19">
        <v>28829337</v>
      </c>
      <c r="CM17" s="19">
        <v>0</v>
      </c>
      <c r="CN17" s="19">
        <v>1740000</v>
      </c>
      <c r="CO17" s="19">
        <v>1000</v>
      </c>
      <c r="CP17" s="19">
        <v>109163636</v>
      </c>
      <c r="CQ17" s="19" t="s">
        <v>96</v>
      </c>
      <c r="CR17" s="19">
        <v>0</v>
      </c>
      <c r="CS17" s="19">
        <v>807959385</v>
      </c>
      <c r="CT17" s="19">
        <v>573400</v>
      </c>
      <c r="CU17" s="19">
        <v>0</v>
      </c>
      <c r="CV17" s="19">
        <v>0</v>
      </c>
      <c r="CW17" s="19">
        <v>0</v>
      </c>
      <c r="CX17" s="19">
        <v>27882244</v>
      </c>
      <c r="CY17" s="19">
        <v>25506487</v>
      </c>
      <c r="CZ17" s="19">
        <v>0</v>
      </c>
      <c r="DA17" s="19">
        <v>0</v>
      </c>
      <c r="DB17" s="19">
        <v>0</v>
      </c>
      <c r="DC17" s="19">
        <v>0</v>
      </c>
      <c r="DD17" s="19">
        <v>0</v>
      </c>
      <c r="DE17" s="19" t="s">
        <v>89</v>
      </c>
      <c r="DF17" s="19">
        <v>0</v>
      </c>
      <c r="DG17" s="19">
        <v>63163638</v>
      </c>
      <c r="DH17" s="19">
        <v>29544136</v>
      </c>
      <c r="DI17" s="19" t="s">
        <v>128</v>
      </c>
      <c r="DJ17" s="19">
        <v>727275</v>
      </c>
      <c r="DK17" s="19">
        <v>553100637</v>
      </c>
      <c r="DL17" s="19">
        <v>13636362</v>
      </c>
      <c r="DM17" s="19">
        <v>0</v>
      </c>
      <c r="DN17" s="19">
        <v>125187520</v>
      </c>
      <c r="DO17" s="19">
        <v>312000</v>
      </c>
      <c r="DP17" s="19">
        <v>1987931</v>
      </c>
      <c r="DQ17" s="19">
        <v>0</v>
      </c>
      <c r="DR17" s="19">
        <v>1064120</v>
      </c>
      <c r="DS17" s="19">
        <v>0</v>
      </c>
      <c r="DT17" s="19">
        <v>102484247</v>
      </c>
      <c r="DU17" s="19">
        <v>7185335</v>
      </c>
      <c r="DV17" s="19">
        <v>0</v>
      </c>
      <c r="DW17" s="19">
        <v>18286531</v>
      </c>
      <c r="DX17" s="19">
        <v>676492728</v>
      </c>
      <c r="DY17" s="19">
        <v>0</v>
      </c>
      <c r="DZ17" s="19">
        <v>0</v>
      </c>
      <c r="EA17" s="19">
        <v>0</v>
      </c>
      <c r="EB17" s="19">
        <v>1117185</v>
      </c>
      <c r="EC17" s="19">
        <v>10850190</v>
      </c>
      <c r="ED17" s="19">
        <v>0</v>
      </c>
      <c r="EE17" s="19">
        <v>0</v>
      </c>
      <c r="EF17" s="19">
        <v>42179689</v>
      </c>
      <c r="EG17" s="19">
        <v>1089824982</v>
      </c>
      <c r="EH17" s="19">
        <v>7494546</v>
      </c>
      <c r="EI17" s="19">
        <v>46940664</v>
      </c>
      <c r="EJ17" s="19">
        <v>266667</v>
      </c>
      <c r="EK17" s="19">
        <v>14164082</v>
      </c>
      <c r="EL17" s="19">
        <v>0</v>
      </c>
      <c r="EM17" s="19">
        <v>0</v>
      </c>
      <c r="EN17" s="19">
        <v>5502000</v>
      </c>
      <c r="EO17" s="19">
        <v>13588944</v>
      </c>
      <c r="EP17" s="19">
        <v>0</v>
      </c>
      <c r="EQ17" s="19">
        <v>0</v>
      </c>
      <c r="ER17" s="19">
        <v>4401016</v>
      </c>
      <c r="ES17" s="19">
        <v>10168169</v>
      </c>
      <c r="ET17" s="19">
        <v>285176375</v>
      </c>
      <c r="EU17" s="19">
        <v>7600</v>
      </c>
      <c r="EV17" s="19">
        <v>0</v>
      </c>
      <c r="EW17" s="19">
        <v>19055346</v>
      </c>
      <c r="EX17" s="19">
        <v>24308667</v>
      </c>
      <c r="EY17" s="19">
        <v>0</v>
      </c>
      <c r="EZ17" s="19">
        <v>31573788</v>
      </c>
      <c r="FA17" s="19">
        <v>22650000</v>
      </c>
      <c r="FB17" s="19">
        <v>15073675</v>
      </c>
      <c r="FC17" s="19">
        <v>40900000</v>
      </c>
      <c r="FD17" s="19">
        <v>0</v>
      </c>
      <c r="FE17" s="19">
        <v>29349340</v>
      </c>
      <c r="FF17" s="19">
        <v>0</v>
      </c>
      <c r="FG17" s="19">
        <v>20708234</v>
      </c>
      <c r="FH17" s="19">
        <v>100888412</v>
      </c>
      <c r="FI17" s="19">
        <v>0</v>
      </c>
      <c r="FJ17" s="19">
        <v>0</v>
      </c>
      <c r="FK17" s="19">
        <v>0</v>
      </c>
      <c r="FL17" s="19">
        <v>800120</v>
      </c>
      <c r="FM17" s="19">
        <v>138515100</v>
      </c>
      <c r="FN17" s="19">
        <v>269796874</v>
      </c>
      <c r="FO17" s="19">
        <v>0</v>
      </c>
      <c r="FP17" s="19">
        <v>150803402</v>
      </c>
      <c r="FQ17" s="19">
        <v>9795600</v>
      </c>
      <c r="FR17" s="19">
        <v>71420655</v>
      </c>
      <c r="FS17" s="19">
        <v>25181815</v>
      </c>
      <c r="FT17" s="19">
        <v>175174234</v>
      </c>
      <c r="FU17" s="19">
        <v>0</v>
      </c>
      <c r="FV17" s="19">
        <v>918075194</v>
      </c>
      <c r="FW17" s="19">
        <v>0</v>
      </c>
      <c r="FX17" s="19">
        <v>0</v>
      </c>
      <c r="FY17" s="19">
        <v>12480000</v>
      </c>
      <c r="FZ17" s="19">
        <v>174779858</v>
      </c>
      <c r="GA17" s="19">
        <v>4364073</v>
      </c>
      <c r="GB17" s="19">
        <v>0</v>
      </c>
      <c r="GC17" s="19">
        <v>33486380</v>
      </c>
      <c r="GD17" s="19" t="s">
        <v>96</v>
      </c>
      <c r="GE17" s="19">
        <v>33671881</v>
      </c>
      <c r="GF17" s="19">
        <v>0</v>
      </c>
      <c r="GG17" s="19">
        <v>5693820</v>
      </c>
      <c r="GH17" s="19">
        <v>0</v>
      </c>
      <c r="GI17" s="19">
        <v>0</v>
      </c>
      <c r="GJ17" s="19">
        <v>0</v>
      </c>
      <c r="GK17" s="19">
        <v>3079069</v>
      </c>
      <c r="GL17" s="19">
        <v>0</v>
      </c>
      <c r="GM17" s="19">
        <v>0</v>
      </c>
      <c r="GN17" s="19">
        <v>374136363</v>
      </c>
      <c r="GO17" s="19">
        <v>818403924</v>
      </c>
      <c r="GP17" s="19">
        <v>88274366</v>
      </c>
      <c r="GQ17" s="19">
        <v>0</v>
      </c>
      <c r="GR17" s="19">
        <v>174252273</v>
      </c>
      <c r="GS17" s="19">
        <v>0</v>
      </c>
      <c r="GT17" s="19">
        <v>40000000</v>
      </c>
      <c r="GU17" s="19">
        <v>0</v>
      </c>
      <c r="GV17" s="19">
        <v>568541</v>
      </c>
      <c r="GW17" s="19">
        <v>928915560</v>
      </c>
      <c r="GX17" s="19">
        <v>0</v>
      </c>
      <c r="GY17" s="19">
        <v>23186126</v>
      </c>
      <c r="GZ17" s="19">
        <v>12206255</v>
      </c>
      <c r="HA17" s="19">
        <v>686909</v>
      </c>
      <c r="HB17" s="37">
        <v>1040096</v>
      </c>
      <c r="HC17" s="19">
        <v>0</v>
      </c>
      <c r="HD17" s="19">
        <v>0</v>
      </c>
      <c r="HE17" s="19">
        <v>18951331</v>
      </c>
      <c r="HF17" s="19">
        <v>0</v>
      </c>
      <c r="HG17" s="19">
        <v>3000000</v>
      </c>
      <c r="HH17" s="19">
        <v>0</v>
      </c>
      <c r="HI17" s="19">
        <v>898740</v>
      </c>
      <c r="HJ17" s="19">
        <v>0</v>
      </c>
      <c r="HK17" s="19">
        <v>48914947</v>
      </c>
      <c r="HL17" s="19">
        <v>19681818</v>
      </c>
      <c r="HM17" s="19">
        <v>0</v>
      </c>
      <c r="HN17" s="19">
        <v>33333334</v>
      </c>
      <c r="HO17" s="19">
        <v>12600000</v>
      </c>
      <c r="HP17" s="19">
        <v>34045455</v>
      </c>
      <c r="HQ17" s="41">
        <v>0</v>
      </c>
      <c r="HR17" s="41">
        <v>2397516</v>
      </c>
      <c r="HS17" s="41">
        <v>990491</v>
      </c>
      <c r="HT17" s="41">
        <v>0</v>
      </c>
      <c r="HU17" s="41">
        <v>96848150</v>
      </c>
      <c r="HV17" s="41">
        <v>0</v>
      </c>
      <c r="HW17" s="41">
        <v>17514319</v>
      </c>
      <c r="HX17" s="41">
        <v>133561486</v>
      </c>
      <c r="HY17" s="41" t="s">
        <v>114</v>
      </c>
      <c r="HZ17" s="41">
        <v>0</v>
      </c>
      <c r="IA17" s="41">
        <v>0</v>
      </c>
      <c r="IB17" s="41">
        <v>0</v>
      </c>
      <c r="IC17" s="41">
        <v>488072544</v>
      </c>
      <c r="ID17" s="41">
        <v>0</v>
      </c>
      <c r="IE17" s="41" t="s">
        <v>4</v>
      </c>
      <c r="IF17" s="41">
        <v>0</v>
      </c>
      <c r="IG17" s="41">
        <v>0</v>
      </c>
      <c r="IH17" s="41">
        <v>38323084</v>
      </c>
      <c r="II17" s="41">
        <v>0</v>
      </c>
      <c r="IJ17" s="41">
        <v>0</v>
      </c>
      <c r="IK17" s="41">
        <v>0</v>
      </c>
      <c r="IL17" s="41">
        <v>0</v>
      </c>
      <c r="IM17" s="41">
        <v>0</v>
      </c>
      <c r="IN17" s="41">
        <v>0</v>
      </c>
      <c r="IO17" s="41">
        <v>0</v>
      </c>
      <c r="IP17" s="41">
        <v>4033335</v>
      </c>
      <c r="IQ17" s="41">
        <v>0</v>
      </c>
      <c r="IR17" s="41">
        <v>0</v>
      </c>
      <c r="IS17" s="41">
        <v>1490910</v>
      </c>
      <c r="IT17" s="41">
        <v>0</v>
      </c>
      <c r="IU17" s="41">
        <v>0</v>
      </c>
      <c r="IV17" s="41">
        <v>0</v>
      </c>
      <c r="IW17" s="41">
        <v>226750</v>
      </c>
      <c r="IX17" s="41" t="s">
        <v>114</v>
      </c>
      <c r="IY17" s="41">
        <v>0</v>
      </c>
      <c r="IZ17" s="41">
        <v>526398189</v>
      </c>
      <c r="JA17" s="41">
        <v>0</v>
      </c>
      <c r="JB17" s="41">
        <v>0</v>
      </c>
      <c r="JC17" s="41">
        <v>0</v>
      </c>
      <c r="JD17" s="41">
        <v>0</v>
      </c>
      <c r="JE17" s="41" t="s">
        <v>114</v>
      </c>
      <c r="JF17" s="41">
        <v>1247493</v>
      </c>
      <c r="JG17" s="41">
        <v>347000</v>
      </c>
      <c r="JH17" s="41">
        <v>0</v>
      </c>
      <c r="JI17" s="41">
        <v>0</v>
      </c>
      <c r="JJ17" s="41">
        <v>0</v>
      </c>
      <c r="JK17" s="41">
        <v>3600000</v>
      </c>
      <c r="JL17" s="41">
        <v>21600000</v>
      </c>
      <c r="JM17" s="41">
        <v>23490000</v>
      </c>
      <c r="JN17" s="41">
        <v>0</v>
      </c>
      <c r="JO17" s="41">
        <v>0</v>
      </c>
      <c r="JP17" s="41" t="s">
        <v>4</v>
      </c>
      <c r="JQ17" s="41">
        <v>165879499</v>
      </c>
      <c r="JR17" s="41">
        <v>16123637</v>
      </c>
      <c r="JS17" s="41">
        <v>150596928</v>
      </c>
      <c r="JT17" s="41">
        <v>0</v>
      </c>
      <c r="JU17" s="41">
        <v>0</v>
      </c>
      <c r="JV17" s="41">
        <v>29970314</v>
      </c>
      <c r="JW17" s="41">
        <v>461903427</v>
      </c>
      <c r="JX17" s="41">
        <v>4253334</v>
      </c>
      <c r="JY17" s="41">
        <v>5690481</v>
      </c>
      <c r="JZ17" s="41">
        <v>49728492</v>
      </c>
      <c r="KA17" s="41">
        <v>0</v>
      </c>
      <c r="KB17" s="41">
        <v>880480</v>
      </c>
      <c r="KC17" s="41">
        <v>481939</v>
      </c>
      <c r="KD17" s="41">
        <v>41812000</v>
      </c>
    </row>
    <row r="18" spans="1:290">
      <c r="A18" s="7" t="s">
        <v>120</v>
      </c>
      <c r="B18" s="12" t="s">
        <v>54</v>
      </c>
      <c r="C18" s="19">
        <v>3000</v>
      </c>
      <c r="D18" s="19">
        <v>0</v>
      </c>
      <c r="E18" s="19">
        <v>0</v>
      </c>
      <c r="F18" s="19">
        <v>0</v>
      </c>
      <c r="G18" s="19">
        <v>0</v>
      </c>
      <c r="H18" s="19">
        <v>80000</v>
      </c>
      <c r="I18" s="19">
        <v>0</v>
      </c>
      <c r="J18" s="19" t="s">
        <v>4</v>
      </c>
      <c r="K18" s="19"/>
      <c r="L18" s="19" t="s">
        <v>130</v>
      </c>
      <c r="M18" s="19" t="s">
        <v>96</v>
      </c>
      <c r="N18" s="19">
        <v>145702629</v>
      </c>
      <c r="O18" s="19">
        <v>52837300</v>
      </c>
      <c r="P18" s="19">
        <v>13505461</v>
      </c>
      <c r="Q18" s="19">
        <v>1495244</v>
      </c>
      <c r="R18" s="19"/>
      <c r="S18" s="19">
        <v>32201000</v>
      </c>
      <c r="T18" s="19" t="s">
        <v>96</v>
      </c>
      <c r="U18" s="19">
        <v>0</v>
      </c>
      <c r="V18" s="19" t="s">
        <v>128</v>
      </c>
      <c r="W18" s="19"/>
      <c r="X18" s="19"/>
      <c r="Y18" s="19">
        <v>20305789</v>
      </c>
      <c r="Z18" s="19">
        <v>2750000</v>
      </c>
      <c r="AA18" s="19"/>
      <c r="AB18" s="19">
        <v>1000</v>
      </c>
      <c r="AC18" s="19"/>
      <c r="AD18" s="19"/>
      <c r="AE18" s="19"/>
      <c r="AF18" s="19"/>
      <c r="AG18" s="19"/>
      <c r="AH18" s="19"/>
      <c r="AI18" s="19"/>
      <c r="AJ18" s="19"/>
      <c r="AK18" s="19" t="s">
        <v>89</v>
      </c>
      <c r="AL18" s="19">
        <v>2080000</v>
      </c>
      <c r="AM18" s="19" t="s">
        <v>4</v>
      </c>
      <c r="AN18" s="19"/>
      <c r="AO18" s="19">
        <v>2001334</v>
      </c>
      <c r="AP18" s="19">
        <v>11909005</v>
      </c>
      <c r="AQ18" s="19" t="s">
        <v>96</v>
      </c>
      <c r="AR18" s="19">
        <v>93500000</v>
      </c>
      <c r="AS18" s="19"/>
      <c r="AT18" s="19"/>
      <c r="AU18" s="19"/>
      <c r="AV18" s="19"/>
      <c r="AW18" s="19"/>
      <c r="AX18" s="19" t="s">
        <v>4</v>
      </c>
      <c r="AY18" s="19"/>
      <c r="AZ18" s="19"/>
      <c r="BA18" s="19">
        <v>93864693</v>
      </c>
      <c r="BB18" s="19"/>
      <c r="BC18" s="19" t="s">
        <v>4</v>
      </c>
      <c r="BD18" s="19" t="s">
        <v>128</v>
      </c>
      <c r="BE18" s="19"/>
      <c r="BF18" s="19"/>
      <c r="BG18" s="19">
        <v>16437485</v>
      </c>
      <c r="BH18" s="19">
        <v>3000</v>
      </c>
      <c r="BI18" s="19">
        <v>2000</v>
      </c>
      <c r="BJ18" s="19">
        <v>3416667</v>
      </c>
      <c r="BK18" s="19"/>
      <c r="BL18" s="19"/>
      <c r="BM18" s="19"/>
      <c r="BN18" s="19">
        <v>791819</v>
      </c>
      <c r="BO18" s="19">
        <v>2239100</v>
      </c>
      <c r="BP18" s="19" t="s">
        <v>96</v>
      </c>
      <c r="BQ18" s="19" t="s">
        <v>4</v>
      </c>
      <c r="BR18" s="19"/>
      <c r="BS18" s="19"/>
      <c r="BT18" s="19"/>
      <c r="BU18" s="19"/>
      <c r="BV18" s="19"/>
      <c r="BW18" s="19"/>
      <c r="BX18" s="19">
        <v>36180000</v>
      </c>
      <c r="BY18" s="19">
        <v>124677065</v>
      </c>
      <c r="BZ18" s="19"/>
      <c r="CA18" s="19">
        <v>74801989</v>
      </c>
      <c r="CB18" s="19"/>
      <c r="CC18" s="19"/>
      <c r="CD18" s="19"/>
      <c r="CE18" s="19"/>
      <c r="CF18" s="19"/>
      <c r="CG18" s="19"/>
      <c r="CH18" s="19"/>
      <c r="CI18" s="19" t="s">
        <v>128</v>
      </c>
      <c r="CJ18" s="19" t="s">
        <v>89</v>
      </c>
      <c r="CK18" s="19"/>
      <c r="CL18" s="19"/>
      <c r="CM18" s="19"/>
      <c r="CN18" s="19"/>
      <c r="CO18" s="19">
        <v>1000</v>
      </c>
      <c r="CP18" s="19">
        <v>43963636</v>
      </c>
      <c r="CQ18" s="19" t="s">
        <v>96</v>
      </c>
      <c r="CR18" s="19"/>
      <c r="CS18" s="19">
        <v>177263032</v>
      </c>
      <c r="CT18" s="19"/>
      <c r="CU18" s="19"/>
      <c r="CV18" s="19"/>
      <c r="CW18" s="19"/>
      <c r="CX18" s="19"/>
      <c r="CY18" s="19">
        <v>25506487</v>
      </c>
      <c r="CZ18" s="19"/>
      <c r="DA18" s="19"/>
      <c r="DB18" s="19"/>
      <c r="DC18" s="19"/>
      <c r="DD18" s="19"/>
      <c r="DE18" s="19" t="s">
        <v>89</v>
      </c>
      <c r="DF18" s="19"/>
      <c r="DG18" s="19"/>
      <c r="DH18" s="19"/>
      <c r="DI18" s="19" t="s">
        <v>128</v>
      </c>
      <c r="DJ18" s="19">
        <v>727275</v>
      </c>
      <c r="DK18" s="19"/>
      <c r="DL18" s="19"/>
      <c r="DM18" s="19"/>
      <c r="DN18" s="19"/>
      <c r="DO18" s="19"/>
      <c r="DP18" s="19"/>
      <c r="DQ18" s="19"/>
      <c r="DR18" s="19"/>
      <c r="DS18" s="19"/>
      <c r="DT18" s="19">
        <v>1160000</v>
      </c>
      <c r="DU18" s="19">
        <v>7185335</v>
      </c>
      <c r="DW18" s="19"/>
      <c r="DX18" s="19"/>
      <c r="DY18" s="19"/>
      <c r="DZ18" s="19"/>
      <c r="EA18" s="19"/>
      <c r="EB18" s="19"/>
      <c r="EC18" s="19">
        <v>-3133334</v>
      </c>
      <c r="ED18" s="19"/>
      <c r="EE18" s="19"/>
      <c r="EF18" s="19"/>
      <c r="EG18" s="19"/>
      <c r="EH18" s="19">
        <v>7494546</v>
      </c>
      <c r="EI18" s="19">
        <v>45048680</v>
      </c>
      <c r="EJ18" s="19">
        <v>266667</v>
      </c>
      <c r="EK18" s="19">
        <v>13295280</v>
      </c>
      <c r="EL18" s="19"/>
      <c r="EM18" s="19"/>
      <c r="EN18" s="19">
        <v>5502000</v>
      </c>
      <c r="EO18" s="19"/>
      <c r="EP18" s="19"/>
      <c r="EQ18" s="19"/>
      <c r="ER18" s="19"/>
      <c r="ES18" s="19">
        <v>8568800</v>
      </c>
      <c r="ET18" s="19">
        <v>41712500</v>
      </c>
      <c r="EU18" s="19">
        <v>7600</v>
      </c>
      <c r="EV18" s="19"/>
      <c r="EW18" s="19"/>
      <c r="EX18" s="19">
        <v>4308667</v>
      </c>
      <c r="EY18" s="19"/>
      <c r="EZ18" s="19"/>
      <c r="FA18" s="19">
        <v>2250000</v>
      </c>
      <c r="FB18" s="19"/>
      <c r="FC18" s="19"/>
      <c r="FD18" s="19"/>
      <c r="FE18" s="19">
        <v>9645137</v>
      </c>
      <c r="FF18" s="19"/>
      <c r="FG18" s="19">
        <v>20425834</v>
      </c>
      <c r="FH18" s="19">
        <v>100888412</v>
      </c>
      <c r="FI18" s="19"/>
      <c r="FJ18" s="19"/>
      <c r="FK18" s="19"/>
      <c r="FL18" s="19"/>
      <c r="FM18" s="19"/>
      <c r="FN18" s="19">
        <v>2547304</v>
      </c>
      <c r="FO18" s="19"/>
      <c r="FP18" s="19">
        <v>-36935003</v>
      </c>
      <c r="FQ18" s="19"/>
      <c r="FR18" s="19"/>
      <c r="FS18" s="19"/>
      <c r="FT18" s="19">
        <v>86246242</v>
      </c>
      <c r="FU18" s="19"/>
      <c r="FV18" s="19"/>
      <c r="FW18" s="19"/>
      <c r="FX18" s="19"/>
      <c r="FY18" s="19">
        <v>12480000</v>
      </c>
      <c r="FZ18" s="19"/>
      <c r="GA18" s="19"/>
      <c r="GB18" s="19"/>
      <c r="GC18" s="19"/>
      <c r="GD18" s="19" t="s">
        <v>96</v>
      </c>
      <c r="GE18" s="19"/>
      <c r="GF18" s="19"/>
      <c r="GG18" s="19"/>
      <c r="GH18" s="19"/>
      <c r="GI18" s="19"/>
      <c r="GJ18" s="19"/>
      <c r="GK18" s="19"/>
      <c r="GL18" s="19"/>
      <c r="GM18" s="19"/>
      <c r="GN18" s="19">
        <v>21136363</v>
      </c>
      <c r="GO18" s="19"/>
      <c r="GP18" s="19"/>
      <c r="GQ18" s="19"/>
      <c r="GR18" s="19">
        <v>26625000</v>
      </c>
      <c r="GS18" s="19"/>
      <c r="GT18" s="19"/>
      <c r="GU18" s="19"/>
      <c r="GV18" s="19">
        <v>34705</v>
      </c>
      <c r="GW18" s="19">
        <v>125000000</v>
      </c>
      <c r="GX18" s="19"/>
      <c r="GY18" s="19"/>
      <c r="GZ18" s="19"/>
      <c r="HA18" s="19"/>
      <c r="HB18" s="37"/>
      <c r="HC18" s="19"/>
      <c r="HD18" s="19"/>
      <c r="HE18" s="19"/>
      <c r="HF18" s="19"/>
      <c r="HG18" s="19"/>
      <c r="HH18" s="19"/>
      <c r="HI18" s="19"/>
      <c r="HJ18" s="19"/>
      <c r="HK18" s="19">
        <v>14058229</v>
      </c>
      <c r="HL18" s="19">
        <v>19681818</v>
      </c>
      <c r="HM18" s="19"/>
      <c r="HN18" s="19">
        <v>33333334</v>
      </c>
      <c r="HO18" s="19"/>
      <c r="HP18" s="19">
        <v>34045455</v>
      </c>
      <c r="HQ18" s="41"/>
      <c r="HR18" s="41"/>
      <c r="HS18" s="41"/>
      <c r="HT18" s="41"/>
      <c r="HU18" s="41">
        <v>1600000</v>
      </c>
      <c r="HV18" s="41"/>
      <c r="HW18" s="41">
        <v>15704846</v>
      </c>
      <c r="HX18" s="41"/>
      <c r="HY18" s="41" t="s">
        <v>114</v>
      </c>
      <c r="HZ18" s="41"/>
      <c r="IA18" s="41"/>
      <c r="IB18" s="41"/>
      <c r="IC18" s="41">
        <v>329386074</v>
      </c>
      <c r="ID18" s="41"/>
      <c r="IE18" s="41" t="s">
        <v>4</v>
      </c>
      <c r="IF18" s="41"/>
      <c r="IG18" s="41"/>
      <c r="IH18" s="41">
        <v>11568182</v>
      </c>
      <c r="II18" s="41"/>
      <c r="IJ18" s="41"/>
      <c r="IK18" s="41"/>
      <c r="IL18" s="41"/>
      <c r="IM18" s="41"/>
      <c r="IN18" s="41"/>
      <c r="IO18" s="41"/>
      <c r="IP18" s="41">
        <v>4033335</v>
      </c>
      <c r="IQ18" s="41"/>
      <c r="IR18" s="41"/>
      <c r="IS18" s="41">
        <v>1490910</v>
      </c>
      <c r="IT18" s="41"/>
      <c r="IU18" s="41"/>
      <c r="IV18" s="41"/>
      <c r="IW18" s="41"/>
      <c r="IX18" s="41" t="s">
        <v>114</v>
      </c>
      <c r="IY18" s="41"/>
      <c r="IZ18" s="41"/>
      <c r="JA18" s="41"/>
      <c r="JB18" s="41"/>
      <c r="JC18" s="41"/>
      <c r="JD18" s="41"/>
      <c r="JE18" s="41" t="s">
        <v>114</v>
      </c>
      <c r="JF18" s="41"/>
      <c r="JG18" s="41"/>
      <c r="JH18" s="41"/>
      <c r="JI18" s="41"/>
      <c r="JJ18" s="41"/>
      <c r="JK18" s="41">
        <v>3600000</v>
      </c>
      <c r="JL18" s="41"/>
      <c r="JM18" s="41"/>
      <c r="JN18" s="41"/>
      <c r="JO18" s="41"/>
      <c r="JP18" s="41" t="s">
        <v>4</v>
      </c>
      <c r="JQ18" s="41"/>
      <c r="JR18" s="41">
        <v>16123637</v>
      </c>
      <c r="JS18" s="41"/>
      <c r="JT18" s="41"/>
      <c r="JU18" s="41"/>
      <c r="JV18" s="41"/>
      <c r="JW18" s="41">
        <v>88096386</v>
      </c>
      <c r="JX18" s="41"/>
      <c r="JY18" s="41"/>
      <c r="JZ18" s="41"/>
      <c r="KA18" s="41"/>
      <c r="KB18" s="41"/>
      <c r="KC18" s="41">
        <v>481939</v>
      </c>
      <c r="KD18" s="41">
        <v>41812000</v>
      </c>
    </row>
    <row r="19" spans="1:290">
      <c r="A19" s="7" t="s">
        <v>120</v>
      </c>
      <c r="B19" s="12" t="s">
        <v>74</v>
      </c>
      <c r="C19" s="19">
        <v>0</v>
      </c>
      <c r="D19" s="19">
        <v>0</v>
      </c>
      <c r="E19" s="19">
        <v>0</v>
      </c>
      <c r="F19" s="19">
        <v>0</v>
      </c>
      <c r="G19" s="19">
        <v>426667</v>
      </c>
      <c r="H19" s="19"/>
      <c r="I19" s="19">
        <v>0</v>
      </c>
      <c r="J19" s="19" t="s">
        <v>4</v>
      </c>
      <c r="K19" s="19">
        <v>427200</v>
      </c>
      <c r="L19" s="19" t="s">
        <v>130</v>
      </c>
      <c r="M19" s="19" t="s">
        <v>96</v>
      </c>
      <c r="N19" s="19"/>
      <c r="O19" s="19"/>
      <c r="P19" s="19">
        <v>438353</v>
      </c>
      <c r="Q19" s="19">
        <v>549044</v>
      </c>
      <c r="R19" s="19"/>
      <c r="S19" s="19">
        <v>10229830</v>
      </c>
      <c r="T19" s="19" t="s">
        <v>96</v>
      </c>
      <c r="U19" s="19"/>
      <c r="V19" s="19" t="s">
        <v>128</v>
      </c>
      <c r="W19" s="19">
        <v>4762273</v>
      </c>
      <c r="X19" s="19"/>
      <c r="Y19" s="19"/>
      <c r="Z19" s="19"/>
      <c r="AA19" s="19"/>
      <c r="AB19" s="19"/>
      <c r="AC19" s="19">
        <v>440240</v>
      </c>
      <c r="AD19" s="19"/>
      <c r="AE19" s="19">
        <v>1000</v>
      </c>
      <c r="AF19" s="19"/>
      <c r="AG19" s="19"/>
      <c r="AH19" s="19">
        <v>4029011</v>
      </c>
      <c r="AI19" s="19">
        <v>10078780</v>
      </c>
      <c r="AJ19" s="19"/>
      <c r="AK19" s="19" t="s">
        <v>89</v>
      </c>
      <c r="AL19" s="19">
        <v>28741000</v>
      </c>
      <c r="AM19" s="19" t="s">
        <v>4</v>
      </c>
      <c r="AN19" s="19">
        <v>1538484</v>
      </c>
      <c r="AO19" s="19">
        <v>25654729</v>
      </c>
      <c r="AP19" s="19"/>
      <c r="AQ19" s="19" t="s">
        <v>96</v>
      </c>
      <c r="AR19" s="19">
        <v>1400120</v>
      </c>
      <c r="AS19" s="19">
        <v>4000</v>
      </c>
      <c r="AT19" s="19">
        <v>74414200</v>
      </c>
      <c r="AU19" s="19">
        <v>1000000</v>
      </c>
      <c r="AV19" s="19"/>
      <c r="AW19" s="19"/>
      <c r="AX19" s="19" t="s">
        <v>4</v>
      </c>
      <c r="AY19" s="19">
        <v>2880000</v>
      </c>
      <c r="AZ19" s="19">
        <v>5500001</v>
      </c>
      <c r="BA19" s="19">
        <v>4000000</v>
      </c>
      <c r="BB19" s="19"/>
      <c r="BC19" s="19" t="s">
        <v>4</v>
      </c>
      <c r="BD19" s="19" t="s">
        <v>128</v>
      </c>
      <c r="BE19" s="19">
        <v>9207855</v>
      </c>
      <c r="BF19" s="19">
        <v>9384300</v>
      </c>
      <c r="BG19" s="19">
        <v>5210794</v>
      </c>
      <c r="BH19" s="19"/>
      <c r="BI19" s="19">
        <v>1820496</v>
      </c>
      <c r="BJ19" s="19"/>
      <c r="BK19" s="19">
        <v>52598073</v>
      </c>
      <c r="BL19" s="19"/>
      <c r="BM19" s="19">
        <v>3602497</v>
      </c>
      <c r="BN19" s="19">
        <v>208900</v>
      </c>
      <c r="BO19" s="19">
        <v>2055533</v>
      </c>
      <c r="BP19" s="19" t="s">
        <v>96</v>
      </c>
      <c r="BQ19" s="19" t="s">
        <v>4</v>
      </c>
      <c r="BR19" s="19">
        <v>650055</v>
      </c>
      <c r="BS19" s="19"/>
      <c r="BT19" s="19"/>
      <c r="BU19" s="19">
        <v>16091276</v>
      </c>
      <c r="BV19" s="19"/>
      <c r="BW19" s="19"/>
      <c r="BX19" s="19"/>
      <c r="BY19" s="19">
        <v>1081522</v>
      </c>
      <c r="BZ19" s="19"/>
      <c r="CA19" s="19">
        <v>3946000</v>
      </c>
      <c r="CB19" s="19">
        <v>524334</v>
      </c>
      <c r="CC19" s="19"/>
      <c r="CD19" s="19"/>
      <c r="CE19" s="19"/>
      <c r="CF19" s="19">
        <v>2823490</v>
      </c>
      <c r="CG19" s="19"/>
      <c r="CH19" s="19">
        <v>1380380</v>
      </c>
      <c r="CI19" s="19" t="s">
        <v>128</v>
      </c>
      <c r="CJ19" s="19" t="s">
        <v>89</v>
      </c>
      <c r="CK19" s="19"/>
      <c r="CL19" s="19">
        <v>1565700</v>
      </c>
      <c r="CM19" s="19"/>
      <c r="CN19" s="19">
        <v>1740000</v>
      </c>
      <c r="CO19" s="19"/>
      <c r="CP19" s="19">
        <v>200000</v>
      </c>
      <c r="CQ19" s="19" t="s">
        <v>96</v>
      </c>
      <c r="CR19" s="19"/>
      <c r="CS19" s="19">
        <v>59617650</v>
      </c>
      <c r="CT19" s="19"/>
      <c r="CU19" s="19"/>
      <c r="CV19" s="19"/>
      <c r="CW19" s="19"/>
      <c r="CX19" s="19"/>
      <c r="CY19" s="19"/>
      <c r="CZ19" s="19"/>
      <c r="DA19" s="19"/>
      <c r="DB19" s="19"/>
      <c r="DC19" s="19"/>
      <c r="DD19" s="19"/>
      <c r="DE19" s="19" t="s">
        <v>89</v>
      </c>
      <c r="DF19" s="19"/>
      <c r="DG19" s="19"/>
      <c r="DH19" s="19">
        <v>450740</v>
      </c>
      <c r="DI19" s="19" t="s">
        <v>128</v>
      </c>
      <c r="DJ19" s="19"/>
      <c r="DK19" s="19">
        <v>551560637</v>
      </c>
      <c r="DL19" s="19"/>
      <c r="DM19" s="19"/>
      <c r="DN19" s="19"/>
      <c r="DO19" s="19">
        <v>312000</v>
      </c>
      <c r="DP19" s="19">
        <v>1987931</v>
      </c>
      <c r="DQ19" s="19"/>
      <c r="DR19" s="19">
        <v>1064120</v>
      </c>
      <c r="DS19" s="19"/>
      <c r="DT19" s="19">
        <v>766667</v>
      </c>
      <c r="DU19" s="19"/>
      <c r="DV19" s="19"/>
      <c r="DW19" s="19">
        <v>18286531</v>
      </c>
      <c r="DX19" s="19"/>
      <c r="DY19" s="19"/>
      <c r="DZ19" s="19"/>
      <c r="EA19" s="19"/>
      <c r="EB19" s="19">
        <v>1117185</v>
      </c>
      <c r="EC19" s="19">
        <v>9675190</v>
      </c>
      <c r="ED19" s="19"/>
      <c r="EE19" s="19"/>
      <c r="EF19" s="19">
        <v>686000</v>
      </c>
      <c r="EG19" s="19">
        <v>1089824982</v>
      </c>
      <c r="EH19" s="19"/>
      <c r="EI19" s="19">
        <v>1891984</v>
      </c>
      <c r="EJ19" s="19"/>
      <c r="EK19" s="19">
        <v>868802</v>
      </c>
      <c r="EL19" s="19"/>
      <c r="EM19" s="19"/>
      <c r="EN19" s="19"/>
      <c r="EO19" s="19">
        <v>13588944</v>
      </c>
      <c r="EP19" s="19"/>
      <c r="EQ19" s="19"/>
      <c r="ER19" s="19"/>
      <c r="ES19" s="19">
        <v>1599369</v>
      </c>
      <c r="ET19" s="19">
        <v>1687360</v>
      </c>
      <c r="EU19" s="19"/>
      <c r="EV19" s="19"/>
      <c r="EW19" s="19">
        <v>19055346</v>
      </c>
      <c r="EX19" s="19">
        <v>20000000</v>
      </c>
      <c r="EY19" s="19"/>
      <c r="EZ19" s="19">
        <v>31573788</v>
      </c>
      <c r="FA19" s="19">
        <v>20400000</v>
      </c>
      <c r="FB19" s="19">
        <v>11073675</v>
      </c>
      <c r="FC19" s="19"/>
      <c r="FD19" s="19"/>
      <c r="FE19" s="19">
        <v>19704203</v>
      </c>
      <c r="FF19" s="19"/>
      <c r="FG19" s="19">
        <v>282400</v>
      </c>
      <c r="FH19" s="19"/>
      <c r="FI19" s="19"/>
      <c r="FJ19" s="19"/>
      <c r="FK19" s="19"/>
      <c r="FL19" s="19">
        <v>800120</v>
      </c>
      <c r="FM19" s="19">
        <v>5825000</v>
      </c>
      <c r="FN19" s="19">
        <v>2110000</v>
      </c>
      <c r="FO19" s="19"/>
      <c r="FP19" s="19">
        <v>4180005</v>
      </c>
      <c r="FQ19" s="19">
        <v>9795600</v>
      </c>
      <c r="FR19" s="19"/>
      <c r="FS19" s="19"/>
      <c r="FT19" s="19">
        <v>9994522</v>
      </c>
      <c r="FU19" s="19"/>
      <c r="FV19" s="19">
        <v>16821854</v>
      </c>
      <c r="FW19" s="19"/>
      <c r="FX19" s="19"/>
      <c r="FY19" s="19"/>
      <c r="FZ19" s="19"/>
      <c r="GA19" s="19">
        <v>4364073</v>
      </c>
      <c r="GB19" s="19"/>
      <c r="GC19" s="19">
        <v>483740</v>
      </c>
      <c r="GD19" s="19" t="s">
        <v>96</v>
      </c>
      <c r="GE19" s="19"/>
      <c r="GF19" s="19"/>
      <c r="GG19" s="19">
        <v>5693820</v>
      </c>
      <c r="GH19" s="19"/>
      <c r="GI19" s="19"/>
      <c r="GJ19" s="19"/>
      <c r="GK19" s="19"/>
      <c r="GL19" s="19"/>
      <c r="GM19" s="19"/>
      <c r="GN19" s="19"/>
      <c r="GO19" s="19"/>
      <c r="GP19" s="19"/>
      <c r="GQ19" s="19"/>
      <c r="GR19" s="19">
        <v>21500000</v>
      </c>
      <c r="GS19" s="19"/>
      <c r="GT19" s="19">
        <v>40000000</v>
      </c>
      <c r="GU19" s="19"/>
      <c r="GV19" s="19">
        <v>533836</v>
      </c>
      <c r="GW19" s="19">
        <v>8754056</v>
      </c>
      <c r="GX19" s="19"/>
      <c r="GY19" s="19">
        <v>23186126</v>
      </c>
      <c r="GZ19" s="19">
        <v>8933528</v>
      </c>
      <c r="HA19" s="19">
        <v>79824</v>
      </c>
      <c r="HB19" s="37">
        <v>1040096</v>
      </c>
      <c r="HC19" s="19"/>
      <c r="HD19" s="19"/>
      <c r="HE19" s="19">
        <v>11951331</v>
      </c>
      <c r="HF19" s="19"/>
      <c r="HG19" s="19"/>
      <c r="HH19" s="19"/>
      <c r="HI19" s="19">
        <v>898740</v>
      </c>
      <c r="HJ19" s="19"/>
      <c r="HK19" s="19">
        <v>34856718</v>
      </c>
      <c r="HL19" s="19"/>
      <c r="HM19" s="19"/>
      <c r="HN19" s="19"/>
      <c r="HO19" s="19"/>
      <c r="HP19" s="19"/>
      <c r="HQ19" s="41"/>
      <c r="HR19" s="41"/>
      <c r="HS19" s="41">
        <v>990491</v>
      </c>
      <c r="HT19" s="41"/>
      <c r="HU19" s="41"/>
      <c r="HV19" s="41"/>
      <c r="HW19" s="41">
        <v>1809473</v>
      </c>
      <c r="HX19" s="41">
        <v>47083595</v>
      </c>
      <c r="HY19" s="41" t="s">
        <v>114</v>
      </c>
      <c r="HZ19" s="41"/>
      <c r="IA19" s="41"/>
      <c r="IB19" s="41"/>
      <c r="IC19" s="41">
        <v>1333141</v>
      </c>
      <c r="ID19" s="41"/>
      <c r="IE19" s="41" t="s">
        <v>4</v>
      </c>
      <c r="IF19" s="41"/>
      <c r="IG19" s="41"/>
      <c r="IH19" s="41">
        <v>565734</v>
      </c>
      <c r="II19" s="41"/>
      <c r="IJ19" s="41"/>
      <c r="IK19" s="41"/>
      <c r="IL19" s="41"/>
      <c r="IM19" s="41"/>
      <c r="IN19" s="41"/>
      <c r="IO19" s="41"/>
      <c r="IP19" s="41"/>
      <c r="IQ19" s="41"/>
      <c r="IR19" s="41"/>
      <c r="IS19" s="41"/>
      <c r="IT19" s="41"/>
      <c r="IU19" s="41"/>
      <c r="IV19" s="41"/>
      <c r="IW19" s="41">
        <v>226750</v>
      </c>
      <c r="IX19" s="41" t="s">
        <v>114</v>
      </c>
      <c r="IY19" s="41"/>
      <c r="IZ19" s="41">
        <v>301000000</v>
      </c>
      <c r="JA19" s="41"/>
      <c r="JB19" s="41"/>
      <c r="JC19" s="41"/>
      <c r="JD19" s="41"/>
      <c r="JE19" s="41" t="s">
        <v>114</v>
      </c>
      <c r="JF19" s="41"/>
      <c r="JG19" s="41">
        <v>347000</v>
      </c>
      <c r="JH19" s="41"/>
      <c r="JI19" s="41"/>
      <c r="JJ19" s="41"/>
      <c r="JK19" s="41"/>
      <c r="JL19" s="41"/>
      <c r="JM19" s="41">
        <v>17490000</v>
      </c>
      <c r="JN19" s="41"/>
      <c r="JO19" s="41"/>
      <c r="JP19" s="41" t="s">
        <v>4</v>
      </c>
      <c r="JQ19" s="41">
        <v>48370314</v>
      </c>
      <c r="JR19" s="41"/>
      <c r="JS19" s="41"/>
      <c r="JT19" s="41"/>
      <c r="JU19" s="41"/>
      <c r="JV19" s="41">
        <v>1565434</v>
      </c>
      <c r="JW19" s="41">
        <v>3800000</v>
      </c>
      <c r="JX19" s="41"/>
      <c r="JY19" s="41">
        <v>832481</v>
      </c>
      <c r="JZ19" s="41"/>
      <c r="KA19" s="41"/>
      <c r="KB19" s="41">
        <v>880480</v>
      </c>
      <c r="KC19" s="41"/>
      <c r="KD19" s="41"/>
    </row>
    <row r="20" spans="1:290">
      <c r="A20" s="7" t="s">
        <v>120</v>
      </c>
      <c r="B20" s="12" t="s">
        <v>137</v>
      </c>
      <c r="C20" s="19">
        <v>0</v>
      </c>
      <c r="D20" s="19">
        <v>0</v>
      </c>
      <c r="E20" s="19">
        <v>0</v>
      </c>
      <c r="F20" s="19">
        <v>8000</v>
      </c>
      <c r="G20" s="19">
        <v>0</v>
      </c>
      <c r="H20" s="19"/>
      <c r="I20" s="19">
        <v>0</v>
      </c>
      <c r="J20" s="19" t="s">
        <v>4</v>
      </c>
      <c r="K20" s="19"/>
      <c r="L20" s="19" t="s">
        <v>130</v>
      </c>
      <c r="M20" s="19" t="s">
        <v>96</v>
      </c>
      <c r="N20" s="19"/>
      <c r="O20" s="19"/>
      <c r="P20" s="19"/>
      <c r="Q20" s="19">
        <v>8196167</v>
      </c>
      <c r="R20" s="19">
        <v>5400000</v>
      </c>
      <c r="S20" s="19">
        <v>120540640</v>
      </c>
      <c r="T20" s="19" t="s">
        <v>96</v>
      </c>
      <c r="U20" s="19"/>
      <c r="V20" s="19" t="s">
        <v>128</v>
      </c>
      <c r="W20" s="19">
        <v>41496224</v>
      </c>
      <c r="X20" s="19"/>
      <c r="Y20" s="19">
        <v>134797010</v>
      </c>
      <c r="Z20" s="19">
        <v>455663438</v>
      </c>
      <c r="AA20" s="19"/>
      <c r="AB20" s="19"/>
      <c r="AC20" s="19"/>
      <c r="AD20" s="19"/>
      <c r="AE20" s="19">
        <v>93317966</v>
      </c>
      <c r="AF20" s="19"/>
      <c r="AG20" s="19">
        <v>27882244</v>
      </c>
      <c r="AH20" s="19">
        <v>31748918</v>
      </c>
      <c r="AI20" s="19">
        <v>74631486</v>
      </c>
      <c r="AJ20" s="19">
        <v>118586740</v>
      </c>
      <c r="AK20" s="19" t="s">
        <v>89</v>
      </c>
      <c r="AL20" s="19"/>
      <c r="AM20" s="19" t="s">
        <v>4</v>
      </c>
      <c r="AN20" s="19"/>
      <c r="AO20" s="19">
        <v>100584241</v>
      </c>
      <c r="AP20" s="19"/>
      <c r="AQ20" s="19" t="s">
        <v>96</v>
      </c>
      <c r="AR20" s="19">
        <v>-36000000</v>
      </c>
      <c r="AS20" s="19"/>
      <c r="AT20" s="19"/>
      <c r="AU20" s="19"/>
      <c r="AV20" s="19"/>
      <c r="AW20" s="19"/>
      <c r="AX20" s="19" t="s">
        <v>4</v>
      </c>
      <c r="AY20" s="19">
        <v>39892038</v>
      </c>
      <c r="AZ20" s="19"/>
      <c r="BA20" s="19"/>
      <c r="BB20" s="19"/>
      <c r="BC20" s="19" t="s">
        <v>4</v>
      </c>
      <c r="BD20" s="19" t="s">
        <v>128</v>
      </c>
      <c r="BE20" s="19"/>
      <c r="BF20" s="19">
        <v>524876446</v>
      </c>
      <c r="BG20" s="19"/>
      <c r="BH20" s="19"/>
      <c r="BI20" s="19">
        <v>3800001</v>
      </c>
      <c r="BJ20" s="19">
        <v>4608334</v>
      </c>
      <c r="BK20" s="19"/>
      <c r="BL20" s="19">
        <v>7676847</v>
      </c>
      <c r="BM20" s="19"/>
      <c r="BN20" s="19">
        <v>1787501</v>
      </c>
      <c r="BO20" s="19">
        <v>48669465</v>
      </c>
      <c r="BP20" s="19" t="s">
        <v>96</v>
      </c>
      <c r="BQ20" s="19" t="s">
        <v>4</v>
      </c>
      <c r="BR20" s="19"/>
      <c r="BS20" s="19"/>
      <c r="BT20" s="19"/>
      <c r="BU20" s="19">
        <v>545734703</v>
      </c>
      <c r="BV20" s="19"/>
      <c r="BW20" s="19"/>
      <c r="BX20" s="19"/>
      <c r="BY20" s="19">
        <v>94888676</v>
      </c>
      <c r="BZ20" s="19"/>
      <c r="CA20" s="19"/>
      <c r="CB20" s="19">
        <v>2769334</v>
      </c>
      <c r="CC20" s="19"/>
      <c r="CD20" s="19"/>
      <c r="CE20" s="19">
        <v>30729000</v>
      </c>
      <c r="CF20" s="19"/>
      <c r="CG20" s="19"/>
      <c r="CH20" s="19"/>
      <c r="CI20" s="19" t="s">
        <v>128</v>
      </c>
      <c r="CJ20" s="19" t="s">
        <v>89</v>
      </c>
      <c r="CK20" s="19"/>
      <c r="CL20" s="19">
        <v>27263637</v>
      </c>
      <c r="CM20" s="19"/>
      <c r="CN20" s="19"/>
      <c r="CO20" s="19"/>
      <c r="CP20" s="19">
        <v>65000000</v>
      </c>
      <c r="CQ20" s="19" t="s">
        <v>96</v>
      </c>
      <c r="CR20" s="19"/>
      <c r="CS20" s="19">
        <v>571078703</v>
      </c>
      <c r="CT20" s="19">
        <v>573400</v>
      </c>
      <c r="CU20" s="19"/>
      <c r="CV20" s="19"/>
      <c r="CW20" s="19"/>
      <c r="CX20" s="19">
        <v>27882244</v>
      </c>
      <c r="CY20" s="19"/>
      <c r="CZ20" s="19"/>
      <c r="DA20" s="19"/>
      <c r="DB20" s="19"/>
      <c r="DC20" s="19"/>
      <c r="DD20" s="19"/>
      <c r="DE20" s="19" t="s">
        <v>89</v>
      </c>
      <c r="DF20" s="19"/>
      <c r="DG20" s="19">
        <v>63163638</v>
      </c>
      <c r="DH20" s="19">
        <v>29093396</v>
      </c>
      <c r="DI20" s="19" t="s">
        <v>128</v>
      </c>
      <c r="DJ20" s="19"/>
      <c r="DK20" s="19">
        <v>1540000</v>
      </c>
      <c r="DL20" s="19">
        <v>13636362</v>
      </c>
      <c r="DM20" s="19"/>
      <c r="DN20" s="19">
        <v>125187520</v>
      </c>
      <c r="DO20" s="19"/>
      <c r="DP20" s="19"/>
      <c r="DQ20" s="19"/>
      <c r="DR20" s="19"/>
      <c r="DS20" s="19"/>
      <c r="DT20" s="19">
        <v>100557580</v>
      </c>
      <c r="DU20" s="19"/>
      <c r="DV20" s="19"/>
      <c r="DW20" s="19"/>
      <c r="DX20" s="19">
        <v>467583728</v>
      </c>
      <c r="DY20" s="19"/>
      <c r="DZ20" s="19"/>
      <c r="EA20" s="19"/>
      <c r="EB20" s="19"/>
      <c r="EC20" s="19">
        <v>4308334</v>
      </c>
      <c r="ED20" s="19"/>
      <c r="EE20" s="19"/>
      <c r="EF20" s="19">
        <v>41493689</v>
      </c>
      <c r="EG20" s="19"/>
      <c r="EH20" s="19"/>
      <c r="EI20" s="19"/>
      <c r="EJ20" s="19"/>
      <c r="EK20" s="19"/>
      <c r="EL20" s="19"/>
      <c r="EM20" s="19"/>
      <c r="EN20" s="19"/>
      <c r="EO20" s="19"/>
      <c r="EP20" s="19"/>
      <c r="EQ20" s="19"/>
      <c r="ER20" s="19">
        <v>4401016</v>
      </c>
      <c r="ES20" s="19"/>
      <c r="ET20" s="19">
        <v>241776515</v>
      </c>
      <c r="EU20" s="19"/>
      <c r="EV20" s="19"/>
      <c r="EW20" s="19"/>
      <c r="EX20" s="19"/>
      <c r="EY20" s="19"/>
      <c r="EZ20" s="19"/>
      <c r="FA20" s="19"/>
      <c r="FB20" s="19">
        <v>4000000</v>
      </c>
      <c r="FC20" s="19">
        <v>40900000</v>
      </c>
      <c r="FD20" s="19"/>
      <c r="FE20" s="19"/>
      <c r="FF20" s="19"/>
      <c r="FG20" s="19"/>
      <c r="FH20" s="19"/>
      <c r="FI20" s="19"/>
      <c r="FJ20" s="19"/>
      <c r="FK20" s="19"/>
      <c r="FL20" s="19"/>
      <c r="FM20" s="19">
        <v>132690100</v>
      </c>
      <c r="FN20" s="19">
        <v>265139570</v>
      </c>
      <c r="FO20" s="19"/>
      <c r="FP20" s="19">
        <v>183558400</v>
      </c>
      <c r="FQ20" s="19"/>
      <c r="FR20" s="19">
        <v>71420655</v>
      </c>
      <c r="FS20" s="19">
        <v>25181815</v>
      </c>
      <c r="FT20" s="19">
        <v>78933470</v>
      </c>
      <c r="FU20" s="19"/>
      <c r="FV20" s="19">
        <v>901253340</v>
      </c>
      <c r="FW20" s="19"/>
      <c r="FX20" s="19"/>
      <c r="FY20" s="19"/>
      <c r="FZ20" s="19">
        <v>174779858</v>
      </c>
      <c r="GA20" s="19"/>
      <c r="GB20" s="19"/>
      <c r="GC20" s="19">
        <v>33002640</v>
      </c>
      <c r="GD20" s="19" t="s">
        <v>96</v>
      </c>
      <c r="GE20" s="19">
        <v>33671881</v>
      </c>
      <c r="GF20" s="19"/>
      <c r="GG20" s="19"/>
      <c r="GH20" s="19"/>
      <c r="GI20" s="19"/>
      <c r="GJ20" s="19"/>
      <c r="GK20" s="19"/>
      <c r="GL20" s="19"/>
      <c r="GM20" s="19"/>
      <c r="GN20" s="19"/>
      <c r="GO20" s="19">
        <v>808403924</v>
      </c>
      <c r="GP20" s="19">
        <v>88274366</v>
      </c>
      <c r="GQ20" s="19"/>
      <c r="GR20" s="19">
        <v>126127273</v>
      </c>
      <c r="GS20" s="19"/>
      <c r="GT20" s="19"/>
      <c r="GU20" s="19"/>
      <c r="GV20" s="19"/>
      <c r="GW20" s="19">
        <v>795161504</v>
      </c>
      <c r="GX20" s="19"/>
      <c r="GY20" s="19"/>
      <c r="GZ20" s="19">
        <v>3272727</v>
      </c>
      <c r="HA20" s="19">
        <v>607085</v>
      </c>
      <c r="HB20" s="37"/>
      <c r="HC20" s="19"/>
      <c r="HD20" s="19"/>
      <c r="HE20" s="19">
        <v>7000000</v>
      </c>
      <c r="HF20" s="19"/>
      <c r="HG20" s="19">
        <v>3000000</v>
      </c>
      <c r="HH20" s="19"/>
      <c r="HI20" s="19"/>
      <c r="HJ20" s="19"/>
      <c r="HK20" s="19"/>
      <c r="HL20" s="19"/>
      <c r="HM20" s="19"/>
      <c r="HN20" s="19"/>
      <c r="HO20" s="19">
        <v>12600000</v>
      </c>
      <c r="HP20" s="19"/>
      <c r="HQ20" s="41"/>
      <c r="HR20" s="41"/>
      <c r="HS20" s="41"/>
      <c r="HT20" s="41"/>
      <c r="HU20" s="41">
        <v>95248150</v>
      </c>
      <c r="HV20" s="41"/>
      <c r="HW20" s="41"/>
      <c r="HX20" s="41">
        <v>86477891</v>
      </c>
      <c r="HY20" s="41" t="s">
        <v>114</v>
      </c>
      <c r="HZ20" s="41"/>
      <c r="IA20" s="41"/>
      <c r="IB20" s="41"/>
      <c r="IC20" s="41">
        <v>157353329</v>
      </c>
      <c r="ID20" s="41"/>
      <c r="IE20" s="41" t="s">
        <v>4</v>
      </c>
      <c r="IF20" s="41"/>
      <c r="IG20" s="41"/>
      <c r="IH20" s="41">
        <v>26189168</v>
      </c>
      <c r="II20" s="41"/>
      <c r="IJ20" s="41"/>
      <c r="IK20" s="41"/>
      <c r="IL20" s="41"/>
      <c r="IM20" s="41"/>
      <c r="IN20" s="41"/>
      <c r="IO20" s="41"/>
      <c r="IP20" s="41"/>
      <c r="IQ20" s="41"/>
      <c r="IR20" s="41"/>
      <c r="IS20" s="41"/>
      <c r="IT20" s="41"/>
      <c r="IU20" s="41"/>
      <c r="IV20" s="41"/>
      <c r="IW20" s="41"/>
      <c r="IX20" s="41" t="s">
        <v>114</v>
      </c>
      <c r="IY20" s="41"/>
      <c r="IZ20" s="41">
        <v>165398189</v>
      </c>
      <c r="JA20" s="41"/>
      <c r="JB20" s="41"/>
      <c r="JC20" s="41"/>
      <c r="JD20" s="41"/>
      <c r="JE20" s="41" t="s">
        <v>114</v>
      </c>
      <c r="JF20" s="41">
        <v>1247493</v>
      </c>
      <c r="JG20" s="41"/>
      <c r="JH20" s="41"/>
      <c r="JI20" s="41"/>
      <c r="JJ20" s="41"/>
      <c r="JK20" s="41"/>
      <c r="JL20" s="41">
        <v>21600000</v>
      </c>
      <c r="JM20" s="41">
        <v>6000000</v>
      </c>
      <c r="JN20" s="41"/>
      <c r="JO20" s="41"/>
      <c r="JP20" s="41" t="s">
        <v>4</v>
      </c>
      <c r="JQ20" s="41">
        <v>117509185</v>
      </c>
      <c r="JR20" s="41"/>
      <c r="JS20" s="41">
        <v>150596928</v>
      </c>
      <c r="JT20" s="41"/>
      <c r="JU20" s="41"/>
      <c r="JV20" s="41">
        <v>2004880</v>
      </c>
      <c r="JW20" s="41"/>
      <c r="JX20" s="41"/>
      <c r="JY20" s="41">
        <v>4858000</v>
      </c>
      <c r="JZ20" s="41">
        <v>49728492</v>
      </c>
      <c r="KA20" s="41"/>
      <c r="KB20" s="41"/>
      <c r="KC20" s="41"/>
      <c r="KD20" s="41"/>
    </row>
    <row r="21" spans="1:290">
      <c r="A21" s="7" t="s">
        <v>120</v>
      </c>
      <c r="B21" s="12" t="s">
        <v>39</v>
      </c>
      <c r="C21" s="19">
        <v>0</v>
      </c>
      <c r="D21" s="19">
        <v>0</v>
      </c>
      <c r="E21" s="19">
        <v>231493074</v>
      </c>
      <c r="F21" s="19">
        <v>35032240</v>
      </c>
      <c r="G21" s="19">
        <v>0</v>
      </c>
      <c r="H21" s="19"/>
      <c r="I21" s="19">
        <v>0</v>
      </c>
      <c r="J21" s="19" t="s">
        <v>4</v>
      </c>
      <c r="K21" s="19"/>
      <c r="L21" s="19" t="s">
        <v>130</v>
      </c>
      <c r="M21" s="19" t="s">
        <v>96</v>
      </c>
      <c r="N21" s="19"/>
      <c r="O21" s="19"/>
      <c r="P21" s="19"/>
      <c r="Q21" s="19"/>
      <c r="R21" s="19"/>
      <c r="S21" s="19"/>
      <c r="T21" s="19" t="s">
        <v>96</v>
      </c>
      <c r="U21" s="19"/>
      <c r="V21" s="19" t="s">
        <v>128</v>
      </c>
      <c r="W21" s="19"/>
      <c r="X21" s="19"/>
      <c r="Y21" s="19"/>
      <c r="Z21" s="19"/>
      <c r="AA21" s="19"/>
      <c r="AB21" s="19"/>
      <c r="AC21" s="19"/>
      <c r="AD21" s="19"/>
      <c r="AE21" s="19"/>
      <c r="AF21" s="19"/>
      <c r="AG21" s="19"/>
      <c r="AH21" s="19"/>
      <c r="AI21" s="19"/>
      <c r="AJ21" s="19"/>
      <c r="AK21" s="19" t="s">
        <v>89</v>
      </c>
      <c r="AL21" s="19"/>
      <c r="AM21" s="19" t="s">
        <v>4</v>
      </c>
      <c r="AN21" s="19">
        <v>43255627</v>
      </c>
      <c r="AO21" s="19"/>
      <c r="AP21" s="19">
        <v>-11666667</v>
      </c>
      <c r="AQ21" s="19" t="s">
        <v>96</v>
      </c>
      <c r="AR21" s="19"/>
      <c r="AS21" s="19"/>
      <c r="AT21" s="19"/>
      <c r="AU21" s="19"/>
      <c r="AV21" s="19"/>
      <c r="AW21" s="19"/>
      <c r="AX21" s="19" t="s">
        <v>4</v>
      </c>
      <c r="AY21" s="19"/>
      <c r="AZ21" s="19"/>
      <c r="BA21" s="19">
        <v>55000000</v>
      </c>
      <c r="BB21" s="19">
        <v>10715156</v>
      </c>
      <c r="BC21" s="19" t="s">
        <v>4</v>
      </c>
      <c r="BD21" s="19" t="s">
        <v>128</v>
      </c>
      <c r="BE21" s="19">
        <v>760414846</v>
      </c>
      <c r="BF21" s="19"/>
      <c r="BG21" s="19"/>
      <c r="BH21" s="19">
        <v>1000</v>
      </c>
      <c r="BI21" s="19"/>
      <c r="BJ21" s="19"/>
      <c r="BK21" s="19"/>
      <c r="BL21" s="19"/>
      <c r="BM21" s="19"/>
      <c r="BN21" s="19"/>
      <c r="BO21" s="19"/>
      <c r="BP21" s="19" t="s">
        <v>96</v>
      </c>
      <c r="BQ21" s="19" t="s">
        <v>4</v>
      </c>
      <c r="BR21" s="19"/>
      <c r="BS21" s="19"/>
      <c r="BT21" s="19"/>
      <c r="BU21" s="19"/>
      <c r="BV21" s="19"/>
      <c r="BW21" s="19"/>
      <c r="BX21" s="19"/>
      <c r="BY21" s="19"/>
      <c r="BZ21" s="19"/>
      <c r="CA21" s="19"/>
      <c r="CB21" s="19">
        <v>-2426667</v>
      </c>
      <c r="CC21" s="19"/>
      <c r="CD21" s="19"/>
      <c r="CE21" s="19"/>
      <c r="CF21" s="19"/>
      <c r="CG21" s="19"/>
      <c r="CH21" s="19"/>
      <c r="CI21" s="19" t="s">
        <v>128</v>
      </c>
      <c r="CJ21" s="19" t="s">
        <v>89</v>
      </c>
      <c r="CK21" s="19"/>
      <c r="CL21" s="19"/>
      <c r="CM21" s="19"/>
      <c r="CN21" s="19"/>
      <c r="CO21" s="19"/>
      <c r="CP21" s="19"/>
      <c r="CQ21" s="19" t="s">
        <v>96</v>
      </c>
      <c r="CR21" s="19"/>
      <c r="CS21" s="19"/>
      <c r="CT21" s="19"/>
      <c r="CU21" s="19"/>
      <c r="CV21" s="19"/>
      <c r="CW21" s="19"/>
      <c r="CX21" s="19"/>
      <c r="CY21" s="19"/>
      <c r="CZ21" s="19"/>
      <c r="DA21" s="19"/>
      <c r="DB21" s="19"/>
      <c r="DC21" s="19"/>
      <c r="DD21" s="19"/>
      <c r="DE21" s="19" t="s">
        <v>89</v>
      </c>
      <c r="DF21" s="19"/>
      <c r="DG21" s="19"/>
      <c r="DH21" s="19"/>
      <c r="DI21" s="19" t="s">
        <v>128</v>
      </c>
      <c r="DJ21" s="19"/>
      <c r="DK21" s="19"/>
      <c r="DL21" s="19"/>
      <c r="DM21" s="19"/>
      <c r="DN21" s="19"/>
      <c r="DO21" s="19"/>
      <c r="DP21" s="19"/>
      <c r="DQ21" s="19"/>
      <c r="DR21" s="19"/>
      <c r="DS21" s="19"/>
      <c r="DT21" s="19"/>
      <c r="DU21" s="19"/>
      <c r="DV21" s="19"/>
      <c r="DW21" s="19"/>
      <c r="DX21" s="19">
        <v>208909000</v>
      </c>
      <c r="DY21" s="19"/>
      <c r="DZ21" s="19"/>
      <c r="EA21" s="19"/>
      <c r="EB21" s="19"/>
      <c r="EC21" s="19"/>
      <c r="ED21" s="19"/>
      <c r="EE21" s="19"/>
      <c r="EF21" s="19"/>
      <c r="EG21" s="19"/>
      <c r="EH21" s="19"/>
      <c r="EI21" s="19"/>
      <c r="EJ21" s="19"/>
      <c r="EK21" s="19"/>
      <c r="EL21" s="19"/>
      <c r="EM21" s="19"/>
      <c r="EN21" s="19"/>
      <c r="EO21" s="19"/>
      <c r="EP21" s="19"/>
      <c r="EQ21" s="19"/>
      <c r="ER21" s="19"/>
      <c r="ES21" s="19"/>
      <c r="ET21" s="19"/>
      <c r="EU21" s="19"/>
      <c r="EV21" s="19"/>
      <c r="EW21" s="19"/>
      <c r="EX21" s="19"/>
      <c r="EY21" s="19"/>
      <c r="EZ21" s="19"/>
      <c r="FA21" s="19"/>
      <c r="FB21" s="19"/>
      <c r="FC21" s="19"/>
      <c r="FD21" s="19"/>
      <c r="FE21" s="19"/>
      <c r="FF21" s="19"/>
      <c r="FG21" s="19"/>
      <c r="FH21" s="19"/>
      <c r="FI21" s="19"/>
      <c r="FJ21" s="19"/>
      <c r="FK21" s="19"/>
      <c r="FL21" s="19"/>
      <c r="FM21" s="19"/>
      <c r="FN21" s="19"/>
      <c r="FO21" s="19"/>
      <c r="FP21" s="19"/>
      <c r="FQ21" s="19"/>
      <c r="FR21" s="19"/>
      <c r="FS21" s="19"/>
      <c r="FT21" s="19"/>
      <c r="FU21" s="19"/>
      <c r="FV21" s="19"/>
      <c r="FW21" s="19"/>
      <c r="FX21" s="19"/>
      <c r="FY21" s="19"/>
      <c r="FZ21" s="19"/>
      <c r="GA21" s="19"/>
      <c r="GB21" s="19"/>
      <c r="GC21" s="19"/>
      <c r="GD21" s="19" t="s">
        <v>96</v>
      </c>
      <c r="GE21" s="19"/>
      <c r="GF21" s="19"/>
      <c r="GG21" s="19"/>
      <c r="GH21" s="19"/>
      <c r="GI21" s="19"/>
      <c r="GJ21" s="19"/>
      <c r="GK21" s="19">
        <v>3079069</v>
      </c>
      <c r="GL21" s="19"/>
      <c r="GM21" s="19"/>
      <c r="GN21" s="19">
        <v>353000000</v>
      </c>
      <c r="GO21" s="19">
        <v>10000000</v>
      </c>
      <c r="GP21" s="19"/>
      <c r="GQ21" s="19"/>
      <c r="GR21" s="19"/>
      <c r="GS21" s="19"/>
      <c r="GT21" s="19"/>
      <c r="GU21" s="19"/>
      <c r="GV21" s="19"/>
      <c r="GW21" s="19"/>
      <c r="GX21" s="19"/>
      <c r="GY21" s="19"/>
      <c r="GZ21" s="19"/>
      <c r="HA21" s="19"/>
      <c r="HB21" s="37"/>
      <c r="HC21" s="19"/>
      <c r="HD21" s="19"/>
      <c r="HE21" s="19"/>
      <c r="HF21" s="19"/>
      <c r="HG21" s="19"/>
      <c r="HH21" s="19"/>
      <c r="HI21" s="19"/>
      <c r="HJ21" s="19"/>
      <c r="HK21" s="19"/>
      <c r="HL21" s="19"/>
      <c r="HM21" s="19"/>
      <c r="HN21" s="19"/>
      <c r="HO21" s="19"/>
      <c r="HP21" s="19"/>
      <c r="HQ21" s="41"/>
      <c r="HR21" s="41">
        <v>2397516</v>
      </c>
      <c r="HS21" s="41"/>
      <c r="HT21" s="41"/>
      <c r="HU21" s="41"/>
      <c r="HV21" s="41"/>
      <c r="HW21" s="41"/>
      <c r="HX21" s="41"/>
      <c r="HY21" s="41" t="s">
        <v>114</v>
      </c>
      <c r="HZ21" s="41"/>
      <c r="IA21" s="41"/>
      <c r="IB21" s="41"/>
      <c r="IC21" s="41"/>
      <c r="ID21" s="41"/>
      <c r="IE21" s="41" t="s">
        <v>4</v>
      </c>
      <c r="IF21" s="41"/>
      <c r="IG21" s="41"/>
      <c r="IH21" s="41"/>
      <c r="II21" s="41"/>
      <c r="IJ21" s="41"/>
      <c r="IK21" s="41"/>
      <c r="IL21" s="41"/>
      <c r="IM21" s="41"/>
      <c r="IN21" s="41"/>
      <c r="IO21" s="41"/>
      <c r="IP21" s="41"/>
      <c r="IQ21" s="41"/>
      <c r="IR21" s="41"/>
      <c r="IS21" s="41"/>
      <c r="IT21" s="41"/>
      <c r="IU21" s="41"/>
      <c r="IV21" s="41"/>
      <c r="IW21" s="41"/>
      <c r="IX21" s="41" t="s">
        <v>114</v>
      </c>
      <c r="IY21" s="41"/>
      <c r="IZ21" s="41">
        <v>60000000</v>
      </c>
      <c r="JA21" s="41"/>
      <c r="JB21" s="41"/>
      <c r="JC21" s="41"/>
      <c r="JD21" s="41"/>
      <c r="JE21" s="41" t="s">
        <v>114</v>
      </c>
      <c r="JF21" s="41"/>
      <c r="JG21" s="41"/>
      <c r="JH21" s="41"/>
      <c r="JI21" s="41"/>
      <c r="JJ21" s="41"/>
      <c r="JK21" s="41"/>
      <c r="JL21" s="41"/>
      <c r="JM21" s="41"/>
      <c r="JN21" s="41"/>
      <c r="JO21" s="41"/>
      <c r="JP21" s="41" t="s">
        <v>4</v>
      </c>
      <c r="JQ21" s="41"/>
      <c r="JR21" s="41"/>
      <c r="JS21" s="41"/>
      <c r="JT21" s="41"/>
      <c r="JU21" s="41"/>
      <c r="JV21" s="41">
        <v>26400000</v>
      </c>
      <c r="JW21" s="41">
        <v>370007041</v>
      </c>
      <c r="JX21" s="41">
        <v>4253334</v>
      </c>
      <c r="JY21" s="41"/>
      <c r="JZ21" s="41"/>
      <c r="KA21" s="41"/>
      <c r="KB21" s="41"/>
      <c r="KC21" s="41"/>
      <c r="KD21" s="41"/>
    </row>
    <row r="22" spans="1:290">
      <c r="A22" s="7" t="s">
        <v>120</v>
      </c>
      <c r="B22" s="11" t="s">
        <v>68</v>
      </c>
      <c r="C22" s="19">
        <v>65300000</v>
      </c>
      <c r="D22" s="19">
        <v>0</v>
      </c>
      <c r="E22" s="19">
        <v>0</v>
      </c>
      <c r="F22" s="19">
        <v>0</v>
      </c>
      <c r="G22" s="19">
        <v>6050000</v>
      </c>
      <c r="H22" s="19">
        <v>884533000</v>
      </c>
      <c r="I22" s="19">
        <v>512687600</v>
      </c>
      <c r="J22" s="19" t="s">
        <v>4</v>
      </c>
      <c r="K22" s="19">
        <v>2060000</v>
      </c>
      <c r="L22" s="19" t="s">
        <v>130</v>
      </c>
      <c r="M22" s="19" t="s">
        <v>96</v>
      </c>
      <c r="N22" s="19">
        <v>12600000</v>
      </c>
      <c r="O22" s="19">
        <v>151238848</v>
      </c>
      <c r="P22" s="19">
        <v>368569930</v>
      </c>
      <c r="Q22" s="19">
        <v>16547980</v>
      </c>
      <c r="R22" s="19">
        <v>64975000</v>
      </c>
      <c r="S22" s="19">
        <v>75072500</v>
      </c>
      <c r="T22" s="19" t="s">
        <v>96</v>
      </c>
      <c r="U22" s="19">
        <v>145961425</v>
      </c>
      <c r="V22" s="19" t="s">
        <v>128</v>
      </c>
      <c r="W22" s="19">
        <v>100000000</v>
      </c>
      <c r="X22" s="19">
        <v>20000000</v>
      </c>
      <c r="Y22" s="19">
        <v>24756000</v>
      </c>
      <c r="Z22" s="19">
        <v>522021000</v>
      </c>
      <c r="AA22" s="19">
        <v>562350000</v>
      </c>
      <c r="AB22" s="19"/>
      <c r="AC22" s="19"/>
      <c r="AD22" s="19">
        <v>37000000</v>
      </c>
      <c r="AE22" s="19">
        <v>68317000</v>
      </c>
      <c r="AF22" s="19"/>
      <c r="AG22" s="19">
        <v>207042000</v>
      </c>
      <c r="AH22" s="19">
        <v>53200000</v>
      </c>
      <c r="AI22" s="19">
        <v>42282000</v>
      </c>
      <c r="AJ22" s="19">
        <v>30462000</v>
      </c>
      <c r="AK22" s="19" t="s">
        <v>89</v>
      </c>
      <c r="AL22" s="19">
        <v>36313883</v>
      </c>
      <c r="AM22" s="19" t="s">
        <v>4</v>
      </c>
      <c r="AN22" s="19">
        <v>86330000</v>
      </c>
      <c r="AO22" s="19">
        <v>80000000</v>
      </c>
      <c r="AP22" s="19"/>
      <c r="AQ22" s="19" t="s">
        <v>96</v>
      </c>
      <c r="AR22" s="19">
        <v>520579670</v>
      </c>
      <c r="AS22" s="19">
        <v>45000000</v>
      </c>
      <c r="AT22" s="19">
        <v>320000</v>
      </c>
      <c r="AU22" s="19">
        <v>467696000</v>
      </c>
      <c r="AV22" s="19">
        <v>170000000</v>
      </c>
      <c r="AW22" s="19">
        <v>1000000</v>
      </c>
      <c r="AX22" s="19" t="s">
        <v>4</v>
      </c>
      <c r="AY22" s="19"/>
      <c r="AZ22" s="19">
        <v>110700000</v>
      </c>
      <c r="BA22" s="19">
        <v>213386500</v>
      </c>
      <c r="BB22" s="19">
        <v>2800000</v>
      </c>
      <c r="BC22" s="19" t="s">
        <v>4</v>
      </c>
      <c r="BD22" s="19" t="s">
        <v>128</v>
      </c>
      <c r="BE22" s="19">
        <v>20000000</v>
      </c>
      <c r="BF22" s="19">
        <v>52084600</v>
      </c>
      <c r="BG22" s="19">
        <v>168890000</v>
      </c>
      <c r="BH22" s="19"/>
      <c r="BI22" s="19">
        <v>37095000</v>
      </c>
      <c r="BJ22" s="19">
        <v>23050000</v>
      </c>
      <c r="BK22" s="19">
        <v>13210000</v>
      </c>
      <c r="BL22" s="19">
        <v>188534000</v>
      </c>
      <c r="BM22" s="19"/>
      <c r="BN22" s="19">
        <v>100000000</v>
      </c>
      <c r="BO22" s="19">
        <v>500000</v>
      </c>
      <c r="BP22" s="19" t="s">
        <v>96</v>
      </c>
      <c r="BQ22" s="19" t="s">
        <v>4</v>
      </c>
      <c r="BR22" s="19">
        <v>111860000</v>
      </c>
      <c r="BS22" s="19">
        <v>15000000</v>
      </c>
      <c r="BT22" s="19">
        <v>15500000</v>
      </c>
      <c r="BU22" s="19">
        <v>66621404</v>
      </c>
      <c r="BV22" s="19"/>
      <c r="BW22" s="19"/>
      <c r="BX22" s="19">
        <v>1200000</v>
      </c>
      <c r="BY22" s="19">
        <v>65039700</v>
      </c>
      <c r="BZ22" s="19">
        <v>12200000</v>
      </c>
      <c r="CA22" s="19">
        <v>235132130</v>
      </c>
      <c r="CB22" s="19">
        <v>42020000</v>
      </c>
      <c r="CC22" s="19"/>
      <c r="CD22" s="19"/>
      <c r="CE22" s="19">
        <v>60000000</v>
      </c>
      <c r="CF22" s="19">
        <v>300000</v>
      </c>
      <c r="CG22" s="19">
        <v>5000000</v>
      </c>
      <c r="CH22" s="19">
        <v>60704000</v>
      </c>
      <c r="CI22" s="19" t="s">
        <v>128</v>
      </c>
      <c r="CJ22" s="19" t="s">
        <v>89</v>
      </c>
      <c r="CK22" s="19">
        <v>51395000</v>
      </c>
      <c r="CL22" s="19"/>
      <c r="CM22" s="19">
        <v>275343000</v>
      </c>
      <c r="CN22" s="19">
        <v>5102400</v>
      </c>
      <c r="CO22" s="19">
        <v>30000000</v>
      </c>
      <c r="CP22" s="19">
        <v>260081000</v>
      </c>
      <c r="CQ22" s="19" t="s">
        <v>96</v>
      </c>
      <c r="CR22" s="19">
        <v>117276910</v>
      </c>
      <c r="CS22" s="19">
        <v>41311195</v>
      </c>
      <c r="CT22" s="19">
        <v>144450000</v>
      </c>
      <c r="CU22" s="19">
        <v>20240000</v>
      </c>
      <c r="CV22" s="19"/>
      <c r="CW22" s="19">
        <v>343888000</v>
      </c>
      <c r="CX22" s="19">
        <v>207042000</v>
      </c>
      <c r="CY22" s="19">
        <v>78034000</v>
      </c>
      <c r="CZ22" s="19">
        <v>42690000</v>
      </c>
      <c r="DA22" s="19">
        <v>33075810</v>
      </c>
      <c r="DB22" s="19">
        <v>20930000</v>
      </c>
      <c r="DC22" s="19"/>
      <c r="DD22" s="19">
        <v>60000000</v>
      </c>
      <c r="DE22" s="19" t="s">
        <v>89</v>
      </c>
      <c r="DF22" s="19">
        <v>10000000</v>
      </c>
      <c r="DG22" s="19">
        <v>60300000</v>
      </c>
      <c r="DH22" s="19"/>
      <c r="DI22" s="19" t="s">
        <v>128</v>
      </c>
      <c r="DJ22" s="19"/>
      <c r="DK22" s="19">
        <v>29268200</v>
      </c>
      <c r="DL22" s="19">
        <v>6764000</v>
      </c>
      <c r="DM22" s="19">
        <v>703879451</v>
      </c>
      <c r="DN22" s="19">
        <v>3000000</v>
      </c>
      <c r="DO22" s="19">
        <v>35808181</v>
      </c>
      <c r="DP22" s="19">
        <v>73548300</v>
      </c>
      <c r="DQ22" s="19">
        <v>20000000</v>
      </c>
      <c r="DR22" s="19">
        <v>34558290</v>
      </c>
      <c r="DS22" s="19"/>
      <c r="DT22" s="19">
        <v>41483595</v>
      </c>
      <c r="DU22" s="19">
        <v>30000000</v>
      </c>
      <c r="DV22" s="19">
        <v>131720000</v>
      </c>
      <c r="DW22" s="19">
        <v>200300000</v>
      </c>
      <c r="DX22" s="19"/>
      <c r="DY22" s="19">
        <v>112500000</v>
      </c>
      <c r="DZ22" s="19">
        <v>13200000</v>
      </c>
      <c r="EA22" s="19">
        <v>30000000</v>
      </c>
      <c r="EB22" s="19"/>
      <c r="EC22" s="19">
        <v>162000</v>
      </c>
      <c r="ED22" s="19">
        <v>20000000</v>
      </c>
      <c r="EE22" s="19"/>
      <c r="EF22" s="19">
        <v>50000000</v>
      </c>
      <c r="EG22" s="19">
        <v>470860248</v>
      </c>
      <c r="EH22" s="19"/>
      <c r="EI22" s="19">
        <v>381873600</v>
      </c>
      <c r="EJ22" s="19">
        <v>3200000</v>
      </c>
      <c r="EK22" s="19">
        <v>18840000</v>
      </c>
      <c r="EL22" s="19">
        <v>196070000</v>
      </c>
      <c r="EM22" s="19">
        <v>105000000</v>
      </c>
      <c r="EN22" s="19">
        <v>502000000</v>
      </c>
      <c r="EO22" s="19">
        <v>127742000</v>
      </c>
      <c r="EP22" s="19"/>
      <c r="EQ22" s="19">
        <v>10000000</v>
      </c>
      <c r="ER22" s="19"/>
      <c r="ES22" s="19">
        <v>167000</v>
      </c>
      <c r="ET22" s="19">
        <v>225000000</v>
      </c>
      <c r="EU22" s="19">
        <v>48876700</v>
      </c>
      <c r="EV22" s="19">
        <v>5100000</v>
      </c>
      <c r="EW22" s="19">
        <v>25400000</v>
      </c>
      <c r="EX22" s="19">
        <v>160118790</v>
      </c>
      <c r="EY22" s="19">
        <v>14027000</v>
      </c>
      <c r="EZ22" s="19">
        <v>101000000</v>
      </c>
      <c r="FA22" s="19">
        <v>28400000</v>
      </c>
      <c r="FB22" s="19">
        <v>100000</v>
      </c>
      <c r="FC22" s="19">
        <v>186857011</v>
      </c>
      <c r="FD22" s="19">
        <v>20000000</v>
      </c>
      <c r="FE22" s="19">
        <v>428067500</v>
      </c>
      <c r="FF22" s="19"/>
      <c r="FG22" s="19">
        <v>48500000</v>
      </c>
      <c r="FH22" s="19">
        <v>30029000</v>
      </c>
      <c r="FI22" s="19">
        <v>4180000</v>
      </c>
      <c r="FJ22" s="19">
        <v>60590000</v>
      </c>
      <c r="FK22" s="19">
        <v>107386000</v>
      </c>
      <c r="FL22" s="19">
        <v>49900000</v>
      </c>
      <c r="FM22" s="19">
        <v>5158800</v>
      </c>
      <c r="FN22" s="19"/>
      <c r="FO22" s="19"/>
      <c r="FP22" s="19">
        <v>20000000</v>
      </c>
      <c r="FQ22" s="19">
        <v>10059800</v>
      </c>
      <c r="FR22" s="19"/>
      <c r="FS22" s="19"/>
      <c r="FT22" s="19">
        <v>101211100</v>
      </c>
      <c r="FU22" s="19"/>
      <c r="FV22" s="19">
        <v>29002760</v>
      </c>
      <c r="FW22" s="19">
        <v>10000000</v>
      </c>
      <c r="FX22" s="19"/>
      <c r="FY22" s="19">
        <v>92340000</v>
      </c>
      <c r="FZ22" s="19"/>
      <c r="GA22" s="19">
        <v>45903100</v>
      </c>
      <c r="GB22" s="19">
        <v>13452000</v>
      </c>
      <c r="GC22" s="19">
        <v>1700000</v>
      </c>
      <c r="GD22" s="19" t="s">
        <v>96</v>
      </c>
      <c r="GE22" s="19">
        <v>1500000</v>
      </c>
      <c r="GF22" s="19">
        <v>5000000</v>
      </c>
      <c r="GG22" s="19">
        <v>39940000</v>
      </c>
      <c r="GH22" s="19">
        <v>7440000</v>
      </c>
      <c r="GI22" s="19">
        <v>32403500</v>
      </c>
      <c r="GJ22" s="19"/>
      <c r="GK22" s="19">
        <v>23205000</v>
      </c>
      <c r="GL22" s="19">
        <v>100000</v>
      </c>
      <c r="GM22" s="19">
        <v>16000000</v>
      </c>
      <c r="GN22" s="19">
        <v>881640000</v>
      </c>
      <c r="GO22" s="19">
        <v>31680000</v>
      </c>
      <c r="GP22" s="19">
        <v>8540500</v>
      </c>
      <c r="GQ22" s="19">
        <v>9259900</v>
      </c>
      <c r="GR22" s="19">
        <v>73000000</v>
      </c>
      <c r="GS22" s="19">
        <v>495000</v>
      </c>
      <c r="GT22" s="19">
        <v>82450000</v>
      </c>
      <c r="GU22" s="19">
        <v>150000000</v>
      </c>
      <c r="GV22" s="19">
        <v>40200000</v>
      </c>
      <c r="GW22" s="19">
        <v>53661100</v>
      </c>
      <c r="GX22" s="19">
        <v>5658000</v>
      </c>
      <c r="GY22" s="19">
        <v>45000000</v>
      </c>
      <c r="GZ22" s="19">
        <v>23283426</v>
      </c>
      <c r="HA22" s="19">
        <v>122414740</v>
      </c>
      <c r="HB22" s="37"/>
      <c r="HC22" s="19">
        <v>73397500</v>
      </c>
      <c r="HD22" s="19">
        <v>20000000</v>
      </c>
      <c r="HE22" s="19">
        <v>16508210</v>
      </c>
      <c r="HF22" s="19">
        <v>120000000</v>
      </c>
      <c r="HG22" s="19"/>
      <c r="HH22" s="19">
        <v>28000000</v>
      </c>
      <c r="HI22" s="19"/>
      <c r="HJ22" s="19">
        <v>22378880</v>
      </c>
      <c r="HK22" s="19">
        <v>78774000</v>
      </c>
      <c r="HL22" s="19">
        <v>50000000</v>
      </c>
      <c r="HM22" s="19">
        <v>55000000</v>
      </c>
      <c r="HN22" s="19">
        <v>2000000</v>
      </c>
      <c r="HO22" s="19"/>
      <c r="HP22" s="19">
        <v>140000000</v>
      </c>
      <c r="HQ22" s="41"/>
      <c r="HR22" s="41">
        <v>207333200</v>
      </c>
      <c r="HS22" s="41">
        <v>25000000</v>
      </c>
      <c r="HT22" s="41">
        <v>6443000</v>
      </c>
      <c r="HU22" s="41">
        <v>62180300</v>
      </c>
      <c r="HV22" s="41">
        <v>10030000</v>
      </c>
      <c r="HW22" s="41">
        <v>139380175</v>
      </c>
      <c r="HX22" s="41">
        <v>169571561</v>
      </c>
      <c r="HY22" s="41" t="s">
        <v>114</v>
      </c>
      <c r="HZ22" s="41">
        <v>21394567</v>
      </c>
      <c r="IA22" s="41"/>
      <c r="IB22" s="41">
        <v>4200000</v>
      </c>
      <c r="IC22" s="41">
        <v>6448000</v>
      </c>
      <c r="ID22" s="41">
        <v>200000</v>
      </c>
      <c r="IE22" s="41" t="s">
        <v>4</v>
      </c>
      <c r="IF22" s="41">
        <v>30000000</v>
      </c>
      <c r="IG22" s="41"/>
      <c r="IH22" s="41"/>
      <c r="II22" s="41">
        <v>32970000</v>
      </c>
      <c r="IJ22" s="41">
        <v>41036000</v>
      </c>
      <c r="IK22" s="41">
        <v>5080000</v>
      </c>
      <c r="IL22" s="41">
        <v>2100000</v>
      </c>
      <c r="IM22" s="41"/>
      <c r="IN22" s="41">
        <v>50180000</v>
      </c>
      <c r="IO22" s="41"/>
      <c r="IP22" s="41">
        <v>15000000</v>
      </c>
      <c r="IQ22" s="41">
        <v>300000</v>
      </c>
      <c r="IR22" s="41">
        <v>50000000</v>
      </c>
      <c r="IS22" s="41">
        <v>11000000</v>
      </c>
      <c r="IT22" s="41">
        <v>20200000</v>
      </c>
      <c r="IU22" s="41"/>
      <c r="IV22" s="41">
        <v>14400000</v>
      </c>
      <c r="IW22" s="41">
        <v>40592500</v>
      </c>
      <c r="IX22" s="41" t="s">
        <v>114</v>
      </c>
      <c r="IY22" s="41"/>
      <c r="IZ22" s="41">
        <v>4300000</v>
      </c>
      <c r="JA22" s="41">
        <v>15000000</v>
      </c>
      <c r="JB22" s="41">
        <v>30000000</v>
      </c>
      <c r="JC22" s="41">
        <v>71315000</v>
      </c>
      <c r="JD22" s="41">
        <v>10000000</v>
      </c>
      <c r="JE22" s="41" t="s">
        <v>114</v>
      </c>
      <c r="JF22" s="41"/>
      <c r="JG22" s="41">
        <v>1008375000</v>
      </c>
      <c r="JH22" s="41">
        <v>10000000</v>
      </c>
      <c r="JI22" s="41">
        <v>250000000</v>
      </c>
      <c r="JJ22" s="41">
        <v>490000</v>
      </c>
      <c r="JK22" s="41">
        <v>25358500</v>
      </c>
      <c r="JL22" s="41">
        <v>20270000</v>
      </c>
      <c r="JM22" s="41">
        <v>30000000</v>
      </c>
      <c r="JN22" s="41"/>
      <c r="JO22" s="41">
        <v>10000000</v>
      </c>
      <c r="JP22" s="41" t="s">
        <v>4</v>
      </c>
      <c r="JQ22" s="41">
        <v>37255000</v>
      </c>
      <c r="JR22" s="41">
        <v>20000000</v>
      </c>
      <c r="JS22" s="41">
        <v>200000</v>
      </c>
      <c r="JT22" s="41"/>
      <c r="JU22" s="41">
        <v>23000000</v>
      </c>
      <c r="JV22" s="41">
        <v>6023000</v>
      </c>
      <c r="JW22" s="41">
        <v>77887934</v>
      </c>
      <c r="JX22" s="41">
        <v>5152520</v>
      </c>
      <c r="JY22" s="41"/>
      <c r="JZ22" s="41"/>
      <c r="KA22" s="41">
        <v>22165000</v>
      </c>
      <c r="KB22" s="41">
        <v>1000000</v>
      </c>
      <c r="KC22" s="41"/>
      <c r="KD22" s="41">
        <v>78770800</v>
      </c>
    </row>
    <row r="23" spans="1:290">
      <c r="A23" s="7" t="s">
        <v>120</v>
      </c>
      <c r="B23" s="8" t="s">
        <v>109</v>
      </c>
      <c r="C23" s="19">
        <v>131402305</v>
      </c>
      <c r="D23" s="19">
        <v>753328335</v>
      </c>
      <c r="E23" s="19">
        <v>431018005</v>
      </c>
      <c r="F23" s="19">
        <v>607888901</v>
      </c>
      <c r="G23" s="19">
        <v>242293239</v>
      </c>
      <c r="H23" s="19">
        <v>1458193138</v>
      </c>
      <c r="I23" s="19">
        <v>3212873271</v>
      </c>
      <c r="J23" s="19" t="s">
        <v>4</v>
      </c>
      <c r="K23" s="19">
        <v>456324224</v>
      </c>
      <c r="L23" s="19" t="s">
        <v>130</v>
      </c>
      <c r="M23" s="19" t="s">
        <v>96</v>
      </c>
      <c r="N23" s="19">
        <v>336900659</v>
      </c>
      <c r="O23" s="19">
        <v>3212599627</v>
      </c>
      <c r="P23" s="19">
        <v>1122004273</v>
      </c>
      <c r="Q23" s="19">
        <v>121019355</v>
      </c>
      <c r="R23" s="19">
        <v>432638610</v>
      </c>
      <c r="S23" s="19">
        <v>6875907709</v>
      </c>
      <c r="T23" s="19" t="s">
        <v>96</v>
      </c>
      <c r="U23" s="19">
        <v>846668731</v>
      </c>
      <c r="V23" s="19" t="s">
        <v>128</v>
      </c>
      <c r="W23" s="19">
        <v>1017779663</v>
      </c>
      <c r="X23" s="19">
        <v>3674678663</v>
      </c>
      <c r="Y23" s="19">
        <v>73721065</v>
      </c>
      <c r="Z23" s="19">
        <v>6179864556</v>
      </c>
      <c r="AA23" s="19">
        <v>3941496664</v>
      </c>
      <c r="AB23" s="19">
        <v>33330290</v>
      </c>
      <c r="AC23" s="19">
        <v>992569577</v>
      </c>
      <c r="AD23" s="19">
        <v>5457677498</v>
      </c>
      <c r="AE23" s="19">
        <v>5436640243</v>
      </c>
      <c r="AF23" s="19">
        <v>338484538</v>
      </c>
      <c r="AG23" s="19">
        <v>2318713296</v>
      </c>
      <c r="AH23" s="19">
        <v>204511040</v>
      </c>
      <c r="AI23" s="19">
        <v>619319439</v>
      </c>
      <c r="AJ23" s="19">
        <v>317169711</v>
      </c>
      <c r="AK23" s="19" t="s">
        <v>89</v>
      </c>
      <c r="AL23" s="19">
        <v>2094467733</v>
      </c>
      <c r="AM23" s="19" t="s">
        <v>4</v>
      </c>
      <c r="AN23" s="19">
        <v>609750938</v>
      </c>
      <c r="AO23" s="19">
        <v>597212821</v>
      </c>
      <c r="AP23" s="19">
        <v>200725748</v>
      </c>
      <c r="AQ23" s="19" t="s">
        <v>96</v>
      </c>
      <c r="AR23" s="19">
        <v>819244757</v>
      </c>
      <c r="AS23" s="19">
        <v>1195648200</v>
      </c>
      <c r="AT23" s="19">
        <v>2244808323</v>
      </c>
      <c r="AU23" s="19">
        <v>2782539001</v>
      </c>
      <c r="AV23" s="19">
        <v>76289631</v>
      </c>
      <c r="AW23" s="19">
        <v>589222075</v>
      </c>
      <c r="AX23" s="19" t="s">
        <v>4</v>
      </c>
      <c r="AY23" s="19">
        <v>395380774</v>
      </c>
      <c r="AZ23" s="19">
        <v>379031405</v>
      </c>
      <c r="BA23" s="19">
        <v>2456265481</v>
      </c>
      <c r="BB23" s="19">
        <v>21666211</v>
      </c>
      <c r="BC23" s="19" t="s">
        <v>4</v>
      </c>
      <c r="BD23" s="19" t="s">
        <v>128</v>
      </c>
      <c r="BE23" s="19">
        <v>1687527382</v>
      </c>
      <c r="BF23" s="19">
        <v>1461009098</v>
      </c>
      <c r="BG23" s="19">
        <v>883238884</v>
      </c>
      <c r="BH23" s="19">
        <v>711344371</v>
      </c>
      <c r="BI23" s="19">
        <v>26781784</v>
      </c>
      <c r="BJ23" s="19">
        <v>635478432</v>
      </c>
      <c r="BK23" s="19">
        <v>1804688978</v>
      </c>
      <c r="BL23" s="19">
        <v>258009364</v>
      </c>
      <c r="BM23" s="19">
        <v>884400169</v>
      </c>
      <c r="BN23" s="19">
        <v>107870577</v>
      </c>
      <c r="BO23" s="19">
        <v>359907186</v>
      </c>
      <c r="BP23" s="19" t="s">
        <v>96</v>
      </c>
      <c r="BQ23" s="19" t="s">
        <v>4</v>
      </c>
      <c r="BR23" s="19">
        <v>308103768</v>
      </c>
      <c r="BS23" s="19">
        <v>49242878</v>
      </c>
      <c r="BT23" s="19">
        <v>78788868</v>
      </c>
      <c r="BU23" s="19">
        <v>1087318234</v>
      </c>
      <c r="BV23" s="19">
        <v>205410377</v>
      </c>
      <c r="BW23" s="19">
        <v>19717695</v>
      </c>
      <c r="BX23" s="19">
        <v>34036128</v>
      </c>
      <c r="BY23" s="19">
        <v>2201334347</v>
      </c>
      <c r="BZ23" s="19">
        <v>173028173</v>
      </c>
      <c r="CA23" s="19">
        <v>1141702761</v>
      </c>
      <c r="CB23" s="19">
        <v>282551608</v>
      </c>
      <c r="CC23" s="19">
        <v>129427264</v>
      </c>
      <c r="CD23" s="19">
        <v>565777778</v>
      </c>
      <c r="CE23" s="19">
        <v>72350841</v>
      </c>
      <c r="CF23" s="19">
        <v>1609708914</v>
      </c>
      <c r="CG23" s="19">
        <v>2851510</v>
      </c>
      <c r="CH23" s="19">
        <v>117503843</v>
      </c>
      <c r="CI23" s="19" t="s">
        <v>128</v>
      </c>
      <c r="CJ23" s="19" t="s">
        <v>89</v>
      </c>
      <c r="CK23" s="19">
        <v>6503366657</v>
      </c>
      <c r="CL23" s="19">
        <v>669748592</v>
      </c>
      <c r="CM23" s="19">
        <v>1176372220</v>
      </c>
      <c r="CN23" s="19">
        <v>102693309</v>
      </c>
      <c r="CO23" s="19">
        <v>14911397</v>
      </c>
      <c r="CP23" s="19">
        <v>1791991681</v>
      </c>
      <c r="CQ23" s="19" t="s">
        <v>96</v>
      </c>
      <c r="CR23" s="19">
        <v>100132828</v>
      </c>
      <c r="CS23" s="19">
        <v>829661586</v>
      </c>
      <c r="CT23" s="19">
        <v>492936891</v>
      </c>
      <c r="CU23" s="19">
        <v>39935613</v>
      </c>
      <c r="CV23" s="19">
        <v>274641296</v>
      </c>
      <c r="CW23" s="19">
        <v>78421223</v>
      </c>
      <c r="CX23" s="19">
        <v>2318713296</v>
      </c>
      <c r="CY23" s="19">
        <v>4609142589</v>
      </c>
      <c r="CZ23" s="19">
        <v>209372987</v>
      </c>
      <c r="DA23" s="19">
        <v>66550180</v>
      </c>
      <c r="DB23" s="19">
        <v>98506986</v>
      </c>
      <c r="DC23" s="19">
        <v>85364053</v>
      </c>
      <c r="DD23" s="19">
        <v>225172536</v>
      </c>
      <c r="DE23" s="19" t="s">
        <v>89</v>
      </c>
      <c r="DF23" s="19">
        <v>27385110</v>
      </c>
      <c r="DG23" s="19">
        <v>286926864</v>
      </c>
      <c r="DH23" s="19">
        <v>373948890</v>
      </c>
      <c r="DI23" s="19" t="s">
        <v>128</v>
      </c>
      <c r="DJ23" s="19">
        <v>24817753</v>
      </c>
      <c r="DK23" s="19">
        <v>6798133045</v>
      </c>
      <c r="DL23" s="19">
        <v>455653617</v>
      </c>
      <c r="DM23" s="19">
        <v>1626897540</v>
      </c>
      <c r="DN23" s="19">
        <v>478234123</v>
      </c>
      <c r="DO23" s="19">
        <v>54913536</v>
      </c>
      <c r="DP23" s="19">
        <v>2045862461</v>
      </c>
      <c r="DQ23" s="19">
        <v>369931031</v>
      </c>
      <c r="DR23" s="19">
        <v>5106614638</v>
      </c>
      <c r="DS23" s="19">
        <v>175171423</v>
      </c>
      <c r="DT23" s="19">
        <v>842242417</v>
      </c>
      <c r="DU23" s="19">
        <v>134771480</v>
      </c>
      <c r="DV23" s="19"/>
      <c r="DW23" s="19">
        <v>812522474</v>
      </c>
      <c r="DX23" s="19">
        <v>700854638</v>
      </c>
      <c r="DY23" s="19">
        <v>468415643</v>
      </c>
      <c r="DZ23" s="19">
        <v>339101176</v>
      </c>
      <c r="EA23" s="19">
        <v>21083372</v>
      </c>
      <c r="EB23" s="19">
        <v>3109242060</v>
      </c>
      <c r="EC23" s="19">
        <v>388160138</v>
      </c>
      <c r="ED23" s="19">
        <v>113974319</v>
      </c>
      <c r="EE23" s="19">
        <v>187133866</v>
      </c>
      <c r="EF23" s="19">
        <v>2555062686</v>
      </c>
      <c r="EG23" s="19">
        <v>2722176168</v>
      </c>
      <c r="EH23" s="19">
        <v>6159965704</v>
      </c>
      <c r="EI23" s="19">
        <v>937735012</v>
      </c>
      <c r="EJ23" s="19">
        <v>86964703</v>
      </c>
      <c r="EK23" s="19">
        <v>210783580</v>
      </c>
      <c r="EL23" s="19">
        <v>1093327182</v>
      </c>
      <c r="EM23" s="19">
        <v>43811594</v>
      </c>
      <c r="EN23" s="19">
        <v>1336232981</v>
      </c>
      <c r="EO23" s="19">
        <v>535601748</v>
      </c>
      <c r="EP23" s="19">
        <v>10820323</v>
      </c>
      <c r="EQ23" s="19">
        <v>426263381</v>
      </c>
      <c r="ER23" s="19">
        <v>2031043195</v>
      </c>
      <c r="ES23" s="19">
        <v>2694077931</v>
      </c>
      <c r="ET23" s="19">
        <v>238006877</v>
      </c>
      <c r="EU23" s="19">
        <v>1504620509</v>
      </c>
      <c r="EV23" s="19">
        <v>152621488</v>
      </c>
      <c r="EW23" s="19">
        <v>382331747</v>
      </c>
      <c r="EX23" s="19">
        <v>2381186894</v>
      </c>
      <c r="EY23" s="19">
        <v>2097501290</v>
      </c>
      <c r="EZ23" s="19">
        <v>230677605</v>
      </c>
      <c r="FA23" s="19">
        <v>2428051838</v>
      </c>
      <c r="FB23" s="19">
        <v>290364327</v>
      </c>
      <c r="FC23" s="19">
        <v>928339278</v>
      </c>
      <c r="FD23" s="19">
        <v>236305513</v>
      </c>
      <c r="FE23" s="19">
        <v>4639991263</v>
      </c>
      <c r="FF23" s="19">
        <v>29901323</v>
      </c>
      <c r="FG23" s="19">
        <f>FG24+FG31</f>
        <v>1193016664</v>
      </c>
      <c r="FH23" s="19">
        <v>209011583</v>
      </c>
      <c r="FI23" s="19">
        <v>70259399</v>
      </c>
      <c r="FJ23" s="19">
        <v>14532555</v>
      </c>
      <c r="FK23" s="19">
        <v>437008431</v>
      </c>
      <c r="FL23" s="19">
        <v>210547341</v>
      </c>
      <c r="FM23" s="19">
        <v>209843278</v>
      </c>
      <c r="FN23" s="19">
        <v>541237953</v>
      </c>
      <c r="FO23" s="19">
        <v>33178141</v>
      </c>
      <c r="FP23" s="19">
        <v>346321177</v>
      </c>
      <c r="FQ23" s="19">
        <v>354759758</v>
      </c>
      <c r="FR23" s="19">
        <v>193405260</v>
      </c>
      <c r="FS23" s="19">
        <v>138915820</v>
      </c>
      <c r="FT23" s="19">
        <v>590894950</v>
      </c>
      <c r="FU23" s="19">
        <v>17822000</v>
      </c>
      <c r="FV23" s="19">
        <v>1471974552</v>
      </c>
      <c r="FW23" s="19">
        <v>275954488</v>
      </c>
      <c r="FX23" s="19">
        <v>395307323</v>
      </c>
      <c r="FY23" s="19">
        <v>867846577</v>
      </c>
      <c r="FZ23" s="19">
        <v>835286764</v>
      </c>
      <c r="GA23" s="19">
        <v>32208573</v>
      </c>
      <c r="GB23" s="19">
        <v>114984587</v>
      </c>
      <c r="GC23" s="19">
        <v>252934112</v>
      </c>
      <c r="GD23" s="19" t="s">
        <v>96</v>
      </c>
      <c r="GE23" s="19">
        <v>250533882</v>
      </c>
      <c r="GF23" s="19">
        <v>125645415</v>
      </c>
      <c r="GG23" s="19">
        <v>429688944</v>
      </c>
      <c r="GH23" s="19">
        <v>337565207</v>
      </c>
      <c r="GI23" s="19">
        <v>168062670</v>
      </c>
      <c r="GJ23" s="19">
        <v>19000000</v>
      </c>
      <c r="GK23" s="19">
        <v>154089221</v>
      </c>
      <c r="GL23" s="19">
        <v>150352156</v>
      </c>
      <c r="GM23" s="19">
        <v>72551378</v>
      </c>
      <c r="GN23" s="19">
        <v>2377599327</v>
      </c>
      <c r="GO23" s="19">
        <v>3660841349</v>
      </c>
      <c r="GP23" s="19">
        <v>3800585496</v>
      </c>
      <c r="GQ23" s="19">
        <v>44804239</v>
      </c>
      <c r="GR23" s="19">
        <v>498480634</v>
      </c>
      <c r="GS23" s="19">
        <v>1824007264</v>
      </c>
      <c r="GT23" s="19">
        <v>634977352</v>
      </c>
      <c r="GU23" s="19">
        <v>112066456</v>
      </c>
      <c r="GV23" s="19">
        <v>614894702</v>
      </c>
      <c r="GW23" s="19">
        <v>1290882157</v>
      </c>
      <c r="GX23" s="19">
        <v>635684627</v>
      </c>
      <c r="GY23" s="19">
        <v>181166095</v>
      </c>
      <c r="GZ23" s="19">
        <v>3942383745</v>
      </c>
      <c r="HA23" s="19">
        <v>736703316</v>
      </c>
      <c r="HB23" s="37">
        <v>48810168</v>
      </c>
      <c r="HC23" s="19">
        <v>556249662</v>
      </c>
      <c r="HD23" s="19">
        <v>157057388</v>
      </c>
      <c r="HE23" s="19">
        <v>497669508</v>
      </c>
      <c r="HF23" s="19">
        <v>590987286</v>
      </c>
      <c r="HG23" s="19">
        <v>22271171</v>
      </c>
      <c r="HH23" s="19">
        <v>33562872</v>
      </c>
      <c r="HI23" s="19">
        <v>696966976</v>
      </c>
      <c r="HJ23" s="19">
        <v>579367075</v>
      </c>
      <c r="HK23" s="19">
        <v>1117272950</v>
      </c>
      <c r="HL23" s="19">
        <v>22642611</v>
      </c>
      <c r="HM23" s="19">
        <v>157803377</v>
      </c>
      <c r="HN23" s="19">
        <v>38422568</v>
      </c>
      <c r="HO23" s="19">
        <v>426086254</v>
      </c>
      <c r="HP23" s="19">
        <v>226445863</v>
      </c>
      <c r="HQ23" s="41">
        <v>74180862</v>
      </c>
      <c r="HR23" s="41">
        <v>834916229</v>
      </c>
      <c r="HS23" s="41">
        <v>118964226</v>
      </c>
      <c r="HT23" s="41">
        <v>73330255</v>
      </c>
      <c r="HU23" s="41">
        <v>597178084</v>
      </c>
      <c r="HV23" s="41">
        <v>60851210</v>
      </c>
      <c r="HW23" s="41">
        <v>8154009435</v>
      </c>
      <c r="HX23" s="41">
        <v>1763371121</v>
      </c>
      <c r="HY23" s="41" t="s">
        <v>114</v>
      </c>
      <c r="HZ23" s="41">
        <v>3667400842</v>
      </c>
      <c r="IA23" s="41">
        <v>101090652</v>
      </c>
      <c r="IB23" s="41">
        <v>452749787</v>
      </c>
      <c r="IC23" s="41">
        <v>560842962</v>
      </c>
      <c r="ID23" s="41">
        <v>38016249</v>
      </c>
      <c r="IE23" s="41" t="s">
        <v>4</v>
      </c>
      <c r="IF23" s="41">
        <v>3708820</v>
      </c>
      <c r="IG23" s="41">
        <v>42648951</v>
      </c>
      <c r="IH23" s="41">
        <v>83846011</v>
      </c>
      <c r="II23" s="41">
        <v>161649321</v>
      </c>
      <c r="IJ23" s="41">
        <v>187300286</v>
      </c>
      <c r="IK23" s="41">
        <v>379094785</v>
      </c>
      <c r="IL23" s="41">
        <v>94543842</v>
      </c>
      <c r="IM23" s="41">
        <v>18091842</v>
      </c>
      <c r="IN23" s="41">
        <v>125475320</v>
      </c>
      <c r="IO23" s="41">
        <v>471954521</v>
      </c>
      <c r="IP23" s="41">
        <v>185264755</v>
      </c>
      <c r="IQ23" s="41">
        <v>681724250</v>
      </c>
      <c r="IR23" s="41">
        <v>1111953733</v>
      </c>
      <c r="IS23" s="41">
        <v>4038395901</v>
      </c>
      <c r="IT23" s="41">
        <v>132419105</v>
      </c>
      <c r="IU23" s="41">
        <v>314083217</v>
      </c>
      <c r="IV23" s="41">
        <v>54470691</v>
      </c>
      <c r="IW23" s="41">
        <v>120227313</v>
      </c>
      <c r="IX23" s="41" t="s">
        <v>114</v>
      </c>
      <c r="IY23" s="41">
        <v>57540633</v>
      </c>
      <c r="IZ23" s="41">
        <v>3548489526</v>
      </c>
      <c r="JA23" s="41">
        <v>134617934</v>
      </c>
      <c r="JB23" s="41">
        <v>99771285</v>
      </c>
      <c r="JC23" s="41">
        <v>135029417</v>
      </c>
      <c r="JD23" s="41">
        <v>75978375</v>
      </c>
      <c r="JE23" s="41" t="s">
        <v>114</v>
      </c>
      <c r="JF23" s="41">
        <v>33965243</v>
      </c>
      <c r="JG23" s="41">
        <v>1500705406</v>
      </c>
      <c r="JH23" s="41">
        <v>46951679</v>
      </c>
      <c r="JI23" s="41">
        <v>202384320</v>
      </c>
      <c r="JJ23" s="41">
        <v>1807350884</v>
      </c>
      <c r="JK23" s="41">
        <v>333743984</v>
      </c>
      <c r="JL23" s="41">
        <v>55079118</v>
      </c>
      <c r="JM23" s="41">
        <v>48501460</v>
      </c>
      <c r="JN23" s="41">
        <v>90292044</v>
      </c>
      <c r="JO23" s="41">
        <v>177042507</v>
      </c>
      <c r="JP23" s="41" t="s">
        <v>4</v>
      </c>
      <c r="JQ23" s="41">
        <v>601642277</v>
      </c>
      <c r="JR23" s="41">
        <v>12396747</v>
      </c>
      <c r="JS23" s="41">
        <v>228106087</v>
      </c>
      <c r="JT23" s="41">
        <v>51443971</v>
      </c>
      <c r="JU23" s="41">
        <v>118859302</v>
      </c>
      <c r="JV23" s="41">
        <v>213099740</v>
      </c>
      <c r="JW23" s="41">
        <v>1188906943</v>
      </c>
      <c r="JX23" s="41">
        <v>129704566</v>
      </c>
      <c r="JY23" s="41">
        <v>544452794</v>
      </c>
      <c r="JZ23" s="41">
        <v>57996924</v>
      </c>
      <c r="KA23" s="41">
        <v>527313163</v>
      </c>
      <c r="KB23" s="41">
        <v>20733453</v>
      </c>
      <c r="KC23" s="41">
        <v>288764715</v>
      </c>
      <c r="KD23" s="41">
        <v>2884247165</v>
      </c>
    </row>
    <row r="24" spans="1:290">
      <c r="A24" s="7" t="s">
        <v>120</v>
      </c>
      <c r="B24" s="8" t="s">
        <v>99</v>
      </c>
      <c r="C24" s="19">
        <v>131402305</v>
      </c>
      <c r="D24" s="19">
        <v>753328335</v>
      </c>
      <c r="E24" s="19">
        <v>106018005</v>
      </c>
      <c r="F24" s="19">
        <v>12478901</v>
      </c>
      <c r="G24" s="19">
        <v>55635022</v>
      </c>
      <c r="H24" s="19">
        <v>70066750</v>
      </c>
      <c r="I24" s="19">
        <v>505152175</v>
      </c>
      <c r="J24" s="19" t="s">
        <v>4</v>
      </c>
      <c r="K24" s="19">
        <v>456324224</v>
      </c>
      <c r="L24" s="19" t="s">
        <v>130</v>
      </c>
      <c r="M24" s="19" t="s">
        <v>96</v>
      </c>
      <c r="N24" s="19">
        <v>139503106</v>
      </c>
      <c r="O24" s="19">
        <v>462638367</v>
      </c>
      <c r="P24" s="19">
        <v>148907703</v>
      </c>
      <c r="Q24" s="19">
        <v>41319355</v>
      </c>
      <c r="R24" s="19">
        <v>30138610</v>
      </c>
      <c r="S24" s="19">
        <v>1130387985</v>
      </c>
      <c r="T24" s="19" t="s">
        <v>96</v>
      </c>
      <c r="U24" s="19">
        <v>341342983</v>
      </c>
      <c r="V24" s="19" t="s">
        <v>128</v>
      </c>
      <c r="W24" s="19">
        <v>79197224</v>
      </c>
      <c r="X24" s="19">
        <v>209678663</v>
      </c>
      <c r="Y24" s="19">
        <v>42943174</v>
      </c>
      <c r="Z24" s="19">
        <v>718959502</v>
      </c>
      <c r="AA24" s="19">
        <v>3170696664</v>
      </c>
      <c r="AB24" s="19">
        <v>33330290</v>
      </c>
      <c r="AC24" s="19">
        <v>392569577</v>
      </c>
      <c r="AD24" s="19">
        <v>462557498</v>
      </c>
      <c r="AE24" s="19">
        <v>96902815</v>
      </c>
      <c r="AF24" s="19">
        <v>108484538</v>
      </c>
      <c r="AG24" s="19">
        <v>2085351655</v>
      </c>
      <c r="AH24" s="19">
        <v>114511040</v>
      </c>
      <c r="AI24" s="19">
        <v>169319431</v>
      </c>
      <c r="AJ24" s="19">
        <v>56420818</v>
      </c>
      <c r="AK24" s="19" t="s">
        <v>89</v>
      </c>
      <c r="AL24" s="19">
        <v>271904682</v>
      </c>
      <c r="AM24" s="19" t="s">
        <v>4</v>
      </c>
      <c r="AN24" s="19">
        <v>82424803</v>
      </c>
      <c r="AO24" s="19">
        <v>597212821</v>
      </c>
      <c r="AP24" s="19">
        <v>100177709</v>
      </c>
      <c r="AQ24" s="19" t="s">
        <v>96</v>
      </c>
      <c r="AR24" s="19">
        <v>469244757</v>
      </c>
      <c r="AS24" s="19">
        <v>1195648200</v>
      </c>
      <c r="AT24" s="19">
        <v>119523899</v>
      </c>
      <c r="AU24" s="19">
        <v>614503060</v>
      </c>
      <c r="AV24" s="19">
        <v>72943244</v>
      </c>
      <c r="AW24" s="19">
        <v>294545936</v>
      </c>
      <c r="AX24" s="19" t="s">
        <v>4</v>
      </c>
      <c r="AY24" s="19">
        <v>31200754</v>
      </c>
      <c r="AZ24" s="19">
        <v>129031405</v>
      </c>
      <c r="BA24" s="19">
        <v>1950361462</v>
      </c>
      <c r="BB24" s="19">
        <v>21666211</v>
      </c>
      <c r="BC24" s="19" t="s">
        <v>4</v>
      </c>
      <c r="BD24" s="19" t="s">
        <v>128</v>
      </c>
      <c r="BE24" s="19">
        <v>736112024</v>
      </c>
      <c r="BF24" s="19">
        <v>1061009098</v>
      </c>
      <c r="BG24" s="19">
        <v>441446239</v>
      </c>
      <c r="BH24" s="19">
        <v>111344371</v>
      </c>
      <c r="BI24" s="19">
        <v>26781784</v>
      </c>
      <c r="BJ24" s="19">
        <v>177891841</v>
      </c>
      <c r="BK24" s="19">
        <v>331990302</v>
      </c>
      <c r="BL24" s="19">
        <v>106537300</v>
      </c>
      <c r="BM24" s="19">
        <v>207500169</v>
      </c>
      <c r="BN24" s="19">
        <v>107870577</v>
      </c>
      <c r="BO24" s="19">
        <v>28202346</v>
      </c>
      <c r="BP24" s="19" t="s">
        <v>96</v>
      </c>
      <c r="BQ24" s="19" t="s">
        <v>4</v>
      </c>
      <c r="BR24" s="19">
        <v>234838491</v>
      </c>
      <c r="BS24" s="19">
        <v>49242878</v>
      </c>
      <c r="BT24" s="19">
        <v>78788868</v>
      </c>
      <c r="BU24" s="19">
        <v>282384352</v>
      </c>
      <c r="BV24" s="19">
        <v>205410377</v>
      </c>
      <c r="BW24" s="19">
        <v>19717695</v>
      </c>
      <c r="BX24" s="19">
        <v>34036128</v>
      </c>
      <c r="BY24" s="19">
        <v>1361737136</v>
      </c>
      <c r="BZ24" s="19">
        <v>173028173</v>
      </c>
      <c r="CA24" s="19">
        <v>45047260</v>
      </c>
      <c r="CB24" s="19">
        <v>104261596</v>
      </c>
      <c r="CC24" s="19">
        <v>129427264</v>
      </c>
      <c r="CD24" s="19">
        <v>565777778</v>
      </c>
      <c r="CE24" s="19">
        <v>43188841</v>
      </c>
      <c r="CF24" s="19">
        <v>1609708914</v>
      </c>
      <c r="CG24" s="19">
        <v>2851510</v>
      </c>
      <c r="CH24" s="19">
        <v>94170499</v>
      </c>
      <c r="CI24" s="19" t="s">
        <v>128</v>
      </c>
      <c r="CJ24" s="19" t="s">
        <v>89</v>
      </c>
      <c r="CK24" s="19">
        <v>2011578165</v>
      </c>
      <c r="CL24" s="19">
        <v>112521092</v>
      </c>
      <c r="CM24" s="19">
        <v>776372220</v>
      </c>
      <c r="CN24" s="19">
        <v>58593309</v>
      </c>
      <c r="CO24" s="19">
        <v>13530669</v>
      </c>
      <c r="CP24" s="19">
        <v>676151922</v>
      </c>
      <c r="CQ24" s="19" t="s">
        <v>96</v>
      </c>
      <c r="CR24" s="19">
        <v>100132828</v>
      </c>
      <c r="CS24" s="19">
        <v>479511004</v>
      </c>
      <c r="CT24" s="19">
        <v>246036963</v>
      </c>
      <c r="CU24" s="19">
        <v>1675387</v>
      </c>
      <c r="CV24" s="19">
        <v>183206919</v>
      </c>
      <c r="CW24" s="19">
        <v>78421223</v>
      </c>
      <c r="CX24" s="19">
        <v>2085351655</v>
      </c>
      <c r="CY24" s="19">
        <v>2137892599</v>
      </c>
      <c r="CZ24" s="19">
        <v>55255475</v>
      </c>
      <c r="DA24" s="19">
        <v>66550180</v>
      </c>
      <c r="DB24" s="19">
        <v>28506986</v>
      </c>
      <c r="DC24" s="19">
        <v>82590271</v>
      </c>
      <c r="DD24" s="19">
        <v>15672536</v>
      </c>
      <c r="DE24" s="19" t="s">
        <v>89</v>
      </c>
      <c r="DF24" s="19">
        <v>11705110</v>
      </c>
      <c r="DG24" s="19">
        <v>186926864</v>
      </c>
      <c r="DH24" s="19">
        <v>78203130</v>
      </c>
      <c r="DI24" s="19" t="s">
        <v>128</v>
      </c>
      <c r="DJ24" s="19">
        <v>24817753</v>
      </c>
      <c r="DK24" s="19">
        <v>3142273045</v>
      </c>
      <c r="DL24" s="19">
        <v>113153617</v>
      </c>
      <c r="DM24" s="19">
        <v>1626897540</v>
      </c>
      <c r="DN24" s="19">
        <v>332115348</v>
      </c>
      <c r="DO24" s="19">
        <v>54913536</v>
      </c>
      <c r="DP24" s="19">
        <v>2045862461</v>
      </c>
      <c r="DQ24" s="19">
        <v>104931031</v>
      </c>
      <c r="DR24" s="19">
        <v>154039578</v>
      </c>
      <c r="DS24" s="19">
        <v>131355032</v>
      </c>
      <c r="DT24" s="19">
        <v>205242417</v>
      </c>
      <c r="DU24" s="19">
        <v>124771480</v>
      </c>
      <c r="DV24" s="19">
        <v>6785549</v>
      </c>
      <c r="DW24" s="19">
        <v>152522474</v>
      </c>
      <c r="DX24" s="19">
        <v>400854638</v>
      </c>
      <c r="DY24" s="19">
        <v>68415643</v>
      </c>
      <c r="DZ24" s="19">
        <v>89101176</v>
      </c>
      <c r="EA24" s="19">
        <v>4203372</v>
      </c>
      <c r="EB24" s="19">
        <v>517415380</v>
      </c>
      <c r="EC24" s="19">
        <v>88160138</v>
      </c>
      <c r="ED24" s="19">
        <v>113974319</v>
      </c>
      <c r="EE24" s="19">
        <v>55111641</v>
      </c>
      <c r="EF24" s="19">
        <v>407434768</v>
      </c>
      <c r="EG24" s="19">
        <v>1990070623</v>
      </c>
      <c r="EH24" s="19">
        <v>73090704</v>
      </c>
      <c r="EI24" s="19">
        <v>442943871</v>
      </c>
      <c r="EJ24" s="19">
        <v>23501979</v>
      </c>
      <c r="EK24" s="19">
        <v>210783580</v>
      </c>
      <c r="EL24" s="19">
        <v>541047925</v>
      </c>
      <c r="EM24" s="19">
        <v>43811594</v>
      </c>
      <c r="EN24" s="19">
        <v>768811707</v>
      </c>
      <c r="EO24" s="19">
        <v>181435578</v>
      </c>
      <c r="EP24" s="19">
        <v>10820323</v>
      </c>
      <c r="EQ24" s="19">
        <v>0</v>
      </c>
      <c r="ER24" s="19">
        <v>769479862</v>
      </c>
      <c r="ES24" s="19">
        <v>220573385</v>
      </c>
      <c r="ET24" s="19">
        <v>207925059</v>
      </c>
      <c r="EU24" s="19">
        <v>1418229318</v>
      </c>
      <c r="EV24" s="19">
        <v>15057981</v>
      </c>
      <c r="EW24" s="19">
        <v>372331747</v>
      </c>
      <c r="EX24" s="19">
        <v>617725634</v>
      </c>
      <c r="EY24" s="19">
        <v>2097501290</v>
      </c>
      <c r="EZ24" s="19">
        <v>108625335</v>
      </c>
      <c r="FA24" s="19">
        <v>401970906</v>
      </c>
      <c r="FB24" s="19">
        <v>290364327</v>
      </c>
      <c r="FC24" s="19">
        <v>522586021</v>
      </c>
      <c r="FD24" s="19">
        <v>47415236</v>
      </c>
      <c r="FE24" s="19">
        <v>2304935008</v>
      </c>
      <c r="FF24" s="19">
        <v>29901323</v>
      </c>
      <c r="FG24" s="19">
        <v>355272074</v>
      </c>
      <c r="FH24" s="19">
        <v>209011583</v>
      </c>
      <c r="FI24" s="19">
        <v>70259399</v>
      </c>
      <c r="FJ24" s="19">
        <v>14532555</v>
      </c>
      <c r="FK24" s="19">
        <v>275458755</v>
      </c>
      <c r="FL24" s="19">
        <v>10547341</v>
      </c>
      <c r="FM24" s="19">
        <v>209843278</v>
      </c>
      <c r="FN24" s="19">
        <v>541237953</v>
      </c>
      <c r="FO24" s="19">
        <v>3803141</v>
      </c>
      <c r="FP24" s="19">
        <v>16321177</v>
      </c>
      <c r="FQ24" s="19">
        <v>4759758</v>
      </c>
      <c r="FR24" s="19">
        <v>193405260</v>
      </c>
      <c r="FS24" s="19">
        <v>18915820</v>
      </c>
      <c r="FT24" s="19">
        <v>590894950</v>
      </c>
      <c r="FU24" s="19">
        <v>17822000</v>
      </c>
      <c r="FV24" s="19">
        <v>81974552</v>
      </c>
      <c r="FW24" s="19">
        <v>275954488</v>
      </c>
      <c r="FX24" s="19">
        <v>395307323</v>
      </c>
      <c r="FY24" s="19">
        <v>634215966</v>
      </c>
      <c r="FZ24" s="19">
        <v>535286764</v>
      </c>
      <c r="GA24" s="19">
        <v>20250755</v>
      </c>
      <c r="GB24" s="19">
        <v>114984587</v>
      </c>
      <c r="GC24" s="19">
        <v>252934112</v>
      </c>
      <c r="GD24" s="19" t="s">
        <v>96</v>
      </c>
      <c r="GE24" s="19">
        <v>250533882</v>
      </c>
      <c r="GF24" s="19">
        <v>85645415</v>
      </c>
      <c r="GG24" s="19">
        <v>324883407</v>
      </c>
      <c r="GH24" s="19">
        <v>13815207</v>
      </c>
      <c r="GI24" s="19">
        <v>60526670</v>
      </c>
      <c r="GJ24" s="19">
        <v>0</v>
      </c>
      <c r="GK24" s="19">
        <v>154089221</v>
      </c>
      <c r="GL24" s="19">
        <v>50352156</v>
      </c>
      <c r="GM24" s="19">
        <v>32551378</v>
      </c>
      <c r="GN24" s="19">
        <v>2296323797</v>
      </c>
      <c r="GO24" s="19">
        <v>647491349</v>
      </c>
      <c r="GP24" s="19">
        <v>538063348</v>
      </c>
      <c r="GQ24" s="19">
        <v>44804239</v>
      </c>
      <c r="GR24" s="19">
        <v>170980634</v>
      </c>
      <c r="GS24" s="19">
        <v>1824007264</v>
      </c>
      <c r="GT24" s="19">
        <v>129256520</v>
      </c>
      <c r="GU24" s="19">
        <v>78092856</v>
      </c>
      <c r="GV24" s="19">
        <v>520514651</v>
      </c>
      <c r="GW24" s="19">
        <v>684291809</v>
      </c>
      <c r="GX24" s="19">
        <v>155564627</v>
      </c>
      <c r="GY24" s="19">
        <v>94338100</v>
      </c>
      <c r="GZ24" s="19">
        <v>326896945</v>
      </c>
      <c r="HA24" s="19">
        <v>316453316</v>
      </c>
      <c r="HB24" s="37">
        <v>48810168</v>
      </c>
      <c r="HC24" s="19">
        <v>186936846</v>
      </c>
      <c r="HD24" s="19">
        <v>157057388</v>
      </c>
      <c r="HE24" s="19">
        <v>227669508</v>
      </c>
      <c r="HF24" s="19">
        <v>461487286</v>
      </c>
      <c r="HG24" s="19">
        <v>22271171</v>
      </c>
      <c r="HH24" s="19">
        <v>33562872</v>
      </c>
      <c r="HI24" s="19">
        <v>646966976</v>
      </c>
      <c r="HJ24" s="19">
        <v>113997442</v>
      </c>
      <c r="HK24" s="19">
        <v>1017272950</v>
      </c>
      <c r="HL24" s="19">
        <v>22642611</v>
      </c>
      <c r="HM24" s="19">
        <v>91073377</v>
      </c>
      <c r="HN24" s="19">
        <v>38422568</v>
      </c>
      <c r="HO24" s="19">
        <v>124615207</v>
      </c>
      <c r="HP24" s="19">
        <v>6445863</v>
      </c>
      <c r="HQ24" s="41">
        <v>74180862</v>
      </c>
      <c r="HR24" s="41">
        <v>548967243</v>
      </c>
      <c r="HS24" s="41">
        <v>72635238</v>
      </c>
      <c r="HT24" s="41">
        <v>73330255</v>
      </c>
      <c r="HU24" s="41">
        <v>297178084</v>
      </c>
      <c r="HV24" s="41">
        <v>60851210</v>
      </c>
      <c r="HW24" s="41">
        <v>8051001768</v>
      </c>
      <c r="HX24" s="41">
        <v>256371121</v>
      </c>
      <c r="HY24" s="41" t="s">
        <v>114</v>
      </c>
      <c r="HZ24" s="41">
        <v>267799907</v>
      </c>
      <c r="IA24" s="41">
        <v>101090652</v>
      </c>
      <c r="IB24" s="41">
        <v>25749787</v>
      </c>
      <c r="IC24" s="41">
        <v>110919916</v>
      </c>
      <c r="ID24" s="41">
        <v>38016249</v>
      </c>
      <c r="IE24" s="41" t="s">
        <v>4</v>
      </c>
      <c r="IF24" s="41">
        <v>3708820</v>
      </c>
      <c r="IG24" s="41">
        <v>42648951</v>
      </c>
      <c r="IH24" s="41">
        <v>65456391</v>
      </c>
      <c r="II24" s="41">
        <v>65649321</v>
      </c>
      <c r="IJ24" s="41">
        <v>104120286</v>
      </c>
      <c r="IK24" s="41">
        <v>129094785</v>
      </c>
      <c r="IL24" s="41">
        <v>94543842</v>
      </c>
      <c r="IM24" s="41">
        <v>18091842</v>
      </c>
      <c r="IN24" s="41">
        <v>125475320</v>
      </c>
      <c r="IO24" s="41">
        <v>71954521</v>
      </c>
      <c r="IP24" s="41">
        <v>157129755</v>
      </c>
      <c r="IQ24" s="41">
        <v>610724250</v>
      </c>
      <c r="IR24" s="41">
        <v>565086001</v>
      </c>
      <c r="IS24" s="41">
        <v>1084297724</v>
      </c>
      <c r="IT24" s="41">
        <v>132419105</v>
      </c>
      <c r="IU24" s="41">
        <v>314083217</v>
      </c>
      <c r="IV24" s="41">
        <v>44265877</v>
      </c>
      <c r="IW24" s="41">
        <v>23799313</v>
      </c>
      <c r="IX24" s="41" t="s">
        <v>114</v>
      </c>
      <c r="IY24" s="41">
        <v>57540633</v>
      </c>
      <c r="IZ24" s="41">
        <v>253246190</v>
      </c>
      <c r="JA24" s="41">
        <v>39617934</v>
      </c>
      <c r="JB24" s="41">
        <v>99771285</v>
      </c>
      <c r="JC24" s="41">
        <v>135029417</v>
      </c>
      <c r="JD24" s="41">
        <v>25978375</v>
      </c>
      <c r="JE24" s="41" t="s">
        <v>114</v>
      </c>
      <c r="JF24" s="41">
        <v>33965243</v>
      </c>
      <c r="JG24" s="41">
        <v>460741693</v>
      </c>
      <c r="JH24" s="41">
        <v>46951679</v>
      </c>
      <c r="JI24" s="41">
        <v>202384320</v>
      </c>
      <c r="JJ24" s="41">
        <v>702220884</v>
      </c>
      <c r="JK24" s="41">
        <v>44077996</v>
      </c>
      <c r="JL24" s="41">
        <v>55079118</v>
      </c>
      <c r="JM24" s="41">
        <v>48501460</v>
      </c>
      <c r="JN24" s="41">
        <v>0</v>
      </c>
      <c r="JO24" s="41">
        <v>77042507</v>
      </c>
      <c r="JP24" s="41" t="s">
        <v>4</v>
      </c>
      <c r="JQ24" s="41">
        <v>328740611</v>
      </c>
      <c r="JR24" s="41">
        <v>12396747</v>
      </c>
      <c r="JS24" s="41">
        <v>8106087</v>
      </c>
      <c r="JT24" s="41">
        <v>51443971</v>
      </c>
      <c r="JU24" s="41">
        <v>18859302</v>
      </c>
      <c r="JV24" s="41">
        <v>1988740</v>
      </c>
      <c r="JW24" s="41">
        <v>540793577</v>
      </c>
      <c r="JX24" s="41">
        <v>129704566</v>
      </c>
      <c r="JY24" s="41">
        <v>64452794</v>
      </c>
      <c r="JZ24" s="41">
        <v>7996924</v>
      </c>
      <c r="KA24" s="41">
        <v>243563163</v>
      </c>
      <c r="KB24" s="41">
        <v>20733453</v>
      </c>
      <c r="KC24" s="41">
        <v>288764715</v>
      </c>
      <c r="KD24" s="41">
        <v>2278155587</v>
      </c>
    </row>
    <row r="25" spans="1:290">
      <c r="A25" s="7" t="s">
        <v>120</v>
      </c>
      <c r="B25" s="11" t="s">
        <v>21</v>
      </c>
      <c r="C25" s="19">
        <v>0</v>
      </c>
      <c r="D25" s="19">
        <v>306646934</v>
      </c>
      <c r="E25" s="19">
        <v>55341857</v>
      </c>
      <c r="F25" s="19">
        <v>0</v>
      </c>
      <c r="G25" s="19">
        <v>0</v>
      </c>
      <c r="H25" s="19"/>
      <c r="I25" s="19">
        <v>0</v>
      </c>
      <c r="J25" s="19" t="s">
        <v>4</v>
      </c>
      <c r="K25" s="19">
        <v>275343190</v>
      </c>
      <c r="L25" s="19" t="s">
        <v>130</v>
      </c>
      <c r="M25" s="19" t="s">
        <v>96</v>
      </c>
      <c r="N25" s="19">
        <v>20000000</v>
      </c>
      <c r="O25" s="19">
        <v>41990143</v>
      </c>
      <c r="P25" s="19">
        <v>26813997</v>
      </c>
      <c r="Q25" s="19">
        <v>26660943</v>
      </c>
      <c r="R25" s="19">
        <v>3235287</v>
      </c>
      <c r="S25" s="19">
        <v>72338554</v>
      </c>
      <c r="T25" s="19" t="s">
        <v>96</v>
      </c>
      <c r="U25" s="19"/>
      <c r="V25" s="19" t="s">
        <v>128</v>
      </c>
      <c r="W25" s="19">
        <v>36426740</v>
      </c>
      <c r="X25" s="19"/>
      <c r="Y25" s="19"/>
      <c r="Z25" s="19">
        <v>41146595</v>
      </c>
      <c r="AA25" s="19">
        <v>337658873</v>
      </c>
      <c r="AB25" s="19"/>
      <c r="AC25" s="19">
        <v>151210274</v>
      </c>
      <c r="AD25" s="19">
        <v>335518684</v>
      </c>
      <c r="AE25" s="19">
        <v>44344239</v>
      </c>
      <c r="AF25" s="19">
        <v>106400</v>
      </c>
      <c r="AG25" s="19"/>
      <c r="AH25" s="19"/>
      <c r="AI25" s="19"/>
      <c r="AJ25" s="19">
        <v>7388586</v>
      </c>
      <c r="AK25" s="19" t="s">
        <v>89</v>
      </c>
      <c r="AL25" s="19">
        <v>15281798</v>
      </c>
      <c r="AM25" s="19" t="s">
        <v>4</v>
      </c>
      <c r="AN25" s="19"/>
      <c r="AO25" s="19">
        <v>26595644</v>
      </c>
      <c r="AP25" s="19"/>
      <c r="AQ25" s="19" t="s">
        <v>96</v>
      </c>
      <c r="AR25" s="19">
        <v>294700</v>
      </c>
      <c r="AS25" s="19"/>
      <c r="AT25" s="19">
        <v>17171000</v>
      </c>
      <c r="AU25" s="19">
        <v>172021548</v>
      </c>
      <c r="AV25" s="19"/>
      <c r="AW25" s="19"/>
      <c r="AX25" s="19" t="s">
        <v>4</v>
      </c>
      <c r="AY25" s="19"/>
      <c r="AZ25" s="19">
        <v>1510820</v>
      </c>
      <c r="BA25" s="19">
        <v>989586633</v>
      </c>
      <c r="BB25" s="19"/>
      <c r="BC25" s="19" t="s">
        <v>4</v>
      </c>
      <c r="BD25" s="19" t="s">
        <v>128</v>
      </c>
      <c r="BE25" s="19">
        <v>29170660</v>
      </c>
      <c r="BF25" s="19">
        <v>81320612</v>
      </c>
      <c r="BG25" s="19">
        <v>58072666</v>
      </c>
      <c r="BH25" s="19">
        <v>4458500</v>
      </c>
      <c r="BI25" s="19">
        <v>171600</v>
      </c>
      <c r="BJ25" s="19">
        <v>26201955</v>
      </c>
      <c r="BK25" s="19">
        <v>3051572</v>
      </c>
      <c r="BL25" s="19">
        <v>8734301</v>
      </c>
      <c r="BM25" s="19">
        <v>23425800</v>
      </c>
      <c r="BN25" s="19"/>
      <c r="BO25" s="19">
        <v>22927462</v>
      </c>
      <c r="BP25" s="19" t="s">
        <v>96</v>
      </c>
      <c r="BQ25" s="19" t="s">
        <v>4</v>
      </c>
      <c r="BR25" s="19"/>
      <c r="BS25" s="19"/>
      <c r="BT25" s="19"/>
      <c r="BU25" s="19"/>
      <c r="BV25" s="19"/>
      <c r="BW25" s="19">
        <v>5245339</v>
      </c>
      <c r="BX25" s="19"/>
      <c r="BY25" s="19">
        <v>804361998</v>
      </c>
      <c r="BZ25" s="19">
        <v>119337376</v>
      </c>
      <c r="CA25" s="19"/>
      <c r="CB25" s="19"/>
      <c r="CC25" s="19"/>
      <c r="CD25" s="19"/>
      <c r="CE25" s="19"/>
      <c r="CF25" s="19">
        <v>138891950</v>
      </c>
      <c r="CG25" s="19"/>
      <c r="CH25" s="19"/>
      <c r="CI25" s="19" t="s">
        <v>128</v>
      </c>
      <c r="CJ25" s="19" t="s">
        <v>89</v>
      </c>
      <c r="CK25" s="19">
        <v>1135671394</v>
      </c>
      <c r="CL25" s="19">
        <v>28204671</v>
      </c>
      <c r="CM25" s="19"/>
      <c r="CN25" s="19"/>
      <c r="CO25" s="19">
        <v>12288658</v>
      </c>
      <c r="CP25" s="19">
        <v>7727999</v>
      </c>
      <c r="CQ25" s="19" t="s">
        <v>96</v>
      </c>
      <c r="CR25" s="19">
        <v>3042784</v>
      </c>
      <c r="CS25" s="19">
        <v>73874370</v>
      </c>
      <c r="CT25" s="19"/>
      <c r="CU25" s="19"/>
      <c r="CV25" s="19">
        <v>68851</v>
      </c>
      <c r="CW25" s="19"/>
      <c r="CX25" s="19"/>
      <c r="CY25" s="19">
        <v>1031423352</v>
      </c>
      <c r="CZ25" s="19"/>
      <c r="DA25" s="19">
        <v>5751356</v>
      </c>
      <c r="DB25" s="19"/>
      <c r="DC25" s="19">
        <v>206050</v>
      </c>
      <c r="DD25" s="19"/>
      <c r="DE25" s="19" t="s">
        <v>89</v>
      </c>
      <c r="DF25" s="19">
        <v>1221690</v>
      </c>
      <c r="DG25" s="19"/>
      <c r="DH25" s="19"/>
      <c r="DI25" s="19" t="s">
        <v>128</v>
      </c>
      <c r="DJ25" s="19"/>
      <c r="DK25" s="19">
        <v>1459070834</v>
      </c>
      <c r="DL25" s="19">
        <v>8846000</v>
      </c>
      <c r="DM25" s="19">
        <v>112499160</v>
      </c>
      <c r="DN25" s="19">
        <v>150903227</v>
      </c>
      <c r="DO25" s="19"/>
      <c r="DP25" s="19">
        <v>73138862</v>
      </c>
      <c r="DQ25" s="19">
        <v>29126469</v>
      </c>
      <c r="DR25" s="19"/>
      <c r="DS25" s="19">
        <v>11745093</v>
      </c>
      <c r="DT25" s="19">
        <v>683682</v>
      </c>
      <c r="DU25" s="19"/>
      <c r="DV25" s="19"/>
      <c r="DW25" s="19">
        <v>48499397</v>
      </c>
      <c r="DX25" s="19">
        <v>3397055</v>
      </c>
      <c r="DY25" s="19">
        <v>12153137</v>
      </c>
      <c r="DZ25" s="19"/>
      <c r="EA25" s="19"/>
      <c r="EB25" s="19"/>
      <c r="EC25" s="19"/>
      <c r="ED25" s="19"/>
      <c r="EE25" s="19"/>
      <c r="EF25" s="19">
        <v>41526945</v>
      </c>
      <c r="EG25" s="19">
        <v>64267827</v>
      </c>
      <c r="EH25" s="19"/>
      <c r="EI25" s="19"/>
      <c r="EJ25" s="19"/>
      <c r="EK25" s="19"/>
      <c r="EL25" s="19">
        <v>381068175</v>
      </c>
      <c r="EM25" s="19">
        <v>951077</v>
      </c>
      <c r="EN25" s="19">
        <v>19551504</v>
      </c>
      <c r="EO25" s="19"/>
      <c r="EP25" s="19"/>
      <c r="EQ25" s="19"/>
      <c r="ER25" s="19"/>
      <c r="ES25" s="19">
        <v>33945870</v>
      </c>
      <c r="ET25" s="19"/>
      <c r="EU25" s="19"/>
      <c r="EV25" s="19"/>
      <c r="EW25" s="19">
        <v>44295376</v>
      </c>
      <c r="EX25" s="19"/>
      <c r="EY25" s="19"/>
      <c r="EZ25" s="19">
        <v>6511150</v>
      </c>
      <c r="FA25" s="19">
        <v>112426650</v>
      </c>
      <c r="FB25" s="19">
        <v>47889226</v>
      </c>
      <c r="FC25" s="19">
        <v>63123495</v>
      </c>
      <c r="FD25" s="19"/>
      <c r="FE25" s="19">
        <v>1944873024</v>
      </c>
      <c r="FF25" s="19"/>
      <c r="FG25" s="19">
        <f>15034860</f>
        <v>15034860</v>
      </c>
      <c r="FH25" s="19">
        <v>2485182</v>
      </c>
      <c r="FI25" s="19">
        <v>4449172</v>
      </c>
      <c r="FJ25" s="19">
        <v>180000</v>
      </c>
      <c r="FK25" s="19">
        <v>52654221</v>
      </c>
      <c r="FL25" s="19">
        <v>1258032</v>
      </c>
      <c r="FM25" s="19"/>
      <c r="FN25" s="19">
        <v>6991040</v>
      </c>
      <c r="FO25" s="19"/>
      <c r="FP25" s="19"/>
      <c r="FQ25" s="19">
        <v>3492300</v>
      </c>
      <c r="FR25" s="19">
        <v>2750805</v>
      </c>
      <c r="FS25" s="19"/>
      <c r="FT25" s="19">
        <v>44795060</v>
      </c>
      <c r="FU25" s="19"/>
      <c r="FV25" s="19"/>
      <c r="FW25" s="19">
        <v>98925405</v>
      </c>
      <c r="FX25" s="19"/>
      <c r="FY25" s="19">
        <v>20797600</v>
      </c>
      <c r="FZ25" s="19">
        <v>4030756</v>
      </c>
      <c r="GA25" s="19"/>
      <c r="GB25" s="19"/>
      <c r="GC25" s="19"/>
      <c r="GD25" s="19" t="s">
        <v>96</v>
      </c>
      <c r="GE25" s="19">
        <v>3062822</v>
      </c>
      <c r="GF25" s="19">
        <v>4691250</v>
      </c>
      <c r="GG25" s="19"/>
      <c r="GH25" s="19">
        <v>1079550</v>
      </c>
      <c r="GI25" s="19"/>
      <c r="GJ25" s="19"/>
      <c r="GK25" s="19">
        <v>2678500</v>
      </c>
      <c r="GL25" s="19">
        <v>109000</v>
      </c>
      <c r="GM25" s="19"/>
      <c r="GN25" s="19"/>
      <c r="GO25" s="19">
        <v>404571491</v>
      </c>
      <c r="GP25" s="19">
        <v>210850877</v>
      </c>
      <c r="GQ25" s="19">
        <v>244200</v>
      </c>
      <c r="GR25" s="19">
        <v>70681914</v>
      </c>
      <c r="GS25" s="19"/>
      <c r="GT25" s="19">
        <v>9473299</v>
      </c>
      <c r="GU25" s="19"/>
      <c r="GV25" s="19"/>
      <c r="GW25" s="19">
        <v>129873514</v>
      </c>
      <c r="GX25" s="19">
        <v>24544000</v>
      </c>
      <c r="GY25" s="19"/>
      <c r="GZ25" s="19">
        <v>27679382</v>
      </c>
      <c r="HA25" s="19"/>
      <c r="HB25" s="37"/>
      <c r="HC25" s="19">
        <v>170500000</v>
      </c>
      <c r="HD25" s="19">
        <v>18322302</v>
      </c>
      <c r="HE25" s="19">
        <v>40800</v>
      </c>
      <c r="HF25" s="19">
        <v>100000</v>
      </c>
      <c r="HG25" s="19"/>
      <c r="HH25" s="19">
        <v>4509357</v>
      </c>
      <c r="HI25" s="19"/>
      <c r="HJ25" s="19"/>
      <c r="HK25" s="19">
        <v>35384660</v>
      </c>
      <c r="HL25" s="19"/>
      <c r="HM25" s="19"/>
      <c r="HN25" s="19"/>
      <c r="HO25" s="19">
        <v>25950437</v>
      </c>
      <c r="HP25" s="19"/>
      <c r="HQ25" s="41"/>
      <c r="HR25" s="41">
        <v>222072482</v>
      </c>
      <c r="HS25" s="41">
        <v>2873768</v>
      </c>
      <c r="HT25" s="41">
        <v>19137106</v>
      </c>
      <c r="HU25" s="41"/>
      <c r="HV25" s="41">
        <v>29574278</v>
      </c>
      <c r="HW25" s="41"/>
      <c r="HX25" s="41">
        <v>23465857</v>
      </c>
      <c r="HY25" s="41" t="s">
        <v>114</v>
      </c>
      <c r="HZ25" s="41">
        <v>53537000</v>
      </c>
      <c r="IA25" s="41"/>
      <c r="IB25" s="41">
        <v>4070500</v>
      </c>
      <c r="IC25" s="41"/>
      <c r="ID25" s="41">
        <v>1994980</v>
      </c>
      <c r="IE25" s="41" t="s">
        <v>4</v>
      </c>
      <c r="IF25" s="41"/>
      <c r="IG25" s="41"/>
      <c r="IH25" s="41"/>
      <c r="II25" s="41">
        <v>1030500</v>
      </c>
      <c r="IJ25" s="41">
        <v>18920585</v>
      </c>
      <c r="IK25" s="41">
        <v>1782669</v>
      </c>
      <c r="IL25" s="41">
        <v>1924720</v>
      </c>
      <c r="IM25" s="41"/>
      <c r="IN25" s="41"/>
      <c r="IO25" s="41">
        <v>24970000</v>
      </c>
      <c r="IP25" s="41">
        <v>104565068</v>
      </c>
      <c r="IQ25" s="41"/>
      <c r="IR25" s="41"/>
      <c r="IS25" s="41"/>
      <c r="IT25" s="41">
        <v>506594</v>
      </c>
      <c r="IU25" s="41"/>
      <c r="IV25" s="41"/>
      <c r="IW25" s="41">
        <v>2299000</v>
      </c>
      <c r="IX25" s="41" t="s">
        <v>114</v>
      </c>
      <c r="IY25" s="41">
        <v>1736900</v>
      </c>
      <c r="IZ25" s="41">
        <v>64209605</v>
      </c>
      <c r="JA25" s="41"/>
      <c r="JB25" s="41">
        <v>14897020</v>
      </c>
      <c r="JC25" s="41"/>
      <c r="JD25" s="41"/>
      <c r="JE25" s="41" t="s">
        <v>114</v>
      </c>
      <c r="JF25" s="41"/>
      <c r="JG25" s="41"/>
      <c r="JH25" s="41"/>
      <c r="JI25" s="41"/>
      <c r="JJ25" s="41">
        <v>265489267</v>
      </c>
      <c r="JK25" s="41">
        <v>642580</v>
      </c>
      <c r="JL25" s="41"/>
      <c r="JM25" s="41"/>
      <c r="JN25" s="41"/>
      <c r="JO25" s="41">
        <v>9108239</v>
      </c>
      <c r="JP25" s="41" t="s">
        <v>4</v>
      </c>
      <c r="JQ25" s="41">
        <v>4664000</v>
      </c>
      <c r="JR25" s="41">
        <v>8581900</v>
      </c>
      <c r="JS25" s="41">
        <v>1571489</v>
      </c>
      <c r="JT25" s="41"/>
      <c r="JU25" s="41"/>
      <c r="JV25" s="41">
        <v>560465</v>
      </c>
      <c r="JW25" s="41"/>
      <c r="JX25" s="41"/>
      <c r="JY25" s="41"/>
      <c r="JZ25" s="41"/>
      <c r="KA25" s="41">
        <v>20257530</v>
      </c>
      <c r="KB25" s="41"/>
      <c r="KC25" s="41"/>
      <c r="KD25" s="41">
        <v>1943833764</v>
      </c>
    </row>
    <row r="26" spans="1:290">
      <c r="A26" s="7" t="s">
        <v>120</v>
      </c>
      <c r="B26" s="11" t="s">
        <v>6</v>
      </c>
      <c r="C26" s="19">
        <v>0</v>
      </c>
      <c r="D26" s="19">
        <v>0</v>
      </c>
      <c r="E26" s="19">
        <v>0</v>
      </c>
      <c r="F26" s="19">
        <v>0</v>
      </c>
      <c r="G26" s="19">
        <v>13750002</v>
      </c>
      <c r="H26" s="19">
        <v>70066750</v>
      </c>
      <c r="I26" s="19">
        <v>224549000</v>
      </c>
      <c r="J26" s="19" t="s">
        <v>4</v>
      </c>
      <c r="K26" s="19">
        <v>150000000</v>
      </c>
      <c r="L26" s="19" t="s">
        <v>130</v>
      </c>
      <c r="M26" s="19" t="s">
        <v>96</v>
      </c>
      <c r="N26" s="19"/>
      <c r="O26" s="19">
        <v>112199996</v>
      </c>
      <c r="P26" s="19"/>
      <c r="Q26" s="19">
        <v>208169</v>
      </c>
      <c r="R26" s="19"/>
      <c r="S26" s="19">
        <v>200000000</v>
      </c>
      <c r="T26" s="19" t="s">
        <v>96</v>
      </c>
      <c r="U26" s="19"/>
      <c r="V26" s="19" t="s">
        <v>128</v>
      </c>
      <c r="W26" s="19"/>
      <c r="X26" s="19"/>
      <c r="Y26" s="19">
        <v>3302450</v>
      </c>
      <c r="Z26" s="19">
        <v>330768561</v>
      </c>
      <c r="AA26" s="19">
        <v>2115820000</v>
      </c>
      <c r="AB26" s="19"/>
      <c r="AC26" s="19"/>
      <c r="AD26" s="19"/>
      <c r="AE26" s="19">
        <v>12000000</v>
      </c>
      <c r="AF26" s="19"/>
      <c r="AG26" s="19"/>
      <c r="AH26" s="19"/>
      <c r="AI26" s="19">
        <v>130000000</v>
      </c>
      <c r="AJ26" s="19">
        <v>7000000</v>
      </c>
      <c r="AK26" s="19" t="s">
        <v>89</v>
      </c>
      <c r="AL26" s="19">
        <v>93214390</v>
      </c>
      <c r="AM26" s="19" t="s">
        <v>4</v>
      </c>
      <c r="AN26" s="19"/>
      <c r="AO26" s="19">
        <v>460831141</v>
      </c>
      <c r="AP26" s="19"/>
      <c r="AQ26" s="19" t="s">
        <v>96</v>
      </c>
      <c r="AR26" s="19">
        <v>432119769</v>
      </c>
      <c r="AS26" s="19">
        <v>795333348</v>
      </c>
      <c r="AT26" s="19"/>
      <c r="AU26" s="19">
        <v>236341503</v>
      </c>
      <c r="AV26" s="19">
        <v>40020200</v>
      </c>
      <c r="AW26" s="19">
        <v>3618350</v>
      </c>
      <c r="AX26" s="19" t="s">
        <v>4</v>
      </c>
      <c r="AY26" s="19"/>
      <c r="AZ26" s="19">
        <v>19701233</v>
      </c>
      <c r="BA26" s="19">
        <v>716532540</v>
      </c>
      <c r="BB26" s="19"/>
      <c r="BC26" s="19" t="s">
        <v>4</v>
      </c>
      <c r="BD26" s="19" t="s">
        <v>128</v>
      </c>
      <c r="BE26" s="19">
        <v>235000000</v>
      </c>
      <c r="BF26" s="19">
        <v>930000000</v>
      </c>
      <c r="BG26" s="19">
        <v>53560063</v>
      </c>
      <c r="BH26" s="19">
        <v>100000000</v>
      </c>
      <c r="BI26" s="19"/>
      <c r="BJ26" s="19">
        <v>140431334</v>
      </c>
      <c r="BK26" s="19">
        <v>300000000</v>
      </c>
      <c r="BL26" s="19"/>
      <c r="BM26" s="19"/>
      <c r="BN26" s="19"/>
      <c r="BO26" s="19"/>
      <c r="BP26" s="19" t="s">
        <v>96</v>
      </c>
      <c r="BQ26" s="19" t="s">
        <v>4</v>
      </c>
      <c r="BR26" s="19"/>
      <c r="BS26" s="19">
        <v>19200000</v>
      </c>
      <c r="BT26" s="19"/>
      <c r="BU26" s="19">
        <v>200000000</v>
      </c>
      <c r="BV26" s="19">
        <v>106119832</v>
      </c>
      <c r="BW26" s="19"/>
      <c r="BX26" s="19">
        <v>20642238</v>
      </c>
      <c r="BY26" s="19">
        <v>212285000</v>
      </c>
      <c r="BZ26" s="19"/>
      <c r="CA26" s="19"/>
      <c r="CB26" s="19"/>
      <c r="CC26" s="19"/>
      <c r="CD26" s="19"/>
      <c r="CE26" s="19"/>
      <c r="CF26" s="19">
        <v>1183472531</v>
      </c>
      <c r="CG26" s="19"/>
      <c r="CH26" s="19"/>
      <c r="CI26" s="19" t="s">
        <v>128</v>
      </c>
      <c r="CJ26" s="19" t="s">
        <v>89</v>
      </c>
      <c r="CK26" s="19">
        <v>559126880</v>
      </c>
      <c r="CL26" s="19"/>
      <c r="CM26" s="19"/>
      <c r="CN26" s="19"/>
      <c r="CO26" s="19"/>
      <c r="CP26" s="19">
        <v>131193749</v>
      </c>
      <c r="CQ26" s="19" t="s">
        <v>96</v>
      </c>
      <c r="CR26" s="19"/>
      <c r="CS26" s="19"/>
      <c r="CT26" s="19"/>
      <c r="CU26" s="19"/>
      <c r="CV26" s="19"/>
      <c r="CW26" s="19"/>
      <c r="CX26" s="19"/>
      <c r="CY26" s="19">
        <v>2972611</v>
      </c>
      <c r="CZ26" s="19">
        <v>42198116</v>
      </c>
      <c r="DA26" s="19"/>
      <c r="DB26" s="19"/>
      <c r="DC26" s="19">
        <v>30389661</v>
      </c>
      <c r="DD26" s="19"/>
      <c r="DE26" s="19" t="s">
        <v>89</v>
      </c>
      <c r="DF26" s="19"/>
      <c r="DG26" s="19">
        <v>69693631</v>
      </c>
      <c r="DH26" s="19"/>
      <c r="DI26" s="19" t="s">
        <v>128</v>
      </c>
      <c r="DJ26" s="19">
        <v>11134004</v>
      </c>
      <c r="DK26" s="19">
        <v>1290303273</v>
      </c>
      <c r="DL26" s="19">
        <v>61766829</v>
      </c>
      <c r="DM26" s="19">
        <v>1497110000</v>
      </c>
      <c r="DN26" s="19">
        <v>140917348</v>
      </c>
      <c r="DO26" s="19">
        <v>44954687</v>
      </c>
      <c r="DP26" s="19">
        <v>762083320</v>
      </c>
      <c r="DQ26" s="19"/>
      <c r="DR26" s="19">
        <v>111053183</v>
      </c>
      <c r="DS26" s="19">
        <v>96340000</v>
      </c>
      <c r="DT26" s="19">
        <v>166324735</v>
      </c>
      <c r="DU26" s="19"/>
      <c r="DV26" s="19">
        <v>0</v>
      </c>
      <c r="DW26" s="19"/>
      <c r="DX26" s="19"/>
      <c r="DY26" s="19"/>
      <c r="DZ26" s="19"/>
      <c r="EA26" s="19"/>
      <c r="EB26" s="19"/>
      <c r="EC26" s="19">
        <v>16782946</v>
      </c>
      <c r="ED26" s="19"/>
      <c r="EE26" s="19">
        <v>44421081</v>
      </c>
      <c r="EF26" s="19">
        <v>192427125</v>
      </c>
      <c r="EG26" s="19">
        <v>1340000000</v>
      </c>
      <c r="EH26" s="19">
        <v>31000000</v>
      </c>
      <c r="EI26" s="19"/>
      <c r="EJ26" s="19"/>
      <c r="EK26" s="19">
        <v>200000000</v>
      </c>
      <c r="EL26" s="19"/>
      <c r="EM26" s="19"/>
      <c r="EN26" s="19">
        <v>185416662</v>
      </c>
      <c r="EO26" s="19"/>
      <c r="EP26" s="19"/>
      <c r="EQ26" s="19"/>
      <c r="ER26" s="19"/>
      <c r="ES26" s="19">
        <v>100000000</v>
      </c>
      <c r="ET26" s="19">
        <v>100000000</v>
      </c>
      <c r="EU26" s="19"/>
      <c r="EV26" s="19">
        <v>3256446</v>
      </c>
      <c r="EW26" s="19">
        <v>245029435</v>
      </c>
      <c r="EX26" s="19">
        <v>300000000</v>
      </c>
      <c r="EY26" s="19">
        <v>1611428574</v>
      </c>
      <c r="EZ26" s="19">
        <v>35000000</v>
      </c>
      <c r="FA26" s="19">
        <v>104693241</v>
      </c>
      <c r="FB26" s="19">
        <v>200000000</v>
      </c>
      <c r="FC26" s="19"/>
      <c r="FD26" s="19"/>
      <c r="FE26" s="19"/>
      <c r="FF26" s="19"/>
      <c r="FG26" s="19">
        <f>230000000</f>
        <v>230000000</v>
      </c>
      <c r="FH26" s="19">
        <v>81120000</v>
      </c>
      <c r="FI26" s="19">
        <v>30000000</v>
      </c>
      <c r="FJ26" s="19"/>
      <c r="FK26" s="19">
        <v>51059082</v>
      </c>
      <c r="FL26" s="19"/>
      <c r="FM26" s="19">
        <v>200000000</v>
      </c>
      <c r="FN26" s="19">
        <v>526000000</v>
      </c>
      <c r="FO26" s="19"/>
      <c r="FP26" s="19"/>
      <c r="FQ26" s="19"/>
      <c r="FR26" s="19">
        <v>150000000</v>
      </c>
      <c r="FS26" s="19"/>
      <c r="FT26" s="19">
        <v>400000000</v>
      </c>
      <c r="FU26" s="19"/>
      <c r="FV26" s="19">
        <v>50000000</v>
      </c>
      <c r="FW26" s="19">
        <v>140000000</v>
      </c>
      <c r="FX26" s="19">
        <v>298000000</v>
      </c>
      <c r="FY26" s="19">
        <v>500000000</v>
      </c>
      <c r="FZ26" s="19">
        <v>483533744</v>
      </c>
      <c r="GA26" s="19"/>
      <c r="GB26" s="19">
        <v>100000000</v>
      </c>
      <c r="GC26" s="19">
        <v>205400000</v>
      </c>
      <c r="GD26" s="19" t="s">
        <v>96</v>
      </c>
      <c r="GE26" s="19">
        <v>240000000</v>
      </c>
      <c r="GF26" s="19">
        <v>10000000</v>
      </c>
      <c r="GG26" s="19">
        <v>289245449</v>
      </c>
      <c r="GH26" s="19"/>
      <c r="GI26" s="19"/>
      <c r="GJ26" s="19"/>
      <c r="GK26" s="19">
        <v>133966307</v>
      </c>
      <c r="GL26" s="19"/>
      <c r="GM26" s="19"/>
      <c r="GN26" s="19">
        <v>2212173000</v>
      </c>
      <c r="GO26" s="19">
        <v>213013509</v>
      </c>
      <c r="GP26" s="19"/>
      <c r="GQ26" s="19">
        <v>33004303</v>
      </c>
      <c r="GR26" s="19"/>
      <c r="GS26" s="19">
        <v>1814662278</v>
      </c>
      <c r="GT26" s="19">
        <v>50000000</v>
      </c>
      <c r="GU26" s="19">
        <v>75980000</v>
      </c>
      <c r="GV26" s="19">
        <v>132651544</v>
      </c>
      <c r="GW26" s="19">
        <v>450000000</v>
      </c>
      <c r="GX26" s="19">
        <v>77777920</v>
      </c>
      <c r="GY26" s="19"/>
      <c r="GZ26" s="19">
        <v>199925000</v>
      </c>
      <c r="HA26" s="19"/>
      <c r="HB26" s="37"/>
      <c r="HC26" s="19"/>
      <c r="HD26" s="19"/>
      <c r="HE26" s="19">
        <v>203284098</v>
      </c>
      <c r="HF26" s="19"/>
      <c r="HG26" s="19"/>
      <c r="HH26" s="19"/>
      <c r="HI26" s="19">
        <v>376240800</v>
      </c>
      <c r="HJ26" s="19"/>
      <c r="HK26" s="19">
        <v>670000000</v>
      </c>
      <c r="HL26" s="19"/>
      <c r="HM26" s="19">
        <v>85379565</v>
      </c>
      <c r="HN26" s="19">
        <v>35000000</v>
      </c>
      <c r="HO26" s="19"/>
      <c r="HP26" s="19"/>
      <c r="HQ26" s="41"/>
      <c r="HR26" s="41"/>
      <c r="HS26" s="41">
        <v>50000000</v>
      </c>
      <c r="HT26" s="41"/>
      <c r="HU26" s="41">
        <v>200000000</v>
      </c>
      <c r="HV26" s="41">
        <v>3500000</v>
      </c>
      <c r="HW26" s="41">
        <v>200000000</v>
      </c>
      <c r="HX26" s="41">
        <v>200006379</v>
      </c>
      <c r="HY26" s="41" t="s">
        <v>114</v>
      </c>
      <c r="HZ26" s="41"/>
      <c r="IA26" s="41"/>
      <c r="IB26" s="41"/>
      <c r="IC26" s="41"/>
      <c r="ID26" s="41">
        <v>22001523</v>
      </c>
      <c r="IE26" s="41" t="s">
        <v>4</v>
      </c>
      <c r="IF26" s="41">
        <v>3000000</v>
      </c>
      <c r="IG26" s="41">
        <v>34200000</v>
      </c>
      <c r="IH26" s="41"/>
      <c r="II26" s="41"/>
      <c r="IJ26" s="41"/>
      <c r="IK26" s="41">
        <v>96323874</v>
      </c>
      <c r="IL26" s="41">
        <v>10000000</v>
      </c>
      <c r="IM26" s="41"/>
      <c r="IN26" s="41">
        <v>117779077</v>
      </c>
      <c r="IO26" s="41">
        <v>31409654</v>
      </c>
      <c r="IP26" s="41"/>
      <c r="IQ26" s="41">
        <v>100000000</v>
      </c>
      <c r="IR26" s="41"/>
      <c r="IS26" s="41">
        <v>984000000</v>
      </c>
      <c r="IT26" s="41">
        <v>70000000</v>
      </c>
      <c r="IU26" s="41">
        <v>280000000</v>
      </c>
      <c r="IV26" s="41">
        <v>37900000</v>
      </c>
      <c r="IW26" s="41"/>
      <c r="IX26" s="41" t="s">
        <v>114</v>
      </c>
      <c r="IY26" s="41">
        <v>4101594</v>
      </c>
      <c r="IZ26" s="41">
        <v>74950000</v>
      </c>
      <c r="JA26" s="41"/>
      <c r="JB26" s="41"/>
      <c r="JC26" s="41"/>
      <c r="JD26" s="41"/>
      <c r="JE26" s="41" t="s">
        <v>114</v>
      </c>
      <c r="JF26" s="41"/>
      <c r="JG26" s="41">
        <v>10000000</v>
      </c>
      <c r="JH26" s="41"/>
      <c r="JI26" s="41">
        <v>195985534</v>
      </c>
      <c r="JJ26" s="41">
        <v>294033082</v>
      </c>
      <c r="JK26" s="41"/>
      <c r="JL26" s="41"/>
      <c r="JM26" s="41">
        <v>44686820</v>
      </c>
      <c r="JN26" s="41"/>
      <c r="JO26" s="41">
        <v>50000000</v>
      </c>
      <c r="JP26" s="41" t="s">
        <v>4</v>
      </c>
      <c r="JQ26" s="41">
        <v>269325400</v>
      </c>
      <c r="JR26" s="41"/>
      <c r="JS26" s="41"/>
      <c r="JT26" s="41"/>
      <c r="JU26" s="41"/>
      <c r="JV26" s="41"/>
      <c r="JW26" s="41"/>
      <c r="JX26" s="41">
        <v>92963470</v>
      </c>
      <c r="JY26" s="41"/>
      <c r="JZ26" s="41"/>
      <c r="KA26" s="41">
        <v>50000000</v>
      </c>
      <c r="KB26" s="41"/>
      <c r="KC26" s="41"/>
      <c r="KD26" s="41"/>
    </row>
    <row r="27" spans="1:290">
      <c r="A27" s="7" t="s">
        <v>120</v>
      </c>
      <c r="B27" s="11" t="s">
        <v>147</v>
      </c>
      <c r="C27" s="19">
        <v>118000044</v>
      </c>
      <c r="D27" s="19">
        <v>95412296</v>
      </c>
      <c r="E27" s="19">
        <v>46951448</v>
      </c>
      <c r="F27" s="19">
        <v>0</v>
      </c>
      <c r="G27" s="19">
        <v>41785130</v>
      </c>
      <c r="H27" s="19"/>
      <c r="I27" s="19">
        <v>44294992</v>
      </c>
      <c r="J27" s="19" t="s">
        <v>4</v>
      </c>
      <c r="K27" s="19"/>
      <c r="L27" s="19" t="s">
        <v>130</v>
      </c>
      <c r="M27" s="19" t="s">
        <v>96</v>
      </c>
      <c r="N27" s="19">
        <v>60412858</v>
      </c>
      <c r="O27" s="19">
        <v>248469389</v>
      </c>
      <c r="P27" s="19">
        <v>60229475</v>
      </c>
      <c r="Q27" s="19">
        <v>14407013</v>
      </c>
      <c r="R27" s="19">
        <v>21874751</v>
      </c>
      <c r="S27" s="19">
        <v>67227879</v>
      </c>
      <c r="T27" s="19" t="s">
        <v>96</v>
      </c>
      <c r="U27" s="19">
        <v>71861710</v>
      </c>
      <c r="V27" s="19" t="s">
        <v>128</v>
      </c>
      <c r="W27" s="19">
        <v>29516153</v>
      </c>
      <c r="X27" s="19">
        <v>123039373</v>
      </c>
      <c r="Y27" s="19">
        <v>23392244</v>
      </c>
      <c r="Z27" s="19">
        <v>326069507</v>
      </c>
      <c r="AA27" s="19">
        <v>204972585</v>
      </c>
      <c r="AB27" s="19">
        <v>27551930</v>
      </c>
      <c r="AC27" s="19">
        <v>45674691</v>
      </c>
      <c r="AD27" s="19">
        <v>104570960</v>
      </c>
      <c r="AE27" s="19">
        <v>11873615</v>
      </c>
      <c r="AF27" s="19">
        <v>18070331</v>
      </c>
      <c r="AG27" s="19">
        <v>85282759</v>
      </c>
      <c r="AH27" s="19">
        <v>102271806</v>
      </c>
      <c r="AI27" s="19">
        <v>36364864</v>
      </c>
      <c r="AJ27" s="19">
        <v>12110015</v>
      </c>
      <c r="AK27" s="19" t="s">
        <v>89</v>
      </c>
      <c r="AL27" s="19">
        <v>73344037</v>
      </c>
      <c r="AM27" s="19" t="s">
        <v>4</v>
      </c>
      <c r="AN27" s="19">
        <v>58838767</v>
      </c>
      <c r="AO27" s="19">
        <v>17580486</v>
      </c>
      <c r="AP27" s="19">
        <v>36380654</v>
      </c>
      <c r="AQ27" s="19" t="s">
        <v>96</v>
      </c>
      <c r="AR27" s="19">
        <v>3796928</v>
      </c>
      <c r="AS27" s="19">
        <v>76532829</v>
      </c>
      <c r="AT27" s="19">
        <v>38217775</v>
      </c>
      <c r="AU27" s="19">
        <v>155962638</v>
      </c>
      <c r="AV27" s="19">
        <v>14115500</v>
      </c>
      <c r="AW27" s="19">
        <v>33056246</v>
      </c>
      <c r="AX27" s="19" t="s">
        <v>4</v>
      </c>
      <c r="AY27" s="19">
        <v>22504864</v>
      </c>
      <c r="AZ27" s="19">
        <v>96458226</v>
      </c>
      <c r="BA27" s="19">
        <v>175659456</v>
      </c>
      <c r="BB27" s="19">
        <v>2723380</v>
      </c>
      <c r="BC27" s="19" t="s">
        <v>4</v>
      </c>
      <c r="BD27" s="19" t="s">
        <v>128</v>
      </c>
      <c r="BE27" s="19">
        <v>344585490</v>
      </c>
      <c r="BF27" s="19">
        <v>38886886</v>
      </c>
      <c r="BG27" s="19">
        <v>165880821</v>
      </c>
      <c r="BH27" s="19">
        <v>2763840</v>
      </c>
      <c r="BI27" s="19">
        <v>18964568</v>
      </c>
      <c r="BJ27" s="19">
        <v>2117677</v>
      </c>
      <c r="BK27" s="19">
        <v>12741601</v>
      </c>
      <c r="BL27" s="19">
        <v>51280222</v>
      </c>
      <c r="BM27" s="19">
        <v>160966744</v>
      </c>
      <c r="BN27" s="19">
        <v>77484777</v>
      </c>
      <c r="BO27" s="19">
        <v>3410751</v>
      </c>
      <c r="BP27" s="19" t="s">
        <v>96</v>
      </c>
      <c r="BQ27" s="19" t="s">
        <v>4</v>
      </c>
      <c r="BR27" s="19">
        <v>117169878</v>
      </c>
      <c r="BS27" s="19">
        <v>900800</v>
      </c>
      <c r="BT27" s="19">
        <v>9556308</v>
      </c>
      <c r="BU27" s="19">
        <v>68080205</v>
      </c>
      <c r="BV27" s="19">
        <v>70376324</v>
      </c>
      <c r="BW27" s="19">
        <v>13261826</v>
      </c>
      <c r="BX27" s="19">
        <v>11779520</v>
      </c>
      <c r="BY27" s="19">
        <v>104060873</v>
      </c>
      <c r="BZ27" s="19">
        <v>29970717</v>
      </c>
      <c r="CA27" s="19">
        <v>17560165</v>
      </c>
      <c r="CB27" s="19">
        <v>60682914</v>
      </c>
      <c r="CC27" s="19">
        <v>52103642</v>
      </c>
      <c r="CD27" s="19">
        <v>545544591</v>
      </c>
      <c r="CE27" s="19">
        <v>20739916</v>
      </c>
      <c r="CF27" s="19">
        <v>73618637</v>
      </c>
      <c r="CG27" s="19"/>
      <c r="CH27" s="19">
        <v>10230519</v>
      </c>
      <c r="CI27" s="19" t="s">
        <v>128</v>
      </c>
      <c r="CJ27" s="19" t="s">
        <v>89</v>
      </c>
      <c r="CK27" s="19">
        <v>298453277</v>
      </c>
      <c r="CL27" s="19">
        <v>27976275</v>
      </c>
      <c r="CM27" s="19">
        <v>692527713</v>
      </c>
      <c r="CN27" s="19">
        <v>53724679</v>
      </c>
      <c r="CO27" s="19"/>
      <c r="CP27" s="19">
        <v>338064637</v>
      </c>
      <c r="CQ27" s="19" t="s">
        <v>96</v>
      </c>
      <c r="CR27" s="19">
        <v>82693342</v>
      </c>
      <c r="CS27" s="19">
        <v>277016285</v>
      </c>
      <c r="CT27" s="19">
        <v>75671653</v>
      </c>
      <c r="CU27" s="19"/>
      <c r="CV27" s="19">
        <v>89385928</v>
      </c>
      <c r="CW27" s="19">
        <v>39891413</v>
      </c>
      <c r="CX27" s="19">
        <v>85282759</v>
      </c>
      <c r="CY27" s="19">
        <v>967365516</v>
      </c>
      <c r="CZ27" s="19">
        <v>1797457</v>
      </c>
      <c r="DA27" s="19">
        <v>14790959</v>
      </c>
      <c r="DB27" s="19"/>
      <c r="DC27" s="19">
        <v>1050100</v>
      </c>
      <c r="DD27" s="19">
        <v>13758526</v>
      </c>
      <c r="DE27" s="19" t="s">
        <v>89</v>
      </c>
      <c r="DF27" s="19">
        <v>7146339</v>
      </c>
      <c r="DG27" s="19">
        <v>84780983</v>
      </c>
      <c r="DH27" s="19">
        <v>35250075</v>
      </c>
      <c r="DI27" s="19" t="s">
        <v>128</v>
      </c>
      <c r="DJ27" s="19">
        <v>2992959</v>
      </c>
      <c r="DK27" s="19">
        <v>257316828</v>
      </c>
      <c r="DL27" s="19">
        <v>23409163</v>
      </c>
      <c r="DM27" s="19">
        <v>14232400</v>
      </c>
      <c r="DN27" s="19">
        <v>35438277</v>
      </c>
      <c r="DO27" s="19">
        <v>9510549</v>
      </c>
      <c r="DP27" s="19">
        <v>532672325</v>
      </c>
      <c r="DQ27" s="19">
        <v>75206482</v>
      </c>
      <c r="DR27" s="19">
        <v>38689125</v>
      </c>
      <c r="DS27" s="19">
        <v>20345249</v>
      </c>
      <c r="DT27" s="19">
        <v>7990264</v>
      </c>
      <c r="DU27" s="19">
        <v>100000000</v>
      </c>
      <c r="DV27" s="19">
        <f>40200+2052329</f>
        <v>2092529</v>
      </c>
      <c r="DW27" s="19">
        <v>64472457</v>
      </c>
      <c r="DX27" s="19">
        <v>369832740</v>
      </c>
      <c r="DY27" s="19">
        <v>45772142</v>
      </c>
      <c r="DZ27" s="19">
        <v>18707806</v>
      </c>
      <c r="EA27" s="19">
        <v>1333472</v>
      </c>
      <c r="EB27" s="19">
        <v>242030</v>
      </c>
      <c r="EC27" s="19">
        <v>69644892</v>
      </c>
      <c r="ED27" s="19"/>
      <c r="EE27" s="19">
        <v>3573604</v>
      </c>
      <c r="EF27" s="19">
        <v>43526030</v>
      </c>
      <c r="EG27" s="19">
        <v>287451045</v>
      </c>
      <c r="EH27" s="19">
        <v>26554146</v>
      </c>
      <c r="EI27" s="19">
        <v>355611328</v>
      </c>
      <c r="EJ27" s="19">
        <v>19486979</v>
      </c>
      <c r="EK27" s="19">
        <v>6057760</v>
      </c>
      <c r="EL27" s="19">
        <v>147319902</v>
      </c>
      <c r="EM27" s="19">
        <v>31109277</v>
      </c>
      <c r="EN27" s="19">
        <v>529047101</v>
      </c>
      <c r="EO27" s="19">
        <v>175453128</v>
      </c>
      <c r="EP27" s="19"/>
      <c r="EQ27" s="19"/>
      <c r="ER27" s="19">
        <v>673252680</v>
      </c>
      <c r="ES27" s="19">
        <v>77553305</v>
      </c>
      <c r="ET27" s="19">
        <v>79964142</v>
      </c>
      <c r="EU27" s="19">
        <v>93279139</v>
      </c>
      <c r="EV27" s="19">
        <v>10610313</v>
      </c>
      <c r="EW27" s="19">
        <v>45985286</v>
      </c>
      <c r="EX27" s="19">
        <v>262124706</v>
      </c>
      <c r="EY27" s="19">
        <v>459170143</v>
      </c>
      <c r="EZ27" s="19">
        <v>7999610</v>
      </c>
      <c r="FA27" s="19">
        <v>82682489</v>
      </c>
      <c r="FB27" s="19">
        <v>11932085</v>
      </c>
      <c r="FC27" s="19">
        <v>104870916</v>
      </c>
      <c r="FD27" s="19">
        <v>40619746</v>
      </c>
      <c r="FE27" s="19">
        <v>187302239</v>
      </c>
      <c r="FF27" s="19">
        <v>22485770</v>
      </c>
      <c r="FG27" s="19">
        <f>9219897+13914560+61420866</f>
        <v>84555323</v>
      </c>
      <c r="FH27" s="19">
        <v>25284392</v>
      </c>
      <c r="FI27" s="19">
        <v>6481816</v>
      </c>
      <c r="FJ27" s="19">
        <v>1497220</v>
      </c>
      <c r="FK27" s="19">
        <v>161040682</v>
      </c>
      <c r="FL27" s="19">
        <v>2559651</v>
      </c>
      <c r="FM27" s="19">
        <v>3285494</v>
      </c>
      <c r="FN27" s="19">
        <v>4989283</v>
      </c>
      <c r="FO27" s="19"/>
      <c r="FP27" s="19">
        <v>15170997</v>
      </c>
      <c r="FQ27" s="19">
        <v>9733</v>
      </c>
      <c r="FR27" s="19">
        <v>23801461</v>
      </c>
      <c r="FS27" s="19">
        <v>17652050</v>
      </c>
      <c r="FT27" s="19">
        <v>131112128</v>
      </c>
      <c r="FU27" s="19">
        <v>11000000</v>
      </c>
      <c r="FV27" s="19">
        <v>24056786</v>
      </c>
      <c r="FW27" s="19">
        <v>6497392</v>
      </c>
      <c r="FX27" s="19">
        <v>53298263</v>
      </c>
      <c r="FY27" s="19">
        <v>71068781</v>
      </c>
      <c r="FZ27" s="19">
        <v>40206803</v>
      </c>
      <c r="GA27" s="19">
        <v>16964499</v>
      </c>
      <c r="GB27" s="19">
        <v>2659397</v>
      </c>
      <c r="GC27" s="19">
        <v>46649332</v>
      </c>
      <c r="GD27" s="19" t="s">
        <v>96</v>
      </c>
      <c r="GE27" s="19">
        <v>5328360</v>
      </c>
      <c r="GF27" s="19">
        <v>21038033</v>
      </c>
      <c r="GG27" s="19">
        <v>24713857</v>
      </c>
      <c r="GH27" s="19">
        <v>10073587</v>
      </c>
      <c r="GI27" s="19">
        <v>1758928</v>
      </c>
      <c r="GJ27" s="19"/>
      <c r="GK27" s="19">
        <v>13844478</v>
      </c>
      <c r="GL27" s="19">
        <v>29423307</v>
      </c>
      <c r="GM27" s="19">
        <v>22643920</v>
      </c>
      <c r="GN27" s="19">
        <v>71595116</v>
      </c>
      <c r="GO27" s="19">
        <v>20336339</v>
      </c>
      <c r="GP27" s="19">
        <v>257192861</v>
      </c>
      <c r="GQ27" s="19">
        <v>6770246</v>
      </c>
      <c r="GR27" s="19">
        <v>81620330</v>
      </c>
      <c r="GS27" s="19"/>
      <c r="GT27" s="19">
        <v>51103041</v>
      </c>
      <c r="GU27" s="19">
        <v>165756</v>
      </c>
      <c r="GV27" s="19">
        <v>367187501</v>
      </c>
      <c r="GW27" s="19">
        <v>57963393</v>
      </c>
      <c r="GX27" s="19">
        <v>43355470</v>
      </c>
      <c r="GY27" s="19">
        <v>15095993</v>
      </c>
      <c r="GZ27" s="19">
        <v>30736904</v>
      </c>
      <c r="HA27" s="19">
        <v>310894189</v>
      </c>
      <c r="HB27" s="37">
        <v>30415798</v>
      </c>
      <c r="HC27" s="19">
        <v>13598433</v>
      </c>
      <c r="HD27" s="19">
        <v>98507826</v>
      </c>
      <c r="HE27" s="19">
        <v>21271700</v>
      </c>
      <c r="HF27" s="19">
        <v>379735161</v>
      </c>
      <c r="HG27" s="19">
        <v>4029967</v>
      </c>
      <c r="HH27" s="19">
        <v>24282500</v>
      </c>
      <c r="HI27" s="19">
        <v>28391057</v>
      </c>
      <c r="HJ27" s="19">
        <v>92498732</v>
      </c>
      <c r="HK27" s="19">
        <v>170375869</v>
      </c>
      <c r="HL27" s="19">
        <v>10043798</v>
      </c>
      <c r="HM27" s="19">
        <v>689683</v>
      </c>
      <c r="HN27" s="19">
        <v>2869108</v>
      </c>
      <c r="HO27" s="19">
        <v>35952710</v>
      </c>
      <c r="HP27" s="19">
        <v>3309813</v>
      </c>
      <c r="HQ27" s="41">
        <v>47240583</v>
      </c>
      <c r="HR27" s="41">
        <v>86416635</v>
      </c>
      <c r="HS27" s="41">
        <v>5797062</v>
      </c>
      <c r="HT27" s="41">
        <v>23679727</v>
      </c>
      <c r="HU27" s="41">
        <v>85882944</v>
      </c>
      <c r="HV27" s="41">
        <v>9572682</v>
      </c>
      <c r="HW27" s="41">
        <v>1253602481</v>
      </c>
      <c r="HX27" s="41">
        <v>29034035</v>
      </c>
      <c r="HY27" s="41" t="s">
        <v>114</v>
      </c>
      <c r="HZ27" s="41">
        <v>186179307</v>
      </c>
      <c r="IA27" s="41">
        <v>8345562</v>
      </c>
      <c r="IB27" s="41">
        <v>20935237</v>
      </c>
      <c r="IC27" s="41">
        <v>105203856</v>
      </c>
      <c r="ID27" s="41">
        <v>11296526</v>
      </c>
      <c r="IE27" s="41" t="s">
        <v>4</v>
      </c>
      <c r="IF27" s="41">
        <v>39000</v>
      </c>
      <c r="IG27" s="41">
        <v>7795521</v>
      </c>
      <c r="IH27" s="41">
        <v>61699892</v>
      </c>
      <c r="II27" s="41">
        <v>18426781</v>
      </c>
      <c r="IJ27" s="41">
        <v>73072872</v>
      </c>
      <c r="IK27" s="41">
        <v>9797832</v>
      </c>
      <c r="IL27" s="41">
        <v>12481908</v>
      </c>
      <c r="IM27" s="41">
        <v>16494562</v>
      </c>
      <c r="IN27" s="41">
        <v>5028403</v>
      </c>
      <c r="IO27" s="41">
        <v>9185741</v>
      </c>
      <c r="IP27" s="41">
        <v>10440400</v>
      </c>
      <c r="IQ27" s="41">
        <v>1923710</v>
      </c>
      <c r="IR27" s="41">
        <v>506770721</v>
      </c>
      <c r="IS27" s="41">
        <v>63870360</v>
      </c>
      <c r="IT27" s="41">
        <v>42851781</v>
      </c>
      <c r="IU27" s="41">
        <v>19103117</v>
      </c>
      <c r="IV27" s="41">
        <v>1169600</v>
      </c>
      <c r="IW27" s="41">
        <v>18177304</v>
      </c>
      <c r="IX27" s="41" t="s">
        <v>114</v>
      </c>
      <c r="IY27" s="41"/>
      <c r="IZ27" s="41">
        <v>109237519</v>
      </c>
      <c r="JA27" s="41">
        <v>15563220</v>
      </c>
      <c r="JB27" s="41">
        <v>321376</v>
      </c>
      <c r="JC27" s="41">
        <v>97445990</v>
      </c>
      <c r="JD27" s="41">
        <v>5978375</v>
      </c>
      <c r="JE27" s="41" t="s">
        <v>114</v>
      </c>
      <c r="JF27" s="41">
        <v>30897243</v>
      </c>
      <c r="JG27" s="41">
        <v>6953592</v>
      </c>
      <c r="JH27" s="41">
        <v>3533275</v>
      </c>
      <c r="JI27" s="41">
        <v>5220736</v>
      </c>
      <c r="JJ27" s="41">
        <v>134396825</v>
      </c>
      <c r="JK27" s="41">
        <v>40679746</v>
      </c>
      <c r="JL27" s="41">
        <v>17909510</v>
      </c>
      <c r="JM27" s="41">
        <v>1318060</v>
      </c>
      <c r="JN27" s="41"/>
      <c r="JO27" s="41">
        <v>8144413</v>
      </c>
      <c r="JP27" s="41" t="s">
        <v>4</v>
      </c>
      <c r="JQ27" s="41">
        <v>25851987</v>
      </c>
      <c r="JR27" s="41">
        <v>2987007</v>
      </c>
      <c r="JS27" s="41">
        <v>6090228</v>
      </c>
      <c r="JT27" s="41">
        <v>21600930</v>
      </c>
      <c r="JU27" s="41">
        <v>17874442</v>
      </c>
      <c r="JV27" s="41"/>
      <c r="JW27" s="41">
        <v>100482438</v>
      </c>
      <c r="JX27" s="41">
        <v>36519886</v>
      </c>
      <c r="JY27" s="41">
        <v>40470403</v>
      </c>
      <c r="JZ27" s="41">
        <v>5329530</v>
      </c>
      <c r="KA27" s="41">
        <v>12136013</v>
      </c>
      <c r="KB27" s="41">
        <v>5444570</v>
      </c>
      <c r="KC27" s="41">
        <v>288570705</v>
      </c>
      <c r="KD27" s="41">
        <v>247392966</v>
      </c>
    </row>
    <row r="28" spans="1:290">
      <c r="A28" s="7" t="s">
        <v>120</v>
      </c>
      <c r="B28" s="11" t="s">
        <v>150</v>
      </c>
      <c r="C28" s="19">
        <v>10883785</v>
      </c>
      <c r="D28" s="19">
        <v>14855712</v>
      </c>
      <c r="E28" s="19">
        <v>3724700</v>
      </c>
      <c r="F28" s="19">
        <v>12478901</v>
      </c>
      <c r="G28" s="19">
        <v>99890</v>
      </c>
      <c r="H28" s="19"/>
      <c r="I28" s="19">
        <v>36493080</v>
      </c>
      <c r="J28" s="19" t="s">
        <v>4</v>
      </c>
      <c r="K28" s="19">
        <v>30981034</v>
      </c>
      <c r="L28" s="19" t="s">
        <v>130</v>
      </c>
      <c r="M28" s="19" t="s">
        <v>96</v>
      </c>
      <c r="N28" s="19">
        <v>13655094</v>
      </c>
      <c r="O28" s="19">
        <v>56897339</v>
      </c>
      <c r="P28" s="19">
        <v>57261041</v>
      </c>
      <c r="Q28" s="19">
        <v>43230</v>
      </c>
      <c r="R28" s="19">
        <v>5028572</v>
      </c>
      <c r="S28" s="19">
        <v>16983616</v>
      </c>
      <c r="T28" s="19" t="s">
        <v>96</v>
      </c>
      <c r="U28" s="19">
        <v>35522673</v>
      </c>
      <c r="V28" s="19" t="s">
        <v>128</v>
      </c>
      <c r="W28" s="19">
        <v>6734980</v>
      </c>
      <c r="X28" s="19">
        <v>86639290</v>
      </c>
      <c r="Y28" s="19">
        <v>9692480</v>
      </c>
      <c r="Z28" s="19">
        <v>20974839</v>
      </c>
      <c r="AA28" s="19">
        <v>4043750</v>
      </c>
      <c r="AB28" s="19">
        <v>5320860</v>
      </c>
      <c r="AC28" s="19">
        <v>39601508</v>
      </c>
      <c r="AD28" s="19">
        <v>7206140</v>
      </c>
      <c r="AE28" s="19">
        <v>1797210</v>
      </c>
      <c r="AF28" s="19">
        <v>3965135</v>
      </c>
      <c r="AG28" s="19">
        <v>1988852526</v>
      </c>
      <c r="AH28" s="19">
        <v>2234290</v>
      </c>
      <c r="AI28" s="19">
        <v>2954567</v>
      </c>
      <c r="AJ28" s="19">
        <v>19804170</v>
      </c>
      <c r="AK28" s="19" t="s">
        <v>89</v>
      </c>
      <c r="AL28" s="19">
        <v>30059561</v>
      </c>
      <c r="AM28" s="19" t="s">
        <v>4</v>
      </c>
      <c r="AN28" s="19">
        <v>6688039</v>
      </c>
      <c r="AO28" s="19">
        <v>41486948</v>
      </c>
      <c r="AP28" s="19">
        <v>10079355</v>
      </c>
      <c r="AQ28" s="19" t="s">
        <v>96</v>
      </c>
      <c r="AR28" s="19">
        <v>33033360</v>
      </c>
      <c r="AS28" s="19">
        <v>234801738</v>
      </c>
      <c r="AT28" s="19">
        <v>49135124</v>
      </c>
      <c r="AU28" s="19">
        <v>23577371</v>
      </c>
      <c r="AV28" s="19">
        <v>12807544</v>
      </c>
      <c r="AW28" s="19">
        <v>5371340</v>
      </c>
      <c r="AX28" s="19" t="s">
        <v>4</v>
      </c>
      <c r="AY28" s="19">
        <v>8695890</v>
      </c>
      <c r="AZ28" s="19">
        <v>11361126</v>
      </c>
      <c r="BA28" s="19">
        <v>46404741</v>
      </c>
      <c r="BB28" s="19">
        <v>3721831</v>
      </c>
      <c r="BC28" s="19" t="s">
        <v>4</v>
      </c>
      <c r="BD28" s="19" t="s">
        <v>128</v>
      </c>
      <c r="BE28" s="19">
        <v>20254234</v>
      </c>
      <c r="BF28" s="19">
        <v>10801600</v>
      </c>
      <c r="BG28" s="19">
        <v>33345183</v>
      </c>
      <c r="BH28" s="19">
        <v>3541031</v>
      </c>
      <c r="BI28" s="19">
        <v>6800816</v>
      </c>
      <c r="BJ28" s="19">
        <v>9140875</v>
      </c>
      <c r="BK28" s="19">
        <v>12897129</v>
      </c>
      <c r="BL28" s="19">
        <v>501400</v>
      </c>
      <c r="BM28" s="19">
        <v>5988710</v>
      </c>
      <c r="BN28" s="19">
        <v>30385800</v>
      </c>
      <c r="BO28" s="19">
        <v>1864133</v>
      </c>
      <c r="BP28" s="19" t="s">
        <v>96</v>
      </c>
      <c r="BQ28" s="19" t="s">
        <v>4</v>
      </c>
      <c r="BR28" s="19">
        <v>34332964</v>
      </c>
      <c r="BS28" s="19">
        <v>9689000</v>
      </c>
      <c r="BT28" s="19">
        <v>5896440</v>
      </c>
      <c r="BU28" s="19">
        <v>2001515</v>
      </c>
      <c r="BV28" s="19">
        <v>1263720</v>
      </c>
      <c r="BW28" s="19">
        <v>1210530</v>
      </c>
      <c r="BX28" s="19">
        <v>1614370</v>
      </c>
      <c r="BY28" s="19">
        <v>8819617</v>
      </c>
      <c r="BZ28" s="19">
        <v>23720080</v>
      </c>
      <c r="CA28" s="19">
        <v>26992095</v>
      </c>
      <c r="CB28" s="19">
        <v>2432920</v>
      </c>
      <c r="CC28" s="19">
        <v>2656470</v>
      </c>
      <c r="CD28" s="19"/>
      <c r="CE28" s="19">
        <v>5910780</v>
      </c>
      <c r="CF28" s="19">
        <v>4013680</v>
      </c>
      <c r="CG28" s="19">
        <v>2851510</v>
      </c>
      <c r="CH28" s="19">
        <v>12573640</v>
      </c>
      <c r="CI28" s="19" t="s">
        <v>128</v>
      </c>
      <c r="CJ28" s="19" t="s">
        <v>89</v>
      </c>
      <c r="CK28" s="19">
        <v>18326614</v>
      </c>
      <c r="CL28" s="19">
        <v>8340146</v>
      </c>
      <c r="CM28" s="19">
        <v>53844507</v>
      </c>
      <c r="CN28" s="19">
        <v>4868630</v>
      </c>
      <c r="CO28" s="19">
        <v>1242011</v>
      </c>
      <c r="CP28" s="19">
        <v>32722660</v>
      </c>
      <c r="CQ28" s="19" t="s">
        <v>96</v>
      </c>
      <c r="CR28" s="19">
        <v>8173980</v>
      </c>
      <c r="CS28" s="19">
        <v>57899733</v>
      </c>
      <c r="CT28" s="19"/>
      <c r="CU28" s="19">
        <v>1675387</v>
      </c>
      <c r="CV28" s="19">
        <v>93059140</v>
      </c>
      <c r="CW28" s="19">
        <v>13619810</v>
      </c>
      <c r="CX28" s="19">
        <v>1988852526</v>
      </c>
      <c r="CY28" s="19">
        <v>136131120</v>
      </c>
      <c r="CZ28" s="19">
        <v>10709902</v>
      </c>
      <c r="DA28" s="19">
        <v>46007865</v>
      </c>
      <c r="DB28" s="19">
        <v>9806646</v>
      </c>
      <c r="DC28" s="19">
        <v>1313330</v>
      </c>
      <c r="DD28" s="19">
        <v>1914010</v>
      </c>
      <c r="DE28" s="19" t="s">
        <v>89</v>
      </c>
      <c r="DF28" s="19">
        <v>1452081</v>
      </c>
      <c r="DG28" s="19">
        <v>4132240</v>
      </c>
      <c r="DH28" s="19">
        <v>42953055</v>
      </c>
      <c r="DI28" s="19" t="s">
        <v>128</v>
      </c>
      <c r="DJ28" s="19">
        <v>10690790</v>
      </c>
      <c r="DK28" s="19">
        <v>10508410</v>
      </c>
      <c r="DL28" s="19">
        <v>11814012</v>
      </c>
      <c r="DM28" s="19">
        <v>3055980</v>
      </c>
      <c r="DN28" s="19">
        <v>4856496</v>
      </c>
      <c r="DO28" s="19">
        <v>448300</v>
      </c>
      <c r="DP28" s="19">
        <v>49706961</v>
      </c>
      <c r="DQ28" s="19">
        <v>598080</v>
      </c>
      <c r="DR28" s="19">
        <v>4030850</v>
      </c>
      <c r="DS28" s="19">
        <v>2924690</v>
      </c>
      <c r="DT28" s="19">
        <v>30243736</v>
      </c>
      <c r="DU28" s="19">
        <v>13771480</v>
      </c>
      <c r="DV28" s="19">
        <v>4693020</v>
      </c>
      <c r="DW28" s="19">
        <v>31029370</v>
      </c>
      <c r="DX28" s="19">
        <v>27624843</v>
      </c>
      <c r="DY28" s="19">
        <v>10490364</v>
      </c>
      <c r="DZ28" s="19">
        <v>70112470</v>
      </c>
      <c r="EA28" s="19">
        <v>2869900</v>
      </c>
      <c r="EB28" s="19">
        <v>516732310</v>
      </c>
      <c r="EC28" s="19">
        <v>1732300</v>
      </c>
      <c r="ED28" s="19">
        <v>3974319</v>
      </c>
      <c r="EE28" s="19">
        <v>7116956</v>
      </c>
      <c r="EF28" s="19">
        <v>3806268</v>
      </c>
      <c r="EG28" s="19">
        <v>25020960</v>
      </c>
      <c r="EH28" s="19">
        <v>14326558</v>
      </c>
      <c r="EI28" s="19">
        <v>13119209</v>
      </c>
      <c r="EJ28" s="19">
        <v>4015000</v>
      </c>
      <c r="EK28" s="19">
        <v>4725820</v>
      </c>
      <c r="EL28" s="19">
        <v>106048960</v>
      </c>
      <c r="EM28" s="19">
        <v>11751240</v>
      </c>
      <c r="EN28" s="19">
        <v>18796440</v>
      </c>
      <c r="EO28" s="19">
        <v>5482450</v>
      </c>
      <c r="EP28" s="19">
        <v>10820323</v>
      </c>
      <c r="EQ28" s="19"/>
      <c r="ER28" s="19">
        <v>92936532</v>
      </c>
      <c r="ES28" s="19">
        <v>4036210</v>
      </c>
      <c r="ET28" s="19">
        <v>22329498</v>
      </c>
      <c r="EU28" s="19">
        <v>31926123</v>
      </c>
      <c r="EV28" s="19">
        <v>1191222</v>
      </c>
      <c r="EW28" s="19">
        <v>7021650</v>
      </c>
      <c r="EX28" s="19">
        <v>55600928</v>
      </c>
      <c r="EY28" s="19">
        <v>26902573</v>
      </c>
      <c r="EZ28" s="19">
        <v>5558220</v>
      </c>
      <c r="FA28" s="19">
        <v>90700865</v>
      </c>
      <c r="FB28" s="19">
        <v>9802990</v>
      </c>
      <c r="FC28" s="19">
        <v>303345290</v>
      </c>
      <c r="FD28" s="19">
        <v>2977490</v>
      </c>
      <c r="FE28" s="19">
        <v>4260629</v>
      </c>
      <c r="FF28" s="19">
        <v>7415553</v>
      </c>
      <c r="FG28" s="19">
        <f>6554600+19127291</f>
        <v>25681891</v>
      </c>
      <c r="FH28" s="19">
        <v>1570460</v>
      </c>
      <c r="FI28" s="19">
        <v>568190</v>
      </c>
      <c r="FJ28" s="19">
        <v>12555335</v>
      </c>
      <c r="FK28" s="19">
        <v>10495770</v>
      </c>
      <c r="FL28" s="19">
        <v>6729658</v>
      </c>
      <c r="FM28" s="19">
        <v>6557784</v>
      </c>
      <c r="FN28" s="19">
        <v>3257630</v>
      </c>
      <c r="FO28" s="19">
        <v>3803141</v>
      </c>
      <c r="FP28" s="19">
        <v>1150180</v>
      </c>
      <c r="FQ28" s="19">
        <v>1257725</v>
      </c>
      <c r="FR28" s="19">
        <v>1952994</v>
      </c>
      <c r="FS28" s="19">
        <v>1263770</v>
      </c>
      <c r="FT28" s="19">
        <v>14987762</v>
      </c>
      <c r="FU28" s="19">
        <v>1322000</v>
      </c>
      <c r="FV28" s="19">
        <v>7917766</v>
      </c>
      <c r="FW28" s="19">
        <v>2605273</v>
      </c>
      <c r="FX28" s="19">
        <v>3943560</v>
      </c>
      <c r="FY28" s="19">
        <v>12553585</v>
      </c>
      <c r="FZ28" s="19">
        <v>7515461</v>
      </c>
      <c r="GA28" s="19">
        <v>3286256</v>
      </c>
      <c r="GB28" s="19">
        <v>437190</v>
      </c>
      <c r="GC28" s="19">
        <v>884780</v>
      </c>
      <c r="GD28" s="19" t="s">
        <v>96</v>
      </c>
      <c r="GE28" s="19">
        <v>2142700</v>
      </c>
      <c r="GF28" s="19">
        <v>901600</v>
      </c>
      <c r="GG28" s="19">
        <v>9748101</v>
      </c>
      <c r="GH28" s="19">
        <v>2661270</v>
      </c>
      <c r="GI28" s="19">
        <v>4790705</v>
      </c>
      <c r="GJ28" s="19"/>
      <c r="GK28" s="19">
        <v>294095</v>
      </c>
      <c r="GL28" s="19">
        <v>1319849</v>
      </c>
      <c r="GM28" s="19">
        <v>9907458</v>
      </c>
      <c r="GN28" s="19">
        <v>8476587</v>
      </c>
      <c r="GO28" s="19">
        <v>4186010</v>
      </c>
      <c r="GP28" s="19">
        <v>66603500</v>
      </c>
      <c r="GQ28" s="19">
        <v>1805490</v>
      </c>
      <c r="GR28" s="19">
        <v>2233520</v>
      </c>
      <c r="GS28" s="19">
        <v>1690940</v>
      </c>
      <c r="GT28" s="19">
        <v>18680180</v>
      </c>
      <c r="GU28" s="19">
        <v>307100</v>
      </c>
      <c r="GV28" s="19">
        <v>16675606</v>
      </c>
      <c r="GW28" s="19">
        <v>9720700</v>
      </c>
      <c r="GX28" s="19">
        <v>9887237</v>
      </c>
      <c r="GY28" s="19">
        <v>17311660</v>
      </c>
      <c r="GZ28" s="19">
        <v>16342838</v>
      </c>
      <c r="HA28" s="19">
        <v>4717184</v>
      </c>
      <c r="HB28" s="37">
        <v>15962370</v>
      </c>
      <c r="HC28" s="19">
        <v>2838413</v>
      </c>
      <c r="HD28" s="19"/>
      <c r="HE28" s="19">
        <v>1622910</v>
      </c>
      <c r="HF28" s="19">
        <v>35349880</v>
      </c>
      <c r="HG28" s="19">
        <v>3538120</v>
      </c>
      <c r="HH28" s="19">
        <v>4771015</v>
      </c>
      <c r="HI28" s="19">
        <v>12505059</v>
      </c>
      <c r="HJ28" s="19">
        <v>15472920</v>
      </c>
      <c r="HK28" s="19">
        <v>24692360</v>
      </c>
      <c r="HL28" s="19">
        <v>3598813</v>
      </c>
      <c r="HM28" s="19">
        <v>5004129</v>
      </c>
      <c r="HN28" s="19">
        <v>553460</v>
      </c>
      <c r="HO28" s="19">
        <v>12401460</v>
      </c>
      <c r="HP28" s="19">
        <v>3136050</v>
      </c>
      <c r="HQ28" s="41">
        <v>16157899</v>
      </c>
      <c r="HR28" s="41">
        <v>46085390</v>
      </c>
      <c r="HS28" s="41">
        <v>13964408</v>
      </c>
      <c r="HT28" s="41">
        <v>453751</v>
      </c>
      <c r="HU28" s="41">
        <v>11295140</v>
      </c>
      <c r="HV28" s="41">
        <v>3204250</v>
      </c>
      <c r="HW28" s="41">
        <v>218918222</v>
      </c>
      <c r="HX28" s="41">
        <v>3544407</v>
      </c>
      <c r="HY28" s="41" t="s">
        <v>114</v>
      </c>
      <c r="HZ28" s="41">
        <v>28047933</v>
      </c>
      <c r="IA28" s="41">
        <v>1140150</v>
      </c>
      <c r="IB28" s="41">
        <v>744050</v>
      </c>
      <c r="IC28" s="41">
        <v>4466060</v>
      </c>
      <c r="ID28" s="41">
        <v>2723220</v>
      </c>
      <c r="IE28" s="41" t="s">
        <v>4</v>
      </c>
      <c r="IF28" s="41">
        <v>669820</v>
      </c>
      <c r="IG28" s="41">
        <v>653430</v>
      </c>
      <c r="IH28" s="41">
        <v>3756499</v>
      </c>
      <c r="II28" s="41">
        <v>904390</v>
      </c>
      <c r="IJ28" s="41">
        <v>12126829</v>
      </c>
      <c r="IK28" s="41">
        <v>1490410</v>
      </c>
      <c r="IL28" s="41">
        <v>909545</v>
      </c>
      <c r="IM28" s="41">
        <v>1597280</v>
      </c>
      <c r="IN28" s="41">
        <v>2667840</v>
      </c>
      <c r="IO28" s="41">
        <v>514750</v>
      </c>
      <c r="IP28" s="41">
        <v>3450101</v>
      </c>
      <c r="IQ28" s="41">
        <v>5660540</v>
      </c>
      <c r="IR28" s="41">
        <v>32884300</v>
      </c>
      <c r="IS28" s="41">
        <v>35701364</v>
      </c>
      <c r="IT28" s="41">
        <v>17710230</v>
      </c>
      <c r="IU28" s="41">
        <v>10809150</v>
      </c>
      <c r="IV28" s="41">
        <v>5196277</v>
      </c>
      <c r="IW28" s="41">
        <v>3323009</v>
      </c>
      <c r="IX28" s="41" t="s">
        <v>114</v>
      </c>
      <c r="IY28" s="41">
        <v>1702139</v>
      </c>
      <c r="IZ28" s="41">
        <v>4849066</v>
      </c>
      <c r="JA28" s="41">
        <v>3395690</v>
      </c>
      <c r="JB28" s="41">
        <v>3548996</v>
      </c>
      <c r="JC28" s="41">
        <v>7913480</v>
      </c>
      <c r="JD28" s="41"/>
      <c r="JE28" s="41" t="s">
        <v>114</v>
      </c>
      <c r="JF28" s="41">
        <v>3068000</v>
      </c>
      <c r="JG28" s="41">
        <v>442028101</v>
      </c>
      <c r="JH28" s="41">
        <v>8838215</v>
      </c>
      <c r="JI28" s="41">
        <v>1178050</v>
      </c>
      <c r="JJ28" s="41">
        <v>8095460</v>
      </c>
      <c r="JK28" s="41">
        <v>2755670</v>
      </c>
      <c r="JL28" s="41">
        <v>27770345</v>
      </c>
      <c r="JM28" s="41">
        <v>288580</v>
      </c>
      <c r="JN28" s="41"/>
      <c r="JO28" s="41">
        <v>9789855</v>
      </c>
      <c r="JP28" s="41" t="s">
        <v>4</v>
      </c>
      <c r="JQ28" s="41">
        <v>3899224</v>
      </c>
      <c r="JR28" s="41">
        <v>827840</v>
      </c>
      <c r="JS28" s="41">
        <v>444370</v>
      </c>
      <c r="JT28" s="41">
        <v>24589826</v>
      </c>
      <c r="JU28" s="41">
        <v>984860</v>
      </c>
      <c r="JV28" s="41">
        <v>1428275</v>
      </c>
      <c r="JW28" s="41">
        <v>438311139</v>
      </c>
      <c r="JX28" s="41">
        <v>221210</v>
      </c>
      <c r="JY28" s="41">
        <v>2184360</v>
      </c>
      <c r="JZ28" s="41">
        <v>974727</v>
      </c>
      <c r="KA28" s="41">
        <v>32687820</v>
      </c>
      <c r="KB28" s="41">
        <v>8109123</v>
      </c>
      <c r="KC28" s="41">
        <v>194010</v>
      </c>
      <c r="KD28" s="41">
        <v>78569668</v>
      </c>
    </row>
    <row r="29" spans="1:290">
      <c r="A29" s="7" t="s">
        <v>120</v>
      </c>
      <c r="B29" s="11" t="s">
        <v>13</v>
      </c>
      <c r="C29" s="19">
        <v>2255426</v>
      </c>
      <c r="D29" s="19"/>
      <c r="E29" s="19"/>
      <c r="F29" s="19">
        <v>0</v>
      </c>
      <c r="G29" s="19">
        <v>0</v>
      </c>
      <c r="H29" s="19"/>
      <c r="I29" s="19"/>
      <c r="J29" s="19" t="s">
        <v>4</v>
      </c>
      <c r="K29" s="19"/>
      <c r="L29" s="19" t="s">
        <v>130</v>
      </c>
      <c r="M29" s="19" t="s">
        <v>96</v>
      </c>
      <c r="N29" s="19"/>
      <c r="O29" s="19">
        <v>3081500</v>
      </c>
      <c r="P29" s="19"/>
      <c r="Q29" s="19"/>
      <c r="R29" s="19"/>
      <c r="S29" s="19"/>
      <c r="T29" s="19" t="s">
        <v>96</v>
      </c>
      <c r="U29" s="19"/>
      <c r="V29" s="19" t="s">
        <v>128</v>
      </c>
      <c r="W29" s="19">
        <v>813831</v>
      </c>
      <c r="X29" s="19"/>
      <c r="Y29" s="19"/>
      <c r="Z29" s="19"/>
      <c r="AA29" s="19">
        <v>486601456</v>
      </c>
      <c r="AB29" s="19"/>
      <c r="AC29" s="19">
        <v>156083104</v>
      </c>
      <c r="AD29" s="19"/>
      <c r="AE29" s="19">
        <v>26887751</v>
      </c>
      <c r="AF29" s="19">
        <v>86342672</v>
      </c>
      <c r="AG29" s="19"/>
      <c r="AH29" s="19"/>
      <c r="AI29" s="19"/>
      <c r="AJ29" s="19">
        <v>8118047</v>
      </c>
      <c r="AK29" s="19" t="s">
        <v>89</v>
      </c>
      <c r="AL29" s="19"/>
      <c r="AM29" s="19" t="s">
        <v>4</v>
      </c>
      <c r="AN29" s="19">
        <v>16817997</v>
      </c>
      <c r="AO29" s="19"/>
      <c r="AP29" s="19"/>
      <c r="AQ29" s="19" t="s">
        <v>96</v>
      </c>
      <c r="AR29" s="19"/>
      <c r="AS29" s="19">
        <v>6351934</v>
      </c>
      <c r="AT29" s="19">
        <v>15000000</v>
      </c>
      <c r="AU29" s="19"/>
      <c r="AV29" s="19"/>
      <c r="AW29" s="19">
        <v>252500000</v>
      </c>
      <c r="AX29" s="19" t="s">
        <v>4</v>
      </c>
      <c r="AY29" s="19"/>
      <c r="AZ29" s="19"/>
      <c r="BA29" s="19"/>
      <c r="BB29" s="19">
        <v>15221000</v>
      </c>
      <c r="BC29" s="19" t="s">
        <v>4</v>
      </c>
      <c r="BD29" s="19" t="s">
        <v>128</v>
      </c>
      <c r="BE29" s="19"/>
      <c r="BF29" s="19"/>
      <c r="BG29" s="19"/>
      <c r="BH29" s="19"/>
      <c r="BI29" s="19"/>
      <c r="BJ29" s="19"/>
      <c r="BK29" s="19"/>
      <c r="BL29" s="19">
        <v>31021377</v>
      </c>
      <c r="BM29" s="19"/>
      <c r="BN29" s="19"/>
      <c r="BO29" s="19"/>
      <c r="BP29" s="19" t="s">
        <v>96</v>
      </c>
      <c r="BQ29" s="19" t="s">
        <v>4</v>
      </c>
      <c r="BR29" s="19"/>
      <c r="BS29" s="19">
        <v>15500000</v>
      </c>
      <c r="BT29" s="19">
        <v>61136120</v>
      </c>
      <c r="BU29" s="19"/>
      <c r="BV29" s="19">
        <v>6160501</v>
      </c>
      <c r="BW29" s="19"/>
      <c r="BX29" s="19"/>
      <c r="BY29" s="19"/>
      <c r="BZ29" s="19"/>
      <c r="CA29" s="19"/>
      <c r="CB29" s="19">
        <v>41145762</v>
      </c>
      <c r="CC29" s="19">
        <v>100000</v>
      </c>
      <c r="CD29" s="19"/>
      <c r="CE29" s="19">
        <v>16538145</v>
      </c>
      <c r="CF29" s="19">
        <v>209712116</v>
      </c>
      <c r="CG29" s="19"/>
      <c r="CH29" s="19">
        <v>71066340</v>
      </c>
      <c r="CI29" s="19" t="s">
        <v>128</v>
      </c>
      <c r="CJ29" s="19" t="s">
        <v>89</v>
      </c>
      <c r="CK29" s="19"/>
      <c r="CL29" s="19"/>
      <c r="CM29" s="19"/>
      <c r="CN29" s="19"/>
      <c r="CO29" s="19"/>
      <c r="CP29" s="19">
        <v>53107770</v>
      </c>
      <c r="CQ29" s="19" t="s">
        <v>96</v>
      </c>
      <c r="CR29" s="19">
        <v>5022722</v>
      </c>
      <c r="CS29" s="19"/>
      <c r="CT29" s="19"/>
      <c r="CU29" s="19"/>
      <c r="CV29" s="19"/>
      <c r="CW29" s="19"/>
      <c r="CX29" s="19"/>
      <c r="CY29" s="19"/>
      <c r="CZ29" s="19"/>
      <c r="DA29" s="19"/>
      <c r="DB29" s="19"/>
      <c r="DC29" s="19"/>
      <c r="DD29" s="19"/>
      <c r="DE29" s="19" t="s">
        <v>89</v>
      </c>
      <c r="DF29" s="19"/>
      <c r="DG29" s="19"/>
      <c r="DH29" s="19"/>
      <c r="DI29" s="19" t="s">
        <v>128</v>
      </c>
      <c r="DJ29" s="19"/>
      <c r="DK29" s="19"/>
      <c r="DL29" s="19"/>
      <c r="DM29" s="19"/>
      <c r="DN29" s="19"/>
      <c r="DO29" s="19"/>
      <c r="DP29" s="19">
        <v>6925865</v>
      </c>
      <c r="DQ29" s="19"/>
      <c r="DR29" s="19">
        <v>266420</v>
      </c>
      <c r="DS29" s="19"/>
      <c r="DT29" s="19"/>
      <c r="DU29" s="19">
        <v>11000000</v>
      </c>
      <c r="DV29" s="19"/>
      <c r="DW29" s="19">
        <v>8521250</v>
      </c>
      <c r="DX29" s="19"/>
      <c r="DY29" s="19"/>
      <c r="DZ29" s="19"/>
      <c r="EA29" s="19"/>
      <c r="EB29" s="19"/>
      <c r="EC29" s="19"/>
      <c r="ED29" s="19">
        <v>110000000</v>
      </c>
      <c r="EE29" s="19"/>
      <c r="EF29" s="19">
        <v>125000000</v>
      </c>
      <c r="EG29" s="19"/>
      <c r="EH29" s="19"/>
      <c r="EI29" s="19"/>
      <c r="EJ29" s="19"/>
      <c r="EK29" s="19"/>
      <c r="EL29" s="19"/>
      <c r="EM29" s="19"/>
      <c r="EN29" s="19">
        <v>16000000</v>
      </c>
      <c r="EO29" s="19"/>
      <c r="EP29" s="19"/>
      <c r="EQ29" s="19"/>
      <c r="ER29" s="19"/>
      <c r="ES29" s="19"/>
      <c r="ET29" s="19"/>
      <c r="EU29" s="19">
        <v>15952307</v>
      </c>
      <c r="EV29" s="19"/>
      <c r="EW29" s="19"/>
      <c r="EX29" s="19"/>
      <c r="EY29" s="19"/>
      <c r="EZ29" s="19"/>
      <c r="FA29" s="19"/>
      <c r="FB29" s="19"/>
      <c r="FC29" s="19">
        <v>50207370</v>
      </c>
      <c r="FD29" s="19"/>
      <c r="FE29" s="19"/>
      <c r="FF29" s="19"/>
      <c r="FG29" s="19"/>
      <c r="FH29" s="19">
        <v>98551549</v>
      </c>
      <c r="FI29" s="19">
        <v>28760221</v>
      </c>
      <c r="FJ29" s="19">
        <v>300000</v>
      </c>
      <c r="FK29" s="19"/>
      <c r="FL29" s="19"/>
      <c r="FM29" s="19"/>
      <c r="FN29" s="19"/>
      <c r="FO29" s="19"/>
      <c r="FP29" s="19"/>
      <c r="FQ29" s="19"/>
      <c r="FR29" s="19"/>
      <c r="FS29" s="19"/>
      <c r="FT29" s="19"/>
      <c r="FU29" s="19">
        <v>5500000</v>
      </c>
      <c r="FV29" s="19"/>
      <c r="FW29" s="19">
        <v>27844948</v>
      </c>
      <c r="FX29" s="19"/>
      <c r="FY29" s="19"/>
      <c r="FZ29" s="19"/>
      <c r="GA29" s="19"/>
      <c r="GB29" s="19">
        <v>11888000</v>
      </c>
      <c r="GC29" s="19"/>
      <c r="GD29" s="19" t="s">
        <v>96</v>
      </c>
      <c r="GE29" s="19"/>
      <c r="GF29" s="19">
        <v>32766219</v>
      </c>
      <c r="GG29" s="19"/>
      <c r="GH29" s="19"/>
      <c r="GI29" s="19">
        <v>52870844</v>
      </c>
      <c r="GJ29" s="19"/>
      <c r="GK29" s="19"/>
      <c r="GL29" s="19">
        <v>19500000</v>
      </c>
      <c r="GM29" s="19"/>
      <c r="GN29" s="19">
        <v>3309094</v>
      </c>
      <c r="GO29" s="19"/>
      <c r="GP29" s="19"/>
      <c r="GQ29" s="19"/>
      <c r="GR29" s="19">
        <v>11593690</v>
      </c>
      <c r="GS29" s="19">
        <v>1200000</v>
      </c>
      <c r="GT29" s="19"/>
      <c r="GU29" s="19"/>
      <c r="GV29" s="19">
        <v>4000000</v>
      </c>
      <c r="GW29" s="19"/>
      <c r="GX29" s="19"/>
      <c r="GY29" s="19"/>
      <c r="GZ29" s="19">
        <v>47212821</v>
      </c>
      <c r="HA29" s="19">
        <v>841943</v>
      </c>
      <c r="HB29" s="37"/>
      <c r="HC29" s="19"/>
      <c r="HD29" s="19">
        <v>40227260</v>
      </c>
      <c r="HE29" s="19"/>
      <c r="HF29" s="19">
        <v>46302245</v>
      </c>
      <c r="HG29" s="19">
        <v>12557474</v>
      </c>
      <c r="HH29" s="19"/>
      <c r="HI29" s="19"/>
      <c r="HJ29" s="19"/>
      <c r="HK29" s="19">
        <v>108497</v>
      </c>
      <c r="HL29" s="19">
        <v>9000000</v>
      </c>
      <c r="HM29" s="19"/>
      <c r="HN29" s="19"/>
      <c r="HO29" s="19"/>
      <c r="HP29" s="19"/>
      <c r="HQ29" s="41">
        <v>10782380</v>
      </c>
      <c r="HR29" s="41">
        <v>106320099</v>
      </c>
      <c r="HS29" s="41"/>
      <c r="HT29" s="41">
        <v>2441836</v>
      </c>
      <c r="HU29" s="41"/>
      <c r="HV29" s="41">
        <v>15000000</v>
      </c>
      <c r="HW29" s="41"/>
      <c r="HX29" s="41"/>
      <c r="HY29" s="41" t="s">
        <v>114</v>
      </c>
      <c r="HZ29" s="41"/>
      <c r="IA29" s="41"/>
      <c r="IB29" s="41"/>
      <c r="IC29" s="41">
        <v>1250000</v>
      </c>
      <c r="ID29" s="41"/>
      <c r="IE29" s="41" t="s">
        <v>4</v>
      </c>
      <c r="IF29" s="41"/>
      <c r="IG29" s="41"/>
      <c r="IH29" s="41"/>
      <c r="II29" s="41">
        <v>44767650</v>
      </c>
      <c r="IJ29" s="41"/>
      <c r="IK29" s="41"/>
      <c r="IL29" s="41">
        <v>69227669</v>
      </c>
      <c r="IM29" s="41"/>
      <c r="IN29" s="41"/>
      <c r="IO29" s="41"/>
      <c r="IP29" s="41">
        <v>38674186</v>
      </c>
      <c r="IQ29" s="41"/>
      <c r="IR29" s="41">
        <v>25430980</v>
      </c>
      <c r="IS29" s="41"/>
      <c r="IT29" s="41">
        <v>850500</v>
      </c>
      <c r="IU29" s="41">
        <v>4170950</v>
      </c>
      <c r="IV29" s="41"/>
      <c r="IW29" s="41"/>
      <c r="IX29" s="41" t="s">
        <v>114</v>
      </c>
      <c r="IY29" s="41">
        <v>50000000</v>
      </c>
      <c r="IZ29" s="41"/>
      <c r="JA29" s="41">
        <v>20659024</v>
      </c>
      <c r="JB29" s="41">
        <v>81003893</v>
      </c>
      <c r="JC29" s="41">
        <v>29407047</v>
      </c>
      <c r="JD29" s="41"/>
      <c r="JE29" s="41" t="s">
        <v>114</v>
      </c>
      <c r="JF29" s="41"/>
      <c r="JG29" s="41"/>
      <c r="JH29" s="41">
        <v>34580189</v>
      </c>
      <c r="JI29" s="41"/>
      <c r="JJ29" s="41"/>
      <c r="JK29" s="41"/>
      <c r="JL29" s="41">
        <v>5830113</v>
      </c>
      <c r="JM29" s="41"/>
      <c r="JN29" s="41"/>
      <c r="JO29" s="41"/>
      <c r="JP29" s="41" t="s">
        <v>4</v>
      </c>
      <c r="JQ29" s="41">
        <v>25000000</v>
      </c>
      <c r="JR29" s="41"/>
      <c r="JS29" s="41"/>
      <c r="JT29" s="41">
        <v>5253215</v>
      </c>
      <c r="JU29" s="41"/>
      <c r="JV29" s="41"/>
      <c r="JW29" s="41"/>
      <c r="JX29" s="41"/>
      <c r="JY29" s="41">
        <v>21798031</v>
      </c>
      <c r="JZ29" s="41">
        <v>1692667</v>
      </c>
      <c r="KA29" s="41"/>
      <c r="KB29" s="41">
        <v>2009760</v>
      </c>
      <c r="KC29" s="41"/>
      <c r="KD29" s="41">
        <v>6970122</v>
      </c>
    </row>
    <row r="30" spans="1:290">
      <c r="A30" s="7" t="s">
        <v>120</v>
      </c>
      <c r="B30" s="11" t="s">
        <v>59</v>
      </c>
      <c r="C30" s="19">
        <v>263050</v>
      </c>
      <c r="D30" s="19">
        <v>336413393</v>
      </c>
      <c r="E30" s="19"/>
      <c r="F30" s="19">
        <v>0</v>
      </c>
      <c r="G30" s="19">
        <v>0</v>
      </c>
      <c r="H30" s="19"/>
      <c r="I30" s="19">
        <v>199815103</v>
      </c>
      <c r="J30" s="19" t="s">
        <v>4</v>
      </c>
      <c r="K30" s="19"/>
      <c r="L30" s="19" t="s">
        <v>130</v>
      </c>
      <c r="M30" s="19" t="s">
        <v>96</v>
      </c>
      <c r="N30" s="19">
        <v>45435154</v>
      </c>
      <c r="O30" s="19"/>
      <c r="P30" s="19">
        <v>4603190</v>
      </c>
      <c r="Q30" s="19"/>
      <c r="R30" s="19"/>
      <c r="S30" s="19">
        <v>773837936</v>
      </c>
      <c r="T30" s="19" t="s">
        <v>96</v>
      </c>
      <c r="U30" s="19">
        <v>233958600</v>
      </c>
      <c r="V30" s="19" t="s">
        <v>128</v>
      </c>
      <c r="W30" s="19">
        <v>5705520</v>
      </c>
      <c r="X30" s="19"/>
      <c r="Y30" s="19">
        <v>6556000</v>
      </c>
      <c r="Z30" s="19"/>
      <c r="AA30" s="19">
        <v>21600000</v>
      </c>
      <c r="AB30" s="19">
        <v>457500</v>
      </c>
      <c r="AC30" s="19"/>
      <c r="AD30" s="19">
        <v>15261714</v>
      </c>
      <c r="AE30" s="19"/>
      <c r="AF30" s="19"/>
      <c r="AG30" s="19">
        <v>11216370</v>
      </c>
      <c r="AH30" s="19">
        <v>10004944</v>
      </c>
      <c r="AI30" s="19"/>
      <c r="AJ30" s="19">
        <v>2000000</v>
      </c>
      <c r="AK30" s="19" t="s">
        <v>89</v>
      </c>
      <c r="AL30" s="19">
        <v>60004896</v>
      </c>
      <c r="AM30" s="19" t="s">
        <v>4</v>
      </c>
      <c r="AN30" s="19">
        <v>80000</v>
      </c>
      <c r="AO30" s="19">
        <v>50718602</v>
      </c>
      <c r="AP30" s="19">
        <v>53717700</v>
      </c>
      <c r="AQ30" s="19" t="s">
        <v>96</v>
      </c>
      <c r="AR30" s="19"/>
      <c r="AS30" s="19">
        <v>82628351</v>
      </c>
      <c r="AT30" s="19"/>
      <c r="AU30" s="19">
        <v>26600000</v>
      </c>
      <c r="AV30" s="19">
        <v>6000000</v>
      </c>
      <c r="AW30" s="19"/>
      <c r="AX30" s="19" t="s">
        <v>4</v>
      </c>
      <c r="AY30" s="19"/>
      <c r="AZ30" s="19"/>
      <c r="BA30" s="19">
        <v>22178092</v>
      </c>
      <c r="BB30" s="19"/>
      <c r="BC30" s="19" t="s">
        <v>4</v>
      </c>
      <c r="BD30" s="19" t="s">
        <v>128</v>
      </c>
      <c r="BE30" s="19">
        <v>107101640</v>
      </c>
      <c r="BF30" s="19"/>
      <c r="BG30" s="19">
        <v>130587506</v>
      </c>
      <c r="BH30" s="19">
        <v>581000</v>
      </c>
      <c r="BI30" s="19">
        <v>844800</v>
      </c>
      <c r="BJ30" s="19"/>
      <c r="BK30" s="19">
        <v>3300000</v>
      </c>
      <c r="BL30" s="19">
        <v>15000000</v>
      </c>
      <c r="BM30" s="19">
        <v>17118915</v>
      </c>
      <c r="BN30" s="19"/>
      <c r="BO30" s="19"/>
      <c r="BP30" s="19" t="s">
        <v>96</v>
      </c>
      <c r="BQ30" s="19" t="s">
        <v>4</v>
      </c>
      <c r="BR30" s="19">
        <v>83335649</v>
      </c>
      <c r="BS30" s="19">
        <v>3953078</v>
      </c>
      <c r="BT30" s="19">
        <v>2200000</v>
      </c>
      <c r="BU30" s="19">
        <v>12302632</v>
      </c>
      <c r="BV30" s="19">
        <v>21490000</v>
      </c>
      <c r="BW30" s="19"/>
      <c r="BX30" s="19"/>
      <c r="BY30" s="19">
        <v>232209648</v>
      </c>
      <c r="BZ30" s="19"/>
      <c r="CA30" s="19">
        <v>495000</v>
      </c>
      <c r="CB30" s="19"/>
      <c r="CC30" s="19">
        <v>74567152</v>
      </c>
      <c r="CD30" s="19">
        <v>20233187</v>
      </c>
      <c r="CE30" s="19"/>
      <c r="CF30" s="19"/>
      <c r="CG30" s="19"/>
      <c r="CH30" s="19">
        <v>300000</v>
      </c>
      <c r="CI30" s="19" t="s">
        <v>128</v>
      </c>
      <c r="CJ30" s="19" t="s">
        <v>89</v>
      </c>
      <c r="CK30" s="19"/>
      <c r="CL30" s="19">
        <v>48000000</v>
      </c>
      <c r="CM30" s="19">
        <v>30000000</v>
      </c>
      <c r="CN30" s="19"/>
      <c r="CO30" s="19"/>
      <c r="CP30" s="19">
        <v>113335107</v>
      </c>
      <c r="CQ30" s="19" t="s">
        <v>96</v>
      </c>
      <c r="CR30" s="19">
        <v>1200000</v>
      </c>
      <c r="CS30" s="19">
        <v>70720616</v>
      </c>
      <c r="CT30" s="19">
        <v>170365310</v>
      </c>
      <c r="CU30" s="19"/>
      <c r="CV30" s="19">
        <v>693000</v>
      </c>
      <c r="CW30" s="19">
        <v>24910000</v>
      </c>
      <c r="CX30" s="19">
        <v>11216370</v>
      </c>
      <c r="CY30" s="19"/>
      <c r="CZ30" s="19">
        <v>550000</v>
      </c>
      <c r="DA30" s="19"/>
      <c r="DB30" s="19">
        <v>18700340</v>
      </c>
      <c r="DC30" s="19">
        <v>49631130</v>
      </c>
      <c r="DD30" s="19"/>
      <c r="DE30" s="19" t="s">
        <v>89</v>
      </c>
      <c r="DF30" s="19">
        <v>1885000</v>
      </c>
      <c r="DG30" s="19">
        <v>28320010</v>
      </c>
      <c r="DH30" s="19"/>
      <c r="DI30" s="19" t="s">
        <v>128</v>
      </c>
      <c r="DJ30" s="19"/>
      <c r="DK30" s="19">
        <v>125073700</v>
      </c>
      <c r="DL30" s="19">
        <v>7317613</v>
      </c>
      <c r="DM30" s="19"/>
      <c r="DN30" s="19"/>
      <c r="DO30" s="19"/>
      <c r="DP30" s="19">
        <v>621335128</v>
      </c>
      <c r="DQ30" s="19"/>
      <c r="DR30" s="19"/>
      <c r="DS30" s="19"/>
      <c r="DT30" s="19"/>
      <c r="DU30" s="19"/>
      <c r="DV30" s="19"/>
      <c r="DW30" s="19"/>
      <c r="DX30" s="19"/>
      <c r="DY30" s="19"/>
      <c r="DZ30" s="19">
        <v>280900</v>
      </c>
      <c r="EA30" s="19"/>
      <c r="EB30" s="19">
        <v>441040</v>
      </c>
      <c r="EC30" s="19"/>
      <c r="ED30" s="19"/>
      <c r="EE30" s="19"/>
      <c r="EF30" s="19">
        <v>1148400</v>
      </c>
      <c r="EG30" s="19">
        <v>273330791</v>
      </c>
      <c r="EH30" s="19">
        <v>1210000</v>
      </c>
      <c r="EI30" s="19">
        <v>74213334</v>
      </c>
      <c r="EJ30" s="19"/>
      <c r="EK30" s="19"/>
      <c r="EL30" s="19">
        <v>-93389112</v>
      </c>
      <c r="EM30" s="19"/>
      <c r="EN30" s="19"/>
      <c r="EO30" s="19">
        <v>500000</v>
      </c>
      <c r="EP30" s="19"/>
      <c r="EQ30" s="19"/>
      <c r="ER30" s="19">
        <v>3290650</v>
      </c>
      <c r="ES30" s="19">
        <v>5038000</v>
      </c>
      <c r="ET30" s="19">
        <v>5631419</v>
      </c>
      <c r="EU30" s="19">
        <v>1277071749</v>
      </c>
      <c r="EV30" s="19"/>
      <c r="EW30" s="19">
        <v>30000000</v>
      </c>
      <c r="EX30" s="19"/>
      <c r="EY30" s="19"/>
      <c r="EZ30" s="19">
        <v>53556355</v>
      </c>
      <c r="FA30" s="19">
        <v>11467661</v>
      </c>
      <c r="FB30" s="19">
        <v>20740026</v>
      </c>
      <c r="FC30" s="19">
        <v>1038950</v>
      </c>
      <c r="FD30" s="19">
        <v>3818000</v>
      </c>
      <c r="FE30" s="19">
        <v>168499116</v>
      </c>
      <c r="FF30" s="19"/>
      <c r="FG30" s="19"/>
      <c r="FH30" s="19"/>
      <c r="FI30" s="19"/>
      <c r="FJ30" s="19"/>
      <c r="FK30" s="19">
        <v>209000</v>
      </c>
      <c r="FL30" s="19"/>
      <c r="FM30" s="19"/>
      <c r="FN30" s="19"/>
      <c r="FO30" s="19"/>
      <c r="FP30" s="19"/>
      <c r="FQ30" s="19"/>
      <c r="FR30" s="19">
        <v>14900000</v>
      </c>
      <c r="FS30" s="19"/>
      <c r="FT30" s="19"/>
      <c r="FU30" s="19"/>
      <c r="FV30" s="19"/>
      <c r="FW30" s="19">
        <v>81470</v>
      </c>
      <c r="FX30" s="19">
        <v>40065500</v>
      </c>
      <c r="FY30" s="19">
        <v>29796000</v>
      </c>
      <c r="FZ30" s="19"/>
      <c r="GA30" s="19"/>
      <c r="GB30" s="19"/>
      <c r="GC30" s="19"/>
      <c r="GD30" s="19" t="s">
        <v>96</v>
      </c>
      <c r="GE30" s="19"/>
      <c r="GF30" s="19">
        <v>16248313</v>
      </c>
      <c r="GG30" s="19">
        <v>1176000</v>
      </c>
      <c r="GH30" s="19">
        <v>800</v>
      </c>
      <c r="GI30" s="19">
        <v>1106193</v>
      </c>
      <c r="GJ30" s="19"/>
      <c r="GK30" s="19">
        <v>3305841</v>
      </c>
      <c r="GL30" s="19"/>
      <c r="GM30" s="19"/>
      <c r="GN30" s="19">
        <v>770000</v>
      </c>
      <c r="GO30" s="19">
        <v>5384000</v>
      </c>
      <c r="GP30" s="19">
        <v>3416110</v>
      </c>
      <c r="GQ30" s="19">
        <v>2980000</v>
      </c>
      <c r="GR30" s="19">
        <v>4851180</v>
      </c>
      <c r="GS30" s="19">
        <v>6454046</v>
      </c>
      <c r="GT30" s="19"/>
      <c r="GU30" s="19">
        <v>1640000</v>
      </c>
      <c r="GV30" s="19"/>
      <c r="GW30" s="19">
        <v>36734202</v>
      </c>
      <c r="GX30" s="19"/>
      <c r="GY30" s="19">
        <v>61930447</v>
      </c>
      <c r="GZ30" s="19">
        <v>5000000</v>
      </c>
      <c r="HA30" s="19"/>
      <c r="HB30" s="37">
        <v>2432000</v>
      </c>
      <c r="HC30" s="19"/>
      <c r="HD30" s="19"/>
      <c r="HE30" s="19">
        <v>1450000</v>
      </c>
      <c r="HF30" s="19"/>
      <c r="HG30" s="19">
        <v>2145610</v>
      </c>
      <c r="HH30" s="19"/>
      <c r="HI30" s="19">
        <v>229830060</v>
      </c>
      <c r="HJ30" s="19">
        <v>6025790</v>
      </c>
      <c r="HK30" s="19">
        <v>116711564</v>
      </c>
      <c r="HL30" s="19"/>
      <c r="HM30" s="19"/>
      <c r="HN30" s="19"/>
      <c r="HO30" s="19">
        <v>50310600</v>
      </c>
      <c r="HP30" s="19"/>
      <c r="HQ30" s="41"/>
      <c r="HR30" s="41">
        <v>88072637</v>
      </c>
      <c r="HS30" s="41"/>
      <c r="HT30" s="41">
        <v>27617835</v>
      </c>
      <c r="HU30" s="41"/>
      <c r="HV30" s="41"/>
      <c r="HW30" s="41">
        <v>6378481065</v>
      </c>
      <c r="HX30" s="41">
        <v>320443</v>
      </c>
      <c r="HY30" s="41" t="s">
        <v>114</v>
      </c>
      <c r="HZ30" s="41">
        <v>35667</v>
      </c>
      <c r="IA30" s="41">
        <v>91604940</v>
      </c>
      <c r="IB30" s="41"/>
      <c r="IC30" s="41"/>
      <c r="ID30" s="41"/>
      <c r="IE30" s="41" t="s">
        <v>4</v>
      </c>
      <c r="IF30" s="41"/>
      <c r="IG30" s="41"/>
      <c r="IH30" s="41"/>
      <c r="II30" s="41">
        <v>520000</v>
      </c>
      <c r="IJ30" s="41"/>
      <c r="IK30" s="41">
        <v>19700000</v>
      </c>
      <c r="IL30" s="41"/>
      <c r="IM30" s="41"/>
      <c r="IN30" s="41"/>
      <c r="IO30" s="41">
        <v>5874376</v>
      </c>
      <c r="IP30" s="41"/>
      <c r="IQ30" s="41">
        <v>503140000</v>
      </c>
      <c r="IR30" s="41"/>
      <c r="IS30" s="41">
        <v>726000</v>
      </c>
      <c r="IT30" s="41">
        <v>500000</v>
      </c>
      <c r="IU30" s="41"/>
      <c r="IV30" s="41"/>
      <c r="IW30" s="41"/>
      <c r="IX30" s="41" t="s">
        <v>114</v>
      </c>
      <c r="IY30" s="41"/>
      <c r="IZ30" s="41"/>
      <c r="JA30" s="41"/>
      <c r="JB30" s="41"/>
      <c r="JC30" s="41">
        <v>262900</v>
      </c>
      <c r="JD30" s="41">
        <v>20000000</v>
      </c>
      <c r="JE30" s="41" t="s">
        <v>114</v>
      </c>
      <c r="JF30" s="41"/>
      <c r="JG30" s="41">
        <v>1760000</v>
      </c>
      <c r="JH30" s="41"/>
      <c r="JI30" s="41"/>
      <c r="JJ30" s="41">
        <v>206250</v>
      </c>
      <c r="JK30" s="41"/>
      <c r="JL30" s="41">
        <v>3569150</v>
      </c>
      <c r="JM30" s="41">
        <v>2208000</v>
      </c>
      <c r="JN30" s="41"/>
      <c r="JO30" s="41"/>
      <c r="JP30" s="41" t="s">
        <v>4</v>
      </c>
      <c r="JQ30" s="41"/>
      <c r="JR30" s="41"/>
      <c r="JS30" s="41"/>
      <c r="JT30" s="41"/>
      <c r="JU30" s="41"/>
      <c r="JV30" s="41"/>
      <c r="JW30" s="41">
        <v>2000000</v>
      </c>
      <c r="JX30" s="41"/>
      <c r="JY30" s="41"/>
      <c r="JZ30" s="41"/>
      <c r="KA30" s="41">
        <v>128481800</v>
      </c>
      <c r="KB30" s="41">
        <v>5170000</v>
      </c>
      <c r="KC30" s="41"/>
      <c r="KD30" s="41">
        <v>1389067</v>
      </c>
    </row>
    <row r="31" spans="1:290">
      <c r="A31" s="7" t="s">
        <v>120</v>
      </c>
      <c r="B31" s="8" t="s">
        <v>18</v>
      </c>
      <c r="C31" s="19">
        <v>0</v>
      </c>
      <c r="D31" s="19">
        <v>0</v>
      </c>
      <c r="E31" s="19">
        <v>325000000</v>
      </c>
      <c r="F31" s="19">
        <v>595410000</v>
      </c>
      <c r="G31" s="19">
        <v>186658217</v>
      </c>
      <c r="H31" s="19">
        <v>1388126388</v>
      </c>
      <c r="I31" s="19">
        <v>2707721096</v>
      </c>
      <c r="J31" s="19" t="s">
        <v>4</v>
      </c>
      <c r="K31" s="19">
        <v>0</v>
      </c>
      <c r="L31" s="19" t="s">
        <v>130</v>
      </c>
      <c r="M31" s="19" t="s">
        <v>96</v>
      </c>
      <c r="N31" s="19">
        <v>197397553</v>
      </c>
      <c r="O31" s="19">
        <v>2749961260</v>
      </c>
      <c r="P31" s="19">
        <v>973096570</v>
      </c>
      <c r="Q31" s="19">
        <v>79700000</v>
      </c>
      <c r="R31" s="19">
        <v>402500000</v>
      </c>
      <c r="S31" s="19">
        <v>5745519724</v>
      </c>
      <c r="T31" s="19" t="s">
        <v>96</v>
      </c>
      <c r="U31" s="19">
        <v>505325748</v>
      </c>
      <c r="V31" s="19" t="s">
        <v>128</v>
      </c>
      <c r="W31" s="19">
        <v>938582439</v>
      </c>
      <c r="X31" s="19">
        <v>3465000000</v>
      </c>
      <c r="Y31" s="19">
        <v>30777891</v>
      </c>
      <c r="Z31" s="19">
        <v>5460905054</v>
      </c>
      <c r="AA31" s="19">
        <v>770800000</v>
      </c>
      <c r="AB31" s="19">
        <v>0</v>
      </c>
      <c r="AC31" s="19">
        <v>600000000</v>
      </c>
      <c r="AD31" s="19">
        <v>4995120000</v>
      </c>
      <c r="AE31" s="19">
        <v>5339737428</v>
      </c>
      <c r="AF31" s="19">
        <v>230000000</v>
      </c>
      <c r="AG31" s="19">
        <v>233361641</v>
      </c>
      <c r="AH31" s="19">
        <v>90000000</v>
      </c>
      <c r="AI31" s="19">
        <v>450000008</v>
      </c>
      <c r="AJ31" s="19">
        <v>260748893</v>
      </c>
      <c r="AK31" s="19" t="s">
        <v>89</v>
      </c>
      <c r="AL31" s="19">
        <v>1822563051</v>
      </c>
      <c r="AM31" s="19" t="s">
        <v>4</v>
      </c>
      <c r="AN31" s="19">
        <v>527326135</v>
      </c>
      <c r="AO31" s="19">
        <v>0</v>
      </c>
      <c r="AP31" s="19">
        <v>100548039</v>
      </c>
      <c r="AQ31" s="19" t="s">
        <v>96</v>
      </c>
      <c r="AR31" s="19">
        <v>350000000</v>
      </c>
      <c r="AS31" s="19">
        <v>0</v>
      </c>
      <c r="AT31" s="19">
        <v>2125284424</v>
      </c>
      <c r="AU31" s="19">
        <v>2168035941</v>
      </c>
      <c r="AV31" s="19">
        <v>3346387</v>
      </c>
      <c r="AW31" s="19">
        <v>294676139</v>
      </c>
      <c r="AX31" s="19" t="s">
        <v>4</v>
      </c>
      <c r="AY31" s="19">
        <v>364180020</v>
      </c>
      <c r="AZ31" s="19">
        <v>250000000</v>
      </c>
      <c r="BA31" s="19">
        <v>505904019</v>
      </c>
      <c r="BB31" s="19">
        <v>0</v>
      </c>
      <c r="BC31" s="19" t="s">
        <v>4</v>
      </c>
      <c r="BD31" s="19" t="s">
        <v>128</v>
      </c>
      <c r="BE31" s="19">
        <v>951415358</v>
      </c>
      <c r="BF31" s="19">
        <v>400000000</v>
      </c>
      <c r="BG31" s="19">
        <v>441792645</v>
      </c>
      <c r="BH31" s="19">
        <v>600000000</v>
      </c>
      <c r="BI31" s="19">
        <v>0</v>
      </c>
      <c r="BJ31" s="19">
        <v>457586591</v>
      </c>
      <c r="BK31" s="19">
        <v>1472698676</v>
      </c>
      <c r="BL31" s="19">
        <v>151472064</v>
      </c>
      <c r="BM31" s="19">
        <v>676900000</v>
      </c>
      <c r="BN31" s="19">
        <v>0</v>
      </c>
      <c r="BO31" s="19">
        <v>331704840</v>
      </c>
      <c r="BP31" s="19" t="s">
        <v>96</v>
      </c>
      <c r="BQ31" s="19" t="s">
        <v>4</v>
      </c>
      <c r="BR31" s="19">
        <v>73265277</v>
      </c>
      <c r="BS31" s="19">
        <v>0</v>
      </c>
      <c r="BT31" s="19">
        <v>0</v>
      </c>
      <c r="BU31" s="19">
        <v>804933882</v>
      </c>
      <c r="BV31" s="19">
        <v>0</v>
      </c>
      <c r="BW31" s="19">
        <v>0</v>
      </c>
      <c r="BX31" s="19">
        <v>0</v>
      </c>
      <c r="BY31" s="19">
        <v>839597211</v>
      </c>
      <c r="BZ31" s="19">
        <v>0</v>
      </c>
      <c r="CA31" s="19">
        <v>1096655501</v>
      </c>
      <c r="CB31" s="19">
        <v>178290012</v>
      </c>
      <c r="CC31" s="19">
        <v>0</v>
      </c>
      <c r="CD31" s="19">
        <v>0</v>
      </c>
      <c r="CE31" s="19">
        <v>29162000</v>
      </c>
      <c r="CF31" s="19">
        <v>0</v>
      </c>
      <c r="CG31" s="19">
        <v>0</v>
      </c>
      <c r="CH31" s="19">
        <v>23333344</v>
      </c>
      <c r="CI31" s="19" t="s">
        <v>128</v>
      </c>
      <c r="CJ31" s="19" t="s">
        <v>89</v>
      </c>
      <c r="CK31" s="19">
        <v>4491788492</v>
      </c>
      <c r="CL31" s="19">
        <v>557227500</v>
      </c>
      <c r="CM31" s="19">
        <v>400000000</v>
      </c>
      <c r="CN31" s="19">
        <v>44100000</v>
      </c>
      <c r="CO31" s="19">
        <v>1380728</v>
      </c>
      <c r="CP31" s="19">
        <v>1115839759</v>
      </c>
      <c r="CQ31" s="19" t="s">
        <v>96</v>
      </c>
      <c r="CR31" s="19">
        <v>0</v>
      </c>
      <c r="CS31" s="19">
        <v>350150582</v>
      </c>
      <c r="CT31" s="19">
        <v>246899928</v>
      </c>
      <c r="CU31" s="19">
        <v>38260226</v>
      </c>
      <c r="CV31" s="19">
        <v>91434377</v>
      </c>
      <c r="CW31" s="19">
        <v>0</v>
      </c>
      <c r="CX31" s="19">
        <v>233361641</v>
      </c>
      <c r="CY31" s="19">
        <v>2471249990</v>
      </c>
      <c r="CZ31" s="19">
        <v>154117512</v>
      </c>
      <c r="DA31" s="19">
        <v>0</v>
      </c>
      <c r="DB31" s="19">
        <v>70000000</v>
      </c>
      <c r="DC31" s="19">
        <v>2773782</v>
      </c>
      <c r="DD31" s="19">
        <v>209500000</v>
      </c>
      <c r="DE31" s="19" t="s">
        <v>89</v>
      </c>
      <c r="DF31" s="19">
        <v>15680000</v>
      </c>
      <c r="DG31" s="19">
        <v>100000000</v>
      </c>
      <c r="DH31" s="19">
        <v>295745760</v>
      </c>
      <c r="DI31" s="19" t="s">
        <v>128</v>
      </c>
      <c r="DJ31" s="19">
        <v>0</v>
      </c>
      <c r="DK31" s="19">
        <v>3655860000</v>
      </c>
      <c r="DL31" s="19">
        <v>342500000</v>
      </c>
      <c r="DM31" s="19">
        <v>0</v>
      </c>
      <c r="DN31" s="19">
        <v>146118775</v>
      </c>
      <c r="DO31" s="19">
        <v>0</v>
      </c>
      <c r="DP31" s="19">
        <v>0</v>
      </c>
      <c r="DQ31" s="19">
        <v>265000000</v>
      </c>
      <c r="DR31" s="19">
        <v>4952575060</v>
      </c>
      <c r="DS31" s="19">
        <v>43816391</v>
      </c>
      <c r="DT31" s="19">
        <v>637000000</v>
      </c>
      <c r="DU31" s="19">
        <v>10000000</v>
      </c>
      <c r="DV31" s="19">
        <v>0</v>
      </c>
      <c r="DW31" s="19">
        <v>660000000</v>
      </c>
      <c r="DX31" s="19">
        <v>300000000</v>
      </c>
      <c r="DY31" s="19">
        <v>400000000</v>
      </c>
      <c r="DZ31" s="19">
        <v>250000000</v>
      </c>
      <c r="EA31" s="19">
        <v>16880000</v>
      </c>
      <c r="EB31" s="19">
        <v>2591826680</v>
      </c>
      <c r="EC31" s="19">
        <v>300000000</v>
      </c>
      <c r="ED31" s="19">
        <v>0</v>
      </c>
      <c r="EE31" s="19">
        <v>132022225</v>
      </c>
      <c r="EF31" s="19">
        <v>2147627918</v>
      </c>
      <c r="EG31" s="19">
        <v>732105545</v>
      </c>
      <c r="EH31" s="19">
        <v>6086875000</v>
      </c>
      <c r="EI31" s="19">
        <v>494791141</v>
      </c>
      <c r="EJ31" s="19">
        <v>63462724</v>
      </c>
      <c r="EK31" s="19">
        <v>0</v>
      </c>
      <c r="EL31" s="19">
        <v>552279257</v>
      </c>
      <c r="EM31" s="19">
        <v>0</v>
      </c>
      <c r="EN31" s="19">
        <v>567421274</v>
      </c>
      <c r="EO31" s="19">
        <v>354166170</v>
      </c>
      <c r="EP31" s="19">
        <v>0</v>
      </c>
      <c r="EQ31" s="19">
        <v>426263381</v>
      </c>
      <c r="ER31" s="19">
        <v>1261563333</v>
      </c>
      <c r="ES31" s="19">
        <v>2473504546</v>
      </c>
      <c r="ET31" s="19">
        <v>30081818</v>
      </c>
      <c r="EU31" s="19">
        <v>86391191</v>
      </c>
      <c r="EV31" s="19">
        <v>137563507</v>
      </c>
      <c r="EW31" s="19">
        <v>10000000</v>
      </c>
      <c r="EX31" s="19">
        <v>1763461260</v>
      </c>
      <c r="EY31" s="19">
        <v>0</v>
      </c>
      <c r="EZ31" s="19">
        <v>122052270</v>
      </c>
      <c r="FA31" s="19">
        <v>2026080932</v>
      </c>
      <c r="FB31" s="19">
        <v>0</v>
      </c>
      <c r="FC31" s="19">
        <v>405753257</v>
      </c>
      <c r="FD31" s="19">
        <v>188890277</v>
      </c>
      <c r="FE31" s="19">
        <v>2335056255</v>
      </c>
      <c r="FF31" s="19">
        <v>0</v>
      </c>
      <c r="FG31" s="19">
        <v>837744590</v>
      </c>
      <c r="FH31" s="19">
        <v>0</v>
      </c>
      <c r="FI31" s="19">
        <v>0</v>
      </c>
      <c r="FJ31" s="19">
        <v>0</v>
      </c>
      <c r="FK31" s="19">
        <v>161549676</v>
      </c>
      <c r="FL31" s="19">
        <v>200000000</v>
      </c>
      <c r="FM31" s="19">
        <v>0</v>
      </c>
      <c r="FN31" s="19">
        <v>0</v>
      </c>
      <c r="FO31" s="19">
        <v>29375000</v>
      </c>
      <c r="FP31" s="19">
        <v>330000000</v>
      </c>
      <c r="FQ31" s="19">
        <v>350000000</v>
      </c>
      <c r="FR31" s="19">
        <v>0</v>
      </c>
      <c r="FS31" s="19">
        <v>120000000</v>
      </c>
      <c r="FT31" s="19">
        <v>0</v>
      </c>
      <c r="FU31" s="19">
        <v>0</v>
      </c>
      <c r="FV31" s="19">
        <v>1390000000</v>
      </c>
      <c r="FW31" s="19">
        <v>0</v>
      </c>
      <c r="FX31" s="19">
        <v>0</v>
      </c>
      <c r="FY31" s="19">
        <v>233630611</v>
      </c>
      <c r="FZ31" s="19">
        <v>300000000</v>
      </c>
      <c r="GA31" s="19">
        <v>11957818</v>
      </c>
      <c r="GB31" s="19">
        <v>0</v>
      </c>
      <c r="GC31" s="19">
        <v>0</v>
      </c>
      <c r="GD31" s="19" t="s">
        <v>96</v>
      </c>
      <c r="GE31" s="19">
        <v>0</v>
      </c>
      <c r="GF31" s="19">
        <v>40000000</v>
      </c>
      <c r="GG31" s="19">
        <v>104805537</v>
      </c>
      <c r="GH31" s="19">
        <v>323750000</v>
      </c>
      <c r="GI31" s="19">
        <v>107536000</v>
      </c>
      <c r="GJ31" s="19">
        <v>19000000</v>
      </c>
      <c r="GK31" s="19">
        <v>0</v>
      </c>
      <c r="GL31" s="19">
        <v>100000000</v>
      </c>
      <c r="GM31" s="19">
        <v>40000000</v>
      </c>
      <c r="GN31" s="19">
        <v>81275530</v>
      </c>
      <c r="GO31" s="19">
        <v>3013350000</v>
      </c>
      <c r="GP31" s="19">
        <v>3262522148</v>
      </c>
      <c r="GQ31" s="19">
        <v>0</v>
      </c>
      <c r="GR31" s="19">
        <v>327500000</v>
      </c>
      <c r="GS31" s="19">
        <v>0</v>
      </c>
      <c r="GT31" s="19">
        <v>505720832</v>
      </c>
      <c r="GU31" s="19">
        <v>33973600</v>
      </c>
      <c r="GV31" s="19">
        <v>94380051</v>
      </c>
      <c r="GW31" s="19">
        <v>606590348</v>
      </c>
      <c r="GX31" s="19">
        <v>480120000</v>
      </c>
      <c r="GY31" s="19">
        <v>86827995</v>
      </c>
      <c r="GZ31" s="19">
        <v>3615486800</v>
      </c>
      <c r="HA31" s="19">
        <v>420250000</v>
      </c>
      <c r="HB31" s="37">
        <v>0</v>
      </c>
      <c r="HC31" s="19">
        <v>369312816</v>
      </c>
      <c r="HD31" s="19">
        <v>0</v>
      </c>
      <c r="HE31" s="19">
        <v>270000000</v>
      </c>
      <c r="HF31" s="19">
        <v>129500000</v>
      </c>
      <c r="HG31" s="19">
        <v>0</v>
      </c>
      <c r="HH31" s="19">
        <v>0</v>
      </c>
      <c r="HI31" s="19">
        <v>50000000</v>
      </c>
      <c r="HJ31" s="19">
        <v>465369633</v>
      </c>
      <c r="HK31" s="19">
        <v>100000000</v>
      </c>
      <c r="HL31" s="19">
        <v>0</v>
      </c>
      <c r="HM31" s="19">
        <v>66730000</v>
      </c>
      <c r="HN31" s="19">
        <v>0</v>
      </c>
      <c r="HO31" s="19">
        <v>301471047</v>
      </c>
      <c r="HP31" s="19">
        <v>220000000</v>
      </c>
      <c r="HQ31" s="41">
        <v>0</v>
      </c>
      <c r="HR31" s="41">
        <v>285948986</v>
      </c>
      <c r="HS31" s="41">
        <v>46328988</v>
      </c>
      <c r="HT31" s="41">
        <v>0</v>
      </c>
      <c r="HU31" s="41">
        <v>300000000</v>
      </c>
      <c r="HV31" s="41">
        <v>0</v>
      </c>
      <c r="HW31" s="41">
        <v>103007667</v>
      </c>
      <c r="HX31" s="41">
        <v>1507000000</v>
      </c>
      <c r="HY31" s="41" t="s">
        <v>114</v>
      </c>
      <c r="HZ31" s="41">
        <v>3399600935</v>
      </c>
      <c r="IA31" s="41">
        <v>0</v>
      </c>
      <c r="IB31" s="41">
        <v>427000000</v>
      </c>
      <c r="IC31" s="41">
        <v>449923046</v>
      </c>
      <c r="ID31" s="41">
        <v>0</v>
      </c>
      <c r="IE31" s="41" t="s">
        <v>4</v>
      </c>
      <c r="IF31" s="41">
        <v>0</v>
      </c>
      <c r="IG31" s="41">
        <v>0</v>
      </c>
      <c r="IH31" s="41">
        <v>18389620</v>
      </c>
      <c r="II31" s="41">
        <v>96000000</v>
      </c>
      <c r="IJ31" s="41">
        <v>83180000</v>
      </c>
      <c r="IK31" s="41">
        <v>250000000</v>
      </c>
      <c r="IL31" s="41">
        <v>0</v>
      </c>
      <c r="IM31" s="41">
        <v>0</v>
      </c>
      <c r="IN31" s="41">
        <v>0</v>
      </c>
      <c r="IO31" s="41">
        <v>400000000</v>
      </c>
      <c r="IP31" s="41">
        <v>28135000</v>
      </c>
      <c r="IQ31" s="41">
        <v>71000000</v>
      </c>
      <c r="IR31" s="41">
        <v>546867732</v>
      </c>
      <c r="IS31" s="41">
        <v>2954098177</v>
      </c>
      <c r="IT31" s="41">
        <v>0</v>
      </c>
      <c r="IU31" s="41">
        <v>0</v>
      </c>
      <c r="IV31" s="41">
        <v>10204814</v>
      </c>
      <c r="IW31" s="41">
        <v>96428000</v>
      </c>
      <c r="IX31" s="41" t="s">
        <v>114</v>
      </c>
      <c r="IY31" s="41">
        <v>0</v>
      </c>
      <c r="IZ31" s="41">
        <v>3295243336</v>
      </c>
      <c r="JA31" s="41">
        <v>95000000</v>
      </c>
      <c r="JB31" s="41">
        <v>0</v>
      </c>
      <c r="JC31" s="41">
        <v>0</v>
      </c>
      <c r="JD31" s="41">
        <v>50000000</v>
      </c>
      <c r="JE31" s="41" t="s">
        <v>114</v>
      </c>
      <c r="JF31" s="41">
        <v>0</v>
      </c>
      <c r="JG31" s="41">
        <v>1039963713</v>
      </c>
      <c r="JH31" s="41">
        <v>0</v>
      </c>
      <c r="JI31" s="41">
        <v>0</v>
      </c>
      <c r="JJ31" s="41">
        <v>1105130000</v>
      </c>
      <c r="JK31" s="41">
        <v>289665988</v>
      </c>
      <c r="JL31" s="41">
        <v>0</v>
      </c>
      <c r="JM31" s="41">
        <v>0</v>
      </c>
      <c r="JN31" s="41">
        <v>90292044</v>
      </c>
      <c r="JO31" s="41">
        <v>100000000</v>
      </c>
      <c r="JP31" s="41" t="s">
        <v>4</v>
      </c>
      <c r="JQ31" s="41">
        <v>272901666</v>
      </c>
      <c r="JR31" s="41">
        <v>0</v>
      </c>
      <c r="JS31" s="41">
        <v>220000000</v>
      </c>
      <c r="JT31" s="41">
        <v>0</v>
      </c>
      <c r="JU31" s="41">
        <v>100000000</v>
      </c>
      <c r="JV31" s="41">
        <v>211111000</v>
      </c>
      <c r="JW31" s="41">
        <v>648113366</v>
      </c>
      <c r="JX31" s="41">
        <v>0</v>
      </c>
      <c r="JY31" s="41">
        <v>480000000</v>
      </c>
      <c r="JZ31" s="41">
        <v>50000000</v>
      </c>
      <c r="KA31" s="41">
        <v>283750000</v>
      </c>
      <c r="KB31" s="41">
        <v>0</v>
      </c>
      <c r="KC31" s="41">
        <v>0</v>
      </c>
      <c r="KD31" s="41">
        <v>606091578</v>
      </c>
    </row>
    <row r="32" spans="1:290">
      <c r="A32" s="7" t="s">
        <v>120</v>
      </c>
      <c r="B32" s="11" t="s">
        <v>15</v>
      </c>
      <c r="C32" s="19">
        <v>0</v>
      </c>
      <c r="D32" s="19">
        <v>0</v>
      </c>
      <c r="E32" s="19">
        <v>300000000</v>
      </c>
      <c r="F32" s="19">
        <v>491410000</v>
      </c>
      <c r="G32" s="19">
        <v>184658217</v>
      </c>
      <c r="H32" s="19">
        <v>1238126388</v>
      </c>
      <c r="I32" s="19">
        <v>1042751096</v>
      </c>
      <c r="J32" s="19" t="s">
        <v>4</v>
      </c>
      <c r="K32" s="19"/>
      <c r="L32" s="19" t="s">
        <v>130</v>
      </c>
      <c r="M32" s="19" t="s">
        <v>96</v>
      </c>
      <c r="N32" s="19">
        <v>197397553</v>
      </c>
      <c r="O32" s="19">
        <v>2496365904</v>
      </c>
      <c r="P32" s="19"/>
      <c r="Q32" s="19">
        <v>79700000</v>
      </c>
      <c r="R32" s="19">
        <v>302500000</v>
      </c>
      <c r="S32" s="19">
        <v>5516670000</v>
      </c>
      <c r="T32" s="19" t="s">
        <v>96</v>
      </c>
      <c r="U32" s="19"/>
      <c r="V32" s="19" t="s">
        <v>128</v>
      </c>
      <c r="W32" s="19">
        <v>611582439</v>
      </c>
      <c r="X32" s="19">
        <v>3250000000</v>
      </c>
      <c r="Y32" s="19"/>
      <c r="Z32" s="19">
        <v>4234905054</v>
      </c>
      <c r="AA32" s="19">
        <v>470800000</v>
      </c>
      <c r="AB32" s="19"/>
      <c r="AC32" s="19">
        <v>600000000</v>
      </c>
      <c r="AD32" s="19">
        <v>4995120000</v>
      </c>
      <c r="AE32" s="19">
        <v>4626737428</v>
      </c>
      <c r="AF32" s="19">
        <v>230000000</v>
      </c>
      <c r="AG32" s="19">
        <v>233361641</v>
      </c>
      <c r="AH32" s="19">
        <v>90000000</v>
      </c>
      <c r="AI32" s="19">
        <v>200000000</v>
      </c>
      <c r="AJ32" s="19">
        <v>260748893</v>
      </c>
      <c r="AK32" s="19" t="s">
        <v>89</v>
      </c>
      <c r="AL32" s="19">
        <v>1678948558</v>
      </c>
      <c r="AM32" s="19" t="s">
        <v>4</v>
      </c>
      <c r="AN32" s="19">
        <v>497326135</v>
      </c>
      <c r="AO32" s="19"/>
      <c r="AP32" s="19"/>
      <c r="AQ32" s="19" t="s">
        <v>96</v>
      </c>
      <c r="AR32" s="19">
        <v>350000000</v>
      </c>
      <c r="AS32" s="19"/>
      <c r="AT32" s="19">
        <v>2125284424</v>
      </c>
      <c r="AU32" s="19">
        <v>1979335941</v>
      </c>
      <c r="AV32" s="19"/>
      <c r="AW32" s="19">
        <v>294676139</v>
      </c>
      <c r="AX32" s="19" t="s">
        <v>4</v>
      </c>
      <c r="AY32" s="19">
        <v>364180020</v>
      </c>
      <c r="AZ32" s="19">
        <v>250000000</v>
      </c>
      <c r="BA32" s="19">
        <v>405904019</v>
      </c>
      <c r="BB32" s="19"/>
      <c r="BC32" s="19" t="s">
        <v>4</v>
      </c>
      <c r="BD32" s="19" t="s">
        <v>128</v>
      </c>
      <c r="BE32" s="19">
        <v>866015086</v>
      </c>
      <c r="BF32" s="19">
        <v>400000000</v>
      </c>
      <c r="BG32" s="19">
        <v>346148103</v>
      </c>
      <c r="BH32" s="19">
        <v>600000000</v>
      </c>
      <c r="BI32" s="19"/>
      <c r="BJ32" s="19">
        <v>170000000</v>
      </c>
      <c r="BK32" s="19">
        <v>136000000</v>
      </c>
      <c r="BL32" s="19"/>
      <c r="BM32" s="19">
        <v>676900000</v>
      </c>
      <c r="BN32" s="19"/>
      <c r="BO32" s="19">
        <v>331704840</v>
      </c>
      <c r="BP32" s="19" t="s">
        <v>96</v>
      </c>
      <c r="BQ32" s="19" t="s">
        <v>4</v>
      </c>
      <c r="BR32" s="19">
        <v>73265277</v>
      </c>
      <c r="BS32" s="19"/>
      <c r="BT32" s="19"/>
      <c r="BU32" s="19">
        <v>4933882</v>
      </c>
      <c r="BV32" s="19"/>
      <c r="BW32" s="19"/>
      <c r="BX32" s="19"/>
      <c r="BY32" s="19">
        <v>540843927</v>
      </c>
      <c r="BZ32" s="19"/>
      <c r="CA32" s="19">
        <v>1096655501</v>
      </c>
      <c r="CB32" s="19">
        <v>178290012</v>
      </c>
      <c r="CC32" s="19"/>
      <c r="CD32" s="19"/>
      <c r="CE32" s="19">
        <v>29162000</v>
      </c>
      <c r="CF32" s="19"/>
      <c r="CG32" s="19"/>
      <c r="CH32" s="19">
        <v>23333344</v>
      </c>
      <c r="CI32" s="19" t="s">
        <v>128</v>
      </c>
      <c r="CJ32" s="19" t="s">
        <v>89</v>
      </c>
      <c r="CK32" s="19">
        <v>4271143693</v>
      </c>
      <c r="CL32" s="19">
        <v>540950000</v>
      </c>
      <c r="CM32" s="19">
        <v>400000000</v>
      </c>
      <c r="CN32" s="19">
        <v>44100000</v>
      </c>
      <c r="CO32" s="19"/>
      <c r="CP32" s="19">
        <v>1115839759</v>
      </c>
      <c r="CQ32" s="19" t="s">
        <v>96</v>
      </c>
      <c r="CR32" s="19"/>
      <c r="CS32" s="19">
        <v>350150582</v>
      </c>
      <c r="CT32" s="19"/>
      <c r="CU32" s="19"/>
      <c r="CV32" s="19">
        <v>90000000</v>
      </c>
      <c r="CW32" s="19"/>
      <c r="CX32" s="19"/>
      <c r="CY32" s="19">
        <v>2471249990</v>
      </c>
      <c r="CZ32" s="19">
        <v>154117512</v>
      </c>
      <c r="DA32" s="19"/>
      <c r="DB32" s="19">
        <v>70000000</v>
      </c>
      <c r="DC32" s="19">
        <v>2773782</v>
      </c>
      <c r="DD32" s="19">
        <v>186000000</v>
      </c>
      <c r="DE32" s="19" t="s">
        <v>89</v>
      </c>
      <c r="DF32" s="19">
        <v>15680000</v>
      </c>
      <c r="DG32" s="19"/>
      <c r="DH32" s="19">
        <v>260000000</v>
      </c>
      <c r="DI32" s="19" t="s">
        <v>128</v>
      </c>
      <c r="DJ32" s="19"/>
      <c r="DK32" s="19">
        <v>3605860000</v>
      </c>
      <c r="DL32" s="19">
        <v>342500000</v>
      </c>
      <c r="DM32" s="19"/>
      <c r="DN32" s="19">
        <v>146118775</v>
      </c>
      <c r="DO32" s="19"/>
      <c r="DP32" s="19"/>
      <c r="DQ32" s="19">
        <v>265000000</v>
      </c>
      <c r="DR32" s="19">
        <v>4362575060</v>
      </c>
      <c r="DS32" s="19">
        <v>43816391</v>
      </c>
      <c r="DT32" s="19">
        <v>637000000</v>
      </c>
      <c r="DU32" s="19"/>
      <c r="DV32" s="19"/>
      <c r="DW32" s="19">
        <v>660000000</v>
      </c>
      <c r="DX32" s="19">
        <v>300000000</v>
      </c>
      <c r="DY32" s="19">
        <v>400000000</v>
      </c>
      <c r="DZ32" s="19">
        <v>250000000</v>
      </c>
      <c r="EA32" s="19">
        <v>16880000</v>
      </c>
      <c r="EB32" s="19">
        <v>2591826680</v>
      </c>
      <c r="EC32" s="19">
        <v>300000000</v>
      </c>
      <c r="ED32" s="19"/>
      <c r="EE32" s="19">
        <v>132022225</v>
      </c>
      <c r="EF32" s="19">
        <v>2142627918</v>
      </c>
      <c r="EG32" s="19">
        <v>460000000</v>
      </c>
      <c r="EH32" s="19">
        <v>5836875000</v>
      </c>
      <c r="EI32" s="19">
        <v>152006751</v>
      </c>
      <c r="EJ32" s="19"/>
      <c r="EK32" s="19"/>
      <c r="EL32" s="19"/>
      <c r="EM32" s="19"/>
      <c r="EN32" s="19"/>
      <c r="EO32" s="19">
        <v>354166170</v>
      </c>
      <c r="EP32" s="19"/>
      <c r="EQ32" s="19">
        <v>426263381</v>
      </c>
      <c r="ER32" s="19">
        <v>1261563333</v>
      </c>
      <c r="ES32" s="19">
        <v>2416671224</v>
      </c>
      <c r="ET32" s="19">
        <v>81818</v>
      </c>
      <c r="EU32" s="19"/>
      <c r="EV32" s="19">
        <v>137563507</v>
      </c>
      <c r="EW32" s="19"/>
      <c r="EX32" s="19">
        <v>1683461260</v>
      </c>
      <c r="EY32" s="19"/>
      <c r="EZ32" s="19">
        <v>85805939</v>
      </c>
      <c r="FA32" s="19">
        <v>1150080932</v>
      </c>
      <c r="FB32" s="19"/>
      <c r="FC32" s="19">
        <v>205753257</v>
      </c>
      <c r="FD32" s="19">
        <v>188890277</v>
      </c>
      <c r="FE32" s="19">
        <v>2330000000</v>
      </c>
      <c r="FF32" s="19"/>
      <c r="FG32" s="19">
        <f>793333344+44411246</f>
        <v>837744590</v>
      </c>
      <c r="FH32" s="19"/>
      <c r="FI32" s="19"/>
      <c r="FJ32" s="19"/>
      <c r="FK32" s="19">
        <v>161549676</v>
      </c>
      <c r="FL32" s="19">
        <v>200000000</v>
      </c>
      <c r="FM32" s="19"/>
      <c r="FN32" s="19"/>
      <c r="FO32" s="19">
        <v>29375000</v>
      </c>
      <c r="FP32" s="19">
        <v>330000000</v>
      </c>
      <c r="FQ32" s="19">
        <v>350000000</v>
      </c>
      <c r="FR32" s="19"/>
      <c r="FS32" s="19">
        <v>120000000</v>
      </c>
      <c r="FT32" s="19"/>
      <c r="FU32" s="19"/>
      <c r="FV32" s="19">
        <v>1390000000</v>
      </c>
      <c r="FW32" s="19"/>
      <c r="FX32" s="19"/>
      <c r="FY32" s="19">
        <v>135046000</v>
      </c>
      <c r="FZ32" s="19">
        <v>300000000</v>
      </c>
      <c r="GA32" s="19">
        <v>11957818</v>
      </c>
      <c r="GB32" s="19"/>
      <c r="GC32" s="19"/>
      <c r="GD32" s="19" t="s">
        <v>96</v>
      </c>
      <c r="GE32" s="19"/>
      <c r="GF32" s="19">
        <v>40000000</v>
      </c>
      <c r="GG32" s="19">
        <v>104805537</v>
      </c>
      <c r="GH32" s="19">
        <v>323750000</v>
      </c>
      <c r="GI32" s="19">
        <v>107536000</v>
      </c>
      <c r="GJ32" s="19">
        <v>19000000</v>
      </c>
      <c r="GK32" s="19"/>
      <c r="GL32" s="19">
        <v>100000000</v>
      </c>
      <c r="GM32" s="19">
        <v>40000000</v>
      </c>
      <c r="GN32" s="19"/>
      <c r="GO32" s="19">
        <v>1000000000</v>
      </c>
      <c r="GP32" s="19">
        <v>2936270800</v>
      </c>
      <c r="GQ32" s="19"/>
      <c r="GR32" s="19">
        <v>327500000</v>
      </c>
      <c r="GS32" s="19"/>
      <c r="GT32" s="19">
        <v>505720832</v>
      </c>
      <c r="GU32" s="19"/>
      <c r="GV32" s="19">
        <v>94380051</v>
      </c>
      <c r="GW32" s="19">
        <v>500000000</v>
      </c>
      <c r="GX32" s="19">
        <v>480120000</v>
      </c>
      <c r="GY32" s="19"/>
      <c r="GZ32" s="19">
        <v>3375446800</v>
      </c>
      <c r="HA32" s="19">
        <v>420250000</v>
      </c>
      <c r="HB32" s="37"/>
      <c r="HC32" s="19">
        <v>369312816</v>
      </c>
      <c r="HD32" s="19"/>
      <c r="HE32" s="19">
        <v>270000000</v>
      </c>
      <c r="HF32" s="19">
        <v>129500000</v>
      </c>
      <c r="HG32" s="19"/>
      <c r="HH32" s="19"/>
      <c r="HI32" s="19"/>
      <c r="HJ32" s="19">
        <v>449330507</v>
      </c>
      <c r="HK32" s="19">
        <v>100000000</v>
      </c>
      <c r="HL32" s="19"/>
      <c r="HM32" s="19">
        <v>66730000</v>
      </c>
      <c r="HN32" s="19"/>
      <c r="HO32" s="19">
        <v>300000000</v>
      </c>
      <c r="HP32" s="19">
        <v>220000000</v>
      </c>
      <c r="HQ32" s="41"/>
      <c r="HR32" s="41">
        <v>285948986</v>
      </c>
      <c r="HS32" s="41">
        <v>46328988</v>
      </c>
      <c r="HT32" s="41"/>
      <c r="HU32" s="41">
        <v>300000000</v>
      </c>
      <c r="HV32" s="41"/>
      <c r="HW32" s="41"/>
      <c r="HX32" s="41">
        <v>1507000000</v>
      </c>
      <c r="HY32" s="41" t="s">
        <v>114</v>
      </c>
      <c r="HZ32" s="41">
        <v>3379600935</v>
      </c>
      <c r="IA32" s="41"/>
      <c r="IB32" s="41">
        <v>427000000</v>
      </c>
      <c r="IC32" s="41">
        <v>449923046</v>
      </c>
      <c r="ID32" s="41"/>
      <c r="IE32" s="41" t="s">
        <v>4</v>
      </c>
      <c r="IF32" s="41"/>
      <c r="IG32" s="41"/>
      <c r="IH32" s="41">
        <v>18389620</v>
      </c>
      <c r="II32" s="41">
        <v>96000000</v>
      </c>
      <c r="IJ32" s="41">
        <v>83180000</v>
      </c>
      <c r="IK32" s="41">
        <v>250000000</v>
      </c>
      <c r="IL32" s="41"/>
      <c r="IM32" s="41"/>
      <c r="IN32" s="41"/>
      <c r="IO32" s="41">
        <v>400000000</v>
      </c>
      <c r="IP32" s="41"/>
      <c r="IQ32" s="41"/>
      <c r="IR32" s="41">
        <v>546867732</v>
      </c>
      <c r="IS32" s="41">
        <v>2738490000</v>
      </c>
      <c r="IT32" s="41"/>
      <c r="IU32" s="41"/>
      <c r="IV32" s="41"/>
      <c r="IW32" s="41">
        <v>96428000</v>
      </c>
      <c r="IX32" s="41" t="s">
        <v>114</v>
      </c>
      <c r="IY32" s="41"/>
      <c r="IZ32" s="41">
        <v>3295243336</v>
      </c>
      <c r="JA32" s="41">
        <v>95000000</v>
      </c>
      <c r="JB32" s="41"/>
      <c r="JC32" s="41"/>
      <c r="JD32" s="41">
        <v>50000000</v>
      </c>
      <c r="JE32" s="41" t="s">
        <v>114</v>
      </c>
      <c r="JF32" s="41"/>
      <c r="JG32" s="41">
        <v>1039963713</v>
      </c>
      <c r="JH32" s="41"/>
      <c r="JI32" s="41"/>
      <c r="JJ32" s="41">
        <v>1105130000</v>
      </c>
      <c r="JK32" s="41">
        <v>274665988</v>
      </c>
      <c r="JL32" s="41"/>
      <c r="JM32" s="41"/>
      <c r="JN32" s="41"/>
      <c r="JO32" s="41">
        <v>100000000</v>
      </c>
      <c r="JP32" s="41" t="s">
        <v>4</v>
      </c>
      <c r="JQ32" s="41">
        <v>250000000</v>
      </c>
      <c r="JR32" s="41"/>
      <c r="JS32" s="41">
        <v>220000000</v>
      </c>
      <c r="JT32" s="41"/>
      <c r="JU32" s="41">
        <v>100000000</v>
      </c>
      <c r="JV32" s="41">
        <v>211111000</v>
      </c>
      <c r="JW32" s="41">
        <v>648113366</v>
      </c>
      <c r="JX32" s="41"/>
      <c r="JY32" s="41">
        <v>480000000</v>
      </c>
      <c r="JZ32" s="41">
        <v>50000000</v>
      </c>
      <c r="KA32" s="41">
        <v>283750000</v>
      </c>
      <c r="KB32" s="41"/>
      <c r="KC32" s="41"/>
      <c r="KD32" s="41">
        <v>417820487</v>
      </c>
    </row>
    <row r="33" spans="1:290">
      <c r="A33" s="7" t="s">
        <v>120</v>
      </c>
      <c r="B33" s="11" t="s">
        <v>45</v>
      </c>
      <c r="C33" s="19">
        <v>0</v>
      </c>
      <c r="D33" s="19">
        <v>0</v>
      </c>
      <c r="E33" s="19">
        <v>25000000</v>
      </c>
      <c r="F33" s="19">
        <v>104000000</v>
      </c>
      <c r="G33" s="19">
        <v>2000000</v>
      </c>
      <c r="H33" s="19">
        <v>150000000</v>
      </c>
      <c r="I33" s="19">
        <v>1664970000</v>
      </c>
      <c r="J33" s="19" t="s">
        <v>4</v>
      </c>
      <c r="K33" s="19"/>
      <c r="L33" s="19" t="s">
        <v>130</v>
      </c>
      <c r="M33" s="19" t="s">
        <v>96</v>
      </c>
      <c r="N33" s="19"/>
      <c r="O33" s="19">
        <v>253595356</v>
      </c>
      <c r="P33" s="19">
        <v>973096570</v>
      </c>
      <c r="Q33" s="19"/>
      <c r="R33" s="19">
        <v>100000000</v>
      </c>
      <c r="S33" s="19">
        <v>228849724</v>
      </c>
      <c r="T33" s="19" t="s">
        <v>96</v>
      </c>
      <c r="U33" s="19">
        <v>505325748</v>
      </c>
      <c r="V33" s="19" t="s">
        <v>128</v>
      </c>
      <c r="W33" s="19">
        <v>327000000</v>
      </c>
      <c r="X33" s="19">
        <v>215000000</v>
      </c>
      <c r="Y33" s="19">
        <v>30777891</v>
      </c>
      <c r="Z33" s="19">
        <v>1226000000</v>
      </c>
      <c r="AA33" s="19">
        <v>300000000</v>
      </c>
      <c r="AB33" s="19"/>
      <c r="AC33" s="19"/>
      <c r="AD33" s="19"/>
      <c r="AE33" s="19">
        <v>713000000</v>
      </c>
      <c r="AF33" s="19"/>
      <c r="AG33" s="19"/>
      <c r="AH33" s="19"/>
      <c r="AI33" s="19">
        <v>250000008</v>
      </c>
      <c r="AJ33" s="19"/>
      <c r="AK33" s="19" t="s">
        <v>89</v>
      </c>
      <c r="AL33" s="19">
        <v>143614493</v>
      </c>
      <c r="AM33" s="19" t="s">
        <v>4</v>
      </c>
      <c r="AN33" s="19">
        <v>30000000</v>
      </c>
      <c r="AO33" s="19"/>
      <c r="AP33" s="19">
        <v>100548039</v>
      </c>
      <c r="AQ33" s="19" t="s">
        <v>96</v>
      </c>
      <c r="AR33" s="19"/>
      <c r="AS33" s="19"/>
      <c r="AT33" s="19"/>
      <c r="AU33" s="19">
        <v>188700000</v>
      </c>
      <c r="AV33" s="19">
        <v>3346387</v>
      </c>
      <c r="AW33" s="19"/>
      <c r="AX33" s="19" t="s">
        <v>4</v>
      </c>
      <c r="AY33" s="19"/>
      <c r="AZ33" s="19"/>
      <c r="BA33" s="19">
        <v>100000000</v>
      </c>
      <c r="BB33" s="19"/>
      <c r="BC33" s="19" t="s">
        <v>4</v>
      </c>
      <c r="BD33" s="19" t="s">
        <v>128</v>
      </c>
      <c r="BE33" s="19">
        <v>85400272</v>
      </c>
      <c r="BF33" s="19"/>
      <c r="BG33" s="19">
        <v>95644542</v>
      </c>
      <c r="BH33" s="19"/>
      <c r="BI33" s="19"/>
      <c r="BJ33" s="19">
        <v>287586591</v>
      </c>
      <c r="BK33" s="19">
        <v>1336698676</v>
      </c>
      <c r="BL33" s="19">
        <v>151472064</v>
      </c>
      <c r="BM33" s="19"/>
      <c r="BN33" s="19"/>
      <c r="BO33" s="19"/>
      <c r="BP33" s="19" t="s">
        <v>96</v>
      </c>
      <c r="BQ33" s="19" t="s">
        <v>4</v>
      </c>
      <c r="BR33" s="19"/>
      <c r="BS33" s="19"/>
      <c r="BT33" s="19"/>
      <c r="BU33" s="19">
        <v>800000000</v>
      </c>
      <c r="BV33" s="19"/>
      <c r="BW33" s="19"/>
      <c r="BX33" s="19"/>
      <c r="BY33" s="19">
        <v>298753284</v>
      </c>
      <c r="BZ33" s="19"/>
      <c r="CA33" s="19"/>
      <c r="CB33" s="19"/>
      <c r="CC33" s="19"/>
      <c r="CD33" s="19"/>
      <c r="CE33" s="19"/>
      <c r="CF33" s="19"/>
      <c r="CG33" s="19"/>
      <c r="CH33" s="19"/>
      <c r="CI33" s="19" t="s">
        <v>128</v>
      </c>
      <c r="CJ33" s="19" t="s">
        <v>89</v>
      </c>
      <c r="CK33" s="19">
        <v>220644799</v>
      </c>
      <c r="CL33" s="19">
        <v>16277500</v>
      </c>
      <c r="CM33" s="19"/>
      <c r="CN33" s="19"/>
      <c r="CO33" s="19">
        <v>1380728</v>
      </c>
      <c r="CP33" s="19"/>
      <c r="CQ33" s="19" t="s">
        <v>96</v>
      </c>
      <c r="CR33" s="19"/>
      <c r="CS33" s="19"/>
      <c r="CT33" s="19">
        <v>246899928</v>
      </c>
      <c r="CU33" s="19">
        <v>38260226</v>
      </c>
      <c r="CV33" s="19">
        <v>1434377</v>
      </c>
      <c r="CW33" s="19"/>
      <c r="CX33" s="19">
        <v>233361641</v>
      </c>
      <c r="CY33" s="19"/>
      <c r="CZ33" s="19"/>
      <c r="DA33" s="19"/>
      <c r="DB33" s="19"/>
      <c r="DC33" s="19"/>
      <c r="DD33" s="19">
        <v>23500000</v>
      </c>
      <c r="DE33" s="19" t="s">
        <v>89</v>
      </c>
      <c r="DF33" s="19"/>
      <c r="DG33" s="19">
        <v>100000000</v>
      </c>
      <c r="DH33" s="19">
        <v>35745760</v>
      </c>
      <c r="DI33" s="19" t="s">
        <v>128</v>
      </c>
      <c r="DJ33" s="19"/>
      <c r="DK33" s="19">
        <v>50000000</v>
      </c>
      <c r="DL33" s="19"/>
      <c r="DM33" s="19"/>
      <c r="DN33" s="19"/>
      <c r="DO33" s="19"/>
      <c r="DP33" s="19"/>
      <c r="DQ33" s="19"/>
      <c r="DR33" s="19">
        <v>590000000</v>
      </c>
      <c r="DS33" s="19"/>
      <c r="DT33" s="19"/>
      <c r="DU33" s="19">
        <v>10000000</v>
      </c>
      <c r="DV33" s="19"/>
      <c r="DW33" s="19"/>
      <c r="DX33" s="19"/>
      <c r="DY33" s="19"/>
      <c r="DZ33" s="19"/>
      <c r="EA33" s="19"/>
      <c r="EB33" s="19"/>
      <c r="EC33" s="19"/>
      <c r="ED33" s="19"/>
      <c r="EE33" s="19"/>
      <c r="EF33" s="19">
        <v>5000000</v>
      </c>
      <c r="EG33" s="19">
        <v>272105545</v>
      </c>
      <c r="EH33" s="19">
        <v>250000000</v>
      </c>
      <c r="EI33" s="19">
        <v>342784390</v>
      </c>
      <c r="EJ33" s="19">
        <v>63462724</v>
      </c>
      <c r="EK33" s="19"/>
      <c r="EL33" s="19">
        <v>552279257</v>
      </c>
      <c r="EM33" s="19"/>
      <c r="EN33" s="19">
        <v>567421274</v>
      </c>
      <c r="EO33" s="19"/>
      <c r="EP33" s="19"/>
      <c r="EQ33" s="19"/>
      <c r="ER33" s="19"/>
      <c r="ES33" s="19">
        <v>56833322</v>
      </c>
      <c r="ET33" s="19">
        <v>30000000</v>
      </c>
      <c r="EU33" s="19">
        <v>86391191</v>
      </c>
      <c r="EV33" s="19"/>
      <c r="EW33" s="19">
        <v>10000000</v>
      </c>
      <c r="EX33" s="19">
        <v>80000000</v>
      </c>
      <c r="EY33" s="19"/>
      <c r="EZ33" s="19">
        <v>36246331</v>
      </c>
      <c r="FA33" s="19">
        <v>876000000</v>
      </c>
      <c r="FB33" s="19"/>
      <c r="FC33" s="19">
        <v>200000000</v>
      </c>
      <c r="FD33" s="19"/>
      <c r="FE33" s="19">
        <v>5056255</v>
      </c>
      <c r="FF33" s="19"/>
      <c r="FG33" s="19"/>
      <c r="FH33" s="19"/>
      <c r="FI33" s="19"/>
      <c r="FJ33" s="19"/>
      <c r="FK33" s="19"/>
      <c r="FL33" s="19"/>
      <c r="FM33" s="19"/>
      <c r="FN33" s="19"/>
      <c r="FO33" s="19"/>
      <c r="FP33" s="19"/>
      <c r="FQ33" s="19"/>
      <c r="FR33" s="19"/>
      <c r="FS33" s="19"/>
      <c r="FT33" s="19"/>
      <c r="FU33" s="19"/>
      <c r="FV33" s="19"/>
      <c r="FW33" s="19"/>
      <c r="FX33" s="19"/>
      <c r="FY33" s="19">
        <v>98584611</v>
      </c>
      <c r="FZ33" s="19"/>
      <c r="GA33" s="19"/>
      <c r="GB33" s="19"/>
      <c r="GC33" s="19"/>
      <c r="GD33" s="19" t="s">
        <v>96</v>
      </c>
      <c r="GE33" s="19"/>
      <c r="GF33" s="19"/>
      <c r="GG33" s="19"/>
      <c r="GH33" s="19"/>
      <c r="GI33" s="19"/>
      <c r="GJ33" s="19"/>
      <c r="GK33" s="19"/>
      <c r="GL33" s="19"/>
      <c r="GM33" s="19"/>
      <c r="GN33" s="19">
        <v>81275530</v>
      </c>
      <c r="GO33" s="19">
        <v>2013350000</v>
      </c>
      <c r="GP33" s="19">
        <v>326251348</v>
      </c>
      <c r="GQ33" s="19"/>
      <c r="GR33" s="19"/>
      <c r="GS33" s="19"/>
      <c r="GT33" s="19"/>
      <c r="GU33" s="19">
        <v>33973600</v>
      </c>
      <c r="GV33" s="19"/>
      <c r="GW33" s="19">
        <v>106590348</v>
      </c>
      <c r="GX33" s="19"/>
      <c r="GY33" s="19">
        <v>86827995</v>
      </c>
      <c r="GZ33" s="19">
        <v>240040000</v>
      </c>
      <c r="HA33" s="19"/>
      <c r="HB33" s="37"/>
      <c r="HC33" s="19"/>
      <c r="HD33" s="19"/>
      <c r="HE33" s="19"/>
      <c r="HF33" s="19"/>
      <c r="HG33" s="19"/>
      <c r="HH33" s="19"/>
      <c r="HI33" s="19">
        <v>50000000</v>
      </c>
      <c r="HJ33" s="19">
        <v>16039126</v>
      </c>
      <c r="HK33" s="19"/>
      <c r="HL33" s="19"/>
      <c r="HM33" s="19"/>
      <c r="HN33" s="19"/>
      <c r="HO33" s="19">
        <v>1471047</v>
      </c>
      <c r="HP33" s="19"/>
      <c r="HQ33" s="41"/>
      <c r="HR33" s="41"/>
      <c r="HS33" s="41"/>
      <c r="HT33" s="41"/>
      <c r="HU33" s="41"/>
      <c r="HV33" s="41"/>
      <c r="HW33" s="41">
        <v>103007667</v>
      </c>
      <c r="HX33" s="41"/>
      <c r="HY33" s="41" t="s">
        <v>114</v>
      </c>
      <c r="HZ33" s="41">
        <v>20000000</v>
      </c>
      <c r="IA33" s="41"/>
      <c r="IB33" s="41"/>
      <c r="IC33" s="41"/>
      <c r="ID33" s="41"/>
      <c r="IE33" s="41" t="s">
        <v>4</v>
      </c>
      <c r="IF33" s="41"/>
      <c r="IG33" s="41"/>
      <c r="IH33" s="41"/>
      <c r="II33" s="41"/>
      <c r="IJ33" s="41">
        <v>0</v>
      </c>
      <c r="IK33" s="41"/>
      <c r="IL33" s="41"/>
      <c r="IM33" s="41"/>
      <c r="IN33" s="41"/>
      <c r="IO33" s="41"/>
      <c r="IP33" s="41">
        <v>28135000</v>
      </c>
      <c r="IQ33" s="41">
        <v>71000000</v>
      </c>
      <c r="IR33" s="41"/>
      <c r="IS33" s="41">
        <v>215608177</v>
      </c>
      <c r="IT33" s="41"/>
      <c r="IU33" s="41"/>
      <c r="IV33" s="41">
        <v>10204814</v>
      </c>
      <c r="IW33" s="41"/>
      <c r="IX33" s="41" t="s">
        <v>114</v>
      </c>
      <c r="IY33" s="41"/>
      <c r="IZ33" s="41"/>
      <c r="JA33" s="41"/>
      <c r="JB33" s="41"/>
      <c r="JC33" s="41"/>
      <c r="JD33" s="41"/>
      <c r="JE33" s="41" t="s">
        <v>114</v>
      </c>
      <c r="JF33" s="41"/>
      <c r="JG33" s="41"/>
      <c r="JH33" s="41"/>
      <c r="JI33" s="41"/>
      <c r="JJ33" s="41"/>
      <c r="JK33" s="41">
        <v>15000000</v>
      </c>
      <c r="JL33" s="41"/>
      <c r="JM33" s="41"/>
      <c r="JN33" s="41">
        <v>90292044</v>
      </c>
      <c r="JO33" s="41"/>
      <c r="JP33" s="41" t="s">
        <v>4</v>
      </c>
      <c r="JQ33" s="41">
        <v>22901666</v>
      </c>
      <c r="JR33" s="41"/>
      <c r="JS33" s="41"/>
      <c r="JT33" s="41"/>
      <c r="JU33" s="41"/>
      <c r="JV33" s="41"/>
      <c r="JW33" s="41"/>
      <c r="JX33" s="41"/>
      <c r="JY33" s="41"/>
      <c r="JZ33" s="41"/>
      <c r="KA33" s="41"/>
      <c r="KB33" s="41"/>
      <c r="KC33" s="41"/>
      <c r="KD33" s="41">
        <v>188271091</v>
      </c>
    </row>
    <row r="34" spans="1:290">
      <c r="A34" s="7" t="s">
        <v>120</v>
      </c>
      <c r="B34" s="8" t="s">
        <v>110</v>
      </c>
      <c r="C34" s="19">
        <v>454045806</v>
      </c>
      <c r="D34" s="19">
        <v>1648018363</v>
      </c>
      <c r="E34" s="19">
        <v>538944878</v>
      </c>
      <c r="F34" s="19">
        <v>1058548092</v>
      </c>
      <c r="G34" s="19">
        <v>28674281</v>
      </c>
      <c r="H34" s="19">
        <v>403187076</v>
      </c>
      <c r="I34" s="19">
        <v>1109577007</v>
      </c>
      <c r="J34" s="19" t="s">
        <v>4</v>
      </c>
      <c r="K34" s="19">
        <v>715504897</v>
      </c>
      <c r="L34" s="19" t="s">
        <v>130</v>
      </c>
      <c r="M34" s="19" t="s">
        <v>96</v>
      </c>
      <c r="N34" s="19">
        <v>17745853</v>
      </c>
      <c r="O34" s="19">
        <v>1337936903</v>
      </c>
      <c r="P34" s="19">
        <v>1395705740</v>
      </c>
      <c r="Q34" s="19">
        <v>70339133</v>
      </c>
      <c r="R34" s="19">
        <v>14922628</v>
      </c>
      <c r="S34" s="19">
        <v>2382958162</v>
      </c>
      <c r="T34" s="19" t="s">
        <v>96</v>
      </c>
      <c r="U34" s="19">
        <v>2184578861</v>
      </c>
      <c r="V34" s="19" t="s">
        <v>128</v>
      </c>
      <c r="W34" s="19">
        <v>-165253604</v>
      </c>
      <c r="X34" s="19">
        <v>2815470616</v>
      </c>
      <c r="Y34" s="19">
        <v>372352365</v>
      </c>
      <c r="Z34" s="19">
        <v>394246942</v>
      </c>
      <c r="AA34" s="19">
        <v>1441879607</v>
      </c>
      <c r="AB34" s="19">
        <v>234221780</v>
      </c>
      <c r="AC34" s="19">
        <v>571255374</v>
      </c>
      <c r="AD34" s="19">
        <v>705701624</v>
      </c>
      <c r="AE34" s="19">
        <v>651805314</v>
      </c>
      <c r="AF34" s="19">
        <v>255346552</v>
      </c>
      <c r="AG34" s="19">
        <v>444816024</v>
      </c>
      <c r="AH34" s="19">
        <v>1221829750</v>
      </c>
      <c r="AI34" s="19">
        <v>11306826</v>
      </c>
      <c r="AJ34" s="19">
        <v>595302430</v>
      </c>
      <c r="AK34" s="19" t="s">
        <v>89</v>
      </c>
      <c r="AL34" s="19">
        <v>173207122</v>
      </c>
      <c r="AM34" s="19" t="s">
        <v>4</v>
      </c>
      <c r="AN34" s="19">
        <v>299000807</v>
      </c>
      <c r="AO34" s="19">
        <v>633000614</v>
      </c>
      <c r="AP34" s="19">
        <v>196098226</v>
      </c>
      <c r="AQ34" s="19" t="s">
        <v>96</v>
      </c>
      <c r="AR34" s="19">
        <v>61609237</v>
      </c>
      <c r="AS34" s="19">
        <v>373931827</v>
      </c>
      <c r="AT34" s="19">
        <v>411193160</v>
      </c>
      <c r="AU34" s="19">
        <v>-9600241</v>
      </c>
      <c r="AV34" s="19">
        <v>364844520</v>
      </c>
      <c r="AW34" s="19">
        <v>78352103</v>
      </c>
      <c r="AX34" s="19" t="s">
        <v>4</v>
      </c>
      <c r="AY34" s="19">
        <v>239081539</v>
      </c>
      <c r="AZ34" s="19">
        <v>304056655</v>
      </c>
      <c r="BA34" s="19">
        <v>261523869</v>
      </c>
      <c r="BB34" s="19">
        <v>7642756</v>
      </c>
      <c r="BC34" s="19" t="s">
        <v>4</v>
      </c>
      <c r="BD34" s="19" t="s">
        <v>128</v>
      </c>
      <c r="BE34" s="19">
        <v>464848205</v>
      </c>
      <c r="BF34" s="19">
        <v>929982172</v>
      </c>
      <c r="BG34" s="19">
        <v>425358398</v>
      </c>
      <c r="BH34" s="19">
        <v>176383405</v>
      </c>
      <c r="BI34" s="19">
        <v>632625440</v>
      </c>
      <c r="BJ34" s="19">
        <v>164358843</v>
      </c>
      <c r="BK34" s="19">
        <v>1344018418</v>
      </c>
      <c r="BL34" s="19">
        <v>212805159</v>
      </c>
      <c r="BM34" s="19">
        <v>347549046</v>
      </c>
      <c r="BN34" s="19">
        <v>276224469</v>
      </c>
      <c r="BO34" s="19">
        <v>109048732</v>
      </c>
      <c r="BP34" s="19" t="s">
        <v>96</v>
      </c>
      <c r="BQ34" s="19" t="s">
        <v>4</v>
      </c>
      <c r="BR34" s="19">
        <v>1498963611</v>
      </c>
      <c r="BS34" s="19">
        <v>42798923</v>
      </c>
      <c r="BT34" s="19">
        <v>-24580099</v>
      </c>
      <c r="BU34" s="19">
        <v>64716694</v>
      </c>
      <c r="BV34" s="19">
        <v>303261568</v>
      </c>
      <c r="BW34" s="19">
        <v>30525450</v>
      </c>
      <c r="BX34" s="19">
        <v>174400847</v>
      </c>
      <c r="BY34" s="19">
        <v>-910582081</v>
      </c>
      <c r="BZ34" s="19">
        <v>1169524843</v>
      </c>
      <c r="CA34" s="19">
        <v>182455401</v>
      </c>
      <c r="CB34" s="19">
        <v>108800739</v>
      </c>
      <c r="CC34" s="19">
        <v>-8430943</v>
      </c>
      <c r="CD34" s="19">
        <v>412231889</v>
      </c>
      <c r="CE34" s="19">
        <v>288946136</v>
      </c>
      <c r="CF34" s="19">
        <v>-1201913540</v>
      </c>
      <c r="CG34" s="19">
        <v>232800334</v>
      </c>
      <c r="CH34" s="19">
        <v>248336605</v>
      </c>
      <c r="CI34" s="19" t="s">
        <v>128</v>
      </c>
      <c r="CJ34" s="19" t="s">
        <v>89</v>
      </c>
      <c r="CK34" s="19">
        <v>476309975</v>
      </c>
      <c r="CL34" s="19">
        <v>198438197</v>
      </c>
      <c r="CM34" s="19">
        <v>2055366969</v>
      </c>
      <c r="CN34" s="19">
        <v>47724205</v>
      </c>
      <c r="CO34" s="19">
        <v>191742224</v>
      </c>
      <c r="CP34" s="19">
        <v>307019079</v>
      </c>
      <c r="CQ34" s="19" t="s">
        <v>96</v>
      </c>
      <c r="CR34" s="19">
        <v>685294133</v>
      </c>
      <c r="CS34" s="19">
        <v>1272166841</v>
      </c>
      <c r="CT34" s="19">
        <v>15397095959</v>
      </c>
      <c r="CU34" s="19">
        <v>467735260</v>
      </c>
      <c r="CV34" s="19">
        <v>-240849256</v>
      </c>
      <c r="CW34" s="19">
        <v>1672223949</v>
      </c>
      <c r="CX34" s="19">
        <v>444816024</v>
      </c>
      <c r="CY34" s="19">
        <v>1360657702</v>
      </c>
      <c r="CZ34" s="19">
        <v>214598923</v>
      </c>
      <c r="DA34" s="19">
        <v>149199659</v>
      </c>
      <c r="DB34" s="19">
        <v>506389945</v>
      </c>
      <c r="DC34" s="19">
        <v>-59295277</v>
      </c>
      <c r="DD34" s="19">
        <v>34009521</v>
      </c>
      <c r="DE34" s="19" t="s">
        <v>89</v>
      </c>
      <c r="DF34" s="19">
        <v>39247229</v>
      </c>
      <c r="DG34" s="19">
        <v>239715558</v>
      </c>
      <c r="DH34" s="19">
        <v>217210205</v>
      </c>
      <c r="DI34" s="19" t="s">
        <v>128</v>
      </c>
      <c r="DJ34" s="19">
        <v>120457879</v>
      </c>
      <c r="DK34" s="19">
        <v>1461044560</v>
      </c>
      <c r="DL34" s="19">
        <v>97102748</v>
      </c>
      <c r="DM34" s="19">
        <v>331309468</v>
      </c>
      <c r="DN34" s="19">
        <v>-35910747</v>
      </c>
      <c r="DO34" s="19">
        <v>53013135</v>
      </c>
      <c r="DP34" s="19">
        <v>555329199</v>
      </c>
      <c r="DQ34" s="19">
        <v>118641990</v>
      </c>
      <c r="DR34" s="19">
        <v>505347721</v>
      </c>
      <c r="DS34" s="19">
        <v>116494599</v>
      </c>
      <c r="DT34" s="19">
        <v>728277604</v>
      </c>
      <c r="DU34" s="19">
        <v>133134802</v>
      </c>
      <c r="DV34" s="19"/>
      <c r="DW34" s="19">
        <v>785101942</v>
      </c>
      <c r="DX34" s="19">
        <v>2286680007</v>
      </c>
      <c r="DY34" s="19">
        <v>158764202</v>
      </c>
      <c r="DZ34" s="19">
        <v>613485419</v>
      </c>
      <c r="EA34" s="19">
        <v>141373932</v>
      </c>
      <c r="EB34" s="19">
        <v>780111409</v>
      </c>
      <c r="EC34" s="19">
        <v>3653070</v>
      </c>
      <c r="ED34" s="19">
        <v>-8362843</v>
      </c>
      <c r="EE34" s="19">
        <v>113043925</v>
      </c>
      <c r="EF34" s="19">
        <v>1219237783</v>
      </c>
      <c r="EG34" s="19">
        <v>3573974148</v>
      </c>
      <c r="EH34" s="19">
        <v>496145640</v>
      </c>
      <c r="EI34" s="19">
        <v>4371470055</v>
      </c>
      <c r="EJ34" s="19">
        <v>104924346</v>
      </c>
      <c r="EK34" s="19">
        <v>1486578776</v>
      </c>
      <c r="EL34" s="19">
        <v>1255834141</v>
      </c>
      <c r="EM34" s="19">
        <v>696044639</v>
      </c>
      <c r="EN34" s="19">
        <v>1665468165</v>
      </c>
      <c r="EO34" s="19">
        <v>300613926</v>
      </c>
      <c r="EP34" s="19">
        <v>557517006</v>
      </c>
      <c r="EQ34" s="19">
        <v>736611153</v>
      </c>
      <c r="ER34" s="19">
        <v>743762978</v>
      </c>
      <c r="ES34" s="19">
        <v>432139373</v>
      </c>
      <c r="ET34" s="19">
        <v>3385466853</v>
      </c>
      <c r="EU34" s="19">
        <v>450562809</v>
      </c>
      <c r="EV34" s="19">
        <v>64950822</v>
      </c>
      <c r="EW34" s="19">
        <v>20300487</v>
      </c>
      <c r="EX34" s="19">
        <v>881426477</v>
      </c>
      <c r="EY34" s="19">
        <v>1650117476</v>
      </c>
      <c r="EZ34" s="19">
        <v>191625383</v>
      </c>
      <c r="FA34" s="19">
        <v>149944203</v>
      </c>
      <c r="FB34" s="19">
        <v>24758771</v>
      </c>
      <c r="FC34" s="19">
        <v>101990845</v>
      </c>
      <c r="FD34" s="19">
        <v>103474275</v>
      </c>
      <c r="FE34" s="19">
        <v>787948777</v>
      </c>
      <c r="FF34" s="19">
        <v>50921865</v>
      </c>
      <c r="FG34" s="19">
        <f>FG35+FG36+FG37+FG38+FG39</f>
        <v>396837802</v>
      </c>
      <c r="FH34" s="19">
        <v>81818366</v>
      </c>
      <c r="FI34" s="19">
        <v>2575350</v>
      </c>
      <c r="FJ34" s="19">
        <v>173322845</v>
      </c>
      <c r="FK34" s="19">
        <v>81038784</v>
      </c>
      <c r="FL34" s="19">
        <v>34768492</v>
      </c>
      <c r="FM34" s="19">
        <v>9743037</v>
      </c>
      <c r="FN34" s="19">
        <v>659220956</v>
      </c>
      <c r="FO34" s="19">
        <v>-18724673</v>
      </c>
      <c r="FP34" s="19">
        <v>69684229</v>
      </c>
      <c r="FQ34" s="19">
        <v>-38644250</v>
      </c>
      <c r="FR34" s="19">
        <v>7539209</v>
      </c>
      <c r="FS34" s="19">
        <v>22853985</v>
      </c>
      <c r="FT34" s="19">
        <v>3212501248</v>
      </c>
      <c r="FU34" s="19">
        <v>4123842</v>
      </c>
      <c r="FV34" s="19">
        <v>1351771593</v>
      </c>
      <c r="FW34" s="19">
        <v>49618206</v>
      </c>
      <c r="FX34" s="19">
        <v>-273996557</v>
      </c>
      <c r="FY34" s="19">
        <v>1281779776</v>
      </c>
      <c r="FZ34" s="19">
        <v>-453361002</v>
      </c>
      <c r="GA34" s="19">
        <v>273677745</v>
      </c>
      <c r="GB34" s="19">
        <v>-34384289</v>
      </c>
      <c r="GC34" s="19">
        <v>108605230</v>
      </c>
      <c r="GD34" s="19" t="s">
        <v>96</v>
      </c>
      <c r="GE34" s="19">
        <v>41277842</v>
      </c>
      <c r="GF34" s="19">
        <v>49785457</v>
      </c>
      <c r="GG34" s="19">
        <v>603356391</v>
      </c>
      <c r="GH34" s="19">
        <v>-205631622</v>
      </c>
      <c r="GI34" s="19">
        <v>39707613</v>
      </c>
      <c r="GJ34" s="19">
        <v>81707760</v>
      </c>
      <c r="GK34" s="19">
        <v>30617023</v>
      </c>
      <c r="GL34" s="19">
        <v>39278096</v>
      </c>
      <c r="GM34" s="19">
        <v>28673351</v>
      </c>
      <c r="GN34" s="19">
        <v>122841845</v>
      </c>
      <c r="GO34" s="19">
        <v>-1899540186</v>
      </c>
      <c r="GP34" s="19">
        <v>1404789557</v>
      </c>
      <c r="GQ34" s="19">
        <v>332802994</v>
      </c>
      <c r="GR34" s="19">
        <v>410374332</v>
      </c>
      <c r="GS34" s="19">
        <v>305733640</v>
      </c>
      <c r="GT34" s="19">
        <v>-253036642</v>
      </c>
      <c r="GU34" s="19">
        <v>84140893</v>
      </c>
      <c r="GV34" s="19">
        <v>1132306799</v>
      </c>
      <c r="GW34" s="19">
        <v>1783863975</v>
      </c>
      <c r="GX34" s="19">
        <v>203404309</v>
      </c>
      <c r="GY34" s="19">
        <v>1471662881</v>
      </c>
      <c r="GZ34" s="19">
        <v>485990882</v>
      </c>
      <c r="HA34" s="19">
        <v>213404560</v>
      </c>
      <c r="HB34" s="37">
        <v>178185435</v>
      </c>
      <c r="HC34" s="19">
        <v>390835160</v>
      </c>
      <c r="HD34" s="19">
        <v>53644224</v>
      </c>
      <c r="HE34" s="19">
        <v>-297447204</v>
      </c>
      <c r="HF34" s="19">
        <v>524001720</v>
      </c>
      <c r="HG34" s="19">
        <v>157981783</v>
      </c>
      <c r="HH34" s="19">
        <v>81306050</v>
      </c>
      <c r="HI34" s="19">
        <v>437329451</v>
      </c>
      <c r="HJ34" s="19">
        <v>300285139</v>
      </c>
      <c r="HK34" s="19">
        <v>1081665415</v>
      </c>
      <c r="HL34" s="19">
        <v>633784512</v>
      </c>
      <c r="HM34" s="19">
        <v>144340461</v>
      </c>
      <c r="HN34" s="19">
        <v>317049539</v>
      </c>
      <c r="HO34" s="19">
        <v>662540644</v>
      </c>
      <c r="HP34" s="19">
        <v>79290764</v>
      </c>
      <c r="HQ34" s="41">
        <v>-32207613</v>
      </c>
      <c r="HR34" s="41">
        <v>296038061</v>
      </c>
      <c r="HS34" s="41">
        <v>303050222</v>
      </c>
      <c r="HT34" s="41">
        <v>27535131</v>
      </c>
      <c r="HU34" s="41">
        <v>1171504570</v>
      </c>
      <c r="HV34" s="41">
        <v>-1110238</v>
      </c>
      <c r="HW34" s="41">
        <v>7846609816</v>
      </c>
      <c r="HX34" s="41">
        <v>460792286</v>
      </c>
      <c r="HY34" s="41" t="s">
        <v>114</v>
      </c>
      <c r="HZ34" s="41">
        <v>2915866952</v>
      </c>
      <c r="IA34" s="41">
        <v>92112938</v>
      </c>
      <c r="IB34" s="41">
        <v>18205866</v>
      </c>
      <c r="IC34" s="41">
        <v>165777648</v>
      </c>
      <c r="ID34" s="41">
        <v>46057342</v>
      </c>
      <c r="IE34" s="41" t="s">
        <v>4</v>
      </c>
      <c r="IF34" s="41">
        <v>57671922</v>
      </c>
      <c r="IG34" s="41">
        <v>36535735</v>
      </c>
      <c r="IH34" s="41">
        <v>193230074</v>
      </c>
      <c r="II34" s="41">
        <v>53542316</v>
      </c>
      <c r="IJ34" s="41">
        <v>321921136</v>
      </c>
      <c r="IK34" s="41">
        <v>39113623</v>
      </c>
      <c r="IL34" s="41">
        <v>4847815</v>
      </c>
      <c r="IM34" s="41">
        <v>38176081</v>
      </c>
      <c r="IN34" s="41">
        <v>26294966</v>
      </c>
      <c r="IO34" s="41">
        <v>-140728963</v>
      </c>
      <c r="IP34" s="41">
        <v>93437425</v>
      </c>
      <c r="IQ34" s="41">
        <v>466537153</v>
      </c>
      <c r="IR34" s="41">
        <v>504617848</v>
      </c>
      <c r="IS34" s="41">
        <v>2175970038</v>
      </c>
      <c r="IT34" s="41">
        <v>84968490</v>
      </c>
      <c r="IU34" s="41">
        <v>-132612283</v>
      </c>
      <c r="IV34" s="41">
        <v>139123329</v>
      </c>
      <c r="IW34" s="41">
        <v>25894287</v>
      </c>
      <c r="IX34" s="41" t="s">
        <v>114</v>
      </c>
      <c r="IY34" s="41">
        <v>7101780</v>
      </c>
      <c r="IZ34" s="41">
        <v>1330798872</v>
      </c>
      <c r="JA34" s="41">
        <v>-56347630</v>
      </c>
      <c r="JB34" s="41">
        <v>-20546977</v>
      </c>
      <c r="JC34" s="41">
        <v>200275075</v>
      </c>
      <c r="JD34" s="41">
        <v>161528815</v>
      </c>
      <c r="JE34" s="41" t="s">
        <v>114</v>
      </c>
      <c r="JF34" s="41">
        <v>71615342</v>
      </c>
      <c r="JG34" s="41">
        <v>341183894</v>
      </c>
      <c r="JH34" s="41">
        <v>59585191</v>
      </c>
      <c r="JI34" s="41">
        <v>139786532</v>
      </c>
      <c r="JJ34" s="41">
        <v>962850057</v>
      </c>
      <c r="JK34" s="41">
        <v>648684174</v>
      </c>
      <c r="JL34" s="41">
        <v>274458490</v>
      </c>
      <c r="JM34" s="41">
        <v>43459982</v>
      </c>
      <c r="JN34" s="41"/>
      <c r="JO34" s="41">
        <v>72493990</v>
      </c>
      <c r="JP34" s="41" t="s">
        <v>4</v>
      </c>
      <c r="JQ34" s="41">
        <v>84396134</v>
      </c>
      <c r="JR34" s="41">
        <v>686219253</v>
      </c>
      <c r="JS34" s="41">
        <v>109654892</v>
      </c>
      <c r="JT34" s="41">
        <v>114296727</v>
      </c>
      <c r="JU34" s="41">
        <v>58040466</v>
      </c>
      <c r="JV34" s="41">
        <v>121848232</v>
      </c>
      <c r="JW34" s="41">
        <v>158104697</v>
      </c>
      <c r="JX34" s="41">
        <v>-91121368</v>
      </c>
      <c r="JY34" s="41">
        <v>49516953</v>
      </c>
      <c r="JZ34" s="41">
        <v>88474881</v>
      </c>
      <c r="KA34" s="41">
        <v>363458249</v>
      </c>
      <c r="KB34" s="41">
        <v>11903489</v>
      </c>
      <c r="KC34" s="41">
        <v>2029231396</v>
      </c>
      <c r="KD34" s="41">
        <v>-720061522</v>
      </c>
    </row>
    <row r="35" spans="1:290">
      <c r="A35" s="7" t="s">
        <v>120</v>
      </c>
      <c r="B35" s="8" t="s">
        <v>81</v>
      </c>
      <c r="C35" s="19">
        <v>150000000</v>
      </c>
      <c r="D35" s="19">
        <v>688602600</v>
      </c>
      <c r="E35" s="19">
        <v>117000000</v>
      </c>
      <c r="F35" s="19">
        <v>200000000</v>
      </c>
      <c r="G35" s="19">
        <v>30000000</v>
      </c>
      <c r="H35" s="19">
        <v>234033478</v>
      </c>
      <c r="I35" s="19">
        <v>469970000</v>
      </c>
      <c r="J35" s="19" t="s">
        <v>4</v>
      </c>
      <c r="K35" s="19">
        <v>763431000</v>
      </c>
      <c r="L35" s="19" t="s">
        <v>130</v>
      </c>
      <c r="M35" s="19" t="s">
        <v>96</v>
      </c>
      <c r="N35" s="19">
        <v>50000000</v>
      </c>
      <c r="O35" s="19">
        <v>1242577316</v>
      </c>
      <c r="P35" s="19">
        <v>1067094070</v>
      </c>
      <c r="Q35" s="19">
        <v>10000000</v>
      </c>
      <c r="R35" s="19">
        <v>60000000</v>
      </c>
      <c r="S35" s="19">
        <v>538889000</v>
      </c>
      <c r="T35" s="19" t="s">
        <v>96</v>
      </c>
      <c r="U35" s="19">
        <v>370000000</v>
      </c>
      <c r="V35" s="19" t="s">
        <v>128</v>
      </c>
      <c r="W35" s="19">
        <v>216190000</v>
      </c>
      <c r="X35" s="19">
        <v>100000000</v>
      </c>
      <c r="Y35" s="19">
        <v>110975000</v>
      </c>
      <c r="Z35" s="19">
        <v>500000000</v>
      </c>
      <c r="AA35" s="19">
        <v>250000000</v>
      </c>
      <c r="AB35" s="19">
        <v>89000000</v>
      </c>
      <c r="AC35" s="19">
        <v>40000000</v>
      </c>
      <c r="AD35" s="19">
        <v>200000000</v>
      </c>
      <c r="AE35" s="19">
        <v>100000000</v>
      </c>
      <c r="AF35" s="19">
        <v>20000000</v>
      </c>
      <c r="AG35" s="19">
        <v>363763500</v>
      </c>
      <c r="AH35" s="19">
        <v>55320000</v>
      </c>
      <c r="AI35" s="19">
        <v>67434000</v>
      </c>
      <c r="AJ35" s="19">
        <v>328820000</v>
      </c>
      <c r="AK35" s="19" t="s">
        <v>89</v>
      </c>
      <c r="AL35" s="19">
        <v>120000000</v>
      </c>
      <c r="AM35" s="19" t="s">
        <v>4</v>
      </c>
      <c r="AN35" s="19">
        <v>50000000</v>
      </c>
      <c r="AO35" s="19">
        <v>322280000</v>
      </c>
      <c r="AP35" s="19">
        <v>830000000</v>
      </c>
      <c r="AQ35" s="19" t="s">
        <v>96</v>
      </c>
      <c r="AR35" s="19">
        <v>50000000</v>
      </c>
      <c r="AS35" s="19">
        <v>50000000</v>
      </c>
      <c r="AT35" s="19">
        <v>200000000</v>
      </c>
      <c r="AU35" s="19">
        <v>750000000</v>
      </c>
      <c r="AV35" s="19">
        <v>180000000</v>
      </c>
      <c r="AW35" s="19">
        <v>5000000</v>
      </c>
      <c r="AX35" s="19" t="s">
        <v>4</v>
      </c>
      <c r="AY35" s="19">
        <v>231530601</v>
      </c>
      <c r="AZ35" s="19">
        <v>231950000</v>
      </c>
      <c r="BA35" s="19">
        <v>718000000</v>
      </c>
      <c r="BB35" s="19">
        <v>100000000</v>
      </c>
      <c r="BC35" s="19" t="s">
        <v>4</v>
      </c>
      <c r="BD35" s="19" t="s">
        <v>128</v>
      </c>
      <c r="BE35" s="19">
        <v>107250000</v>
      </c>
      <c r="BF35" s="19">
        <v>200000000</v>
      </c>
      <c r="BG35" s="19">
        <v>2200000000</v>
      </c>
      <c r="BH35" s="19">
        <v>138100000</v>
      </c>
      <c r="BI35" s="19">
        <v>68526000</v>
      </c>
      <c r="BJ35" s="19">
        <v>5000000</v>
      </c>
      <c r="BK35" s="19">
        <v>177525000</v>
      </c>
      <c r="BL35" s="19">
        <v>120000000</v>
      </c>
      <c r="BM35" s="19">
        <v>2450000</v>
      </c>
      <c r="BN35" s="19">
        <v>11250000</v>
      </c>
      <c r="BO35" s="19">
        <v>100000000</v>
      </c>
      <c r="BP35" s="19" t="s">
        <v>96</v>
      </c>
      <c r="BQ35" s="19" t="s">
        <v>4</v>
      </c>
      <c r="BR35" s="19">
        <v>1188000</v>
      </c>
      <c r="BS35" s="19">
        <v>54240000</v>
      </c>
      <c r="BT35" s="19">
        <v>27204662</v>
      </c>
      <c r="BU35" s="19">
        <v>102715000</v>
      </c>
      <c r="BV35" s="19">
        <v>50000000</v>
      </c>
      <c r="BW35" s="19">
        <v>320248</v>
      </c>
      <c r="BX35" s="19">
        <v>10000000</v>
      </c>
      <c r="BY35" s="19">
        <v>70000000</v>
      </c>
      <c r="BZ35" s="19">
        <v>10000000</v>
      </c>
      <c r="CA35" s="19">
        <v>150000000</v>
      </c>
      <c r="CB35" s="19">
        <v>10000000</v>
      </c>
      <c r="CC35" s="19">
        <v>14650000</v>
      </c>
      <c r="CD35" s="19">
        <v>105215000</v>
      </c>
      <c r="CE35" s="19">
        <v>50000000</v>
      </c>
      <c r="CF35" s="19">
        <v>38460000</v>
      </c>
      <c r="CG35" s="19">
        <v>58878970</v>
      </c>
      <c r="CH35" s="19">
        <v>5000000</v>
      </c>
      <c r="CI35" s="19" t="s">
        <v>128</v>
      </c>
      <c r="CJ35" s="19" t="s">
        <v>89</v>
      </c>
      <c r="CK35" s="19">
        <v>400000000</v>
      </c>
      <c r="CL35" s="19">
        <v>164000000</v>
      </c>
      <c r="CM35" s="19">
        <v>150000000</v>
      </c>
      <c r="CN35" s="19">
        <v>2000000</v>
      </c>
      <c r="CO35" s="19">
        <v>101460000</v>
      </c>
      <c r="CP35" s="19">
        <v>300000000</v>
      </c>
      <c r="CQ35" s="19" t="s">
        <v>96</v>
      </c>
      <c r="CR35" s="19">
        <v>210000000</v>
      </c>
      <c r="CS35" s="19">
        <v>134491000</v>
      </c>
      <c r="CT35" s="19">
        <v>543037500</v>
      </c>
      <c r="CU35" s="19">
        <v>34116217</v>
      </c>
      <c r="CV35" s="19">
        <v>4400000</v>
      </c>
      <c r="CW35" s="19">
        <v>1178060000</v>
      </c>
      <c r="CX35" s="19">
        <v>363763500</v>
      </c>
      <c r="CY35" s="19">
        <v>260000000</v>
      </c>
      <c r="CZ35" s="19">
        <v>50000000</v>
      </c>
      <c r="DA35" s="19">
        <v>10000000</v>
      </c>
      <c r="DB35" s="19">
        <v>50000000</v>
      </c>
      <c r="DC35" s="19">
        <v>5130000</v>
      </c>
      <c r="DD35" s="19">
        <v>50000000</v>
      </c>
      <c r="DE35" s="19" t="s">
        <v>89</v>
      </c>
      <c r="DF35" s="19">
        <v>40000000</v>
      </c>
      <c r="DG35" s="19">
        <v>150000000</v>
      </c>
      <c r="DH35" s="19">
        <v>342000000</v>
      </c>
      <c r="DI35" s="19" t="s">
        <v>128</v>
      </c>
      <c r="DJ35" s="19">
        <v>13800000</v>
      </c>
      <c r="DK35" s="19">
        <v>150500000</v>
      </c>
      <c r="DL35" s="19">
        <v>51050000</v>
      </c>
      <c r="DM35" s="19">
        <v>300000000</v>
      </c>
      <c r="DN35" s="19">
        <v>25350000</v>
      </c>
      <c r="DO35" s="19">
        <v>10000000</v>
      </c>
      <c r="DP35" s="19">
        <v>50000000</v>
      </c>
      <c r="DQ35" s="19">
        <v>50000000</v>
      </c>
      <c r="DR35" s="19">
        <v>36363000</v>
      </c>
      <c r="DS35" s="19">
        <v>80000000</v>
      </c>
      <c r="DT35" s="19">
        <v>75000000</v>
      </c>
      <c r="DU35" s="19">
        <v>26450000</v>
      </c>
      <c r="DV35" s="19"/>
      <c r="DW35" s="19">
        <v>100000000</v>
      </c>
      <c r="DX35" s="19">
        <v>116665000</v>
      </c>
      <c r="DY35" s="19">
        <v>60000000</v>
      </c>
      <c r="DZ35" s="19">
        <v>200000000</v>
      </c>
      <c r="EA35" s="19">
        <v>5000000</v>
      </c>
      <c r="EB35" s="19">
        <v>350000000</v>
      </c>
      <c r="EC35" s="19">
        <v>3000000</v>
      </c>
      <c r="ED35" s="19">
        <v>1000000</v>
      </c>
      <c r="EE35" s="19">
        <v>50000000</v>
      </c>
      <c r="EF35" s="19">
        <v>500000000</v>
      </c>
      <c r="EG35" s="19">
        <v>24136200</v>
      </c>
      <c r="EH35" s="19">
        <v>550000000</v>
      </c>
      <c r="EI35" s="19">
        <v>1264490000</v>
      </c>
      <c r="EJ35" s="19">
        <v>30300000</v>
      </c>
      <c r="EK35" s="19">
        <v>23100000</v>
      </c>
      <c r="EL35" s="19">
        <v>390962457</v>
      </c>
      <c r="EM35" s="19">
        <v>12500000</v>
      </c>
      <c r="EN35" s="19">
        <v>50000000</v>
      </c>
      <c r="EO35" s="19">
        <v>50000000</v>
      </c>
      <c r="EP35" s="19">
        <v>623294936</v>
      </c>
      <c r="EQ35" s="19">
        <v>10000000</v>
      </c>
      <c r="ER35" s="19">
        <v>1049865000</v>
      </c>
      <c r="ES35" s="19">
        <v>800000000</v>
      </c>
      <c r="ET35" s="19">
        <v>210928500</v>
      </c>
      <c r="EU35" s="19">
        <v>100009000</v>
      </c>
      <c r="EV35" s="19">
        <v>40000000</v>
      </c>
      <c r="EW35" s="19">
        <v>90000000</v>
      </c>
      <c r="EX35" s="19">
        <v>100000000</v>
      </c>
      <c r="EY35" s="19">
        <v>120000000</v>
      </c>
      <c r="EZ35" s="19">
        <v>447938434</v>
      </c>
      <c r="FA35" s="19">
        <v>75000000</v>
      </c>
      <c r="FB35" s="19">
        <v>46480000</v>
      </c>
      <c r="FC35" s="19">
        <v>108360000</v>
      </c>
      <c r="FD35" s="19">
        <v>1000000</v>
      </c>
      <c r="FE35" s="19">
        <v>100000000</v>
      </c>
      <c r="FF35" s="19">
        <v>1400000</v>
      </c>
      <c r="FG35" s="19">
        <v>50000000</v>
      </c>
      <c r="FH35" s="19">
        <v>50000000</v>
      </c>
      <c r="FI35" s="19">
        <v>10000000</v>
      </c>
      <c r="FJ35" s="19">
        <v>50000000</v>
      </c>
      <c r="FK35" s="19">
        <v>111000000</v>
      </c>
      <c r="FL35" s="19">
        <v>12222300</v>
      </c>
      <c r="FM35" s="19">
        <v>42170500</v>
      </c>
      <c r="FN35" s="19">
        <v>328766000</v>
      </c>
      <c r="FO35" s="19">
        <v>100000</v>
      </c>
      <c r="FP35" s="19">
        <v>23165000</v>
      </c>
      <c r="FQ35" s="19">
        <v>20300000</v>
      </c>
      <c r="FR35" s="19">
        <v>25000000</v>
      </c>
      <c r="FS35" s="19">
        <v>34600000</v>
      </c>
      <c r="FT35" s="19">
        <v>161178400</v>
      </c>
      <c r="FU35" s="19">
        <v>1000000</v>
      </c>
      <c r="FV35" s="19">
        <v>548057600</v>
      </c>
      <c r="FW35" s="19">
        <v>50000000</v>
      </c>
      <c r="FX35" s="19">
        <v>10870000</v>
      </c>
      <c r="FY35" s="19">
        <v>132857000</v>
      </c>
      <c r="FZ35" s="19">
        <v>31578800</v>
      </c>
      <c r="GA35" s="19">
        <v>15789500</v>
      </c>
      <c r="GB35" s="19">
        <v>85000000</v>
      </c>
      <c r="GC35" s="19">
        <v>10000000</v>
      </c>
      <c r="GD35" s="19" t="s">
        <v>96</v>
      </c>
      <c r="GE35" s="19">
        <v>11676000</v>
      </c>
      <c r="GF35" s="19">
        <v>25000000</v>
      </c>
      <c r="GG35" s="19">
        <v>389205000</v>
      </c>
      <c r="GH35" s="19">
        <v>33333000</v>
      </c>
      <c r="GI35" s="19">
        <v>50000000</v>
      </c>
      <c r="GJ35" s="19"/>
      <c r="GK35" s="19">
        <v>75000000</v>
      </c>
      <c r="GL35" s="19">
        <v>30000000</v>
      </c>
      <c r="GM35" s="19">
        <v>64600000</v>
      </c>
      <c r="GN35" s="19">
        <v>100000000</v>
      </c>
      <c r="GO35" s="19">
        <v>14167000</v>
      </c>
      <c r="GP35" s="19">
        <v>250000000</v>
      </c>
      <c r="GQ35" s="19">
        <v>1122200</v>
      </c>
      <c r="GR35" s="19">
        <v>10770000</v>
      </c>
      <c r="GS35" s="19">
        <v>330000000</v>
      </c>
      <c r="GT35" s="19">
        <v>17857200</v>
      </c>
      <c r="GU35" s="19">
        <v>117000000</v>
      </c>
      <c r="GV35" s="19">
        <v>218870000</v>
      </c>
      <c r="GW35" s="19">
        <v>235683000</v>
      </c>
      <c r="GX35" s="19">
        <v>150000000</v>
      </c>
      <c r="GY35" s="19">
        <v>578360000</v>
      </c>
      <c r="GZ35" s="19">
        <v>10000000</v>
      </c>
      <c r="HA35" s="19">
        <v>158700</v>
      </c>
      <c r="HB35" s="37">
        <v>14289064</v>
      </c>
      <c r="HC35" s="19">
        <v>283480000</v>
      </c>
      <c r="HD35" s="19">
        <v>50000000</v>
      </c>
      <c r="HE35" s="19">
        <v>34325000</v>
      </c>
      <c r="HF35" s="19">
        <v>50000000</v>
      </c>
      <c r="HG35" s="19">
        <v>50000000</v>
      </c>
      <c r="HH35" s="19">
        <v>120000000</v>
      </c>
      <c r="HI35" s="19">
        <v>350515000</v>
      </c>
      <c r="HJ35" s="19">
        <v>50000000</v>
      </c>
      <c r="HK35" s="19">
        <v>49455000</v>
      </c>
      <c r="HL35" s="19">
        <v>115682403</v>
      </c>
      <c r="HM35" s="19">
        <v>100000000</v>
      </c>
      <c r="HN35" s="19">
        <v>500000000</v>
      </c>
      <c r="HO35" s="19">
        <v>270000000</v>
      </c>
      <c r="HP35" s="19">
        <v>14500000</v>
      </c>
      <c r="HQ35" s="41">
        <v>5000000</v>
      </c>
      <c r="HR35" s="41">
        <v>300000000</v>
      </c>
      <c r="HS35" s="41">
        <v>127986500</v>
      </c>
      <c r="HT35" s="41">
        <v>143000000</v>
      </c>
      <c r="HU35" s="41">
        <v>87885000</v>
      </c>
      <c r="HV35" s="41">
        <v>5250000</v>
      </c>
      <c r="HW35" s="41">
        <v>1417999500</v>
      </c>
      <c r="HX35" s="41">
        <v>300000000</v>
      </c>
      <c r="HY35" s="41" t="s">
        <v>114</v>
      </c>
      <c r="HZ35" s="41">
        <v>2075698509</v>
      </c>
      <c r="IA35" s="41">
        <v>37000000</v>
      </c>
      <c r="IB35" s="41">
        <v>100000000</v>
      </c>
      <c r="IC35" s="41">
        <v>100000000</v>
      </c>
      <c r="ID35" s="41">
        <v>130000</v>
      </c>
      <c r="IE35" s="41" t="s">
        <v>4</v>
      </c>
      <c r="IF35" s="41">
        <v>17750000</v>
      </c>
      <c r="IG35" s="41">
        <v>50000000</v>
      </c>
      <c r="IH35" s="41">
        <v>31725000</v>
      </c>
      <c r="II35" s="41">
        <v>120000000</v>
      </c>
      <c r="IJ35" s="41">
        <v>207064500</v>
      </c>
      <c r="IK35" s="41">
        <v>32000000</v>
      </c>
      <c r="IL35" s="41">
        <v>6000000</v>
      </c>
      <c r="IM35" s="41">
        <v>5000000</v>
      </c>
      <c r="IN35" s="41">
        <v>2000000</v>
      </c>
      <c r="IO35" s="41">
        <v>1000000</v>
      </c>
      <c r="IP35" s="41"/>
      <c r="IQ35" s="41">
        <v>20600000</v>
      </c>
      <c r="IR35" s="41">
        <v>200000000</v>
      </c>
      <c r="IS35" s="41">
        <v>1899250000</v>
      </c>
      <c r="IT35" s="41">
        <v>100000000</v>
      </c>
      <c r="IU35" s="41">
        <v>150000000</v>
      </c>
      <c r="IV35" s="41">
        <v>101358933</v>
      </c>
      <c r="IW35" s="41">
        <v>6900000</v>
      </c>
      <c r="IX35" s="41" t="s">
        <v>114</v>
      </c>
      <c r="IY35" s="41">
        <v>3400000</v>
      </c>
      <c r="IZ35" s="41">
        <v>300000000</v>
      </c>
      <c r="JA35" s="41">
        <v>20777000</v>
      </c>
      <c r="JB35" s="41">
        <v>5000000</v>
      </c>
      <c r="JC35" s="41">
        <v>50000000</v>
      </c>
      <c r="JD35" s="41">
        <v>40000000</v>
      </c>
      <c r="JE35" s="41" t="s">
        <v>114</v>
      </c>
      <c r="JF35" s="41">
        <v>5000000</v>
      </c>
      <c r="JG35" s="41">
        <v>112934000</v>
      </c>
      <c r="JH35" s="41">
        <v>10000000</v>
      </c>
      <c r="JI35" s="41">
        <v>30000000</v>
      </c>
      <c r="JJ35" s="41">
        <v>200000000</v>
      </c>
      <c r="JK35" s="41">
        <v>6900000</v>
      </c>
      <c r="JL35" s="41">
        <v>3000000</v>
      </c>
      <c r="JM35" s="41">
        <v>58000000</v>
      </c>
      <c r="JN35" s="41"/>
      <c r="JO35" s="41">
        <v>39000000</v>
      </c>
      <c r="JP35" s="41" t="s">
        <v>4</v>
      </c>
      <c r="JQ35" s="41">
        <v>280618500</v>
      </c>
      <c r="JR35" s="41">
        <v>524000000</v>
      </c>
      <c r="JS35" s="41">
        <v>130000000</v>
      </c>
      <c r="JT35" s="41">
        <v>50000000</v>
      </c>
      <c r="JU35" s="41">
        <v>10000000</v>
      </c>
      <c r="JV35" s="41">
        <v>100000000</v>
      </c>
      <c r="JW35" s="41">
        <v>250000000</v>
      </c>
      <c r="JX35" s="41">
        <v>40000000</v>
      </c>
      <c r="JY35" s="41">
        <v>50000000</v>
      </c>
      <c r="JZ35" s="41">
        <v>110000000</v>
      </c>
      <c r="KA35" s="41">
        <v>198330000</v>
      </c>
      <c r="KB35" s="41">
        <v>34000000</v>
      </c>
      <c r="KC35" s="41">
        <v>1815200000</v>
      </c>
      <c r="KD35" s="41">
        <v>1430406179</v>
      </c>
    </row>
    <row r="36" spans="1:290">
      <c r="A36" s="7" t="s">
        <v>120</v>
      </c>
      <c r="B36" s="8" t="s">
        <v>11</v>
      </c>
      <c r="C36" s="19">
        <v>0</v>
      </c>
      <c r="D36" s="19">
        <v>0</v>
      </c>
      <c r="E36" s="19">
        <v>0</v>
      </c>
      <c r="F36" s="19">
        <v>0</v>
      </c>
      <c r="G36" s="19">
        <v>0</v>
      </c>
      <c r="H36" s="19">
        <v>0</v>
      </c>
      <c r="I36" s="19">
        <v>0</v>
      </c>
      <c r="J36" s="19" t="s">
        <v>4</v>
      </c>
      <c r="K36" s="19"/>
      <c r="L36" s="19" t="s">
        <v>130</v>
      </c>
      <c r="M36" s="19" t="s">
        <v>96</v>
      </c>
      <c r="N36" s="19">
        <v>0</v>
      </c>
      <c r="O36" s="19"/>
      <c r="P36" s="19"/>
      <c r="Q36" s="19"/>
      <c r="R36" s="19"/>
      <c r="S36" s="19">
        <v>311112000</v>
      </c>
      <c r="T36" s="19" t="s">
        <v>96</v>
      </c>
      <c r="U36" s="19">
        <v>1530000000</v>
      </c>
      <c r="V36" s="19" t="s">
        <v>128</v>
      </c>
      <c r="W36" s="19">
        <v>354830100</v>
      </c>
      <c r="X36" s="19"/>
      <c r="Y36" s="19">
        <v>153650000</v>
      </c>
      <c r="Z36" s="19"/>
      <c r="AA36" s="19"/>
      <c r="AB36" s="19"/>
      <c r="AC36" s="19">
        <v>100000000</v>
      </c>
      <c r="AD36" s="19">
        <v>99580870</v>
      </c>
      <c r="AE36" s="19"/>
      <c r="AF36" s="19"/>
      <c r="AG36" s="19">
        <v>3852603670</v>
      </c>
      <c r="AH36" s="19">
        <v>790076520</v>
      </c>
      <c r="AI36" s="19">
        <v>350082000</v>
      </c>
      <c r="AJ36" s="19"/>
      <c r="AK36" s="19" t="s">
        <v>89</v>
      </c>
      <c r="AL36" s="19"/>
      <c r="AM36" s="19" t="s">
        <v>4</v>
      </c>
      <c r="AN36" s="19"/>
      <c r="AO36" s="19">
        <v>2525278740</v>
      </c>
      <c r="AP36" s="19"/>
      <c r="AQ36" s="19" t="s">
        <v>96</v>
      </c>
      <c r="AR36" s="19"/>
      <c r="AS36" s="19"/>
      <c r="AT36" s="19"/>
      <c r="AU36" s="19"/>
      <c r="AV36" s="19"/>
      <c r="AW36" s="19"/>
      <c r="AX36" s="19" t="s">
        <v>4</v>
      </c>
      <c r="AY36" s="19"/>
      <c r="AZ36" s="19">
        <v>23050000</v>
      </c>
      <c r="BA36" s="19"/>
      <c r="BB36" s="19"/>
      <c r="BC36" s="19" t="s">
        <v>4</v>
      </c>
      <c r="BD36" s="19" t="s">
        <v>128</v>
      </c>
      <c r="BE36" s="19">
        <v>269929256</v>
      </c>
      <c r="BF36" s="19"/>
      <c r="BG36" s="19"/>
      <c r="BH36" s="19"/>
      <c r="BI36" s="19"/>
      <c r="BJ36" s="19"/>
      <c r="BK36" s="19">
        <v>1143015929</v>
      </c>
      <c r="BL36" s="19"/>
      <c r="BM36" s="19"/>
      <c r="BN36" s="19"/>
      <c r="BO36" s="19"/>
      <c r="BP36" s="19" t="s">
        <v>96</v>
      </c>
      <c r="BQ36" s="19" t="s">
        <v>4</v>
      </c>
      <c r="BR36" s="19">
        <v>39981396</v>
      </c>
      <c r="BS36" s="19"/>
      <c r="BT36" s="19"/>
      <c r="BU36" s="19"/>
      <c r="BV36" s="19"/>
      <c r="BW36" s="19"/>
      <c r="BX36" s="19"/>
      <c r="BY36" s="19">
        <v>57898253</v>
      </c>
      <c r="BZ36" s="19"/>
      <c r="CA36" s="19"/>
      <c r="CB36" s="19"/>
      <c r="CC36" s="19"/>
      <c r="CD36" s="19">
        <v>43419518</v>
      </c>
      <c r="CE36" s="19"/>
      <c r="CF36" s="19">
        <v>491540642</v>
      </c>
      <c r="CG36" s="19"/>
      <c r="CH36" s="19"/>
      <c r="CI36" s="19" t="s">
        <v>128</v>
      </c>
      <c r="CJ36" s="19" t="s">
        <v>89</v>
      </c>
      <c r="CK36" s="19"/>
      <c r="CL36" s="19"/>
      <c r="CM36" s="19"/>
      <c r="CN36" s="19"/>
      <c r="CO36" s="19"/>
      <c r="CP36" s="19"/>
      <c r="CQ36" s="19" t="s">
        <v>96</v>
      </c>
      <c r="CR36" s="19"/>
      <c r="CS36" s="19">
        <v>622431000</v>
      </c>
      <c r="CT36" s="19">
        <v>19569274394</v>
      </c>
      <c r="CU36" s="19"/>
      <c r="CV36" s="19"/>
      <c r="CW36" s="19"/>
      <c r="CX36" s="19">
        <v>3852603670</v>
      </c>
      <c r="CY36" s="19"/>
      <c r="CZ36" s="19"/>
      <c r="DA36" s="19"/>
      <c r="DB36" s="19"/>
      <c r="DC36" s="19">
        <v>9870000</v>
      </c>
      <c r="DD36" s="19"/>
      <c r="DE36" s="19" t="s">
        <v>89</v>
      </c>
      <c r="DF36" s="19"/>
      <c r="DG36" s="19"/>
      <c r="DH36" s="19">
        <v>138115720</v>
      </c>
      <c r="DI36" s="19" t="s">
        <v>128</v>
      </c>
      <c r="DJ36" s="19"/>
      <c r="DK36" s="19">
        <v>586600000</v>
      </c>
      <c r="DL36" s="19">
        <v>70083000</v>
      </c>
      <c r="DM36" s="19"/>
      <c r="DN36" s="19"/>
      <c r="DO36" s="19"/>
      <c r="DP36" s="19"/>
      <c r="DQ36" s="19"/>
      <c r="DR36" s="19">
        <v>695100000</v>
      </c>
      <c r="DS36" s="19"/>
      <c r="DT36" s="19"/>
      <c r="DU36" s="19"/>
      <c r="DV36" s="19"/>
      <c r="DW36" s="19"/>
      <c r="DX36" s="19">
        <v>983235000</v>
      </c>
      <c r="DY36" s="19"/>
      <c r="DZ36" s="19"/>
      <c r="EA36" s="19"/>
      <c r="EB36" s="19"/>
      <c r="EC36" s="19"/>
      <c r="ED36" s="19"/>
      <c r="EE36" s="19"/>
      <c r="EF36" s="19"/>
      <c r="EG36" s="19">
        <v>13764516149</v>
      </c>
      <c r="EH36" s="19"/>
      <c r="EI36" s="19">
        <v>3671143795</v>
      </c>
      <c r="EJ36" s="19"/>
      <c r="EK36" s="19">
        <v>1997007876</v>
      </c>
      <c r="EL36" s="19"/>
      <c r="EM36" s="19"/>
      <c r="EN36" s="19">
        <v>306835961</v>
      </c>
      <c r="EO36" s="19"/>
      <c r="EP36" s="19"/>
      <c r="EQ36" s="19"/>
      <c r="ER36" s="19"/>
      <c r="ES36" s="19"/>
      <c r="ET36" s="19">
        <v>3589013078</v>
      </c>
      <c r="EU36" s="19">
        <v>1339996500</v>
      </c>
      <c r="EV36" s="19"/>
      <c r="EW36" s="19"/>
      <c r="EX36" s="19"/>
      <c r="EY36" s="19"/>
      <c r="EZ36" s="19"/>
      <c r="FA36" s="19"/>
      <c r="FB36" s="19"/>
      <c r="FC36" s="19"/>
      <c r="FD36" s="19"/>
      <c r="FE36" s="19"/>
      <c r="FF36" s="19"/>
      <c r="FG36" s="19">
        <v>0</v>
      </c>
      <c r="FH36" s="19"/>
      <c r="FI36" s="19"/>
      <c r="FJ36" s="19"/>
      <c r="FK36" s="19"/>
      <c r="FL36" s="19">
        <v>197784700</v>
      </c>
      <c r="FM36" s="19">
        <v>26650650</v>
      </c>
      <c r="FN36" s="19">
        <v>1260022416</v>
      </c>
      <c r="FO36" s="19"/>
      <c r="FP36" s="19">
        <v>38850630</v>
      </c>
      <c r="FQ36" s="19">
        <v>29700000</v>
      </c>
      <c r="FR36" s="19"/>
      <c r="FS36" s="19"/>
      <c r="FT36" s="19">
        <v>2196206190</v>
      </c>
      <c r="FU36" s="19"/>
      <c r="FV36" s="19">
        <v>668551781</v>
      </c>
      <c r="FW36" s="19"/>
      <c r="FX36" s="19">
        <v>29130000</v>
      </c>
      <c r="FY36" s="19">
        <v>2519361169</v>
      </c>
      <c r="FZ36" s="19">
        <v>48016200</v>
      </c>
      <c r="GA36" s="19">
        <v>96795827</v>
      </c>
      <c r="GB36" s="19"/>
      <c r="GC36" s="19"/>
      <c r="GD36" s="19" t="s">
        <v>96</v>
      </c>
      <c r="GE36" s="19">
        <v>208499250</v>
      </c>
      <c r="GF36" s="19">
        <v>4000000</v>
      </c>
      <c r="GG36" s="19">
        <v>760849460</v>
      </c>
      <c r="GH36" s="19">
        <v>96657000</v>
      </c>
      <c r="GI36" s="19"/>
      <c r="GJ36" s="19">
        <v>15140310</v>
      </c>
      <c r="GK36" s="19">
        <v>95000000</v>
      </c>
      <c r="GL36" s="19"/>
      <c r="GM36" s="19"/>
      <c r="GN36" s="19"/>
      <c r="GO36" s="19">
        <v>1045963150</v>
      </c>
      <c r="GP36" s="19"/>
      <c r="GQ36" s="19">
        <v>299823810</v>
      </c>
      <c r="GR36" s="19">
        <v>49233800</v>
      </c>
      <c r="GS36" s="19"/>
      <c r="GT36" s="19">
        <v>19646000</v>
      </c>
      <c r="GU36" s="19"/>
      <c r="GV36" s="19"/>
      <c r="GW36" s="19">
        <v>3511616844</v>
      </c>
      <c r="GX36" s="19"/>
      <c r="GY36" s="19">
        <v>2891466612</v>
      </c>
      <c r="GZ36" s="19"/>
      <c r="HA36" s="19">
        <v>1892594907</v>
      </c>
      <c r="HB36" s="37">
        <v>170152825</v>
      </c>
      <c r="HC36" s="19">
        <v>666343520</v>
      </c>
      <c r="HD36" s="19"/>
      <c r="HE36" s="19">
        <v>65793561</v>
      </c>
      <c r="HF36" s="19"/>
      <c r="HG36" s="19"/>
      <c r="HH36" s="19"/>
      <c r="HI36" s="19">
        <v>699430219</v>
      </c>
      <c r="HJ36" s="19"/>
      <c r="HK36" s="19">
        <v>2970836012</v>
      </c>
      <c r="HL36" s="19"/>
      <c r="HM36" s="19"/>
      <c r="HN36" s="19"/>
      <c r="HO36" s="19"/>
      <c r="HP36" s="19"/>
      <c r="HQ36" s="41"/>
      <c r="HR36" s="41"/>
      <c r="HS36" s="41">
        <v>99986500</v>
      </c>
      <c r="HT36" s="41"/>
      <c r="HU36" s="41">
        <v>2890766315</v>
      </c>
      <c r="HV36" s="41">
        <v>5000000</v>
      </c>
      <c r="HW36" s="41">
        <v>62657363627</v>
      </c>
      <c r="HX36" s="41"/>
      <c r="HY36" s="41" t="s">
        <v>114</v>
      </c>
      <c r="HZ36" s="41"/>
      <c r="IA36" s="41"/>
      <c r="IB36" s="41"/>
      <c r="IC36" s="41"/>
      <c r="ID36" s="41"/>
      <c r="IE36" s="41" t="s">
        <v>4</v>
      </c>
      <c r="IF36" s="41"/>
      <c r="IG36" s="41"/>
      <c r="IH36" s="41">
        <v>87356800</v>
      </c>
      <c r="II36" s="41"/>
      <c r="IJ36" s="41">
        <v>325174612</v>
      </c>
      <c r="IK36" s="41"/>
      <c r="IL36" s="41"/>
      <c r="IM36" s="41"/>
      <c r="IN36" s="41"/>
      <c r="IO36" s="41"/>
      <c r="IP36" s="41"/>
      <c r="IQ36" s="41">
        <v>37500000</v>
      </c>
      <c r="IR36" s="41"/>
      <c r="IS36" s="41"/>
      <c r="IT36" s="41"/>
      <c r="IU36" s="41"/>
      <c r="IV36" s="41"/>
      <c r="IW36" s="41"/>
      <c r="IX36" s="41" t="s">
        <v>114</v>
      </c>
      <c r="IY36" s="41"/>
      <c r="IZ36" s="41"/>
      <c r="JA36" s="41"/>
      <c r="JB36" s="41"/>
      <c r="JC36" s="41"/>
      <c r="JD36" s="41"/>
      <c r="JE36" s="41" t="s">
        <v>114</v>
      </c>
      <c r="JF36" s="41"/>
      <c r="JG36" s="41">
        <v>1228851320</v>
      </c>
      <c r="JH36" s="41"/>
      <c r="JI36" s="41"/>
      <c r="JJ36" s="41"/>
      <c r="JK36" s="41"/>
      <c r="JL36" s="41"/>
      <c r="JM36" s="41"/>
      <c r="JN36" s="41"/>
      <c r="JO36" s="41"/>
      <c r="JP36" s="41" t="s">
        <v>4</v>
      </c>
      <c r="JQ36" s="41">
        <v>459399171</v>
      </c>
      <c r="JR36" s="41"/>
      <c r="JS36" s="41"/>
      <c r="JT36" s="41"/>
      <c r="JU36" s="41"/>
      <c r="JV36" s="41"/>
      <c r="JW36" s="41"/>
      <c r="JX36" s="41"/>
      <c r="JY36" s="41"/>
      <c r="JZ36" s="41"/>
      <c r="KA36" s="41"/>
      <c r="KB36" s="41"/>
      <c r="KC36" s="41"/>
      <c r="KD36" s="41"/>
    </row>
    <row r="37" spans="1:290">
      <c r="A37" s="7" t="s">
        <v>120</v>
      </c>
      <c r="B37" s="8" t="s">
        <v>31</v>
      </c>
      <c r="C37" s="19">
        <v>0</v>
      </c>
      <c r="D37" s="19">
        <v>0</v>
      </c>
      <c r="E37" s="19">
        <v>0</v>
      </c>
      <c r="F37" s="19">
        <v>0</v>
      </c>
      <c r="G37" s="19">
        <v>0</v>
      </c>
      <c r="H37" s="19">
        <v>0</v>
      </c>
      <c r="I37" s="19">
        <v>-192240</v>
      </c>
      <c r="J37" s="19" t="s">
        <v>4</v>
      </c>
      <c r="K37" s="19"/>
      <c r="L37" s="19" t="s">
        <v>130</v>
      </c>
      <c r="M37" s="19" t="s">
        <v>96</v>
      </c>
      <c r="N37" s="19">
        <v>0</v>
      </c>
      <c r="O37" s="19"/>
      <c r="P37" s="19"/>
      <c r="Q37" s="19"/>
      <c r="R37" s="19"/>
      <c r="S37" s="19"/>
      <c r="T37" s="19" t="s">
        <v>96</v>
      </c>
      <c r="U37" s="19">
        <v>3400000</v>
      </c>
      <c r="V37" s="19" t="s">
        <v>128</v>
      </c>
      <c r="W37" s="19"/>
      <c r="X37" s="19"/>
      <c r="Y37" s="19"/>
      <c r="Z37" s="19"/>
      <c r="AA37" s="19"/>
      <c r="AB37" s="19"/>
      <c r="AC37" s="19"/>
      <c r="AD37" s="19">
        <v>-816900</v>
      </c>
      <c r="AE37" s="19"/>
      <c r="AF37" s="19"/>
      <c r="AG37" s="19"/>
      <c r="AH37" s="19"/>
      <c r="AI37" s="19"/>
      <c r="AJ37" s="19"/>
      <c r="AK37" s="19" t="s">
        <v>89</v>
      </c>
      <c r="AL37" s="19"/>
      <c r="AM37" s="19" t="s">
        <v>4</v>
      </c>
      <c r="AN37" s="19"/>
      <c r="AO37" s="19"/>
      <c r="AP37" s="19"/>
      <c r="AQ37" s="19" t="s">
        <v>96</v>
      </c>
      <c r="AR37" s="19"/>
      <c r="AS37" s="19"/>
      <c r="AT37" s="19"/>
      <c r="AU37" s="19">
        <v>-6836980</v>
      </c>
      <c r="AV37" s="19"/>
      <c r="AW37" s="19"/>
      <c r="AX37" s="19" t="s">
        <v>4</v>
      </c>
      <c r="AY37" s="19"/>
      <c r="AZ37" s="19"/>
      <c r="BA37" s="19"/>
      <c r="BB37" s="19"/>
      <c r="BC37" s="19" t="s">
        <v>4</v>
      </c>
      <c r="BD37" s="19" t="s">
        <v>128</v>
      </c>
      <c r="BE37" s="19"/>
      <c r="BF37" s="19"/>
      <c r="BG37" s="19"/>
      <c r="BH37" s="19"/>
      <c r="BI37" s="19"/>
      <c r="BJ37" s="19"/>
      <c r="BK37" s="19"/>
      <c r="BL37" s="19"/>
      <c r="BM37" s="19"/>
      <c r="BN37" s="19"/>
      <c r="BO37" s="19"/>
      <c r="BP37" s="19" t="s">
        <v>96</v>
      </c>
      <c r="BQ37" s="19" t="s">
        <v>4</v>
      </c>
      <c r="BR37" s="19"/>
      <c r="BS37" s="19"/>
      <c r="BT37" s="19"/>
      <c r="BU37" s="19"/>
      <c r="BV37" s="19"/>
      <c r="BW37" s="19"/>
      <c r="BX37" s="19"/>
      <c r="BY37" s="19"/>
      <c r="BZ37" s="19"/>
      <c r="CA37" s="19"/>
      <c r="CB37" s="19"/>
      <c r="CC37" s="19"/>
      <c r="CD37" s="19"/>
      <c r="CE37" s="19"/>
      <c r="CF37" s="19"/>
      <c r="CG37" s="19"/>
      <c r="CH37" s="19"/>
      <c r="CI37" s="19" t="s">
        <v>128</v>
      </c>
      <c r="CJ37" s="19" t="s">
        <v>89</v>
      </c>
      <c r="CK37" s="19"/>
      <c r="CL37" s="19"/>
      <c r="CM37" s="19"/>
      <c r="CN37" s="19"/>
      <c r="CO37" s="19"/>
      <c r="CP37" s="19">
        <v>-21756240</v>
      </c>
      <c r="CQ37" s="19" t="s">
        <v>96</v>
      </c>
      <c r="CR37" s="19"/>
      <c r="CS37" s="19"/>
      <c r="CT37" s="19"/>
      <c r="CU37" s="19"/>
      <c r="CV37" s="19"/>
      <c r="CW37" s="19">
        <v>5000</v>
      </c>
      <c r="CX37" s="19"/>
      <c r="CY37" s="19"/>
      <c r="CZ37" s="19"/>
      <c r="DA37" s="19"/>
      <c r="DB37" s="19"/>
      <c r="DC37" s="19"/>
      <c r="DD37" s="19"/>
      <c r="DE37" s="19" t="s">
        <v>89</v>
      </c>
      <c r="DF37" s="19"/>
      <c r="DG37" s="19"/>
      <c r="DH37" s="19"/>
      <c r="DI37" s="19" t="s">
        <v>128</v>
      </c>
      <c r="DJ37" s="19"/>
      <c r="DK37" s="19"/>
      <c r="DL37" s="19"/>
      <c r="DM37" s="19"/>
      <c r="DN37" s="19"/>
      <c r="DO37" s="19"/>
      <c r="DP37" s="19"/>
      <c r="DQ37" s="19"/>
      <c r="DR37" s="19"/>
      <c r="DS37" s="19"/>
      <c r="DT37" s="19"/>
      <c r="DU37" s="19"/>
      <c r="DV37" s="19"/>
      <c r="DW37" s="19"/>
      <c r="DX37" s="19"/>
      <c r="DY37" s="19"/>
      <c r="DZ37" s="19"/>
      <c r="EA37" s="19"/>
      <c r="EB37" s="19">
        <v>-719640</v>
      </c>
      <c r="EC37" s="19"/>
      <c r="ED37" s="19"/>
      <c r="EE37" s="19"/>
      <c r="EF37" s="19"/>
      <c r="EG37" s="19"/>
      <c r="EH37" s="19"/>
      <c r="EI37" s="19"/>
      <c r="EJ37" s="19"/>
      <c r="EK37" s="19"/>
      <c r="EL37" s="19"/>
      <c r="EM37" s="19"/>
      <c r="EN37" s="19"/>
      <c r="EO37" s="19"/>
      <c r="EP37" s="19"/>
      <c r="EQ37" s="19"/>
      <c r="ER37" s="19"/>
      <c r="ES37" s="19">
        <v>-8724240</v>
      </c>
      <c r="ET37" s="19"/>
      <c r="EU37" s="19"/>
      <c r="EV37" s="19"/>
      <c r="EW37" s="19"/>
      <c r="EX37" s="19"/>
      <c r="EY37" s="19"/>
      <c r="EZ37" s="19"/>
      <c r="FA37" s="19"/>
      <c r="FB37" s="19"/>
      <c r="FC37" s="19"/>
      <c r="FD37" s="19"/>
      <c r="FE37" s="19"/>
      <c r="FF37" s="19"/>
      <c r="FG37" s="19">
        <v>0</v>
      </c>
      <c r="FH37" s="19"/>
      <c r="FI37" s="19"/>
      <c r="FJ37" s="19"/>
      <c r="FK37" s="19"/>
      <c r="FL37" s="19"/>
      <c r="FM37" s="19"/>
      <c r="FN37" s="19"/>
      <c r="FO37" s="19"/>
      <c r="FP37" s="19">
        <v>-4589351</v>
      </c>
      <c r="FQ37" s="19"/>
      <c r="FR37" s="19"/>
      <c r="FS37" s="19"/>
      <c r="FT37" s="19"/>
      <c r="FU37" s="19"/>
      <c r="FV37" s="19"/>
      <c r="FW37" s="19"/>
      <c r="FX37" s="19"/>
      <c r="FY37" s="19"/>
      <c r="FZ37" s="19"/>
      <c r="GA37" s="19"/>
      <c r="GB37" s="19">
        <v>-2323050</v>
      </c>
      <c r="GC37" s="19"/>
      <c r="GD37" s="19" t="s">
        <v>96</v>
      </c>
      <c r="GE37" s="19"/>
      <c r="GF37" s="19"/>
      <c r="GG37" s="19"/>
      <c r="GH37" s="19"/>
      <c r="GI37" s="19"/>
      <c r="GJ37" s="19"/>
      <c r="GK37" s="19"/>
      <c r="GL37" s="19"/>
      <c r="GM37" s="19"/>
      <c r="GN37" s="19">
        <v>-1044000</v>
      </c>
      <c r="GO37" s="19"/>
      <c r="GP37" s="19"/>
      <c r="GQ37" s="19"/>
      <c r="GR37" s="19"/>
      <c r="GS37" s="19"/>
      <c r="GT37" s="19"/>
      <c r="GU37" s="19"/>
      <c r="GV37" s="19">
        <v>-5609230</v>
      </c>
      <c r="GW37" s="19"/>
      <c r="GX37" s="19"/>
      <c r="GY37" s="19"/>
      <c r="GZ37" s="19"/>
      <c r="HA37" s="19"/>
      <c r="HB37" s="37"/>
      <c r="HC37" s="19"/>
      <c r="HD37" s="19"/>
      <c r="HE37" s="19"/>
      <c r="HF37" s="19">
        <v>-900000</v>
      </c>
      <c r="HG37" s="19"/>
      <c r="HH37" s="19"/>
      <c r="HI37" s="19"/>
      <c r="HJ37" s="19"/>
      <c r="HK37" s="19"/>
      <c r="HL37" s="19"/>
      <c r="HM37" s="19"/>
      <c r="HN37" s="19"/>
      <c r="HO37" s="19">
        <v>-960000</v>
      </c>
      <c r="HP37" s="19"/>
      <c r="HQ37" s="41"/>
      <c r="HR37" s="41"/>
      <c r="HS37" s="41"/>
      <c r="HT37" s="41"/>
      <c r="HU37" s="41"/>
      <c r="HV37" s="41">
        <v>350000</v>
      </c>
      <c r="HW37" s="41"/>
      <c r="HX37" s="41"/>
      <c r="HY37" s="41" t="s">
        <v>114</v>
      </c>
      <c r="HZ37" s="41"/>
      <c r="IA37" s="41"/>
      <c r="IB37" s="41"/>
      <c r="IC37" s="41">
        <v>-914000</v>
      </c>
      <c r="ID37" s="41"/>
      <c r="IE37" s="41" t="s">
        <v>4</v>
      </c>
      <c r="IF37" s="41"/>
      <c r="IG37" s="41"/>
      <c r="IH37" s="41"/>
      <c r="II37" s="41"/>
      <c r="IJ37" s="41"/>
      <c r="IK37" s="41"/>
      <c r="IL37" s="41"/>
      <c r="IM37" s="41"/>
      <c r="IN37" s="41"/>
      <c r="IO37" s="41"/>
      <c r="IP37" s="41"/>
      <c r="IQ37" s="41"/>
      <c r="IR37" s="41"/>
      <c r="IS37" s="41"/>
      <c r="IT37" s="41"/>
      <c r="IU37" s="41">
        <v>-2048000</v>
      </c>
      <c r="IV37" s="41"/>
      <c r="IW37" s="41"/>
      <c r="IX37" s="41" t="s">
        <v>114</v>
      </c>
      <c r="IY37" s="41"/>
      <c r="IZ37" s="41"/>
      <c r="JA37" s="41"/>
      <c r="JB37" s="41"/>
      <c r="JC37" s="41"/>
      <c r="JD37" s="41"/>
      <c r="JE37" s="41" t="s">
        <v>114</v>
      </c>
      <c r="JF37" s="41"/>
      <c r="JG37" s="41"/>
      <c r="JH37" s="41"/>
      <c r="JI37" s="41"/>
      <c r="JJ37" s="41"/>
      <c r="JK37" s="41"/>
      <c r="JL37" s="41"/>
      <c r="JM37" s="41"/>
      <c r="JN37" s="41"/>
      <c r="JO37" s="41"/>
      <c r="JP37" s="41" t="s">
        <v>4</v>
      </c>
      <c r="JQ37" s="41"/>
      <c r="JR37" s="41"/>
      <c r="JS37" s="41">
        <v>-1263000</v>
      </c>
      <c r="JT37" s="41"/>
      <c r="JU37" s="41"/>
      <c r="JV37" s="41"/>
      <c r="JW37" s="41"/>
      <c r="JX37" s="41"/>
      <c r="JY37" s="41"/>
      <c r="JZ37" s="41">
        <v>-1440000</v>
      </c>
      <c r="KA37" s="41"/>
      <c r="KB37" s="41">
        <v>1400000</v>
      </c>
      <c r="KC37" s="41">
        <v>-3924422</v>
      </c>
      <c r="KD37" s="41"/>
    </row>
    <row r="38" spans="1:290">
      <c r="A38" s="7" t="s">
        <v>120</v>
      </c>
      <c r="B38" s="8" t="s">
        <v>56</v>
      </c>
      <c r="C38" s="19">
        <v>0</v>
      </c>
      <c r="D38" s="19">
        <v>0</v>
      </c>
      <c r="E38" s="19">
        <v>0</v>
      </c>
      <c r="F38" s="19">
        <v>0</v>
      </c>
      <c r="G38" s="19">
        <v>0</v>
      </c>
      <c r="H38" s="19">
        <v>0</v>
      </c>
      <c r="I38" s="19">
        <v>0</v>
      </c>
      <c r="J38" s="19" t="s">
        <v>4</v>
      </c>
      <c r="K38" s="19"/>
      <c r="L38" s="19" t="s">
        <v>130</v>
      </c>
      <c r="M38" s="19" t="s">
        <v>96</v>
      </c>
      <c r="N38" s="19">
        <v>0</v>
      </c>
      <c r="O38" s="19"/>
      <c r="P38" s="19"/>
      <c r="Q38" s="19"/>
      <c r="R38" s="19"/>
      <c r="S38" s="19"/>
      <c r="T38" s="19" t="s">
        <v>96</v>
      </c>
      <c r="U38" s="19"/>
      <c r="V38" s="19" t="s">
        <v>128</v>
      </c>
      <c r="W38" s="19"/>
      <c r="X38" s="19"/>
      <c r="Y38" s="19"/>
      <c r="Z38" s="19"/>
      <c r="AA38" s="19"/>
      <c r="AB38" s="19"/>
      <c r="AC38" s="19"/>
      <c r="AD38" s="19"/>
      <c r="AE38" s="19"/>
      <c r="AF38" s="19"/>
      <c r="AG38" s="19"/>
      <c r="AH38" s="19"/>
      <c r="AI38" s="19"/>
      <c r="AJ38" s="19"/>
      <c r="AK38" s="19" t="s">
        <v>89</v>
      </c>
      <c r="AL38" s="19"/>
      <c r="AM38" s="19" t="s">
        <v>4</v>
      </c>
      <c r="AN38" s="19"/>
      <c r="AO38" s="19"/>
      <c r="AP38" s="19"/>
      <c r="AQ38" s="19" t="s">
        <v>96</v>
      </c>
      <c r="AR38" s="19"/>
      <c r="AS38" s="19"/>
      <c r="AT38" s="19"/>
      <c r="AU38" s="19"/>
      <c r="AV38" s="19"/>
      <c r="AW38" s="19"/>
      <c r="AX38" s="19" t="s">
        <v>4</v>
      </c>
      <c r="AY38" s="19"/>
      <c r="AZ38" s="19"/>
      <c r="BA38" s="19"/>
      <c r="BB38" s="19"/>
      <c r="BC38" s="19" t="s">
        <v>4</v>
      </c>
      <c r="BD38" s="19" t="s">
        <v>128</v>
      </c>
      <c r="BE38" s="19"/>
      <c r="BF38" s="19"/>
      <c r="BG38" s="19"/>
      <c r="BH38" s="19"/>
      <c r="BI38" s="19"/>
      <c r="BJ38" s="19"/>
      <c r="BK38" s="19"/>
      <c r="BL38" s="19"/>
      <c r="BM38" s="19"/>
      <c r="BN38" s="19"/>
      <c r="BO38" s="19"/>
      <c r="BP38" s="19" t="s">
        <v>96</v>
      </c>
      <c r="BQ38" s="19" t="s">
        <v>4</v>
      </c>
      <c r="BR38" s="19"/>
      <c r="BS38" s="19"/>
      <c r="BT38" s="19"/>
      <c r="BU38" s="19"/>
      <c r="BV38" s="19"/>
      <c r="BW38" s="19"/>
      <c r="BX38" s="19"/>
      <c r="BY38" s="19"/>
      <c r="BZ38" s="19"/>
      <c r="CA38" s="19"/>
      <c r="CB38" s="19"/>
      <c r="CC38" s="19"/>
      <c r="CD38" s="19"/>
      <c r="CE38" s="19"/>
      <c r="CF38" s="19"/>
      <c r="CG38" s="19"/>
      <c r="CH38" s="19"/>
      <c r="CI38" s="19" t="s">
        <v>128</v>
      </c>
      <c r="CJ38" s="19" t="s">
        <v>89</v>
      </c>
      <c r="CK38" s="19"/>
      <c r="CL38" s="19"/>
      <c r="CM38" s="19"/>
      <c r="CN38" s="19"/>
      <c r="CO38" s="19"/>
      <c r="CP38" s="19"/>
      <c r="CQ38" s="19" t="s">
        <v>96</v>
      </c>
      <c r="CR38" s="19"/>
      <c r="CS38" s="19"/>
      <c r="CT38" s="19"/>
      <c r="CU38" s="19">
        <v>3025802</v>
      </c>
      <c r="CV38" s="19"/>
      <c r="CW38" s="19"/>
      <c r="CX38" s="19"/>
      <c r="CY38" s="19"/>
      <c r="CZ38" s="19"/>
      <c r="DA38" s="19"/>
      <c r="DB38" s="19"/>
      <c r="DC38" s="19"/>
      <c r="DD38" s="19"/>
      <c r="DE38" s="19" t="s">
        <v>89</v>
      </c>
      <c r="DF38" s="19"/>
      <c r="DG38" s="19"/>
      <c r="DH38" s="19"/>
      <c r="DI38" s="19" t="s">
        <v>128</v>
      </c>
      <c r="DJ38" s="19"/>
      <c r="DK38" s="19"/>
      <c r="DL38" s="19"/>
      <c r="DM38" s="19"/>
      <c r="DN38" s="19"/>
      <c r="DO38" s="19"/>
      <c r="DP38" s="19"/>
      <c r="DQ38" s="19"/>
      <c r="DR38" s="19"/>
      <c r="DS38" s="19"/>
      <c r="DT38" s="19"/>
      <c r="DU38" s="19"/>
      <c r="DV38" s="19"/>
      <c r="DW38" s="19"/>
      <c r="DX38" s="19"/>
      <c r="DY38" s="19"/>
      <c r="DZ38" s="19"/>
      <c r="EA38" s="19"/>
      <c r="EB38" s="19"/>
      <c r="EC38" s="19"/>
      <c r="ED38" s="19"/>
      <c r="EE38" s="19"/>
      <c r="EF38" s="19"/>
      <c r="EG38" s="19"/>
      <c r="EH38" s="19"/>
      <c r="EI38" s="19"/>
      <c r="EJ38" s="19"/>
      <c r="EK38" s="19"/>
      <c r="EL38" s="19"/>
      <c r="EM38" s="19"/>
      <c r="EN38" s="19"/>
      <c r="EO38" s="19"/>
      <c r="EP38" s="19"/>
      <c r="EQ38" s="19"/>
      <c r="ER38" s="19"/>
      <c r="ES38" s="19"/>
      <c r="ET38" s="19"/>
      <c r="EU38" s="19"/>
      <c r="EV38" s="19"/>
      <c r="EW38" s="19"/>
      <c r="EX38" s="19"/>
      <c r="EY38" s="19"/>
      <c r="EZ38" s="19"/>
      <c r="FA38" s="19"/>
      <c r="FB38" s="19"/>
      <c r="FC38" s="19"/>
      <c r="FD38" s="19"/>
      <c r="FE38" s="19"/>
      <c r="FF38" s="19"/>
      <c r="FG38" s="19">
        <v>0</v>
      </c>
      <c r="FH38" s="19"/>
      <c r="FI38" s="19"/>
      <c r="FJ38" s="19"/>
      <c r="FK38" s="19"/>
      <c r="FL38" s="19"/>
      <c r="FM38" s="19"/>
      <c r="FN38" s="19"/>
      <c r="FO38" s="19"/>
      <c r="FP38" s="19"/>
      <c r="FQ38" s="19"/>
      <c r="FR38" s="19"/>
      <c r="FS38" s="19"/>
      <c r="FT38" s="19"/>
      <c r="FU38" s="19"/>
      <c r="FV38" s="19"/>
      <c r="FW38" s="19"/>
      <c r="FX38" s="19"/>
      <c r="FY38" s="19"/>
      <c r="FZ38" s="19"/>
      <c r="GA38" s="19"/>
      <c r="GB38" s="19"/>
      <c r="GC38" s="19"/>
      <c r="GD38" s="19" t="s">
        <v>96</v>
      </c>
      <c r="GE38" s="19"/>
      <c r="GF38" s="19"/>
      <c r="GG38" s="19"/>
      <c r="GH38" s="19"/>
      <c r="GI38" s="19"/>
      <c r="GJ38" s="19"/>
      <c r="GK38" s="19"/>
      <c r="GL38" s="19"/>
      <c r="GM38" s="19"/>
      <c r="GN38" s="19"/>
      <c r="GO38" s="19"/>
      <c r="GP38" s="19"/>
      <c r="GQ38" s="19"/>
      <c r="GR38" s="19"/>
      <c r="GS38" s="19"/>
      <c r="GT38" s="19"/>
      <c r="GU38" s="19"/>
      <c r="GV38" s="19"/>
      <c r="GW38" s="19"/>
      <c r="GX38" s="19"/>
      <c r="GY38" s="19"/>
      <c r="GZ38" s="19"/>
      <c r="HA38" s="19"/>
      <c r="HB38" s="37"/>
      <c r="HC38" s="19"/>
      <c r="HD38" s="19"/>
      <c r="HE38" s="19"/>
      <c r="HF38" s="19"/>
      <c r="HG38" s="19"/>
      <c r="HH38" s="19"/>
      <c r="HI38" s="19"/>
      <c r="HJ38" s="19"/>
      <c r="HK38" s="19"/>
      <c r="HL38" s="19"/>
      <c r="HM38" s="19"/>
      <c r="HN38" s="19"/>
      <c r="HO38" s="19"/>
      <c r="HP38" s="19"/>
      <c r="HQ38" s="41"/>
      <c r="HR38" s="41"/>
      <c r="HS38" s="41"/>
      <c r="HT38" s="41"/>
      <c r="HU38" s="41"/>
      <c r="HV38" s="41"/>
      <c r="HW38" s="41">
        <v>-311301554</v>
      </c>
      <c r="HX38" s="41"/>
      <c r="HY38" s="41" t="s">
        <v>114</v>
      </c>
      <c r="HZ38" s="41"/>
      <c r="IA38" s="41"/>
      <c r="IB38" s="41"/>
      <c r="IC38" s="41"/>
      <c r="ID38" s="41"/>
      <c r="IE38" s="41" t="s">
        <v>4</v>
      </c>
      <c r="IF38" s="41"/>
      <c r="IG38" s="41"/>
      <c r="IH38" s="41"/>
      <c r="II38" s="41"/>
      <c r="IJ38" s="41"/>
      <c r="IK38" s="41"/>
      <c r="IL38" s="41"/>
      <c r="IM38" s="41"/>
      <c r="IN38" s="41"/>
      <c r="IO38" s="41"/>
      <c r="IP38" s="41"/>
      <c r="IQ38" s="41"/>
      <c r="IR38" s="41"/>
      <c r="IS38" s="41"/>
      <c r="IT38" s="41"/>
      <c r="IU38" s="41"/>
      <c r="IV38" s="41"/>
      <c r="IW38" s="41"/>
      <c r="IX38" s="41" t="s">
        <v>114</v>
      </c>
      <c r="IY38" s="41"/>
      <c r="IZ38" s="41">
        <v>804920014</v>
      </c>
      <c r="JA38" s="41"/>
      <c r="JB38" s="41"/>
      <c r="JC38" s="41"/>
      <c r="JD38" s="41"/>
      <c r="JE38" s="41" t="s">
        <v>114</v>
      </c>
      <c r="JF38" s="41"/>
      <c r="JG38" s="41"/>
      <c r="JH38" s="41"/>
      <c r="JI38" s="41"/>
      <c r="JJ38" s="41"/>
      <c r="JK38" s="41"/>
      <c r="JL38" s="41"/>
      <c r="JM38" s="41"/>
      <c r="JN38" s="41"/>
      <c r="JO38" s="41"/>
      <c r="JP38" s="41" t="s">
        <v>4</v>
      </c>
      <c r="JQ38" s="41"/>
      <c r="JR38" s="41"/>
      <c r="JS38" s="41"/>
      <c r="JT38" s="41"/>
      <c r="JU38" s="41"/>
      <c r="JV38" s="41"/>
      <c r="JW38" s="41"/>
      <c r="JX38" s="41"/>
      <c r="JY38" s="41"/>
      <c r="JZ38" s="41"/>
      <c r="KA38" s="41"/>
      <c r="KB38" s="41"/>
      <c r="KC38" s="41"/>
      <c r="KD38" s="41"/>
    </row>
    <row r="39" spans="1:290">
      <c r="A39" s="7" t="s">
        <v>120</v>
      </c>
      <c r="B39" s="8" t="s">
        <v>82</v>
      </c>
      <c r="C39" s="19">
        <v>304045806</v>
      </c>
      <c r="D39" s="19">
        <v>959415763</v>
      </c>
      <c r="E39" s="19">
        <v>421944878</v>
      </c>
      <c r="F39" s="19">
        <v>858548092</v>
      </c>
      <c r="G39" s="19">
        <v>-1325719</v>
      </c>
      <c r="H39" s="19">
        <v>169153598</v>
      </c>
      <c r="I39" s="19">
        <v>639799247</v>
      </c>
      <c r="J39" s="19" t="s">
        <v>4</v>
      </c>
      <c r="K39" s="19">
        <v>-47926103</v>
      </c>
      <c r="L39" s="19" t="s">
        <v>130</v>
      </c>
      <c r="M39" s="19" t="s">
        <v>96</v>
      </c>
      <c r="N39" s="19">
        <v>-32254147</v>
      </c>
      <c r="O39" s="19">
        <v>95359587</v>
      </c>
      <c r="P39" s="19">
        <v>328611670</v>
      </c>
      <c r="Q39" s="19">
        <v>60339133</v>
      </c>
      <c r="R39" s="19">
        <v>-45077372</v>
      </c>
      <c r="S39" s="19">
        <v>1532957162</v>
      </c>
      <c r="T39" s="19" t="s">
        <v>96</v>
      </c>
      <c r="U39" s="19">
        <v>281178861</v>
      </c>
      <c r="V39" s="19" t="s">
        <v>128</v>
      </c>
      <c r="W39" s="19">
        <v>-736273704</v>
      </c>
      <c r="X39" s="19">
        <v>2715470616</v>
      </c>
      <c r="Y39" s="19">
        <v>107727365</v>
      </c>
      <c r="Z39" s="19">
        <v>-105753058</v>
      </c>
      <c r="AA39" s="19">
        <v>1191879607</v>
      </c>
      <c r="AB39" s="19">
        <v>145221780</v>
      </c>
      <c r="AC39" s="19">
        <v>431255374</v>
      </c>
      <c r="AD39" s="19">
        <v>406937654</v>
      </c>
      <c r="AE39" s="19">
        <v>551805314</v>
      </c>
      <c r="AF39" s="19">
        <v>235346552</v>
      </c>
      <c r="AG39" s="19">
        <v>-3771551146</v>
      </c>
      <c r="AH39" s="19">
        <v>376433230</v>
      </c>
      <c r="AI39" s="19">
        <v>-406209174</v>
      </c>
      <c r="AJ39" s="19">
        <v>266482430</v>
      </c>
      <c r="AK39" s="19" t="s">
        <v>89</v>
      </c>
      <c r="AL39" s="19">
        <v>53207122</v>
      </c>
      <c r="AM39" s="19" t="s">
        <v>4</v>
      </c>
      <c r="AN39" s="19">
        <v>249000807</v>
      </c>
      <c r="AO39" s="19">
        <v>-2214558126</v>
      </c>
      <c r="AP39" s="19">
        <v>-633901774</v>
      </c>
      <c r="AQ39" s="19" t="s">
        <v>96</v>
      </c>
      <c r="AR39" s="19">
        <v>11609237</v>
      </c>
      <c r="AS39" s="19">
        <v>323931827</v>
      </c>
      <c r="AT39" s="19">
        <v>211193160</v>
      </c>
      <c r="AU39" s="19">
        <v>-752763261</v>
      </c>
      <c r="AV39" s="19">
        <v>184844520</v>
      </c>
      <c r="AW39" s="19">
        <v>73352103</v>
      </c>
      <c r="AX39" s="19" t="s">
        <v>4</v>
      </c>
      <c r="AY39" s="19">
        <v>7550938</v>
      </c>
      <c r="AZ39" s="19">
        <v>49056655</v>
      </c>
      <c r="BA39" s="19">
        <v>-456476131</v>
      </c>
      <c r="BB39" s="19">
        <v>-92357244</v>
      </c>
      <c r="BC39" s="19" t="s">
        <v>4</v>
      </c>
      <c r="BD39" s="19" t="s">
        <v>128</v>
      </c>
      <c r="BE39" s="19">
        <v>87668949</v>
      </c>
      <c r="BF39" s="19">
        <v>729982172</v>
      </c>
      <c r="BG39" s="19">
        <v>-1774641602</v>
      </c>
      <c r="BH39" s="19">
        <v>38283405</v>
      </c>
      <c r="BI39" s="19">
        <v>564099440</v>
      </c>
      <c r="BJ39" s="19">
        <v>159358843</v>
      </c>
      <c r="BK39" s="19">
        <v>23477489</v>
      </c>
      <c r="BL39" s="19">
        <v>92805159</v>
      </c>
      <c r="BM39" s="19">
        <v>345099046</v>
      </c>
      <c r="BN39" s="19">
        <v>264974469</v>
      </c>
      <c r="BO39" s="19">
        <v>9048732</v>
      </c>
      <c r="BP39" s="19" t="s">
        <v>96</v>
      </c>
      <c r="BQ39" s="19" t="s">
        <v>4</v>
      </c>
      <c r="BR39" s="19">
        <v>1457794215</v>
      </c>
      <c r="BS39" s="19">
        <v>-11441077</v>
      </c>
      <c r="BT39" s="19">
        <v>-51784761</v>
      </c>
      <c r="BU39" s="19">
        <v>-37998306</v>
      </c>
      <c r="BV39" s="19">
        <v>253261568</v>
      </c>
      <c r="BW39" s="19">
        <v>30205202</v>
      </c>
      <c r="BX39" s="19">
        <v>164400847</v>
      </c>
      <c r="BY39" s="19">
        <v>-1038480334</v>
      </c>
      <c r="BZ39" s="19">
        <v>1159524843</v>
      </c>
      <c r="CA39" s="19">
        <v>32455401</v>
      </c>
      <c r="CB39" s="19">
        <v>98800739</v>
      </c>
      <c r="CC39" s="19">
        <v>-23080943</v>
      </c>
      <c r="CD39" s="19">
        <v>263597371</v>
      </c>
      <c r="CE39" s="19">
        <v>238946136</v>
      </c>
      <c r="CF39" s="19">
        <v>-1731914182</v>
      </c>
      <c r="CG39" s="19">
        <v>173921364</v>
      </c>
      <c r="CH39" s="19">
        <v>243336605</v>
      </c>
      <c r="CI39" s="19" t="s">
        <v>128</v>
      </c>
      <c r="CJ39" s="19" t="s">
        <v>89</v>
      </c>
      <c r="CK39" s="19">
        <v>76309975</v>
      </c>
      <c r="CL39" s="19">
        <v>34438197</v>
      </c>
      <c r="CM39" s="19">
        <v>1905366969</v>
      </c>
      <c r="CN39" s="19">
        <v>45724205</v>
      </c>
      <c r="CO39" s="19">
        <v>90282224</v>
      </c>
      <c r="CP39" s="19">
        <v>28775319</v>
      </c>
      <c r="CQ39" s="19" t="s">
        <v>96</v>
      </c>
      <c r="CR39" s="19">
        <v>475294133</v>
      </c>
      <c r="CS39" s="19">
        <v>515244841</v>
      </c>
      <c r="CT39" s="19">
        <v>-4715215935</v>
      </c>
      <c r="CU39" s="19">
        <v>430593241</v>
      </c>
      <c r="CV39" s="19">
        <v>-245249256</v>
      </c>
      <c r="CW39" s="19">
        <v>494158949</v>
      </c>
      <c r="CX39" s="19">
        <v>-3771551146</v>
      </c>
      <c r="CY39" s="19">
        <v>1100657702</v>
      </c>
      <c r="CZ39" s="19">
        <v>164598923</v>
      </c>
      <c r="DA39" s="19">
        <v>139199659</v>
      </c>
      <c r="DB39" s="19">
        <v>456389945</v>
      </c>
      <c r="DC39" s="19">
        <v>-74295277</v>
      </c>
      <c r="DD39" s="19">
        <v>-15990479</v>
      </c>
      <c r="DE39" s="19" t="s">
        <v>89</v>
      </c>
      <c r="DF39" s="19">
        <v>-752771</v>
      </c>
      <c r="DG39" s="19">
        <v>89715558</v>
      </c>
      <c r="DH39" s="19">
        <v>-262905515</v>
      </c>
      <c r="DI39" s="19" t="s">
        <v>128</v>
      </c>
      <c r="DJ39" s="19">
        <v>106657879</v>
      </c>
      <c r="DK39" s="19">
        <v>723944560</v>
      </c>
      <c r="DL39" s="19">
        <v>-24030252</v>
      </c>
      <c r="DM39" s="19">
        <v>31309468</v>
      </c>
      <c r="DN39" s="19">
        <v>-61260747</v>
      </c>
      <c r="DO39" s="19">
        <v>43013135</v>
      </c>
      <c r="DP39" s="19">
        <v>505329199</v>
      </c>
      <c r="DQ39" s="19">
        <v>68641990</v>
      </c>
      <c r="DR39" s="19">
        <v>-226115279</v>
      </c>
      <c r="DS39" s="19">
        <v>36494599</v>
      </c>
      <c r="DT39" s="19">
        <v>653277604</v>
      </c>
      <c r="DU39" s="19">
        <v>106684802</v>
      </c>
      <c r="DV39" s="19"/>
      <c r="DW39" s="19">
        <v>685101942</v>
      </c>
      <c r="DX39" s="19">
        <v>1186780007</v>
      </c>
      <c r="DY39" s="19">
        <v>98764202</v>
      </c>
      <c r="DZ39" s="19">
        <v>413485419</v>
      </c>
      <c r="EA39" s="19">
        <v>136373932</v>
      </c>
      <c r="EB39" s="19">
        <v>430831049</v>
      </c>
      <c r="EC39" s="19">
        <v>653070</v>
      </c>
      <c r="ED39" s="19">
        <v>-9362843</v>
      </c>
      <c r="EE39" s="19">
        <v>63043925</v>
      </c>
      <c r="EF39" s="19">
        <v>719237783</v>
      </c>
      <c r="EG39" s="19">
        <v>-10214678201</v>
      </c>
      <c r="EH39" s="19">
        <v>-53854360</v>
      </c>
      <c r="EI39" s="19">
        <v>-564163740</v>
      </c>
      <c r="EJ39" s="19">
        <v>74624346</v>
      </c>
      <c r="EK39" s="19">
        <v>-533529100</v>
      </c>
      <c r="EL39" s="19">
        <v>864871684</v>
      </c>
      <c r="EM39" s="19">
        <v>683544639</v>
      </c>
      <c r="EN39" s="19">
        <v>1308632204</v>
      </c>
      <c r="EO39" s="19">
        <v>250613926</v>
      </c>
      <c r="EP39" s="19">
        <v>-65777930</v>
      </c>
      <c r="EQ39" s="19">
        <v>726611153</v>
      </c>
      <c r="ER39" s="19">
        <v>-306102022</v>
      </c>
      <c r="ES39" s="19">
        <v>-359136387</v>
      </c>
      <c r="ET39" s="19">
        <v>-414474725</v>
      </c>
      <c r="EU39" s="19">
        <v>-989442691</v>
      </c>
      <c r="EV39" s="19">
        <v>24950822</v>
      </c>
      <c r="EW39" s="19">
        <v>-69699513</v>
      </c>
      <c r="EX39" s="19">
        <v>781426477</v>
      </c>
      <c r="EY39" s="19">
        <v>1530117476</v>
      </c>
      <c r="EZ39" s="19">
        <v>-256313051</v>
      </c>
      <c r="FA39" s="19">
        <v>74944203</v>
      </c>
      <c r="FB39" s="19">
        <v>-21721229</v>
      </c>
      <c r="FC39" s="19">
        <v>-6369155</v>
      </c>
      <c r="FD39" s="19">
        <v>102474275</v>
      </c>
      <c r="FE39" s="19">
        <v>687948777</v>
      </c>
      <c r="FF39" s="19">
        <v>49521865</v>
      </c>
      <c r="FG39" s="19">
        <v>346837802</v>
      </c>
      <c r="FH39" s="19">
        <v>31818366</v>
      </c>
      <c r="FI39" s="19">
        <v>-7424650</v>
      </c>
      <c r="FJ39" s="19">
        <v>123322845</v>
      </c>
      <c r="FK39" s="19">
        <v>-29961216</v>
      </c>
      <c r="FL39" s="19">
        <v>-175238508</v>
      </c>
      <c r="FM39" s="19">
        <v>-59078113</v>
      </c>
      <c r="FN39" s="19">
        <v>-929567460</v>
      </c>
      <c r="FO39" s="19">
        <v>-18824673</v>
      </c>
      <c r="FP39" s="19">
        <v>12257950</v>
      </c>
      <c r="FQ39" s="19">
        <v>-88644250</v>
      </c>
      <c r="FR39" s="19">
        <v>-17460791</v>
      </c>
      <c r="FS39" s="19">
        <v>-11746015</v>
      </c>
      <c r="FT39" s="19">
        <v>855116658</v>
      </c>
      <c r="FU39" s="19">
        <v>3123842</v>
      </c>
      <c r="FV39" s="19">
        <v>135162212</v>
      </c>
      <c r="FW39" s="19">
        <v>-381794</v>
      </c>
      <c r="FX39" s="19">
        <v>-313996557</v>
      </c>
      <c r="FY39" s="19">
        <v>-1370438393</v>
      </c>
      <c r="FZ39" s="19">
        <v>-532956002</v>
      </c>
      <c r="GA39" s="19">
        <v>161092418</v>
      </c>
      <c r="GB39" s="19">
        <v>-117061239</v>
      </c>
      <c r="GC39" s="19">
        <v>98605230</v>
      </c>
      <c r="GD39" s="19" t="s">
        <v>96</v>
      </c>
      <c r="GE39" s="19">
        <v>-178897408</v>
      </c>
      <c r="GF39" s="19">
        <v>20785457</v>
      </c>
      <c r="GG39" s="19">
        <v>-546698069</v>
      </c>
      <c r="GH39" s="19">
        <v>-335621622</v>
      </c>
      <c r="GI39" s="19">
        <v>-10292387</v>
      </c>
      <c r="GJ39" s="19">
        <v>66567450</v>
      </c>
      <c r="GK39" s="19">
        <v>-139382977</v>
      </c>
      <c r="GL39" s="19">
        <v>9278096</v>
      </c>
      <c r="GM39" s="19">
        <v>-35926649</v>
      </c>
      <c r="GN39" s="19">
        <v>23885845</v>
      </c>
      <c r="GO39" s="19">
        <v>-2959670336</v>
      </c>
      <c r="GP39" s="19">
        <v>1154789557</v>
      </c>
      <c r="GQ39" s="19">
        <v>31856984</v>
      </c>
      <c r="GR39" s="19">
        <v>350370532</v>
      </c>
      <c r="GS39" s="19">
        <v>-24266360</v>
      </c>
      <c r="GT39" s="19">
        <v>-290539842</v>
      </c>
      <c r="GU39" s="19">
        <v>-32859107</v>
      </c>
      <c r="GV39" s="19">
        <v>919046029</v>
      </c>
      <c r="GW39" s="19">
        <v>-1963435869</v>
      </c>
      <c r="GX39" s="19">
        <v>53404309</v>
      </c>
      <c r="GY39" s="19">
        <v>-1998163731</v>
      </c>
      <c r="GZ39" s="19">
        <v>475990882</v>
      </c>
      <c r="HA39" s="19">
        <v>-1679349047</v>
      </c>
      <c r="HB39" s="37">
        <v>-6256454</v>
      </c>
      <c r="HC39" s="19">
        <v>-558988360</v>
      </c>
      <c r="HD39" s="19">
        <v>3644224</v>
      </c>
      <c r="HE39" s="19">
        <v>-397565765</v>
      </c>
      <c r="HF39" s="19">
        <v>474901720</v>
      </c>
      <c r="HG39" s="19">
        <v>107981783</v>
      </c>
      <c r="HH39" s="19">
        <v>-38693950</v>
      </c>
      <c r="HI39" s="19">
        <v>-612615768</v>
      </c>
      <c r="HJ39" s="19">
        <v>250285139</v>
      </c>
      <c r="HK39" s="19">
        <v>-1938625597</v>
      </c>
      <c r="HL39" s="19">
        <v>518102109</v>
      </c>
      <c r="HM39" s="19">
        <v>44340461</v>
      </c>
      <c r="HN39" s="19">
        <v>-182950461</v>
      </c>
      <c r="HO39" s="19">
        <v>393500644</v>
      </c>
      <c r="HP39" s="19">
        <v>64790764</v>
      </c>
      <c r="HQ39" s="41">
        <v>-37207613</v>
      </c>
      <c r="HR39" s="41">
        <v>-3961939</v>
      </c>
      <c r="HS39" s="41">
        <v>75077222</v>
      </c>
      <c r="HT39" s="41">
        <v>-115464869</v>
      </c>
      <c r="HU39" s="41">
        <v>-1807146745</v>
      </c>
      <c r="HV39" s="41">
        <v>-11710238</v>
      </c>
      <c r="HW39" s="41">
        <v>-55917451757</v>
      </c>
      <c r="HX39" s="41">
        <v>160792286</v>
      </c>
      <c r="HY39" s="41" t="s">
        <v>114</v>
      </c>
      <c r="HZ39" s="41">
        <v>840168443</v>
      </c>
      <c r="IA39" s="41">
        <v>55112938</v>
      </c>
      <c r="IB39" s="41">
        <v>-81794134</v>
      </c>
      <c r="IC39" s="41">
        <v>66691648</v>
      </c>
      <c r="ID39" s="41">
        <v>45927342</v>
      </c>
      <c r="IE39" s="41" t="s">
        <v>4</v>
      </c>
      <c r="IF39" s="41">
        <v>39921922</v>
      </c>
      <c r="IG39" s="41">
        <v>-13464265</v>
      </c>
      <c r="IH39" s="41">
        <v>74148274</v>
      </c>
      <c r="II39" s="41">
        <v>-66457684</v>
      </c>
      <c r="IJ39" s="41">
        <v>-210317976</v>
      </c>
      <c r="IK39" s="41">
        <v>7113623</v>
      </c>
      <c r="IL39" s="41">
        <v>-1152185</v>
      </c>
      <c r="IM39" s="41">
        <v>33176081</v>
      </c>
      <c r="IN39" s="41">
        <v>24294966</v>
      </c>
      <c r="IO39" s="41">
        <v>-141728963</v>
      </c>
      <c r="IP39" s="41">
        <v>93437425</v>
      </c>
      <c r="IQ39" s="41">
        <v>408437153</v>
      </c>
      <c r="IR39" s="41">
        <v>304617848</v>
      </c>
      <c r="IS39" s="41">
        <v>276720038</v>
      </c>
      <c r="IT39" s="41">
        <v>-15031510</v>
      </c>
      <c r="IU39" s="41">
        <v>-280564283</v>
      </c>
      <c r="IV39" s="41">
        <v>37764396</v>
      </c>
      <c r="IW39" s="41">
        <v>18994287</v>
      </c>
      <c r="IX39" s="41" t="s">
        <v>114</v>
      </c>
      <c r="IY39" s="41">
        <v>3701780</v>
      </c>
      <c r="IZ39" s="41">
        <v>225878858</v>
      </c>
      <c r="JA39" s="41">
        <v>-77124630</v>
      </c>
      <c r="JB39" s="41">
        <v>-25546977</v>
      </c>
      <c r="JC39" s="41">
        <v>150275075</v>
      </c>
      <c r="JD39" s="41">
        <v>121528815</v>
      </c>
      <c r="JE39" s="41" t="s">
        <v>114</v>
      </c>
      <c r="JF39" s="41">
        <v>66615342</v>
      </c>
      <c r="JG39" s="41">
        <v>-1000601426</v>
      </c>
      <c r="JH39" s="41">
        <v>49585191</v>
      </c>
      <c r="JI39" s="41">
        <v>109786532</v>
      </c>
      <c r="JJ39" s="41">
        <v>762850057</v>
      </c>
      <c r="JK39" s="41">
        <v>641784174</v>
      </c>
      <c r="JL39" s="41">
        <v>271458490</v>
      </c>
      <c r="JM39" s="41">
        <v>-14540018</v>
      </c>
      <c r="JN39" s="41"/>
      <c r="JO39" s="41">
        <v>33493990</v>
      </c>
      <c r="JP39" s="41" t="s">
        <v>4</v>
      </c>
      <c r="JQ39" s="41">
        <v>-655621537</v>
      </c>
      <c r="JR39" s="41">
        <v>162219253</v>
      </c>
      <c r="JS39" s="41">
        <v>-19082108</v>
      </c>
      <c r="JT39" s="41">
        <v>64296727</v>
      </c>
      <c r="JU39" s="41">
        <v>48040466</v>
      </c>
      <c r="JV39" s="41">
        <v>21848232</v>
      </c>
      <c r="JW39" s="41">
        <v>-91895303</v>
      </c>
      <c r="JX39" s="41">
        <v>-131121368</v>
      </c>
      <c r="JY39" s="41">
        <v>-483047</v>
      </c>
      <c r="JZ39" s="41">
        <v>-20085119</v>
      </c>
      <c r="KA39" s="41">
        <v>165128249</v>
      </c>
      <c r="KB39" s="41">
        <v>-23496511</v>
      </c>
      <c r="KC39" s="41">
        <v>217955818</v>
      </c>
      <c r="KD39" s="41">
        <v>-2150467701</v>
      </c>
    </row>
    <row r="40" spans="1:290">
      <c r="A40" s="9" t="s">
        <v>122</v>
      </c>
      <c r="B40" s="10" t="s">
        <v>85</v>
      </c>
      <c r="C40" s="19">
        <v>1815349025</v>
      </c>
      <c r="D40" s="19">
        <v>3375460512</v>
      </c>
      <c r="E40" s="19">
        <v>1114298794</v>
      </c>
      <c r="F40" s="19">
        <v>1053706785</v>
      </c>
      <c r="G40" s="19">
        <v>304538163</v>
      </c>
      <c r="H40" s="19">
        <v>7640505000</v>
      </c>
      <c r="I40" s="19">
        <v>8519359770</v>
      </c>
      <c r="J40" s="19" t="s">
        <v>4</v>
      </c>
      <c r="K40" s="19">
        <v>2843439916</v>
      </c>
      <c r="L40" s="19" t="s">
        <v>130</v>
      </c>
      <c r="M40" s="19" t="s">
        <v>96</v>
      </c>
      <c r="N40" s="19">
        <v>647959670</v>
      </c>
      <c r="O40" s="19">
        <v>5589261966</v>
      </c>
      <c r="P40" s="19">
        <v>5426029243</v>
      </c>
      <c r="Q40" s="19">
        <v>194931143</v>
      </c>
      <c r="R40" s="19">
        <v>334543361</v>
      </c>
      <c r="S40" s="19">
        <v>12650464234</v>
      </c>
      <c r="T40" s="19" t="s">
        <v>96</v>
      </c>
      <c r="U40" s="19">
        <v>1630025757</v>
      </c>
      <c r="V40" s="19" t="s">
        <v>128</v>
      </c>
      <c r="W40" s="19">
        <v>890289417</v>
      </c>
      <c r="X40" s="19">
        <v>2293793879</v>
      </c>
      <c r="Y40" s="19">
        <v>973214524</v>
      </c>
      <c r="Z40" s="19">
        <v>1707377934</v>
      </c>
      <c r="AA40" s="19">
        <v>3620041140</v>
      </c>
      <c r="AB40" s="19">
        <v>526866586</v>
      </c>
      <c r="AC40" s="19">
        <v>1618782114</v>
      </c>
      <c r="AD40" s="19">
        <v>2645483685</v>
      </c>
      <c r="AE40" s="19">
        <v>708042031</v>
      </c>
      <c r="AF40" s="19">
        <v>262469567</v>
      </c>
      <c r="AG40" s="19">
        <v>1181891195</v>
      </c>
      <c r="AH40" s="19">
        <v>1920560228</v>
      </c>
      <c r="AI40" s="19">
        <v>2430956400</v>
      </c>
      <c r="AJ40" s="19">
        <v>1145491267</v>
      </c>
      <c r="AK40" s="19" t="s">
        <v>89</v>
      </c>
      <c r="AL40" s="19">
        <v>1487602223</v>
      </c>
      <c r="AM40" s="19" t="s">
        <v>4</v>
      </c>
      <c r="AN40" s="19">
        <v>785621476</v>
      </c>
      <c r="AO40" s="19">
        <v>1501158485</v>
      </c>
      <c r="AP40" s="19">
        <v>446073080</v>
      </c>
      <c r="AQ40" s="19" t="s">
        <v>96</v>
      </c>
      <c r="AR40" s="19">
        <v>462028725</v>
      </c>
      <c r="AS40" s="19">
        <v>1500683323</v>
      </c>
      <c r="AT40" s="19">
        <v>1799281398</v>
      </c>
      <c r="AU40" s="19">
        <v>799620138</v>
      </c>
      <c r="AV40" s="19">
        <v>205709529</v>
      </c>
      <c r="AW40" s="19">
        <v>551150818</v>
      </c>
      <c r="AX40" s="19" t="s">
        <v>4</v>
      </c>
      <c r="AY40" s="19">
        <v>420282923</v>
      </c>
      <c r="AZ40" s="19">
        <v>916724504</v>
      </c>
      <c r="BA40" s="19">
        <v>8979957173</v>
      </c>
      <c r="BB40" s="19">
        <v>76265465</v>
      </c>
      <c r="BC40" s="19" t="s">
        <v>4</v>
      </c>
      <c r="BD40" s="19" t="s">
        <v>128</v>
      </c>
      <c r="BE40" s="19">
        <v>1053043439</v>
      </c>
      <c r="BF40" s="19">
        <v>1562642810</v>
      </c>
      <c r="BG40" s="19">
        <v>3183703520</v>
      </c>
      <c r="BH40" s="19">
        <v>522485015</v>
      </c>
      <c r="BI40" s="19">
        <v>659751181</v>
      </c>
      <c r="BJ40" s="19">
        <v>640993589</v>
      </c>
      <c r="BK40" s="19">
        <v>921726748</v>
      </c>
      <c r="BL40" s="19">
        <v>922180679</v>
      </c>
      <c r="BM40" s="19">
        <v>864607745</v>
      </c>
      <c r="BN40" s="19">
        <v>628100395</v>
      </c>
      <c r="BO40" s="19">
        <v>746602265</v>
      </c>
      <c r="BP40" s="19" t="s">
        <v>96</v>
      </c>
      <c r="BQ40" s="19" t="s">
        <v>4</v>
      </c>
      <c r="BR40" s="19">
        <v>2220663220</v>
      </c>
      <c r="BS40" s="19">
        <v>215097702</v>
      </c>
      <c r="BT40" s="19">
        <v>154330811</v>
      </c>
      <c r="BU40" s="19">
        <v>353063656</v>
      </c>
      <c r="BV40" s="19">
        <v>327086848</v>
      </c>
      <c r="BW40" s="19">
        <v>700722926</v>
      </c>
      <c r="BX40" s="19">
        <v>696096427</v>
      </c>
      <c r="BY40" s="19">
        <v>6854146157</v>
      </c>
      <c r="BZ40" s="19">
        <v>1635667788</v>
      </c>
      <c r="CA40" s="19">
        <v>1291827238</v>
      </c>
      <c r="CB40" s="19">
        <v>504089296</v>
      </c>
      <c r="CC40" s="19">
        <v>1457078090</v>
      </c>
      <c r="CD40" s="19">
        <v>1883179825</v>
      </c>
      <c r="CE40" s="19">
        <v>372762161</v>
      </c>
      <c r="CF40" s="19">
        <v>550941256</v>
      </c>
      <c r="CG40" s="19">
        <v>832168350</v>
      </c>
      <c r="CH40" s="19">
        <v>403224428</v>
      </c>
      <c r="CI40" s="19" t="s">
        <v>128</v>
      </c>
      <c r="CJ40" s="19" t="s">
        <v>89</v>
      </c>
      <c r="CK40" s="19">
        <v>3551091655</v>
      </c>
      <c r="CL40" s="19">
        <v>542458269</v>
      </c>
      <c r="CM40" s="19">
        <v>7877003613</v>
      </c>
      <c r="CN40" s="19">
        <v>317375054</v>
      </c>
      <c r="CO40" s="19">
        <v>164247980</v>
      </c>
      <c r="CP40" s="19">
        <v>3232695430</v>
      </c>
      <c r="CQ40" s="19" t="s">
        <v>96</v>
      </c>
      <c r="CR40" s="19">
        <v>2281924178</v>
      </c>
      <c r="CS40" s="19">
        <v>904814600</v>
      </c>
      <c r="CT40" s="19">
        <v>801738064</v>
      </c>
      <c r="CU40" s="19">
        <v>684817073</v>
      </c>
      <c r="CV40" s="19">
        <v>141154052</v>
      </c>
      <c r="CW40" s="19">
        <v>2231092775</v>
      </c>
      <c r="CX40" s="19">
        <v>1181891195</v>
      </c>
      <c r="CY40" s="19">
        <v>19299719863</v>
      </c>
      <c r="CZ40" s="19">
        <v>990109519</v>
      </c>
      <c r="DA40" s="19">
        <v>658192970</v>
      </c>
      <c r="DB40" s="19">
        <v>583018206</v>
      </c>
      <c r="DC40" s="19">
        <v>111086982</v>
      </c>
      <c r="DD40" s="19">
        <v>201141483</v>
      </c>
      <c r="DE40" s="19" t="s">
        <v>89</v>
      </c>
      <c r="DF40" s="19">
        <v>121571929</v>
      </c>
      <c r="DG40" s="19">
        <v>1498028247</v>
      </c>
      <c r="DH40" s="19">
        <v>968491822</v>
      </c>
      <c r="DI40" s="19" t="s">
        <v>128</v>
      </c>
      <c r="DJ40" s="19">
        <v>411798448</v>
      </c>
      <c r="DK40" s="19">
        <v>11125045693</v>
      </c>
      <c r="DL40" s="19">
        <v>530315107</v>
      </c>
      <c r="DM40" s="19">
        <v>2568760664</v>
      </c>
      <c r="DN40" s="19">
        <v>791014154</v>
      </c>
      <c r="DO40" s="19">
        <v>197226979</v>
      </c>
      <c r="DP40" s="19">
        <v>2155388740</v>
      </c>
      <c r="DQ40" s="19">
        <v>281540177</v>
      </c>
      <c r="DR40" s="19">
        <v>834657462</v>
      </c>
      <c r="DS40" s="19">
        <v>727346626</v>
      </c>
      <c r="DT40" s="19">
        <v>1243233895</v>
      </c>
      <c r="DU40" s="19">
        <v>375035918</v>
      </c>
      <c r="DV40" s="19">
        <f>DV43+DV44</f>
        <v>1553191360</v>
      </c>
      <c r="DW40" s="19">
        <v>2064314036</v>
      </c>
      <c r="DX40" s="19">
        <v>4931732224</v>
      </c>
      <c r="DY40" s="19">
        <v>869523896</v>
      </c>
      <c r="DZ40" s="19">
        <v>2092253663</v>
      </c>
      <c r="EA40" s="19">
        <v>146816189</v>
      </c>
      <c r="EB40" s="19">
        <v>6515733682</v>
      </c>
      <c r="EC40" s="19">
        <v>782616364</v>
      </c>
      <c r="ED40" s="19">
        <v>127522247</v>
      </c>
      <c r="EE40" s="19">
        <v>553560198</v>
      </c>
      <c r="EF40" s="19">
        <v>846731837</v>
      </c>
      <c r="EG40" s="19">
        <v>571773814</v>
      </c>
      <c r="EH40" s="19">
        <v>380243571</v>
      </c>
      <c r="EI40" s="19">
        <v>3777202835</v>
      </c>
      <c r="EJ40" s="19">
        <v>180294545</v>
      </c>
      <c r="EK40" s="19">
        <v>588939230</v>
      </c>
      <c r="EL40" s="19">
        <v>4665616553</v>
      </c>
      <c r="EM40" s="19">
        <v>985036711</v>
      </c>
      <c r="EN40" s="19">
        <v>6738984545</v>
      </c>
      <c r="EO40" s="19">
        <v>2274420701</v>
      </c>
      <c r="EP40" s="19">
        <v>289749073</v>
      </c>
      <c r="EQ40" s="19">
        <v>4679390300</v>
      </c>
      <c r="ER40" s="19">
        <v>6160548750</v>
      </c>
      <c r="ES40" s="19">
        <v>1198587799</v>
      </c>
      <c r="ET40" s="19">
        <v>187914556</v>
      </c>
      <c r="EU40" s="19">
        <v>1100570429</v>
      </c>
      <c r="EV40" s="19">
        <v>324569060</v>
      </c>
      <c r="EW40" s="19">
        <v>604583860</v>
      </c>
      <c r="EX40" s="19">
        <v>2187091742</v>
      </c>
      <c r="EY40" s="19">
        <v>5252249094</v>
      </c>
      <c r="EZ40" s="19">
        <v>563334454</v>
      </c>
      <c r="FA40" s="19">
        <v>1049676443</v>
      </c>
      <c r="FB40" s="19">
        <v>1147864201</v>
      </c>
      <c r="FC40" s="19">
        <v>2001042331</v>
      </c>
      <c r="FD40" s="19">
        <v>376704403</v>
      </c>
      <c r="FE40" s="19">
        <v>22205749121</v>
      </c>
      <c r="FF40" s="19">
        <v>259904585</v>
      </c>
      <c r="FG40" s="19"/>
      <c r="FH40" s="19">
        <v>333462230</v>
      </c>
      <c r="FI40" s="19">
        <v>423943662</v>
      </c>
      <c r="FJ40" s="19">
        <v>384454892</v>
      </c>
      <c r="FK40" s="19">
        <v>2148677281</v>
      </c>
      <c r="FL40" s="19">
        <v>113924140</v>
      </c>
      <c r="FM40" s="19">
        <v>200417411</v>
      </c>
      <c r="FN40" s="19">
        <v>104556500</v>
      </c>
      <c r="FO40" s="19">
        <v>64938177</v>
      </c>
      <c r="FP40" s="19">
        <v>126177662</v>
      </c>
      <c r="FQ40" s="19">
        <v>26108546</v>
      </c>
      <c r="FR40" s="19">
        <v>193423753</v>
      </c>
      <c r="FS40" s="19">
        <v>136271492</v>
      </c>
      <c r="FT40" s="19">
        <v>2969030056</v>
      </c>
      <c r="FU40" s="19">
        <v>33700000</v>
      </c>
      <c r="FV40" s="19">
        <v>2272124679</v>
      </c>
      <c r="FW40" s="19">
        <v>210514723</v>
      </c>
      <c r="FX40" s="19">
        <v>15222587</v>
      </c>
      <c r="FY40" s="19">
        <v>2393537607</v>
      </c>
      <c r="FZ40" s="19">
        <v>50078089</v>
      </c>
      <c r="GA40" s="19">
        <v>695463142</v>
      </c>
      <c r="GB40" s="19">
        <v>4698636</v>
      </c>
      <c r="GC40" s="19">
        <v>195801893</v>
      </c>
      <c r="GD40" s="19" t="s">
        <v>96</v>
      </c>
      <c r="GE40" s="19">
        <v>395923029</v>
      </c>
      <c r="GF40" s="19">
        <v>300635979</v>
      </c>
      <c r="GG40" s="19">
        <v>422263672</v>
      </c>
      <c r="GH40" s="19">
        <v>129946137</v>
      </c>
      <c r="GI40" s="19">
        <v>161964619</v>
      </c>
      <c r="GJ40" s="19">
        <v>1166571370</v>
      </c>
      <c r="GK40" s="19">
        <v>91021261</v>
      </c>
      <c r="GL40" s="19">
        <v>369565986</v>
      </c>
      <c r="GM40" s="19">
        <v>181517729</v>
      </c>
      <c r="GN40" s="19">
        <v>837234261</v>
      </c>
      <c r="GO40" s="19">
        <v>442163162</v>
      </c>
      <c r="GP40" s="19">
        <v>6904162266</v>
      </c>
      <c r="GQ40" s="19">
        <v>341723792</v>
      </c>
      <c r="GR40" s="19">
        <v>766747814</v>
      </c>
      <c r="GS40" s="19">
        <v>142410067</v>
      </c>
      <c r="GT40" s="19">
        <v>888230198</v>
      </c>
      <c r="GU40" s="19">
        <v>156343600</v>
      </c>
      <c r="GV40" s="19">
        <v>4592609168</v>
      </c>
      <c r="GW40" s="19">
        <v>1388668446</v>
      </c>
      <c r="GX40" s="19">
        <v>1974559043</v>
      </c>
      <c r="GY40" s="19">
        <v>86083723</v>
      </c>
      <c r="GZ40" s="19">
        <v>1091654650</v>
      </c>
      <c r="HA40" s="19">
        <v>846910552</v>
      </c>
      <c r="HB40" s="37">
        <v>346648293</v>
      </c>
      <c r="HC40" s="19">
        <v>126166417</v>
      </c>
      <c r="HD40" s="19">
        <v>195319014</v>
      </c>
      <c r="HE40" s="19">
        <v>334587651</v>
      </c>
      <c r="HF40" s="19">
        <v>5457124960</v>
      </c>
      <c r="HG40" s="19">
        <v>155869163</v>
      </c>
      <c r="HH40" s="19">
        <v>253010604</v>
      </c>
      <c r="HI40" s="19">
        <v>370144546</v>
      </c>
      <c r="HJ40" s="19">
        <v>1117135949</v>
      </c>
      <c r="HK40" s="19">
        <v>2711958286</v>
      </c>
      <c r="HL40" s="19">
        <v>1130766786</v>
      </c>
      <c r="HM40" s="19">
        <v>831292445</v>
      </c>
      <c r="HN40" s="19">
        <v>71983741</v>
      </c>
      <c r="HO40" s="19">
        <v>1455097689</v>
      </c>
      <c r="HP40" s="19">
        <v>1251442561</v>
      </c>
      <c r="HQ40" s="41">
        <v>469379008</v>
      </c>
      <c r="HR40" s="41">
        <v>5808851668</v>
      </c>
      <c r="HS40" s="41">
        <v>391216485</v>
      </c>
      <c r="HT40" s="41">
        <v>305737610</v>
      </c>
      <c r="HU40" s="41">
        <v>11308265</v>
      </c>
      <c r="HV40" s="41">
        <v>180469459</v>
      </c>
      <c r="HW40" s="41">
        <v>3372534602</v>
      </c>
      <c r="HX40" s="41">
        <v>1792515391</v>
      </c>
      <c r="HY40" s="41" t="s">
        <v>114</v>
      </c>
      <c r="HZ40" s="41">
        <v>1519247384</v>
      </c>
      <c r="IA40" s="41">
        <v>170441647</v>
      </c>
      <c r="IB40" s="41">
        <v>171287074</v>
      </c>
      <c r="IC40" s="41">
        <v>735020043</v>
      </c>
      <c r="ID40" s="41">
        <v>562137753</v>
      </c>
      <c r="IE40" s="41" t="s">
        <v>4</v>
      </c>
      <c r="IF40" s="41">
        <v>325924134</v>
      </c>
      <c r="IG40" s="41">
        <v>104923336</v>
      </c>
      <c r="IH40" s="41">
        <v>896669715</v>
      </c>
      <c r="II40" s="41">
        <v>171079354</v>
      </c>
      <c r="IJ40" s="41">
        <v>981939455</v>
      </c>
      <c r="IK40" s="41">
        <v>342707477</v>
      </c>
      <c r="IL40" s="41">
        <v>195924812</v>
      </c>
      <c r="IM40" s="41">
        <v>95505873</v>
      </c>
      <c r="IN40" s="41">
        <v>31610909</v>
      </c>
      <c r="IO40" s="41">
        <v>175659020</v>
      </c>
      <c r="IP40" s="41">
        <v>1307975747</v>
      </c>
      <c r="IQ40" s="41">
        <v>4540196818</v>
      </c>
      <c r="IR40" s="41">
        <v>2995029739</v>
      </c>
      <c r="IS40" s="41">
        <v>2033486653</v>
      </c>
      <c r="IT40" s="41">
        <v>538475735</v>
      </c>
      <c r="IU40" s="41">
        <v>252580989</v>
      </c>
      <c r="IV40" s="41">
        <v>677690234</v>
      </c>
      <c r="IW40" s="41">
        <v>334029414</v>
      </c>
      <c r="IX40" s="41" t="s">
        <v>114</v>
      </c>
      <c r="IY40" s="41">
        <v>67941793</v>
      </c>
      <c r="IZ40" s="41">
        <v>1612961378</v>
      </c>
      <c r="JA40" s="41">
        <v>73366998</v>
      </c>
      <c r="JB40" s="41">
        <v>119405776</v>
      </c>
      <c r="JC40" s="41">
        <v>1457190254</v>
      </c>
      <c r="JD40" s="41">
        <v>616105055</v>
      </c>
      <c r="JE40" s="41" t="s">
        <v>114</v>
      </c>
      <c r="JF40" s="41">
        <v>272771354</v>
      </c>
      <c r="JG40" s="41">
        <v>1212480116</v>
      </c>
      <c r="JH40" s="41">
        <v>222535725</v>
      </c>
      <c r="JI40" s="41">
        <v>276738637</v>
      </c>
      <c r="JJ40" s="41">
        <v>2700596821</v>
      </c>
      <c r="JK40" s="41">
        <v>1029666853</v>
      </c>
      <c r="JL40" s="41">
        <v>546365984</v>
      </c>
      <c r="JM40" s="41">
        <v>136579677</v>
      </c>
      <c r="JN40" s="41">
        <v>1739310628</v>
      </c>
      <c r="JO40" s="41">
        <v>511355257</v>
      </c>
      <c r="JP40" s="41" t="s">
        <v>4</v>
      </c>
      <c r="JQ40" s="41">
        <v>159045455</v>
      </c>
      <c r="JR40" s="41">
        <v>322233701</v>
      </c>
      <c r="JS40" s="41">
        <v>132574760</v>
      </c>
      <c r="JT40" s="41">
        <v>514920396</v>
      </c>
      <c r="JU40" s="41">
        <v>259671154</v>
      </c>
      <c r="JV40" s="41">
        <v>460693545</v>
      </c>
      <c r="JW40" s="41">
        <v>1807114286</v>
      </c>
      <c r="JX40" s="41">
        <v>66179095</v>
      </c>
      <c r="JY40" s="41">
        <v>191408574</v>
      </c>
      <c r="JZ40" s="41">
        <v>183610079</v>
      </c>
      <c r="KA40" s="41">
        <v>2254331235</v>
      </c>
      <c r="KB40" s="41">
        <v>160018715</v>
      </c>
      <c r="KC40" s="41">
        <v>262738179</v>
      </c>
      <c r="KD40" s="41">
        <v>13660879930</v>
      </c>
    </row>
    <row r="41" spans="1:290">
      <c r="A41" s="9" t="s">
        <v>122</v>
      </c>
      <c r="B41" s="15" t="s">
        <v>12</v>
      </c>
      <c r="C41" s="19">
        <v>0</v>
      </c>
      <c r="D41" s="19"/>
      <c r="E41" s="19"/>
      <c r="F41" s="19">
        <v>125435657</v>
      </c>
      <c r="G41" s="19">
        <v>0</v>
      </c>
      <c r="H41" s="19">
        <v>0</v>
      </c>
      <c r="I41" s="19"/>
      <c r="J41" s="19" t="s">
        <v>4</v>
      </c>
      <c r="K41" s="19"/>
      <c r="L41" s="19" t="s">
        <v>130</v>
      </c>
      <c r="M41" s="19" t="s">
        <v>96</v>
      </c>
      <c r="N41" s="19"/>
      <c r="O41" s="19"/>
      <c r="P41" s="19"/>
      <c r="Q41" s="19"/>
      <c r="R41" s="19">
        <v>190138210</v>
      </c>
      <c r="S41" s="19">
        <v>8641000</v>
      </c>
      <c r="T41" s="19" t="s">
        <v>96</v>
      </c>
      <c r="U41" s="19">
        <v>7165244</v>
      </c>
      <c r="V41" s="19" t="s">
        <v>128</v>
      </c>
      <c r="W41" s="19"/>
      <c r="X41" s="19"/>
      <c r="Y41" s="19"/>
      <c r="Z41" s="19">
        <v>143439463</v>
      </c>
      <c r="AA41" s="19"/>
      <c r="AB41" s="19"/>
      <c r="AC41" s="19"/>
      <c r="AD41" s="19"/>
      <c r="AE41" s="19"/>
      <c r="AF41" s="19"/>
      <c r="AG41" s="19">
        <v>10585123</v>
      </c>
      <c r="AH41" s="19">
        <v>745866237</v>
      </c>
      <c r="AI41" s="19">
        <v>2430956400</v>
      </c>
      <c r="AJ41" s="19">
        <v>1145491267</v>
      </c>
      <c r="AK41" s="19" t="s">
        <v>89</v>
      </c>
      <c r="AL41" s="19"/>
      <c r="AM41" s="19" t="s">
        <v>4</v>
      </c>
      <c r="AN41" s="19"/>
      <c r="AO41" s="19"/>
      <c r="AP41" s="19">
        <v>12733637</v>
      </c>
      <c r="AQ41" s="19" t="s">
        <v>96</v>
      </c>
      <c r="AR41" s="19">
        <v>325665090</v>
      </c>
      <c r="AS41" s="19"/>
      <c r="AT41" s="19"/>
      <c r="AU41" s="19"/>
      <c r="AV41" s="19"/>
      <c r="AW41" s="19"/>
      <c r="AX41" s="19" t="s">
        <v>4</v>
      </c>
      <c r="AY41" s="19"/>
      <c r="AZ41" s="19"/>
      <c r="BA41" s="19">
        <v>8667987817</v>
      </c>
      <c r="BB41" s="19"/>
      <c r="BC41" s="19" t="s">
        <v>4</v>
      </c>
      <c r="BD41" s="19" t="s">
        <v>128</v>
      </c>
      <c r="BE41" s="19"/>
      <c r="BF41" s="19">
        <v>415856641</v>
      </c>
      <c r="BG41" s="19">
        <v>369969755</v>
      </c>
      <c r="BH41" s="19">
        <v>21969937</v>
      </c>
      <c r="BI41" s="19">
        <v>659751181</v>
      </c>
      <c r="BJ41" s="19">
        <v>123503004</v>
      </c>
      <c r="BK41" s="19"/>
      <c r="BL41" s="19">
        <v>922180679</v>
      </c>
      <c r="BM41" s="19"/>
      <c r="BN41" s="19"/>
      <c r="BO41" s="19">
        <v>589991986</v>
      </c>
      <c r="BP41" s="19" t="s">
        <v>96</v>
      </c>
      <c r="BQ41" s="19" t="s">
        <v>4</v>
      </c>
      <c r="BR41" s="19"/>
      <c r="BS41" s="19">
        <v>214837702</v>
      </c>
      <c r="BT41" s="19">
        <v>50955951</v>
      </c>
      <c r="BU41" s="19"/>
      <c r="BV41" s="19"/>
      <c r="BW41" s="19"/>
      <c r="BX41" s="19"/>
      <c r="BY41" s="19">
        <v>6841909793</v>
      </c>
      <c r="BZ41" s="19">
        <v>1635667788</v>
      </c>
      <c r="CA41" s="19"/>
      <c r="CB41" s="19">
        <v>58096297</v>
      </c>
      <c r="CC41" s="19">
        <v>1446638090</v>
      </c>
      <c r="CD41" s="19"/>
      <c r="CE41" s="19"/>
      <c r="CF41" s="19"/>
      <c r="CG41" s="19"/>
      <c r="CH41" s="19">
        <v>153299258</v>
      </c>
      <c r="CI41" s="19" t="s">
        <v>128</v>
      </c>
      <c r="CJ41" s="19" t="s">
        <v>89</v>
      </c>
      <c r="CK41" s="19">
        <v>214065289</v>
      </c>
      <c r="CL41" s="19"/>
      <c r="CM41" s="19"/>
      <c r="CN41" s="19"/>
      <c r="CO41" s="19"/>
      <c r="CP41" s="19">
        <v>724134560</v>
      </c>
      <c r="CQ41" s="19" t="s">
        <v>96</v>
      </c>
      <c r="CR41" s="19"/>
      <c r="CS41" s="19"/>
      <c r="CT41" s="19"/>
      <c r="CU41" s="19"/>
      <c r="CV41" s="19">
        <v>141154052</v>
      </c>
      <c r="CW41" s="19"/>
      <c r="CX41" s="19">
        <v>10585123</v>
      </c>
      <c r="CY41" s="19">
        <v>6086641186</v>
      </c>
      <c r="CZ41" s="19"/>
      <c r="DA41" s="19"/>
      <c r="DB41" s="19"/>
      <c r="DC41" s="19"/>
      <c r="DD41" s="19">
        <v>19134284</v>
      </c>
      <c r="DE41" s="19" t="s">
        <v>89</v>
      </c>
      <c r="DF41" s="19">
        <v>23305068</v>
      </c>
      <c r="DG41" s="19"/>
      <c r="DH41" s="19">
        <v>26642971</v>
      </c>
      <c r="DI41" s="19" t="s">
        <v>128</v>
      </c>
      <c r="DJ41" s="19"/>
      <c r="DK41" s="19">
        <v>262404666</v>
      </c>
      <c r="DL41" s="19">
        <v>38570200</v>
      </c>
      <c r="DM41" s="19">
        <v>2455858223</v>
      </c>
      <c r="DN41" s="19">
        <v>322960663</v>
      </c>
      <c r="DO41" s="19"/>
      <c r="DP41" s="19"/>
      <c r="DQ41" s="19"/>
      <c r="DR41" s="19"/>
      <c r="DS41" s="19"/>
      <c r="DT41" s="19">
        <v>232611173</v>
      </c>
      <c r="DU41" s="19"/>
      <c r="DV41" s="19"/>
      <c r="DW41" s="19">
        <v>490791281</v>
      </c>
      <c r="DX41" s="19"/>
      <c r="DY41" s="19"/>
      <c r="DZ41" s="19"/>
      <c r="EA41" s="19"/>
      <c r="EB41" s="19"/>
      <c r="EC41" s="19"/>
      <c r="ED41" s="19">
        <v>120215247</v>
      </c>
      <c r="EE41" s="19"/>
      <c r="EF41" s="19"/>
      <c r="EG41" s="19"/>
      <c r="EH41" s="19"/>
      <c r="EI41" s="19"/>
      <c r="EJ41" s="19"/>
      <c r="EK41" s="19"/>
      <c r="EL41" s="19"/>
      <c r="EM41" s="19"/>
      <c r="EN41" s="19"/>
      <c r="EO41" s="19"/>
      <c r="EP41" s="19"/>
      <c r="EQ41" s="19"/>
      <c r="ER41" s="19"/>
      <c r="ES41" s="19">
        <v>1198587799</v>
      </c>
      <c r="ET41" s="19"/>
      <c r="EU41" s="19"/>
      <c r="EV41" s="19">
        <v>324569060</v>
      </c>
      <c r="EW41" s="19">
        <v>338013215</v>
      </c>
      <c r="EX41" s="19">
        <v>10933644</v>
      </c>
      <c r="EY41" s="19"/>
      <c r="EZ41" s="19">
        <v>16592568</v>
      </c>
      <c r="FA41" s="19">
        <v>2060093</v>
      </c>
      <c r="FB41" s="19">
        <v>822249210</v>
      </c>
      <c r="FC41" s="19"/>
      <c r="FD41" s="19"/>
      <c r="FE41" s="19">
        <v>22205749121</v>
      </c>
      <c r="FF41" s="19"/>
      <c r="FG41" s="19">
        <v>1469987961</v>
      </c>
      <c r="FH41" s="19">
        <v>147121809</v>
      </c>
      <c r="FI41" s="19">
        <v>418741843</v>
      </c>
      <c r="FJ41" s="19">
        <v>34484454</v>
      </c>
      <c r="FK41" s="19">
        <v>321207295</v>
      </c>
      <c r="FL41" s="19"/>
      <c r="FM41" s="19"/>
      <c r="FN41" s="19"/>
      <c r="FO41" s="19"/>
      <c r="FP41" s="19"/>
      <c r="FQ41" s="19"/>
      <c r="FR41" s="19">
        <v>193423753</v>
      </c>
      <c r="FS41" s="19"/>
      <c r="FT41" s="19"/>
      <c r="FU41" s="19"/>
      <c r="FV41" s="19"/>
      <c r="FW41" s="19">
        <v>55192945</v>
      </c>
      <c r="FX41" s="19"/>
      <c r="FY41" s="19">
        <v>1780105428</v>
      </c>
      <c r="FZ41" s="19"/>
      <c r="GA41" s="19"/>
      <c r="GB41" s="19">
        <v>4698636</v>
      </c>
      <c r="GC41" s="19"/>
      <c r="GD41" s="19" t="s">
        <v>96</v>
      </c>
      <c r="GE41" s="19">
        <v>385363029</v>
      </c>
      <c r="GF41" s="19"/>
      <c r="GG41" s="19"/>
      <c r="GH41" s="19">
        <v>129946137</v>
      </c>
      <c r="GI41" s="19">
        <v>78320951</v>
      </c>
      <c r="GJ41" s="19"/>
      <c r="GK41" s="19"/>
      <c r="GL41" s="19">
        <v>369565986</v>
      </c>
      <c r="GM41" s="19"/>
      <c r="GN41" s="19">
        <v>36298352</v>
      </c>
      <c r="GO41" s="19"/>
      <c r="GP41" s="19">
        <v>1218416582</v>
      </c>
      <c r="GQ41" s="19"/>
      <c r="GR41" s="19">
        <v>194379644</v>
      </c>
      <c r="GS41" s="19"/>
      <c r="GT41" s="19">
        <v>41229483</v>
      </c>
      <c r="GU41" s="19"/>
      <c r="GV41" s="19"/>
      <c r="GW41" s="19">
        <v>175660620</v>
      </c>
      <c r="GX41" s="19">
        <v>66629691</v>
      </c>
      <c r="GY41" s="19"/>
      <c r="GZ41" s="19"/>
      <c r="HA41" s="19">
        <v>828222544</v>
      </c>
      <c r="HB41" s="37"/>
      <c r="HC41" s="19"/>
      <c r="HD41" s="19"/>
      <c r="HE41" s="19">
        <v>334587651</v>
      </c>
      <c r="HF41" s="19"/>
      <c r="HG41" s="19"/>
      <c r="HH41" s="19">
        <v>253010604</v>
      </c>
      <c r="HI41" s="19"/>
      <c r="HJ41" s="19">
        <v>372816545</v>
      </c>
      <c r="HK41" s="19">
        <v>1351980000</v>
      </c>
      <c r="HL41" s="19">
        <v>75555013</v>
      </c>
      <c r="HM41" s="19"/>
      <c r="HN41" s="19"/>
      <c r="HO41" s="19"/>
      <c r="HP41" s="19">
        <v>309024039</v>
      </c>
      <c r="HQ41" s="41"/>
      <c r="HR41" s="41"/>
      <c r="HS41" s="41"/>
      <c r="HT41" s="41"/>
      <c r="HU41" s="41"/>
      <c r="HV41" s="41">
        <v>180469459</v>
      </c>
      <c r="HW41" s="41"/>
      <c r="HX41" s="41">
        <v>98035421</v>
      </c>
      <c r="HY41" s="41" t="s">
        <v>114</v>
      </c>
      <c r="HZ41" s="41">
        <v>1508565568</v>
      </c>
      <c r="IA41" s="41"/>
      <c r="IB41" s="41">
        <v>171287074</v>
      </c>
      <c r="IC41" s="41"/>
      <c r="ID41" s="41">
        <v>562137753</v>
      </c>
      <c r="IE41" s="41" t="s">
        <v>4</v>
      </c>
      <c r="IF41" s="41"/>
      <c r="IG41" s="41">
        <v>104923336</v>
      </c>
      <c r="IH41" s="41">
        <v>19362912</v>
      </c>
      <c r="II41" s="41"/>
      <c r="IJ41" s="41">
        <v>981939455</v>
      </c>
      <c r="IK41" s="41">
        <v>45272581</v>
      </c>
      <c r="IL41" s="41">
        <v>61091729</v>
      </c>
      <c r="IM41" s="41"/>
      <c r="IN41" s="41"/>
      <c r="IO41" s="41"/>
      <c r="IP41" s="41">
        <v>1150502587</v>
      </c>
      <c r="IQ41" s="41"/>
      <c r="IR41" s="41">
        <v>41864057</v>
      </c>
      <c r="IS41" s="41"/>
      <c r="IT41" s="41">
        <v>6250326</v>
      </c>
      <c r="IU41" s="41"/>
      <c r="IV41" s="41"/>
      <c r="IW41" s="41"/>
      <c r="IX41" s="41" t="s">
        <v>114</v>
      </c>
      <c r="IY41" s="41">
        <v>67941793</v>
      </c>
      <c r="IZ41" s="41"/>
      <c r="JA41" s="41"/>
      <c r="JB41" s="41">
        <v>119405776</v>
      </c>
      <c r="JC41" s="41"/>
      <c r="JD41" s="41">
        <v>293853218</v>
      </c>
      <c r="JE41" s="41" t="s">
        <v>114</v>
      </c>
      <c r="JF41" s="41"/>
      <c r="JG41" s="41">
        <v>177149080</v>
      </c>
      <c r="JH41" s="41">
        <v>222535725</v>
      </c>
      <c r="JI41" s="41"/>
      <c r="JJ41" s="41"/>
      <c r="JK41" s="41">
        <v>978796147</v>
      </c>
      <c r="JL41" s="41"/>
      <c r="JM41" s="41">
        <v>37379095</v>
      </c>
      <c r="JN41" s="41"/>
      <c r="JO41" s="41">
        <v>249418735</v>
      </c>
      <c r="JP41" s="41" t="s">
        <v>4</v>
      </c>
      <c r="JQ41" s="41"/>
      <c r="JR41" s="41">
        <v>103333167</v>
      </c>
      <c r="JS41" s="41">
        <v>129188397</v>
      </c>
      <c r="JT41" s="41"/>
      <c r="JU41" s="41"/>
      <c r="JV41" s="41"/>
      <c r="JW41" s="41">
        <v>47228213</v>
      </c>
      <c r="JX41" s="41"/>
      <c r="JY41" s="41"/>
      <c r="JZ41" s="41">
        <v>183610079</v>
      </c>
      <c r="KA41" s="41">
        <v>1634829407</v>
      </c>
      <c r="KB41" s="41">
        <v>17885000</v>
      </c>
      <c r="KC41" s="41"/>
      <c r="KD41" s="41">
        <v>13660879930</v>
      </c>
    </row>
    <row r="42" spans="1:290">
      <c r="A42" s="9" t="s">
        <v>122</v>
      </c>
      <c r="B42" s="15" t="s">
        <v>22</v>
      </c>
      <c r="C42" s="19">
        <v>0</v>
      </c>
      <c r="D42" s="19"/>
      <c r="E42" s="19">
        <v>23173672</v>
      </c>
      <c r="F42" s="19"/>
      <c r="G42" s="19">
        <v>304538163</v>
      </c>
      <c r="H42" s="19">
        <v>0</v>
      </c>
      <c r="I42" s="19"/>
      <c r="J42" s="19" t="s">
        <v>4</v>
      </c>
      <c r="K42" s="19">
        <v>2843439916</v>
      </c>
      <c r="L42" s="19" t="s">
        <v>130</v>
      </c>
      <c r="M42" s="19" t="s">
        <v>96</v>
      </c>
      <c r="N42" s="19">
        <v>461517401</v>
      </c>
      <c r="O42" s="19"/>
      <c r="P42" s="19"/>
      <c r="Q42" s="19">
        <v>98638233</v>
      </c>
      <c r="R42" s="19"/>
      <c r="S42" s="19">
        <v>12641823234</v>
      </c>
      <c r="T42" s="19" t="s">
        <v>96</v>
      </c>
      <c r="U42" s="19"/>
      <c r="V42" s="19" t="s">
        <v>128</v>
      </c>
      <c r="W42" s="19">
        <v>560152729</v>
      </c>
      <c r="X42" s="19"/>
      <c r="Y42" s="19"/>
      <c r="Z42" s="19"/>
      <c r="AA42" s="19">
        <v>3611194175</v>
      </c>
      <c r="AB42" s="19"/>
      <c r="AC42" s="19">
        <v>1612758631</v>
      </c>
      <c r="AD42" s="19">
        <v>2645483685</v>
      </c>
      <c r="AE42" s="19">
        <v>182372213</v>
      </c>
      <c r="AF42" s="19"/>
      <c r="AG42" s="19"/>
      <c r="AH42" s="19"/>
      <c r="AI42" s="19"/>
      <c r="AJ42" s="19"/>
      <c r="AK42" s="19" t="s">
        <v>89</v>
      </c>
      <c r="AL42" s="19">
        <v>537979844</v>
      </c>
      <c r="AM42" s="19" t="s">
        <v>4</v>
      </c>
      <c r="AN42" s="19">
        <v>4299999</v>
      </c>
      <c r="AO42" s="19"/>
      <c r="AP42" s="19"/>
      <c r="AQ42" s="19" t="s">
        <v>96</v>
      </c>
      <c r="AR42" s="19">
        <v>136363635</v>
      </c>
      <c r="AS42" s="19"/>
      <c r="AT42" s="19"/>
      <c r="AU42" s="19"/>
      <c r="AV42" s="19"/>
      <c r="AW42" s="19">
        <v>551150818</v>
      </c>
      <c r="AX42" s="19" t="s">
        <v>4</v>
      </c>
      <c r="AY42" s="19">
        <v>155127913</v>
      </c>
      <c r="AZ42" s="19">
        <v>916724504</v>
      </c>
      <c r="BA42" s="19">
        <v>311969356</v>
      </c>
      <c r="BB42" s="19"/>
      <c r="BC42" s="19" t="s">
        <v>4</v>
      </c>
      <c r="BD42" s="19" t="s">
        <v>128</v>
      </c>
      <c r="BE42" s="19">
        <v>1053043439</v>
      </c>
      <c r="BF42" s="19">
        <v>1146786169</v>
      </c>
      <c r="BG42" s="19">
        <v>1908072637</v>
      </c>
      <c r="BH42" s="19">
        <v>500515078</v>
      </c>
      <c r="BI42" s="19"/>
      <c r="BJ42" s="19">
        <v>313675673</v>
      </c>
      <c r="BK42" s="19">
        <v>552336642</v>
      </c>
      <c r="BL42" s="19"/>
      <c r="BM42" s="19">
        <v>831579591</v>
      </c>
      <c r="BN42" s="19"/>
      <c r="BO42" s="19">
        <v>62079665</v>
      </c>
      <c r="BP42" s="19" t="s">
        <v>96</v>
      </c>
      <c r="BQ42" s="19" t="s">
        <v>4</v>
      </c>
      <c r="BR42" s="19">
        <v>2220663220</v>
      </c>
      <c r="BS42" s="19"/>
      <c r="BT42" s="19"/>
      <c r="BU42" s="19">
        <v>353063656</v>
      </c>
      <c r="BV42" s="19"/>
      <c r="BW42" s="19"/>
      <c r="BX42" s="19"/>
      <c r="BY42" s="19"/>
      <c r="BZ42" s="19"/>
      <c r="CA42" s="19"/>
      <c r="CB42" s="19"/>
      <c r="CC42" s="19"/>
      <c r="CD42" s="19">
        <v>1883179825</v>
      </c>
      <c r="CE42" s="19">
        <v>372762161</v>
      </c>
      <c r="CF42" s="19">
        <v>550941256</v>
      </c>
      <c r="CG42" s="19"/>
      <c r="CH42" s="19">
        <v>249925170</v>
      </c>
      <c r="CI42" s="19" t="s">
        <v>128</v>
      </c>
      <c r="CJ42" s="19" t="s">
        <v>89</v>
      </c>
      <c r="CK42" s="19">
        <v>3337026366</v>
      </c>
      <c r="CL42" s="19">
        <v>542458269</v>
      </c>
      <c r="CM42" s="19"/>
      <c r="CN42" s="19"/>
      <c r="CO42" s="19"/>
      <c r="CP42" s="19"/>
      <c r="CQ42" s="19" t="s">
        <v>96</v>
      </c>
      <c r="CR42" s="19"/>
      <c r="CS42" s="19">
        <v>904814600</v>
      </c>
      <c r="CT42" s="19"/>
      <c r="CU42" s="19"/>
      <c r="CV42" s="19"/>
      <c r="CW42" s="19"/>
      <c r="CX42" s="19"/>
      <c r="CY42" s="19"/>
      <c r="CZ42" s="19"/>
      <c r="DA42" s="19"/>
      <c r="DB42" s="19">
        <v>456547026</v>
      </c>
      <c r="DC42" s="19"/>
      <c r="DD42" s="19" t="s">
        <v>118</v>
      </c>
      <c r="DE42" s="19" t="s">
        <v>89</v>
      </c>
      <c r="DF42" s="19"/>
      <c r="DG42" s="19"/>
      <c r="DH42" s="19">
        <v>27324968</v>
      </c>
      <c r="DI42" s="19" t="s">
        <v>128</v>
      </c>
      <c r="DJ42" s="19"/>
      <c r="DK42" s="19">
        <v>3329123386</v>
      </c>
      <c r="DL42" s="19"/>
      <c r="DM42" s="19"/>
      <c r="DN42" s="19">
        <v>406613503</v>
      </c>
      <c r="DO42" s="19"/>
      <c r="DP42" s="19">
        <v>2155388740</v>
      </c>
      <c r="DQ42" s="19">
        <v>261144485</v>
      </c>
      <c r="DR42" s="19">
        <v>792496426</v>
      </c>
      <c r="DS42" s="19"/>
      <c r="DT42" s="19"/>
      <c r="DU42" s="19"/>
      <c r="DV42" s="19"/>
      <c r="DW42" s="19">
        <v>1573522755</v>
      </c>
      <c r="DX42" s="19"/>
      <c r="DY42" s="19">
        <v>869523896</v>
      </c>
      <c r="DZ42" s="19"/>
      <c r="EA42" s="19"/>
      <c r="EB42" s="19"/>
      <c r="EC42" s="19">
        <v>770404966</v>
      </c>
      <c r="ED42" s="19"/>
      <c r="EE42" s="19">
        <v>398501630</v>
      </c>
      <c r="EF42" s="19">
        <v>846731837</v>
      </c>
      <c r="EG42" s="19">
        <v>557352814</v>
      </c>
      <c r="EH42" s="19"/>
      <c r="EI42" s="19">
        <v>5765395</v>
      </c>
      <c r="EJ42" s="19"/>
      <c r="EK42" s="19"/>
      <c r="EL42" s="19">
        <v>4665616553</v>
      </c>
      <c r="EM42" s="19">
        <v>808255558</v>
      </c>
      <c r="EN42" s="19"/>
      <c r="EO42" s="19"/>
      <c r="EP42" s="19">
        <v>283341213</v>
      </c>
      <c r="EQ42" s="19"/>
      <c r="ER42" s="19"/>
      <c r="ES42" s="19"/>
      <c r="ET42" s="19"/>
      <c r="EU42" s="19"/>
      <c r="EV42" s="19"/>
      <c r="EW42" s="19">
        <v>97036096</v>
      </c>
      <c r="EX42" s="19"/>
      <c r="EY42" s="19"/>
      <c r="EZ42" s="19"/>
      <c r="FA42" s="19"/>
      <c r="FB42" s="19">
        <v>325614991</v>
      </c>
      <c r="FC42" s="19">
        <v>2001042331</v>
      </c>
      <c r="FD42" s="19">
        <v>376704403</v>
      </c>
      <c r="FE42" s="19"/>
      <c r="FF42" s="19"/>
      <c r="FG42" s="19"/>
      <c r="FH42" s="19">
        <v>62639769</v>
      </c>
      <c r="FI42" s="19"/>
      <c r="FJ42" s="19"/>
      <c r="FK42" s="19">
        <v>1281778260</v>
      </c>
      <c r="FL42" s="19">
        <v>113924140</v>
      </c>
      <c r="FM42" s="19"/>
      <c r="FN42" s="19"/>
      <c r="FO42" s="19"/>
      <c r="FP42" s="19"/>
      <c r="FQ42" s="19">
        <v>26108546</v>
      </c>
      <c r="FR42" s="19"/>
      <c r="FS42" s="19">
        <v>88765134</v>
      </c>
      <c r="FT42" s="19">
        <v>2969030056</v>
      </c>
      <c r="FU42" s="19"/>
      <c r="FV42" s="19"/>
      <c r="FW42" s="19">
        <v>125571778</v>
      </c>
      <c r="FX42" s="19"/>
      <c r="FY42" s="19"/>
      <c r="FZ42" s="19"/>
      <c r="GA42" s="19"/>
      <c r="GB42" s="19"/>
      <c r="GC42" s="19"/>
      <c r="GD42" s="19" t="s">
        <v>96</v>
      </c>
      <c r="GE42" s="19"/>
      <c r="GF42" s="19">
        <v>236418443</v>
      </c>
      <c r="GG42" s="19">
        <v>390155739</v>
      </c>
      <c r="GH42" s="19"/>
      <c r="GI42" s="19">
        <v>83643668</v>
      </c>
      <c r="GJ42" s="19"/>
      <c r="GK42" s="19">
        <v>91021261</v>
      </c>
      <c r="GL42" s="19"/>
      <c r="GM42" s="19"/>
      <c r="GN42" s="19"/>
      <c r="GO42" s="19">
        <v>437163162</v>
      </c>
      <c r="GP42" s="19">
        <v>4799540606</v>
      </c>
      <c r="GQ42" s="19">
        <v>132747374</v>
      </c>
      <c r="GR42" s="19">
        <v>571344094</v>
      </c>
      <c r="GS42" s="19"/>
      <c r="GT42" s="19"/>
      <c r="GU42" s="19"/>
      <c r="GV42" s="19"/>
      <c r="GW42" s="19">
        <v>847327473</v>
      </c>
      <c r="GX42" s="19">
        <v>1900229367</v>
      </c>
      <c r="GY42" s="19">
        <v>28263723</v>
      </c>
      <c r="GZ42" s="19">
        <v>761849588</v>
      </c>
      <c r="HA42" s="19"/>
      <c r="HB42" s="37"/>
      <c r="HC42" s="19">
        <v>126166417</v>
      </c>
      <c r="HD42" s="19">
        <v>195319014</v>
      </c>
      <c r="HE42" s="19"/>
      <c r="HF42" s="19"/>
      <c r="HG42" s="19">
        <v>31289743</v>
      </c>
      <c r="HH42" s="19"/>
      <c r="HI42" s="19"/>
      <c r="HJ42" s="19">
        <v>607265223</v>
      </c>
      <c r="HK42" s="19">
        <v>1334309837</v>
      </c>
      <c r="HL42" s="19"/>
      <c r="HM42" s="19"/>
      <c r="HN42" s="19"/>
      <c r="HO42" s="19">
        <v>880166184</v>
      </c>
      <c r="HP42" s="19"/>
      <c r="HQ42" s="41"/>
      <c r="HR42" s="41">
        <v>5808851668</v>
      </c>
      <c r="HS42" s="41">
        <v>43996779</v>
      </c>
      <c r="HT42" s="41"/>
      <c r="HU42" s="41"/>
      <c r="HV42" s="41"/>
      <c r="HW42" s="41"/>
      <c r="HX42" s="41">
        <v>1678202998</v>
      </c>
      <c r="HY42" s="41" t="s">
        <v>114</v>
      </c>
      <c r="HZ42" s="41"/>
      <c r="IA42" s="41"/>
      <c r="IB42" s="41"/>
      <c r="IC42" s="41"/>
      <c r="ID42" s="41"/>
      <c r="IE42" s="41" t="s">
        <v>4</v>
      </c>
      <c r="IF42" s="41"/>
      <c r="IG42" s="41"/>
      <c r="IH42" s="41"/>
      <c r="II42" s="41">
        <v>171079354</v>
      </c>
      <c r="IJ42" s="41"/>
      <c r="IK42" s="41">
        <v>227255094</v>
      </c>
      <c r="IL42" s="41">
        <v>128779072</v>
      </c>
      <c r="IM42" s="41"/>
      <c r="IN42" s="41"/>
      <c r="IO42" s="41">
        <v>175659020</v>
      </c>
      <c r="IP42" s="41"/>
      <c r="IQ42" s="41"/>
      <c r="IR42" s="41"/>
      <c r="IS42" s="41">
        <v>2033486653</v>
      </c>
      <c r="IT42" s="41">
        <v>6752006</v>
      </c>
      <c r="IU42" s="41"/>
      <c r="IV42" s="41"/>
      <c r="IW42" s="41"/>
      <c r="IX42" s="41" t="s">
        <v>114</v>
      </c>
      <c r="IY42" s="41"/>
      <c r="IZ42" s="41">
        <v>1478064044</v>
      </c>
      <c r="JA42" s="41">
        <v>73366998</v>
      </c>
      <c r="JB42" s="41"/>
      <c r="JC42" s="41"/>
      <c r="JD42" s="41">
        <v>322251837</v>
      </c>
      <c r="JE42" s="41" t="s">
        <v>114</v>
      </c>
      <c r="JF42" s="41"/>
      <c r="JG42" s="41"/>
      <c r="JH42" s="41"/>
      <c r="JI42" s="41"/>
      <c r="JJ42" s="41">
        <v>2700596821</v>
      </c>
      <c r="JK42" s="41"/>
      <c r="JL42" s="41">
        <v>76830339</v>
      </c>
      <c r="JM42" s="41">
        <v>39859675</v>
      </c>
      <c r="JN42" s="41">
        <v>1739310628</v>
      </c>
      <c r="JO42" s="41">
        <v>261936522</v>
      </c>
      <c r="JP42" s="41" t="s">
        <v>4</v>
      </c>
      <c r="JQ42" s="41">
        <v>159045455</v>
      </c>
      <c r="JR42" s="41"/>
      <c r="JS42" s="41"/>
      <c r="JT42" s="41"/>
      <c r="JU42" s="41"/>
      <c r="JV42" s="41">
        <v>460693545</v>
      </c>
      <c r="JW42" s="41"/>
      <c r="JX42" s="41"/>
      <c r="JY42" s="41"/>
      <c r="JZ42" s="41"/>
      <c r="KA42" s="41">
        <v>223012439</v>
      </c>
      <c r="KB42" s="41"/>
      <c r="KC42" s="41"/>
      <c r="KD42" s="41"/>
    </row>
    <row r="43" spans="1:290">
      <c r="A43" s="9" t="s">
        <v>122</v>
      </c>
      <c r="B43" s="15" t="s">
        <v>28</v>
      </c>
      <c r="C43" s="19">
        <v>1811029025</v>
      </c>
      <c r="D43" s="19">
        <v>3354491989</v>
      </c>
      <c r="E43" s="19">
        <v>1089690351</v>
      </c>
      <c r="F43" s="19">
        <v>903053211</v>
      </c>
      <c r="G43" s="19">
        <v>0</v>
      </c>
      <c r="H43" s="19">
        <v>7640505000</v>
      </c>
      <c r="I43" s="19">
        <v>8519359770</v>
      </c>
      <c r="J43" s="19" t="s">
        <v>4</v>
      </c>
      <c r="K43" s="19"/>
      <c r="L43" s="19" t="s">
        <v>130</v>
      </c>
      <c r="M43" s="19" t="s">
        <v>96</v>
      </c>
      <c r="N43" s="19"/>
      <c r="O43" s="19">
        <v>5589261966</v>
      </c>
      <c r="P43" s="19">
        <v>4667951391</v>
      </c>
      <c r="Q43" s="19">
        <v>96292910</v>
      </c>
      <c r="R43" s="19">
        <v>144405151</v>
      </c>
      <c r="S43" s="19"/>
      <c r="T43" s="19" t="s">
        <v>96</v>
      </c>
      <c r="U43" s="19">
        <v>1620560513</v>
      </c>
      <c r="V43" s="19" t="s">
        <v>128</v>
      </c>
      <c r="W43" s="19">
        <v>330136688</v>
      </c>
      <c r="X43" s="19">
        <v>2094117965</v>
      </c>
      <c r="Y43" s="19">
        <v>902413303</v>
      </c>
      <c r="Z43" s="19">
        <v>1450638471</v>
      </c>
      <c r="AA43" s="19"/>
      <c r="AB43" s="19">
        <v>526866586</v>
      </c>
      <c r="AC43" s="19">
        <v>6023483</v>
      </c>
      <c r="AD43" s="19"/>
      <c r="AE43" s="19">
        <v>456761979</v>
      </c>
      <c r="AF43" s="19">
        <v>260830716</v>
      </c>
      <c r="AG43" s="19">
        <v>1171306072</v>
      </c>
      <c r="AH43" s="19">
        <v>1174693991</v>
      </c>
      <c r="AI43" s="19"/>
      <c r="AJ43" s="19"/>
      <c r="AK43" s="19" t="s">
        <v>89</v>
      </c>
      <c r="AL43" s="19">
        <v>899822379</v>
      </c>
      <c r="AM43" s="19" t="s">
        <v>4</v>
      </c>
      <c r="AN43" s="19">
        <v>679304477</v>
      </c>
      <c r="AO43" s="19">
        <v>1501158485</v>
      </c>
      <c r="AP43" s="19">
        <v>433339443</v>
      </c>
      <c r="AQ43" s="19" t="s">
        <v>96</v>
      </c>
      <c r="AR43" s="19"/>
      <c r="AS43" s="19">
        <v>1310768278</v>
      </c>
      <c r="AT43" s="19">
        <v>1774154544</v>
      </c>
      <c r="AU43" s="19">
        <v>572465838</v>
      </c>
      <c r="AV43" s="19">
        <v>205709529</v>
      </c>
      <c r="AW43" s="19"/>
      <c r="AX43" s="19" t="s">
        <v>4</v>
      </c>
      <c r="AY43" s="19">
        <v>265155010</v>
      </c>
      <c r="AZ43" s="19"/>
      <c r="BA43" s="19"/>
      <c r="BB43" s="19">
        <v>76265465</v>
      </c>
      <c r="BC43" s="19" t="s">
        <v>4</v>
      </c>
      <c r="BD43" s="19" t="s">
        <v>128</v>
      </c>
      <c r="BE43" s="19"/>
      <c r="BF43" s="19"/>
      <c r="BG43" s="19">
        <v>158030680</v>
      </c>
      <c r="BH43" s="19"/>
      <c r="BI43" s="19"/>
      <c r="BJ43" s="19">
        <v>43587020</v>
      </c>
      <c r="BK43" s="19"/>
      <c r="BL43" s="19"/>
      <c r="BM43" s="19">
        <v>33028154</v>
      </c>
      <c r="BN43" s="19">
        <v>628100395</v>
      </c>
      <c r="BO43" s="19">
        <v>94530614</v>
      </c>
      <c r="BP43" s="19" t="s">
        <v>96</v>
      </c>
      <c r="BQ43" s="19" t="s">
        <v>4</v>
      </c>
      <c r="BR43" s="19"/>
      <c r="BS43" s="19"/>
      <c r="BT43" s="19">
        <v>593637</v>
      </c>
      <c r="BU43" s="19"/>
      <c r="BV43" s="19">
        <v>288157299</v>
      </c>
      <c r="BW43" s="19">
        <v>679722926</v>
      </c>
      <c r="BX43" s="19">
        <v>299635947</v>
      </c>
      <c r="BY43" s="19"/>
      <c r="BZ43" s="19"/>
      <c r="CA43" s="19">
        <v>1253057699</v>
      </c>
      <c r="CB43" s="19">
        <v>445992999</v>
      </c>
      <c r="CC43" s="19"/>
      <c r="CD43" s="19"/>
      <c r="CE43" s="19"/>
      <c r="CF43" s="19"/>
      <c r="CG43" s="19">
        <v>832168350</v>
      </c>
      <c r="CH43" s="19"/>
      <c r="CI43" s="19" t="s">
        <v>128</v>
      </c>
      <c r="CJ43" s="19" t="s">
        <v>89</v>
      </c>
      <c r="CK43" s="19"/>
      <c r="CL43" s="19"/>
      <c r="CM43" s="19">
        <v>7877003613</v>
      </c>
      <c r="CN43" s="19">
        <v>277505454</v>
      </c>
      <c r="CO43" s="19">
        <v>164247980</v>
      </c>
      <c r="CP43" s="19">
        <v>2508560870</v>
      </c>
      <c r="CQ43" s="19" t="s">
        <v>96</v>
      </c>
      <c r="CR43" s="19"/>
      <c r="CS43" s="19"/>
      <c r="CT43" s="19">
        <v>801738064</v>
      </c>
      <c r="CU43" s="19">
        <v>684817073</v>
      </c>
      <c r="CV43" s="19"/>
      <c r="CW43" s="19">
        <v>2231092775</v>
      </c>
      <c r="CX43" s="19">
        <v>1171306072</v>
      </c>
      <c r="CY43" s="19">
        <v>434223084</v>
      </c>
      <c r="CZ43" s="19">
        <v>990109519</v>
      </c>
      <c r="DA43" s="19">
        <v>658192970</v>
      </c>
      <c r="DB43" s="19"/>
      <c r="DC43" s="19">
        <v>111086982</v>
      </c>
      <c r="DD43" s="19">
        <v>182007199</v>
      </c>
      <c r="DE43" s="19" t="s">
        <v>89</v>
      </c>
      <c r="DF43" s="19">
        <v>98266861</v>
      </c>
      <c r="DG43" s="19">
        <v>1473890778</v>
      </c>
      <c r="DH43" s="19">
        <v>914523883</v>
      </c>
      <c r="DI43" s="19" t="s">
        <v>128</v>
      </c>
      <c r="DJ43" s="19">
        <v>329798448</v>
      </c>
      <c r="DK43" s="19">
        <v>855829027</v>
      </c>
      <c r="DL43" s="19">
        <v>491744907</v>
      </c>
      <c r="DM43" s="19">
        <v>112902441</v>
      </c>
      <c r="DN43" s="19"/>
      <c r="DO43" s="19">
        <v>197226979</v>
      </c>
      <c r="DP43" s="19"/>
      <c r="DQ43" s="19"/>
      <c r="DR43" s="19"/>
      <c r="DS43" s="19"/>
      <c r="DT43" s="19">
        <v>1010622722</v>
      </c>
      <c r="DU43" s="19">
        <v>366314888</v>
      </c>
      <c r="DV43" s="19">
        <f>654129234+262230647</f>
        <v>916359881</v>
      </c>
      <c r="DW43" s="19"/>
      <c r="DX43" s="19">
        <v>4931732224</v>
      </c>
      <c r="DY43" s="19"/>
      <c r="DZ43" s="19">
        <v>2092253663</v>
      </c>
      <c r="EA43" s="19">
        <v>146816189</v>
      </c>
      <c r="EB43" s="19">
        <v>6515733682</v>
      </c>
      <c r="EC43" s="19"/>
      <c r="ED43" s="19">
        <v>7307000</v>
      </c>
      <c r="EE43" s="19"/>
      <c r="EF43" s="19"/>
      <c r="EG43" s="19">
        <v>14421000</v>
      </c>
      <c r="EH43" s="19">
        <v>243176590</v>
      </c>
      <c r="EI43" s="19">
        <v>3768837440</v>
      </c>
      <c r="EJ43" s="19">
        <v>176840000</v>
      </c>
      <c r="EK43" s="19"/>
      <c r="EL43" s="19"/>
      <c r="EM43" s="19"/>
      <c r="EN43" s="19">
        <v>6442813662</v>
      </c>
      <c r="EO43" s="19">
        <v>2274420701</v>
      </c>
      <c r="EP43" s="19"/>
      <c r="EQ43" s="19">
        <v>4461050250</v>
      </c>
      <c r="ER43" s="19">
        <v>6160148750</v>
      </c>
      <c r="ES43" s="19"/>
      <c r="ET43" s="19">
        <v>187914556</v>
      </c>
      <c r="EU43" s="19">
        <v>1100570429</v>
      </c>
      <c r="EV43" s="19"/>
      <c r="EW43" s="19">
        <v>20994320</v>
      </c>
      <c r="EX43" s="19">
        <v>2133943553</v>
      </c>
      <c r="EY43" s="19">
        <v>5252249094</v>
      </c>
      <c r="EZ43" s="19">
        <v>365369064</v>
      </c>
      <c r="FA43" s="19">
        <v>990913374</v>
      </c>
      <c r="FB43" s="19"/>
      <c r="FC43" s="19"/>
      <c r="FD43" s="19"/>
      <c r="FE43" s="19"/>
      <c r="FF43" s="19">
        <v>259904585</v>
      </c>
      <c r="FG43" s="19"/>
      <c r="FH43" s="19">
        <v>123700652</v>
      </c>
      <c r="FI43" s="19">
        <v>5201819</v>
      </c>
      <c r="FJ43" s="19">
        <v>349970438</v>
      </c>
      <c r="FK43" s="19">
        <v>532632050</v>
      </c>
      <c r="FL43" s="19"/>
      <c r="FM43" s="19">
        <v>151347730</v>
      </c>
      <c r="FN43" s="19">
        <v>104556500</v>
      </c>
      <c r="FO43" s="19">
        <v>64938177</v>
      </c>
      <c r="FP43" s="19">
        <v>126123842</v>
      </c>
      <c r="FQ43" s="19"/>
      <c r="FR43" s="19"/>
      <c r="FS43" s="19">
        <v>47506358</v>
      </c>
      <c r="FT43" s="19"/>
      <c r="FU43" s="19">
        <v>33700000</v>
      </c>
      <c r="FV43" s="19">
        <v>2272124679</v>
      </c>
      <c r="FW43" s="19">
        <v>29750000</v>
      </c>
      <c r="FX43" s="19">
        <v>15222587</v>
      </c>
      <c r="FY43" s="19">
        <v>572265525</v>
      </c>
      <c r="FZ43" s="19">
        <v>50078089</v>
      </c>
      <c r="GA43" s="19"/>
      <c r="GB43" s="19"/>
      <c r="GC43" s="19">
        <v>195801893</v>
      </c>
      <c r="GD43" s="19" t="s">
        <v>96</v>
      </c>
      <c r="GE43" s="19">
        <v>7560000</v>
      </c>
      <c r="GF43" s="19">
        <v>64217536</v>
      </c>
      <c r="GG43" s="19"/>
      <c r="GH43" s="19"/>
      <c r="GI43" s="19"/>
      <c r="GJ43" s="19">
        <v>433940300</v>
      </c>
      <c r="GK43" s="19"/>
      <c r="GL43" s="19"/>
      <c r="GM43" s="19">
        <v>181517729</v>
      </c>
      <c r="GN43" s="19">
        <v>55999999</v>
      </c>
      <c r="GO43" s="19">
        <v>5000000</v>
      </c>
      <c r="GP43" s="19">
        <v>306473677</v>
      </c>
      <c r="GQ43" s="19">
        <v>208976418</v>
      </c>
      <c r="GR43" s="19">
        <v>1024076</v>
      </c>
      <c r="GS43" s="19"/>
      <c r="GT43" s="19">
        <v>191769766</v>
      </c>
      <c r="GU43" s="19">
        <v>138555000</v>
      </c>
      <c r="GV43" s="19">
        <v>4592609168</v>
      </c>
      <c r="GW43" s="19">
        <v>143246009</v>
      </c>
      <c r="GX43" s="19"/>
      <c r="GY43" s="19"/>
      <c r="GZ43" s="19">
        <v>293336654</v>
      </c>
      <c r="HA43" s="19"/>
      <c r="HB43" s="37">
        <v>346648293</v>
      </c>
      <c r="HC43" s="19"/>
      <c r="HD43" s="19"/>
      <c r="HE43" s="19"/>
      <c r="HF43" s="19">
        <v>5457124960</v>
      </c>
      <c r="HG43" s="19">
        <v>124579420</v>
      </c>
      <c r="HH43" s="19"/>
      <c r="HI43" s="19">
        <v>370144546</v>
      </c>
      <c r="HJ43" s="19">
        <v>137054181</v>
      </c>
      <c r="HK43" s="19">
        <v>25668449</v>
      </c>
      <c r="HL43" s="19">
        <v>168395491</v>
      </c>
      <c r="HM43" s="19">
        <v>831292445</v>
      </c>
      <c r="HN43" s="19">
        <v>71983741</v>
      </c>
      <c r="HO43" s="19">
        <v>574931505</v>
      </c>
      <c r="HP43" s="19"/>
      <c r="HQ43" s="41">
        <v>469379008</v>
      </c>
      <c r="HR43" s="41"/>
      <c r="HS43" s="41">
        <v>347219706</v>
      </c>
      <c r="HT43" s="41"/>
      <c r="HU43" s="41"/>
      <c r="HV43" s="41"/>
      <c r="HW43" s="41">
        <v>2997311914</v>
      </c>
      <c r="HX43" s="41"/>
      <c r="HY43" s="41" t="s">
        <v>114</v>
      </c>
      <c r="HZ43" s="41">
        <v>681816</v>
      </c>
      <c r="IA43" s="41">
        <v>111067148</v>
      </c>
      <c r="IB43" s="41"/>
      <c r="IC43" s="41"/>
      <c r="ID43" s="41"/>
      <c r="IE43" s="41" t="s">
        <v>4</v>
      </c>
      <c r="IF43" s="41">
        <v>314570134</v>
      </c>
      <c r="IG43" s="41"/>
      <c r="IH43" s="41">
        <v>847680440</v>
      </c>
      <c r="II43" s="41"/>
      <c r="IJ43" s="41"/>
      <c r="IK43" s="41">
        <v>70179802</v>
      </c>
      <c r="IL43" s="41">
        <v>6054011</v>
      </c>
      <c r="IM43" s="41">
        <v>35955873</v>
      </c>
      <c r="IN43" s="41">
        <v>31610909</v>
      </c>
      <c r="IO43" s="41"/>
      <c r="IP43" s="41"/>
      <c r="IQ43" s="41">
        <v>3080309158</v>
      </c>
      <c r="IR43" s="41">
        <v>310763313</v>
      </c>
      <c r="IS43" s="41"/>
      <c r="IT43" s="41">
        <v>525473403</v>
      </c>
      <c r="IU43" s="41">
        <v>252580989</v>
      </c>
      <c r="IV43" s="41">
        <v>143984000</v>
      </c>
      <c r="IW43" s="41">
        <v>334029414</v>
      </c>
      <c r="IX43" s="41" t="s">
        <v>114</v>
      </c>
      <c r="IY43" s="41"/>
      <c r="IZ43" s="41"/>
      <c r="JA43" s="41"/>
      <c r="JB43" s="41"/>
      <c r="JC43" s="41">
        <v>1457190254</v>
      </c>
      <c r="JD43" s="41"/>
      <c r="JE43" s="41" t="s">
        <v>114</v>
      </c>
      <c r="JF43" s="41">
        <v>272771354</v>
      </c>
      <c r="JG43" s="41">
        <v>939876491</v>
      </c>
      <c r="JH43" s="41"/>
      <c r="JI43" s="41">
        <v>276738637</v>
      </c>
      <c r="JJ43" s="41"/>
      <c r="JK43" s="41"/>
      <c r="JL43" s="41">
        <v>469535645</v>
      </c>
      <c r="JM43" s="41">
        <v>9318179</v>
      </c>
      <c r="JN43" s="41"/>
      <c r="JO43" s="41"/>
      <c r="JP43" s="41" t="s">
        <v>4</v>
      </c>
      <c r="JQ43" s="41"/>
      <c r="JR43" s="41">
        <v>143086900</v>
      </c>
      <c r="JS43" s="41">
        <v>3386363</v>
      </c>
      <c r="JT43" s="41">
        <v>514920396</v>
      </c>
      <c r="JU43" s="41">
        <v>225848774</v>
      </c>
      <c r="JV43" s="41"/>
      <c r="JW43" s="41"/>
      <c r="JX43" s="41">
        <v>66179095</v>
      </c>
      <c r="JY43" s="41">
        <v>191408574</v>
      </c>
      <c r="JZ43" s="41"/>
      <c r="KA43" s="41"/>
      <c r="KB43" s="41"/>
      <c r="KC43" s="41"/>
      <c r="KD43" s="41"/>
    </row>
    <row r="44" spans="1:290">
      <c r="A44" s="9" t="s">
        <v>122</v>
      </c>
      <c r="B44" s="15" t="s">
        <v>24</v>
      </c>
      <c r="C44" s="19">
        <v>4320000</v>
      </c>
      <c r="D44" s="19">
        <v>20968523</v>
      </c>
      <c r="E44" s="19">
        <v>1434771</v>
      </c>
      <c r="F44" s="19">
        <v>25217917</v>
      </c>
      <c r="G44" s="19">
        <v>0</v>
      </c>
      <c r="H44" s="19">
        <v>0</v>
      </c>
      <c r="I44" s="19"/>
      <c r="J44" s="19" t="s">
        <v>4</v>
      </c>
      <c r="K44" s="19"/>
      <c r="L44" s="19" t="s">
        <v>130</v>
      </c>
      <c r="M44" s="19" t="s">
        <v>96</v>
      </c>
      <c r="N44" s="19">
        <v>186442269</v>
      </c>
      <c r="O44" s="19"/>
      <c r="P44" s="19">
        <v>758077852</v>
      </c>
      <c r="Q44" s="19"/>
      <c r="R44" s="19"/>
      <c r="S44" s="19"/>
      <c r="T44" s="19" t="s">
        <v>96</v>
      </c>
      <c r="U44" s="19">
        <v>2300000</v>
      </c>
      <c r="V44" s="19" t="s">
        <v>128</v>
      </c>
      <c r="W44" s="19"/>
      <c r="X44" s="19">
        <v>199675914</v>
      </c>
      <c r="Y44" s="19">
        <v>70801221</v>
      </c>
      <c r="Z44" s="19">
        <v>113300000</v>
      </c>
      <c r="AA44" s="19">
        <v>8846965</v>
      </c>
      <c r="AB44" s="19"/>
      <c r="AC44" s="19"/>
      <c r="AD44" s="19"/>
      <c r="AE44" s="19">
        <v>68907839</v>
      </c>
      <c r="AF44" s="19">
        <v>1638851</v>
      </c>
      <c r="AG44" s="19"/>
      <c r="AH44" s="19"/>
      <c r="AI44" s="19"/>
      <c r="AJ44" s="19"/>
      <c r="AK44" s="19" t="s">
        <v>89</v>
      </c>
      <c r="AL44" s="19">
        <v>49800000</v>
      </c>
      <c r="AM44" s="19" t="s">
        <v>4</v>
      </c>
      <c r="AN44" s="19">
        <v>102017000</v>
      </c>
      <c r="AO44" s="19"/>
      <c r="AP44" s="19"/>
      <c r="AQ44" s="19" t="s">
        <v>96</v>
      </c>
      <c r="AR44" s="19"/>
      <c r="AS44" s="19">
        <v>189915045</v>
      </c>
      <c r="AT44" s="19">
        <v>25126854</v>
      </c>
      <c r="AU44" s="19">
        <v>227154300</v>
      </c>
      <c r="AV44" s="19"/>
      <c r="AW44" s="19"/>
      <c r="AX44" s="19" t="s">
        <v>4</v>
      </c>
      <c r="AY44" s="19"/>
      <c r="AZ44" s="19"/>
      <c r="BA44" s="19"/>
      <c r="BB44" s="19"/>
      <c r="BC44" s="19" t="s">
        <v>4</v>
      </c>
      <c r="BD44" s="19" t="s">
        <v>128</v>
      </c>
      <c r="BE44" s="19"/>
      <c r="BF44" s="19"/>
      <c r="BG44" s="19">
        <v>747630448</v>
      </c>
      <c r="BH44" s="19"/>
      <c r="BI44" s="19"/>
      <c r="BJ44" s="19">
        <v>160227892</v>
      </c>
      <c r="BK44" s="19">
        <v>369390106</v>
      </c>
      <c r="BL44" s="19"/>
      <c r="BM44" s="19"/>
      <c r="BN44" s="19"/>
      <c r="BO44" s="19"/>
      <c r="BP44" s="19" t="s">
        <v>96</v>
      </c>
      <c r="BQ44" s="19" t="s">
        <v>4</v>
      </c>
      <c r="BR44" s="19"/>
      <c r="BS44" s="19">
        <v>260000</v>
      </c>
      <c r="BT44" s="19">
        <v>102781223</v>
      </c>
      <c r="BU44" s="19"/>
      <c r="BV44" s="19">
        <v>38929549</v>
      </c>
      <c r="BW44" s="19">
        <v>21000000</v>
      </c>
      <c r="BX44" s="19">
        <v>396460480</v>
      </c>
      <c r="BY44" s="19">
        <v>12236364</v>
      </c>
      <c r="BZ44" s="19"/>
      <c r="CA44" s="19">
        <v>38769539</v>
      </c>
      <c r="CB44" s="19"/>
      <c r="CC44" s="19">
        <v>10440000</v>
      </c>
      <c r="CD44" s="19"/>
      <c r="CE44" s="19"/>
      <c r="CF44" s="19"/>
      <c r="CG44" s="19"/>
      <c r="CH44" s="19"/>
      <c r="CI44" s="19" t="s">
        <v>128</v>
      </c>
      <c r="CJ44" s="19" t="s">
        <v>89</v>
      </c>
      <c r="CK44" s="19"/>
      <c r="CL44" s="19"/>
      <c r="CM44" s="19"/>
      <c r="CN44" s="19">
        <v>39869600</v>
      </c>
      <c r="CO44" s="19"/>
      <c r="CP44" s="19"/>
      <c r="CQ44" s="19" t="s">
        <v>96</v>
      </c>
      <c r="CR44" s="19">
        <v>2281924178</v>
      </c>
      <c r="CS44" s="19"/>
      <c r="CT44" s="19"/>
      <c r="CU44" s="19"/>
      <c r="CV44" s="19"/>
      <c r="CW44" s="19"/>
      <c r="CX44" s="19"/>
      <c r="CY44" s="19">
        <v>12778855593</v>
      </c>
      <c r="CZ44" s="19"/>
      <c r="DA44" s="19"/>
      <c r="DB44" s="19">
        <v>126471180</v>
      </c>
      <c r="DC44" s="19"/>
      <c r="DD44" s="19"/>
      <c r="DE44" s="19" t="s">
        <v>89</v>
      </c>
      <c r="DF44" s="19"/>
      <c r="DG44" s="19">
        <v>24137469</v>
      </c>
      <c r="DH44" s="19"/>
      <c r="DI44" s="19" t="s">
        <v>128</v>
      </c>
      <c r="DJ44" s="19">
        <v>82000000</v>
      </c>
      <c r="DK44" s="19">
        <v>6677688614</v>
      </c>
      <c r="DL44" s="19"/>
      <c r="DM44" s="19"/>
      <c r="DN44" s="19">
        <v>61439988</v>
      </c>
      <c r="DO44" s="19"/>
      <c r="DP44" s="19"/>
      <c r="DQ44" s="19">
        <v>20395692</v>
      </c>
      <c r="DR44" s="19">
        <v>42161036</v>
      </c>
      <c r="DS44" s="19">
        <v>727346626</v>
      </c>
      <c r="DT44" s="19"/>
      <c r="DU44" s="19">
        <v>8721030</v>
      </c>
      <c r="DV44" s="19">
        <v>636831479</v>
      </c>
      <c r="DW44" s="19"/>
      <c r="DX44" s="19"/>
      <c r="DY44" s="19"/>
      <c r="DZ44" s="19"/>
      <c r="EA44" s="19"/>
      <c r="EB44" s="19"/>
      <c r="EC44" s="19">
        <v>12211398</v>
      </c>
      <c r="ED44" s="19"/>
      <c r="EE44" s="19">
        <v>155058568</v>
      </c>
      <c r="EF44" s="19"/>
      <c r="EG44" s="19"/>
      <c r="EH44" s="19">
        <v>137066981</v>
      </c>
      <c r="EI44" s="19">
        <v>2600000</v>
      </c>
      <c r="EJ44" s="19">
        <v>3454545</v>
      </c>
      <c r="EK44" s="19">
        <v>588939230</v>
      </c>
      <c r="EL44" s="19"/>
      <c r="EM44" s="19">
        <v>176781153</v>
      </c>
      <c r="EN44" s="19">
        <v>296170883</v>
      </c>
      <c r="EO44" s="19"/>
      <c r="EP44" s="19">
        <v>6407860</v>
      </c>
      <c r="EQ44" s="19">
        <v>218340050</v>
      </c>
      <c r="ER44" s="19">
        <v>400000</v>
      </c>
      <c r="ES44" s="19"/>
      <c r="ET44" s="19"/>
      <c r="EU44" s="19"/>
      <c r="EV44" s="19"/>
      <c r="EW44" s="19">
        <v>148540229</v>
      </c>
      <c r="EX44" s="19">
        <v>42214545</v>
      </c>
      <c r="EY44" s="19"/>
      <c r="EZ44" s="19">
        <v>181372822</v>
      </c>
      <c r="FA44" s="19">
        <v>56702976</v>
      </c>
      <c r="FB44" s="19"/>
      <c r="FC44" s="19"/>
      <c r="FD44" s="19"/>
      <c r="FE44" s="19"/>
      <c r="FF44" s="19"/>
      <c r="FG44" s="19"/>
      <c r="FH44" s="19"/>
      <c r="FI44" s="19"/>
      <c r="FJ44" s="19"/>
      <c r="FK44" s="19">
        <v>13059676</v>
      </c>
      <c r="FL44" s="19"/>
      <c r="FM44" s="19">
        <v>49069681</v>
      </c>
      <c r="FN44" s="19"/>
      <c r="FO44" s="19"/>
      <c r="FP44" s="19">
        <v>53820</v>
      </c>
      <c r="FQ44" s="19"/>
      <c r="FR44" s="19"/>
      <c r="FS44" s="19"/>
      <c r="FT44" s="19"/>
      <c r="FU44" s="19"/>
      <c r="FV44" s="19"/>
      <c r="FW44" s="19"/>
      <c r="FX44" s="19"/>
      <c r="FY44" s="19">
        <v>41166654</v>
      </c>
      <c r="FZ44" s="19"/>
      <c r="GA44" s="19">
        <v>695463142</v>
      </c>
      <c r="GB44" s="19"/>
      <c r="GC44" s="19"/>
      <c r="GD44" s="19" t="s">
        <v>96</v>
      </c>
      <c r="GE44" s="19">
        <v>3000000</v>
      </c>
      <c r="GF44" s="19"/>
      <c r="GG44" s="19">
        <v>32107933</v>
      </c>
      <c r="GH44" s="19"/>
      <c r="GI44" s="19"/>
      <c r="GJ44" s="19">
        <v>732631070</v>
      </c>
      <c r="GK44" s="19"/>
      <c r="GL44" s="19"/>
      <c r="GM44" s="19"/>
      <c r="GN44" s="19">
        <v>744935910</v>
      </c>
      <c r="GO44" s="19"/>
      <c r="GP44" s="19">
        <v>579731401</v>
      </c>
      <c r="GQ44" s="19"/>
      <c r="GR44" s="19"/>
      <c r="GS44" s="19">
        <v>142410067</v>
      </c>
      <c r="GT44" s="19">
        <v>655230949</v>
      </c>
      <c r="GU44" s="19">
        <v>17788600</v>
      </c>
      <c r="GV44" s="19"/>
      <c r="GW44" s="19">
        <v>222434344</v>
      </c>
      <c r="GX44" s="19">
        <v>7699985</v>
      </c>
      <c r="GY44" s="19">
        <v>57820000</v>
      </c>
      <c r="GZ44" s="19">
        <v>36468408</v>
      </c>
      <c r="HA44" s="19">
        <v>18688008</v>
      </c>
      <c r="HB44" s="37"/>
      <c r="HC44" s="19"/>
      <c r="HD44" s="19"/>
      <c r="HE44" s="19"/>
      <c r="HF44" s="19"/>
      <c r="HG44" s="19"/>
      <c r="HH44" s="19"/>
      <c r="HI44" s="19"/>
      <c r="HJ44" s="19"/>
      <c r="HK44" s="19"/>
      <c r="HL44" s="19">
        <v>886816282</v>
      </c>
      <c r="HM44" s="19"/>
      <c r="HN44" s="19"/>
      <c r="HO44" s="19"/>
      <c r="HP44" s="19">
        <v>942418522</v>
      </c>
      <c r="HQ44" s="41"/>
      <c r="HR44" s="41"/>
      <c r="HS44" s="41"/>
      <c r="HT44" s="41">
        <v>305737610</v>
      </c>
      <c r="HU44" s="41">
        <v>11308265</v>
      </c>
      <c r="HV44" s="41"/>
      <c r="HW44" s="41">
        <v>375222688</v>
      </c>
      <c r="HX44" s="41">
        <v>16276972</v>
      </c>
      <c r="HY44" s="41" t="s">
        <v>114</v>
      </c>
      <c r="HZ44" s="41">
        <v>10000000</v>
      </c>
      <c r="IA44" s="41">
        <v>59374499</v>
      </c>
      <c r="IB44" s="41"/>
      <c r="IC44" s="41">
        <v>735020043</v>
      </c>
      <c r="ID44" s="41"/>
      <c r="IE44" s="41" t="s">
        <v>4</v>
      </c>
      <c r="IF44" s="41">
        <v>11354000</v>
      </c>
      <c r="IG44" s="41"/>
      <c r="IH44" s="41">
        <v>29626363</v>
      </c>
      <c r="II44" s="41"/>
      <c r="IJ44" s="41"/>
      <c r="IK44" s="41"/>
      <c r="IL44" s="41"/>
      <c r="IM44" s="41">
        <v>59550000</v>
      </c>
      <c r="IN44" s="41"/>
      <c r="IO44" s="41"/>
      <c r="IP44" s="41">
        <v>157473160</v>
      </c>
      <c r="IQ44" s="41">
        <v>1459887660</v>
      </c>
      <c r="IR44" s="41">
        <v>2642402369</v>
      </c>
      <c r="IS44" s="41"/>
      <c r="IT44" s="41"/>
      <c r="IU44" s="41"/>
      <c r="IV44" s="41">
        <v>533706234</v>
      </c>
      <c r="IW44" s="41"/>
      <c r="IX44" s="41" t="s">
        <v>114</v>
      </c>
      <c r="IY44" s="41"/>
      <c r="IZ44" s="41">
        <v>134897334</v>
      </c>
      <c r="JA44" s="41"/>
      <c r="JB44" s="41"/>
      <c r="JC44" s="41"/>
      <c r="JD44" s="41"/>
      <c r="JE44" s="41" t="s">
        <v>114</v>
      </c>
      <c r="JF44" s="41"/>
      <c r="JG44" s="41">
        <v>95454545</v>
      </c>
      <c r="JH44" s="41"/>
      <c r="JI44" s="41"/>
      <c r="JJ44" s="41"/>
      <c r="JK44" s="41">
        <v>50870706</v>
      </c>
      <c r="JL44" s="41"/>
      <c r="JM44" s="41">
        <v>50022728</v>
      </c>
      <c r="JN44" s="41"/>
      <c r="JO44" s="41"/>
      <c r="JP44" s="41" t="s">
        <v>4</v>
      </c>
      <c r="JQ44" s="41"/>
      <c r="JR44" s="41">
        <v>75813634</v>
      </c>
      <c r="JS44" s="41"/>
      <c r="JT44" s="41"/>
      <c r="JU44" s="41">
        <v>33822380</v>
      </c>
      <c r="JV44" s="41"/>
      <c r="JW44" s="41">
        <v>1759886073</v>
      </c>
      <c r="JX44" s="41"/>
      <c r="JY44" s="41"/>
      <c r="JZ44" s="41"/>
      <c r="KA44" s="41">
        <v>396489389</v>
      </c>
      <c r="KB44" s="41">
        <v>142133715</v>
      </c>
      <c r="KC44" s="41">
        <v>262738179</v>
      </c>
      <c r="KD44" s="41"/>
    </row>
    <row r="45" spans="1:290">
      <c r="A45" s="9" t="s">
        <v>122</v>
      </c>
      <c r="B45" s="10" t="s">
        <v>144</v>
      </c>
      <c r="C45" s="19">
        <v>0</v>
      </c>
      <c r="D45" s="19">
        <v>3354576829</v>
      </c>
      <c r="E45" s="19">
        <v>794904094</v>
      </c>
      <c r="F45" s="19">
        <v>103651686</v>
      </c>
      <c r="G45" s="19">
        <v>238590309</v>
      </c>
      <c r="H45" s="19">
        <v>0</v>
      </c>
      <c r="I45" s="19">
        <v>0</v>
      </c>
      <c r="J45" s="19" t="s">
        <v>4</v>
      </c>
      <c r="K45" s="19">
        <v>2746014745</v>
      </c>
      <c r="L45" s="19" t="s">
        <v>130</v>
      </c>
      <c r="M45" s="19" t="s">
        <v>96</v>
      </c>
      <c r="N45" s="19">
        <v>389735952</v>
      </c>
      <c r="O45" s="19">
        <v>469674399</v>
      </c>
      <c r="P45" s="19">
        <v>0</v>
      </c>
      <c r="Q45" s="19">
        <v>141844730</v>
      </c>
      <c r="R45" s="19">
        <v>204886453</v>
      </c>
      <c r="S45" s="19">
        <v>7983789689</v>
      </c>
      <c r="T45" s="19" t="s">
        <v>96</v>
      </c>
      <c r="U45" s="19">
        <v>5704806</v>
      </c>
      <c r="V45" s="19" t="s">
        <v>128</v>
      </c>
      <c r="W45" s="19">
        <v>81822021</v>
      </c>
      <c r="X45" s="19">
        <v>1086819181</v>
      </c>
      <c r="Y45" s="19">
        <v>0</v>
      </c>
      <c r="Z45" s="19">
        <v>265894927</v>
      </c>
      <c r="AA45" s="19">
        <v>3185019928</v>
      </c>
      <c r="AB45" s="19">
        <v>0</v>
      </c>
      <c r="AC45" s="19">
        <v>1365402709</v>
      </c>
      <c r="AD45" s="19">
        <v>2174508438</v>
      </c>
      <c r="AE45" s="19">
        <v>249368337</v>
      </c>
      <c r="AF45" s="19">
        <v>0</v>
      </c>
      <c r="AG45" s="19">
        <v>10380000</v>
      </c>
      <c r="AH45" s="19">
        <v>508060882</v>
      </c>
      <c r="AI45" s="19">
        <v>2261047285</v>
      </c>
      <c r="AJ45" s="19">
        <v>467568531</v>
      </c>
      <c r="AK45" s="19" t="s">
        <v>89</v>
      </c>
      <c r="AL45" s="19">
        <v>753240</v>
      </c>
      <c r="AM45" s="19" t="s">
        <v>4</v>
      </c>
      <c r="AN45" s="19">
        <v>3617790</v>
      </c>
      <c r="AO45" s="19">
        <v>371986162</v>
      </c>
      <c r="AP45" s="19">
        <v>913545</v>
      </c>
      <c r="AQ45" s="19" t="s">
        <v>96</v>
      </c>
      <c r="AR45" s="19">
        <v>90972874</v>
      </c>
      <c r="AS45" s="19">
        <v>0</v>
      </c>
      <c r="AT45" s="19">
        <v>1129321559</v>
      </c>
      <c r="AU45" s="19">
        <v>0</v>
      </c>
      <c r="AV45" s="19">
        <v>0</v>
      </c>
      <c r="AW45" s="19">
        <v>403598128</v>
      </c>
      <c r="AX45" s="19" t="s">
        <v>4</v>
      </c>
      <c r="AY45" s="19">
        <v>87983799</v>
      </c>
      <c r="AZ45" s="19">
        <v>496792953</v>
      </c>
      <c r="BA45" s="19">
        <v>7195166625</v>
      </c>
      <c r="BB45" s="19">
        <v>0</v>
      </c>
      <c r="BC45" s="19" t="s">
        <v>4</v>
      </c>
      <c r="BD45" s="19" t="s">
        <v>128</v>
      </c>
      <c r="BE45" s="19">
        <v>796408535</v>
      </c>
      <c r="BF45" s="19">
        <v>1168252377</v>
      </c>
      <c r="BG45" s="19">
        <v>1637558365</v>
      </c>
      <c r="BH45" s="19">
        <v>425412525</v>
      </c>
      <c r="BI45" s="19">
        <v>295796513</v>
      </c>
      <c r="BJ45" s="19">
        <v>310090710</v>
      </c>
      <c r="BK45" s="19">
        <v>492027041</v>
      </c>
      <c r="BL45" s="19">
        <v>161934291</v>
      </c>
      <c r="BM45" s="19">
        <v>360340214</v>
      </c>
      <c r="BN45" s="19">
        <v>490283726</v>
      </c>
      <c r="BO45" s="19">
        <v>559052513</v>
      </c>
      <c r="BP45" s="19" t="s">
        <v>96</v>
      </c>
      <c r="BQ45" s="19" t="s">
        <v>4</v>
      </c>
      <c r="BR45" s="19">
        <v>1342513034</v>
      </c>
      <c r="BS45" s="19">
        <v>42545300</v>
      </c>
      <c r="BT45" s="19">
        <v>32619837</v>
      </c>
      <c r="BU45" s="19">
        <v>242953626</v>
      </c>
      <c r="BV45" s="19">
        <v>0</v>
      </c>
      <c r="BW45" s="19">
        <v>0</v>
      </c>
      <c r="BX45" s="19">
        <v>0</v>
      </c>
      <c r="BY45" s="19">
        <v>5688685969</v>
      </c>
      <c r="BZ45" s="19">
        <v>723171484</v>
      </c>
      <c r="CA45" s="19">
        <v>0</v>
      </c>
      <c r="CB45" s="19">
        <v>47002475</v>
      </c>
      <c r="CC45" s="19">
        <v>1271801910</v>
      </c>
      <c r="CD45" s="19">
        <v>1997606113</v>
      </c>
      <c r="CE45" s="19">
        <v>326600289</v>
      </c>
      <c r="CF45" s="19">
        <v>288049536</v>
      </c>
      <c r="CG45" s="19">
        <v>0</v>
      </c>
      <c r="CH45" s="19">
        <v>161878335</v>
      </c>
      <c r="CI45" s="19" t="s">
        <v>128</v>
      </c>
      <c r="CJ45" s="19" t="s">
        <v>89</v>
      </c>
      <c r="CK45" s="19">
        <v>2718224883</v>
      </c>
      <c r="CL45" s="19">
        <v>372929911</v>
      </c>
      <c r="CM45" s="19">
        <v>0</v>
      </c>
      <c r="CN45" s="19">
        <v>0</v>
      </c>
      <c r="CO45" s="19">
        <v>0</v>
      </c>
      <c r="CP45" s="19">
        <v>625918248</v>
      </c>
      <c r="CQ45" s="19" t="s">
        <v>96</v>
      </c>
      <c r="CR45" s="19">
        <v>1934377029</v>
      </c>
      <c r="CS45" s="19">
        <v>0</v>
      </c>
      <c r="CT45" s="19">
        <v>0</v>
      </c>
      <c r="CU45" s="19">
        <v>0</v>
      </c>
      <c r="CV45" s="19">
        <v>15621241</v>
      </c>
      <c r="CW45" s="19">
        <v>361132919</v>
      </c>
      <c r="CX45" s="19">
        <v>10380000</v>
      </c>
      <c r="CY45" s="19">
        <v>8534933475</v>
      </c>
      <c r="CZ45" s="19">
        <v>0</v>
      </c>
      <c r="DA45" s="19">
        <v>0</v>
      </c>
      <c r="DB45" s="19">
        <v>260274007</v>
      </c>
      <c r="DC45" s="19">
        <v>0</v>
      </c>
      <c r="DD45" s="19">
        <v>12439372</v>
      </c>
      <c r="DE45" s="19" t="s">
        <v>89</v>
      </c>
      <c r="DF45" s="19">
        <v>16412210</v>
      </c>
      <c r="DG45" s="19">
        <v>0</v>
      </c>
      <c r="DH45" s="19">
        <v>547566560</v>
      </c>
      <c r="DI45" s="19" t="s">
        <v>128</v>
      </c>
      <c r="DJ45" s="19">
        <v>0</v>
      </c>
      <c r="DK45" s="19">
        <v>9046177607</v>
      </c>
      <c r="DL45" s="19">
        <v>37808300</v>
      </c>
      <c r="DM45" s="19">
        <v>1961468195</v>
      </c>
      <c r="DN45" s="19">
        <v>680352280</v>
      </c>
      <c r="DO45" s="19">
        <v>0</v>
      </c>
      <c r="DP45" s="19">
        <v>1663813428</v>
      </c>
      <c r="DQ45" s="19">
        <v>191441170</v>
      </c>
      <c r="DR45" s="19">
        <v>440234598</v>
      </c>
      <c r="DS45" s="19">
        <v>0</v>
      </c>
      <c r="DT45" s="19">
        <v>30534115</v>
      </c>
      <c r="DU45" s="19">
        <v>0</v>
      </c>
      <c r="DV45" s="19">
        <v>273094348</v>
      </c>
      <c r="DW45" s="19">
        <v>1636283561</v>
      </c>
      <c r="DX45" s="19">
        <v>43312389</v>
      </c>
      <c r="DY45" s="19">
        <v>169264772</v>
      </c>
      <c r="DZ45" s="19">
        <v>1786634335</v>
      </c>
      <c r="EA45" s="19">
        <v>0</v>
      </c>
      <c r="EB45" s="19">
        <v>30446293</v>
      </c>
      <c r="EC45" s="19">
        <v>467425553</v>
      </c>
      <c r="ED45" s="19">
        <v>17746900</v>
      </c>
      <c r="EE45" s="19">
        <v>430375538</v>
      </c>
      <c r="EF45" s="19">
        <v>296227606</v>
      </c>
      <c r="EG45" s="19">
        <v>556960876</v>
      </c>
      <c r="EH45" s="19">
        <v>264246908</v>
      </c>
      <c r="EI45" s="19">
        <v>2311493882</v>
      </c>
      <c r="EJ45" s="19">
        <v>0</v>
      </c>
      <c r="EK45" s="19">
        <v>0</v>
      </c>
      <c r="EL45" s="19">
        <v>4403021126</v>
      </c>
      <c r="EM45" s="19">
        <v>616542061</v>
      </c>
      <c r="EN45" s="19">
        <v>0</v>
      </c>
      <c r="EO45" s="19">
        <v>698272988</v>
      </c>
      <c r="EP45" s="19">
        <v>260434109</v>
      </c>
      <c r="EQ45" s="19">
        <v>0</v>
      </c>
      <c r="ER45" s="19">
        <v>174057910</v>
      </c>
      <c r="ES45" s="19">
        <v>610943623</v>
      </c>
      <c r="ET45" s="19">
        <v>0</v>
      </c>
      <c r="EU45" s="19">
        <v>0</v>
      </c>
      <c r="EV45" s="19">
        <v>150136872</v>
      </c>
      <c r="EW45" s="19">
        <v>268257391</v>
      </c>
      <c r="EX45" s="19">
        <v>6010605</v>
      </c>
      <c r="EY45" s="19">
        <v>0</v>
      </c>
      <c r="EZ45" s="19">
        <v>83379579</v>
      </c>
      <c r="FA45" s="19">
        <v>647122745</v>
      </c>
      <c r="FB45" s="19">
        <v>948061931</v>
      </c>
      <c r="FC45" s="19">
        <v>1887853222</v>
      </c>
      <c r="FD45" s="19">
        <v>149852635</v>
      </c>
      <c r="FE45" s="19">
        <v>17388322404</v>
      </c>
      <c r="FF45" s="19">
        <v>0</v>
      </c>
      <c r="FG45" s="19">
        <v>1005573988</v>
      </c>
      <c r="FH45" s="19">
        <v>86600024</v>
      </c>
      <c r="FI45" s="19">
        <v>142225369</v>
      </c>
      <c r="FJ45" s="19">
        <v>15817418</v>
      </c>
      <c r="FK45" s="19">
        <v>962968984</v>
      </c>
      <c r="FL45" s="19">
        <v>239278851</v>
      </c>
      <c r="FM45" s="19">
        <v>4021700</v>
      </c>
      <c r="FN45" s="19">
        <v>0</v>
      </c>
      <c r="FO45" s="19">
        <v>0</v>
      </c>
      <c r="FP45" s="19">
        <v>0</v>
      </c>
      <c r="FQ45" s="19">
        <v>7388069</v>
      </c>
      <c r="FR45" s="19">
        <v>72365310</v>
      </c>
      <c r="FS45" s="19">
        <v>102116105</v>
      </c>
      <c r="FT45" s="19">
        <v>1974698821</v>
      </c>
      <c r="FU45" s="19">
        <v>0</v>
      </c>
      <c r="FV45" s="19">
        <v>870641153</v>
      </c>
      <c r="FW45" s="19">
        <v>49188421</v>
      </c>
      <c r="FX45" s="19">
        <v>0</v>
      </c>
      <c r="FY45" s="19">
        <v>643536818</v>
      </c>
      <c r="FZ45" s="19">
        <v>37674076</v>
      </c>
      <c r="GA45" s="19">
        <v>0</v>
      </c>
      <c r="GB45" s="19">
        <v>20752588</v>
      </c>
      <c r="GC45" s="19">
        <v>0</v>
      </c>
      <c r="GD45" s="19" t="s">
        <v>96</v>
      </c>
      <c r="GE45" s="19">
        <v>110964037</v>
      </c>
      <c r="GF45" s="19">
        <v>218762966</v>
      </c>
      <c r="GG45" s="19">
        <v>170859943</v>
      </c>
      <c r="GH45" s="19">
        <v>40097569</v>
      </c>
      <c r="GI45" s="19">
        <v>58149066</v>
      </c>
      <c r="GJ45" s="19">
        <v>463603579</v>
      </c>
      <c r="GK45" s="19">
        <v>25804820</v>
      </c>
      <c r="GL45" s="19">
        <v>281812285</v>
      </c>
      <c r="GM45" s="19">
        <v>0</v>
      </c>
      <c r="GN45" s="19">
        <v>9272288</v>
      </c>
      <c r="GO45" s="19">
        <v>365897856</v>
      </c>
      <c r="GP45" s="19">
        <v>5355442796</v>
      </c>
      <c r="GQ45" s="19">
        <v>271710015</v>
      </c>
      <c r="GR45" s="19">
        <v>379064963</v>
      </c>
      <c r="GS45" s="19">
        <v>0</v>
      </c>
      <c r="GT45" s="19">
        <v>224662952</v>
      </c>
      <c r="GU45" s="19">
        <v>0</v>
      </c>
      <c r="GV45" s="19">
        <v>46593107</v>
      </c>
      <c r="GW45" s="19">
        <v>593376078</v>
      </c>
      <c r="GX45" s="19">
        <v>1523716408</v>
      </c>
      <c r="GY45" s="19">
        <v>924309333</v>
      </c>
      <c r="GZ45" s="19">
        <v>428689221</v>
      </c>
      <c r="HA45" s="19">
        <v>310807584</v>
      </c>
      <c r="HB45" s="37">
        <v>0</v>
      </c>
      <c r="HC45" s="19">
        <v>175989057</v>
      </c>
      <c r="HD45" s="19">
        <v>122138720</v>
      </c>
      <c r="HE45" s="19">
        <v>188856191</v>
      </c>
      <c r="HF45" s="19">
        <v>0</v>
      </c>
      <c r="HG45" s="19">
        <v>29890610</v>
      </c>
      <c r="HH45" s="19">
        <v>66554357</v>
      </c>
      <c r="HI45" s="19">
        <v>0</v>
      </c>
      <c r="HJ45" s="19">
        <v>864916526</v>
      </c>
      <c r="HK45" s="19">
        <v>1882507105</v>
      </c>
      <c r="HL45" s="19">
        <v>0</v>
      </c>
      <c r="HM45" s="19">
        <v>5021076</v>
      </c>
      <c r="HN45" s="19">
        <v>0</v>
      </c>
      <c r="HO45" s="19">
        <v>831921967</v>
      </c>
      <c r="HP45" s="19">
        <v>0</v>
      </c>
      <c r="HQ45" s="41">
        <v>0</v>
      </c>
      <c r="HR45" s="41">
        <v>5217671321</v>
      </c>
      <c r="HS45" s="41">
        <v>128110047</v>
      </c>
      <c r="HT45" s="41">
        <v>12177375</v>
      </c>
      <c r="HU45" s="41">
        <v>0</v>
      </c>
      <c r="HV45" s="41">
        <v>62004251</v>
      </c>
      <c r="HW45" s="41">
        <v>0</v>
      </c>
      <c r="HX45" s="41">
        <v>1254819444</v>
      </c>
      <c r="HY45" s="41" t="s">
        <v>114</v>
      </c>
      <c r="HZ45" s="41">
        <v>951556985</v>
      </c>
      <c r="IA45" s="41">
        <v>0</v>
      </c>
      <c r="IB45" s="41">
        <v>50031288</v>
      </c>
      <c r="IC45" s="41">
        <v>398528466</v>
      </c>
      <c r="ID45" s="41">
        <v>146527834</v>
      </c>
      <c r="IE45" s="41" t="s">
        <v>4</v>
      </c>
      <c r="IF45" s="41">
        <v>180912128</v>
      </c>
      <c r="IG45" s="41">
        <v>13434820</v>
      </c>
      <c r="IH45" s="41">
        <v>575336748</v>
      </c>
      <c r="II45" s="41">
        <v>82855491</v>
      </c>
      <c r="IJ45" s="41">
        <v>262349639</v>
      </c>
      <c r="IK45" s="41">
        <v>165413858</v>
      </c>
      <c r="IL45" s="41">
        <v>79244040</v>
      </c>
      <c r="IM45" s="41">
        <v>0</v>
      </c>
      <c r="IN45" s="41">
        <v>0</v>
      </c>
      <c r="IO45" s="41">
        <v>95049154</v>
      </c>
      <c r="IP45" s="41">
        <v>898910090</v>
      </c>
      <c r="IQ45" s="41">
        <v>0</v>
      </c>
      <c r="IR45" s="41">
        <v>286228979</v>
      </c>
      <c r="IS45" s="41">
        <v>1335348922</v>
      </c>
      <c r="IT45" s="41">
        <v>2813724</v>
      </c>
      <c r="IU45" s="41">
        <v>0</v>
      </c>
      <c r="IV45" s="41">
        <v>0</v>
      </c>
      <c r="IW45" s="41">
        <v>0</v>
      </c>
      <c r="IX45" s="41" t="s">
        <v>114</v>
      </c>
      <c r="IY45" s="41">
        <v>10625935</v>
      </c>
      <c r="IZ45" s="41">
        <v>1045011715</v>
      </c>
      <c r="JA45" s="41">
        <v>136757591</v>
      </c>
      <c r="JB45" s="41">
        <v>87305978</v>
      </c>
      <c r="JC45" s="41">
        <v>0</v>
      </c>
      <c r="JD45" s="41">
        <v>294680580</v>
      </c>
      <c r="JE45" s="41" t="s">
        <v>114</v>
      </c>
      <c r="JF45" s="41">
        <v>0</v>
      </c>
      <c r="JG45" s="41">
        <v>623775333</v>
      </c>
      <c r="JH45" s="41">
        <v>21853364</v>
      </c>
      <c r="JI45" s="41">
        <v>0</v>
      </c>
      <c r="JJ45" s="41">
        <v>2180813290</v>
      </c>
      <c r="JK45" s="41">
        <v>492618901</v>
      </c>
      <c r="JL45" s="41">
        <v>41036809</v>
      </c>
      <c r="JM45" s="41">
        <v>45697389</v>
      </c>
      <c r="JN45" s="41">
        <v>1722433746</v>
      </c>
      <c r="JO45" s="41">
        <v>358062501</v>
      </c>
      <c r="JP45" s="41" t="s">
        <v>4</v>
      </c>
      <c r="JQ45" s="41">
        <v>78511711</v>
      </c>
      <c r="JR45" s="41">
        <v>23166437</v>
      </c>
      <c r="JS45" s="41">
        <v>86271265</v>
      </c>
      <c r="JT45" s="41">
        <v>0</v>
      </c>
      <c r="JU45" s="41">
        <v>0</v>
      </c>
      <c r="JV45" s="41">
        <v>331996659</v>
      </c>
      <c r="JW45" s="41">
        <v>40686575</v>
      </c>
      <c r="JX45" s="41">
        <v>20439720</v>
      </c>
      <c r="JY45" s="41">
        <v>0</v>
      </c>
      <c r="JZ45" s="41">
        <v>65076500</v>
      </c>
      <c r="KA45" s="41">
        <v>1865671433</v>
      </c>
      <c r="KB45" s="41">
        <v>2945797</v>
      </c>
      <c r="KC45" s="41">
        <v>117806359</v>
      </c>
      <c r="KD45" s="41">
        <v>11780787780</v>
      </c>
    </row>
    <row r="46" spans="1:290">
      <c r="A46" s="9" t="s">
        <v>122</v>
      </c>
      <c r="B46" s="15" t="s">
        <v>67</v>
      </c>
      <c r="C46" s="19">
        <v>0</v>
      </c>
      <c r="D46" s="19">
        <v>0</v>
      </c>
      <c r="E46" s="19"/>
      <c r="F46" s="19">
        <v>103651686</v>
      </c>
      <c r="G46" s="19">
        <v>0</v>
      </c>
      <c r="H46" s="19">
        <v>0</v>
      </c>
      <c r="I46" s="19"/>
      <c r="J46" s="19" t="s">
        <v>4</v>
      </c>
      <c r="K46" s="19"/>
      <c r="L46" s="19" t="s">
        <v>130</v>
      </c>
      <c r="M46" s="19" t="s">
        <v>96</v>
      </c>
      <c r="N46" s="19"/>
      <c r="O46" s="19"/>
      <c r="P46" s="19"/>
      <c r="Q46" s="19"/>
      <c r="R46" s="19">
        <v>204886453</v>
      </c>
      <c r="S46" s="19">
        <v>8350000</v>
      </c>
      <c r="T46" s="19" t="s">
        <v>96</v>
      </c>
      <c r="U46" s="19">
        <v>5704806</v>
      </c>
      <c r="V46" s="19" t="s">
        <v>128</v>
      </c>
      <c r="W46" s="19"/>
      <c r="X46" s="19"/>
      <c r="Y46" s="19"/>
      <c r="Z46" s="19">
        <v>265894927</v>
      </c>
      <c r="AA46" s="19"/>
      <c r="AB46" s="19"/>
      <c r="AC46" s="19"/>
      <c r="AD46" s="19"/>
      <c r="AE46" s="19"/>
      <c r="AF46" s="19"/>
      <c r="AG46" s="19">
        <v>10380000</v>
      </c>
      <c r="AH46" s="19">
        <v>508060882</v>
      </c>
      <c r="AI46" s="19">
        <v>2261047285</v>
      </c>
      <c r="AJ46" s="19">
        <v>467568531</v>
      </c>
      <c r="AK46" s="19" t="s">
        <v>89</v>
      </c>
      <c r="AL46" s="19"/>
      <c r="AM46" s="19" t="s">
        <v>4</v>
      </c>
      <c r="AN46" s="19"/>
      <c r="AO46" s="19"/>
      <c r="AP46" s="19">
        <v>913545</v>
      </c>
      <c r="AQ46" s="19" t="s">
        <v>96</v>
      </c>
      <c r="AR46" s="19">
        <v>90972874</v>
      </c>
      <c r="AS46" s="19"/>
      <c r="AT46" s="19"/>
      <c r="AU46" s="19"/>
      <c r="AV46" s="19"/>
      <c r="AW46" s="19"/>
      <c r="AX46" s="19" t="s">
        <v>4</v>
      </c>
      <c r="AY46" s="19"/>
      <c r="AZ46" s="19"/>
      <c r="BA46" s="19">
        <v>6978543143</v>
      </c>
      <c r="BB46" s="19"/>
      <c r="BC46" s="19" t="s">
        <v>4</v>
      </c>
      <c r="BD46" s="19" t="s">
        <v>128</v>
      </c>
      <c r="BE46" s="19"/>
      <c r="BF46" s="19">
        <v>303342391</v>
      </c>
      <c r="BG46" s="19">
        <v>283788926</v>
      </c>
      <c r="BH46" s="19">
        <v>16220282</v>
      </c>
      <c r="BI46" s="19">
        <v>295796513</v>
      </c>
      <c r="BJ46" s="19">
        <v>49660852</v>
      </c>
      <c r="BK46" s="19"/>
      <c r="BL46" s="19">
        <v>161934291</v>
      </c>
      <c r="BM46" s="19">
        <v>19376488</v>
      </c>
      <c r="BN46" s="19"/>
      <c r="BO46" s="19">
        <v>515667434</v>
      </c>
      <c r="BP46" s="19" t="s">
        <v>96</v>
      </c>
      <c r="BQ46" s="19" t="s">
        <v>4</v>
      </c>
      <c r="BR46" s="19"/>
      <c r="BS46" s="19">
        <v>42545300</v>
      </c>
      <c r="BT46" s="19">
        <v>32619837</v>
      </c>
      <c r="BU46" s="19"/>
      <c r="BV46" s="19"/>
      <c r="BW46" s="19"/>
      <c r="BX46" s="19"/>
      <c r="BY46" s="19">
        <v>5688685969</v>
      </c>
      <c r="BZ46" s="19">
        <v>723171484</v>
      </c>
      <c r="CA46" s="19"/>
      <c r="CB46" s="19">
        <v>47002475</v>
      </c>
      <c r="CC46" s="19">
        <v>1271801910</v>
      </c>
      <c r="CD46" s="19"/>
      <c r="CE46" s="19"/>
      <c r="CF46" s="19"/>
      <c r="CG46" s="19"/>
      <c r="CH46" s="19">
        <v>98609352</v>
      </c>
      <c r="CI46" s="19" t="s">
        <v>128</v>
      </c>
      <c r="CJ46" s="19" t="s">
        <v>89</v>
      </c>
      <c r="CK46" s="19">
        <v>190922603</v>
      </c>
      <c r="CL46" s="19"/>
      <c r="CM46" s="19"/>
      <c r="CN46" s="19"/>
      <c r="CO46" s="19"/>
      <c r="CP46" s="19">
        <v>478081342</v>
      </c>
      <c r="CQ46" s="19" t="s">
        <v>96</v>
      </c>
      <c r="CR46" s="19"/>
      <c r="CS46" s="19"/>
      <c r="CT46" s="19"/>
      <c r="CU46" s="19"/>
      <c r="CV46" s="19">
        <v>15621241</v>
      </c>
      <c r="CW46" s="19">
        <v>361132919</v>
      </c>
      <c r="CX46" s="19">
        <v>10380000</v>
      </c>
      <c r="CY46" s="19">
        <v>1810761016</v>
      </c>
      <c r="CZ46" s="19"/>
      <c r="DA46" s="19"/>
      <c r="DB46" s="19">
        <v>36701990</v>
      </c>
      <c r="DC46" s="19"/>
      <c r="DD46" s="19">
        <v>12439372</v>
      </c>
      <c r="DE46" s="19" t="s">
        <v>89</v>
      </c>
      <c r="DF46" s="19">
        <v>16412210</v>
      </c>
      <c r="DG46" s="19"/>
      <c r="DH46" s="19">
        <v>15463823</v>
      </c>
      <c r="DI46" s="19" t="s">
        <v>128</v>
      </c>
      <c r="DJ46" s="19"/>
      <c r="DK46" s="19">
        <v>251592074</v>
      </c>
      <c r="DL46" s="19">
        <v>37808300</v>
      </c>
      <c r="DM46" s="19">
        <v>1961468195</v>
      </c>
      <c r="DN46" s="19">
        <v>218658309</v>
      </c>
      <c r="DO46" s="19"/>
      <c r="DP46" s="19"/>
      <c r="DQ46" s="19"/>
      <c r="DR46" s="19"/>
      <c r="DS46" s="19"/>
      <c r="DT46" s="19">
        <v>30534115</v>
      </c>
      <c r="DU46" s="19"/>
      <c r="DV46" s="19"/>
      <c r="DW46" s="19">
        <v>352650637</v>
      </c>
      <c r="DX46" s="19">
        <v>43312389</v>
      </c>
      <c r="DY46" s="19"/>
      <c r="DZ46" s="19"/>
      <c r="EA46" s="19"/>
      <c r="EB46" s="19"/>
      <c r="EC46" s="19"/>
      <c r="ED46" s="19">
        <v>17746900</v>
      </c>
      <c r="EE46" s="19"/>
      <c r="EF46" s="19">
        <v>10923060</v>
      </c>
      <c r="EG46" s="19"/>
      <c r="EH46" s="19"/>
      <c r="EI46" s="19">
        <v>107291478</v>
      </c>
      <c r="EJ46" s="19"/>
      <c r="EK46" s="19"/>
      <c r="EL46" s="19"/>
      <c r="EM46" s="19"/>
      <c r="EN46" s="19"/>
      <c r="EO46" s="19"/>
      <c r="EP46" s="19"/>
      <c r="EQ46" s="19"/>
      <c r="ER46" s="19">
        <v>174057910</v>
      </c>
      <c r="ES46" s="19">
        <v>610943623</v>
      </c>
      <c r="ET46" s="19"/>
      <c r="EU46" s="19"/>
      <c r="EV46" s="19">
        <v>150136872</v>
      </c>
      <c r="EW46" s="19">
        <v>190729994</v>
      </c>
      <c r="EX46" s="19">
        <v>6010605</v>
      </c>
      <c r="EY46" s="19"/>
      <c r="EZ46" s="19">
        <v>17564934</v>
      </c>
      <c r="FA46" s="19">
        <v>5656000</v>
      </c>
      <c r="FB46" s="19">
        <v>565328587</v>
      </c>
      <c r="FC46" s="19">
        <v>88136963</v>
      </c>
      <c r="FD46" s="19"/>
      <c r="FE46" s="19">
        <v>17388322404</v>
      </c>
      <c r="FF46" s="19"/>
      <c r="FG46" s="19">
        <v>1005573988</v>
      </c>
      <c r="FH46" s="19">
        <v>37442581</v>
      </c>
      <c r="FI46" s="19">
        <v>142225369</v>
      </c>
      <c r="FJ46" s="19">
        <v>15817418</v>
      </c>
      <c r="FK46" s="19">
        <v>478655719</v>
      </c>
      <c r="FL46" s="19"/>
      <c r="FM46" s="19">
        <v>4021700</v>
      </c>
      <c r="FN46" s="19"/>
      <c r="FO46" s="19"/>
      <c r="FP46" s="19"/>
      <c r="FQ46" s="19"/>
      <c r="FR46" s="19">
        <v>72365310</v>
      </c>
      <c r="FS46" s="19"/>
      <c r="FT46" s="19"/>
      <c r="FU46" s="19"/>
      <c r="FV46" s="19"/>
      <c r="FW46" s="19">
        <v>34902366</v>
      </c>
      <c r="FX46" s="19"/>
      <c r="FY46" s="19">
        <v>643536818</v>
      </c>
      <c r="FZ46" s="19"/>
      <c r="GA46" s="19"/>
      <c r="GB46" s="19">
        <v>20752588</v>
      </c>
      <c r="GC46" s="19"/>
      <c r="GD46" s="19" t="s">
        <v>96</v>
      </c>
      <c r="GE46" s="19">
        <v>110964037</v>
      </c>
      <c r="GF46" s="19"/>
      <c r="GG46" s="19"/>
      <c r="GH46" s="19">
        <v>40097569</v>
      </c>
      <c r="GI46" s="19">
        <v>12683497</v>
      </c>
      <c r="GJ46" s="19"/>
      <c r="GK46" s="19"/>
      <c r="GL46" s="19">
        <v>281812285</v>
      </c>
      <c r="GM46" s="19"/>
      <c r="GN46" s="19">
        <v>9272288</v>
      </c>
      <c r="GO46" s="19"/>
      <c r="GP46" s="19">
        <v>1322091719</v>
      </c>
      <c r="GQ46" s="19"/>
      <c r="GR46" s="19">
        <v>142071330</v>
      </c>
      <c r="GS46" s="19"/>
      <c r="GT46" s="19">
        <v>224662952</v>
      </c>
      <c r="GU46" s="19"/>
      <c r="GV46" s="19">
        <v>46593107</v>
      </c>
      <c r="GW46" s="19">
        <v>94263198</v>
      </c>
      <c r="GX46" s="19">
        <v>64355923</v>
      </c>
      <c r="GY46" s="19"/>
      <c r="GZ46" s="19">
        <v>1126141</v>
      </c>
      <c r="HA46" s="19">
        <v>310807584</v>
      </c>
      <c r="HB46" s="37"/>
      <c r="HC46" s="19"/>
      <c r="HD46" s="19"/>
      <c r="HE46" s="19">
        <v>188856191</v>
      </c>
      <c r="HF46" s="19"/>
      <c r="HG46" s="19"/>
      <c r="HH46" s="19">
        <v>66554357</v>
      </c>
      <c r="HI46" s="19"/>
      <c r="HJ46" s="19">
        <v>331347042</v>
      </c>
      <c r="HK46" s="19">
        <v>741509250</v>
      </c>
      <c r="HL46" s="19"/>
      <c r="HM46" s="19">
        <v>5021076</v>
      </c>
      <c r="HN46" s="19"/>
      <c r="HO46" s="19"/>
      <c r="HP46" s="19"/>
      <c r="HQ46" s="41"/>
      <c r="HR46" s="41"/>
      <c r="HS46" s="41"/>
      <c r="HT46" s="41">
        <v>12177375</v>
      </c>
      <c r="HU46" s="41"/>
      <c r="HV46" s="41">
        <v>62004251</v>
      </c>
      <c r="HW46" s="41"/>
      <c r="HX46" s="41">
        <v>86388522</v>
      </c>
      <c r="HY46" s="41" t="s">
        <v>114</v>
      </c>
      <c r="HZ46" s="41"/>
      <c r="IA46" s="41"/>
      <c r="IB46" s="41">
        <v>50031288</v>
      </c>
      <c r="IC46" s="41">
        <v>333220519</v>
      </c>
      <c r="ID46" s="41">
        <v>146527834</v>
      </c>
      <c r="IE46" s="41" t="s">
        <v>4</v>
      </c>
      <c r="IF46" s="41"/>
      <c r="IG46" s="41">
        <v>13434820</v>
      </c>
      <c r="IH46" s="41">
        <v>20170292</v>
      </c>
      <c r="II46" s="41"/>
      <c r="IJ46" s="41">
        <v>262349639</v>
      </c>
      <c r="IK46" s="41">
        <v>32527166</v>
      </c>
      <c r="IL46" s="41">
        <v>32957331</v>
      </c>
      <c r="IM46" s="41"/>
      <c r="IN46" s="41"/>
      <c r="IO46" s="41"/>
      <c r="IP46" s="41">
        <v>898910090</v>
      </c>
      <c r="IQ46" s="41"/>
      <c r="IR46" s="41">
        <v>37141729</v>
      </c>
      <c r="IS46" s="41"/>
      <c r="IT46" s="41">
        <v>2012424</v>
      </c>
      <c r="IU46" s="41"/>
      <c r="IV46" s="41"/>
      <c r="IW46" s="41"/>
      <c r="IX46" s="41" t="s">
        <v>114</v>
      </c>
      <c r="IY46" s="41">
        <v>10625935</v>
      </c>
      <c r="IZ46" s="41"/>
      <c r="JA46" s="41"/>
      <c r="JB46" s="41">
        <v>87305978</v>
      </c>
      <c r="JC46" s="41"/>
      <c r="JD46" s="41">
        <v>294680580</v>
      </c>
      <c r="JE46" s="41" t="s">
        <v>114</v>
      </c>
      <c r="JF46" s="41"/>
      <c r="JG46" s="41">
        <v>39814160</v>
      </c>
      <c r="JH46" s="41">
        <v>21853364</v>
      </c>
      <c r="JI46" s="41"/>
      <c r="JJ46" s="41"/>
      <c r="JK46" s="41">
        <v>492618901</v>
      </c>
      <c r="JL46" s="41"/>
      <c r="JM46" s="41">
        <v>26594252</v>
      </c>
      <c r="JN46" s="41"/>
      <c r="JO46" s="41">
        <v>147740714</v>
      </c>
      <c r="JP46" s="41" t="s">
        <v>4</v>
      </c>
      <c r="JQ46" s="41"/>
      <c r="JR46" s="41">
        <v>23166437</v>
      </c>
      <c r="JS46" s="41">
        <v>86271265</v>
      </c>
      <c r="JT46" s="41"/>
      <c r="JU46" s="41"/>
      <c r="JV46" s="41"/>
      <c r="JW46" s="41">
        <v>40686575</v>
      </c>
      <c r="JX46" s="41"/>
      <c r="JY46" s="41"/>
      <c r="JZ46" s="41">
        <v>65076500</v>
      </c>
      <c r="KA46" s="41">
        <v>1621560662</v>
      </c>
      <c r="KB46" s="41">
        <v>2945797</v>
      </c>
      <c r="KC46" s="41"/>
      <c r="KD46" s="41">
        <v>11780787780</v>
      </c>
    </row>
    <row r="47" spans="1:290">
      <c r="A47" s="9" t="s">
        <v>122</v>
      </c>
      <c r="B47" s="15" t="s">
        <v>72</v>
      </c>
      <c r="C47" s="19">
        <v>0</v>
      </c>
      <c r="D47" s="19">
        <v>3354576829</v>
      </c>
      <c r="E47" s="19">
        <v>804814594</v>
      </c>
      <c r="F47" s="19">
        <v>0</v>
      </c>
      <c r="G47" s="19">
        <v>238590309</v>
      </c>
      <c r="H47" s="19">
        <v>0</v>
      </c>
      <c r="I47" s="19"/>
      <c r="J47" s="19" t="s">
        <v>4</v>
      </c>
      <c r="K47" s="19">
        <v>2746014745</v>
      </c>
      <c r="L47" s="19" t="s">
        <v>130</v>
      </c>
      <c r="M47" s="19" t="s">
        <v>96</v>
      </c>
      <c r="N47" s="19">
        <v>389735952</v>
      </c>
      <c r="O47" s="19"/>
      <c r="P47" s="19"/>
      <c r="Q47" s="19">
        <v>141844730</v>
      </c>
      <c r="R47" s="19"/>
      <c r="S47" s="19">
        <v>7975439689</v>
      </c>
      <c r="T47" s="19" t="s">
        <v>96</v>
      </c>
      <c r="U47" s="19"/>
      <c r="V47" s="19" t="s">
        <v>128</v>
      </c>
      <c r="W47" s="19">
        <v>81822021</v>
      </c>
      <c r="X47" s="19"/>
      <c r="Y47" s="19"/>
      <c r="Z47" s="19"/>
      <c r="AA47" s="19">
        <v>3185019928</v>
      </c>
      <c r="AB47" s="19"/>
      <c r="AC47" s="19">
        <v>1365402709</v>
      </c>
      <c r="AD47" s="19">
        <v>2174508438</v>
      </c>
      <c r="AE47" s="19">
        <v>140142418</v>
      </c>
      <c r="AF47" s="19"/>
      <c r="AG47" s="19"/>
      <c r="AH47" s="19"/>
      <c r="AI47" s="19"/>
      <c r="AJ47" s="19"/>
      <c r="AK47" s="19" t="s">
        <v>89</v>
      </c>
      <c r="AL47" s="19">
        <v>753240</v>
      </c>
      <c r="AM47" s="19" t="s">
        <v>4</v>
      </c>
      <c r="AN47" s="19">
        <v>3617790</v>
      </c>
      <c r="AO47" s="19"/>
      <c r="AP47" s="19"/>
      <c r="AQ47" s="19" t="s">
        <v>96</v>
      </c>
      <c r="AR47" s="19"/>
      <c r="AS47" s="19"/>
      <c r="AT47" s="19">
        <v>1129321559</v>
      </c>
      <c r="AU47" s="19"/>
      <c r="AV47" s="19"/>
      <c r="AW47" s="19">
        <v>403598128</v>
      </c>
      <c r="AX47" s="19" t="s">
        <v>4</v>
      </c>
      <c r="AY47" s="19">
        <v>87983799</v>
      </c>
      <c r="AZ47" s="19">
        <v>496792953</v>
      </c>
      <c r="BA47" s="19">
        <v>216623482</v>
      </c>
      <c r="BB47" s="19"/>
      <c r="BC47" s="19" t="s">
        <v>4</v>
      </c>
      <c r="BD47" s="19" t="s">
        <v>128</v>
      </c>
      <c r="BE47" s="19">
        <v>796408535</v>
      </c>
      <c r="BF47" s="19">
        <v>864909986</v>
      </c>
      <c r="BG47" s="19">
        <v>1221456758</v>
      </c>
      <c r="BH47" s="19">
        <v>409192243</v>
      </c>
      <c r="BI47" s="19"/>
      <c r="BJ47" s="19">
        <v>260429858</v>
      </c>
      <c r="BK47" s="19">
        <v>492027041</v>
      </c>
      <c r="BL47" s="19"/>
      <c r="BM47" s="19">
        <v>340963726</v>
      </c>
      <c r="BN47" s="19"/>
      <c r="BO47" s="19">
        <v>43385079</v>
      </c>
      <c r="BP47" s="19" t="s">
        <v>96</v>
      </c>
      <c r="BQ47" s="19" t="s">
        <v>4</v>
      </c>
      <c r="BR47" s="19">
        <v>1342513034</v>
      </c>
      <c r="BS47" s="19"/>
      <c r="BT47" s="19"/>
      <c r="BU47" s="19">
        <v>242953626</v>
      </c>
      <c r="BV47" s="19"/>
      <c r="BW47" s="19"/>
      <c r="BX47" s="19"/>
      <c r="BY47" s="19"/>
      <c r="BZ47" s="19"/>
      <c r="CA47" s="19"/>
      <c r="CB47" s="19"/>
      <c r="CC47" s="19"/>
      <c r="CD47" s="19">
        <v>1997606113</v>
      </c>
      <c r="CE47" s="19">
        <v>326600289</v>
      </c>
      <c r="CF47" s="19">
        <v>288049536</v>
      </c>
      <c r="CG47" s="19"/>
      <c r="CH47" s="19">
        <v>63268983</v>
      </c>
      <c r="CI47" s="19" t="s">
        <v>128</v>
      </c>
      <c r="CJ47" s="19" t="s">
        <v>89</v>
      </c>
      <c r="CK47" s="19">
        <v>2527302280</v>
      </c>
      <c r="CL47" s="19">
        <v>372929911</v>
      </c>
      <c r="CM47" s="19"/>
      <c r="CN47" s="19"/>
      <c r="CO47" s="19"/>
      <c r="CP47" s="19">
        <v>147836906</v>
      </c>
      <c r="CQ47" s="19" t="s">
        <v>96</v>
      </c>
      <c r="CR47" s="19"/>
      <c r="CS47" s="19"/>
      <c r="CT47" s="19"/>
      <c r="CU47" s="19"/>
      <c r="CV47" s="19"/>
      <c r="CW47" s="19"/>
      <c r="CX47" s="19"/>
      <c r="CY47" s="19"/>
      <c r="CZ47" s="19"/>
      <c r="DA47" s="19"/>
      <c r="DB47" s="19">
        <v>223572017</v>
      </c>
      <c r="DC47" s="19"/>
      <c r="DD47" s="19"/>
      <c r="DE47" s="19" t="s">
        <v>89</v>
      </c>
      <c r="DF47" s="19"/>
      <c r="DG47" s="19"/>
      <c r="DH47" s="19">
        <v>16946719</v>
      </c>
      <c r="DI47" s="19" t="s">
        <v>128</v>
      </c>
      <c r="DJ47" s="19"/>
      <c r="DK47" s="19">
        <v>2731073426</v>
      </c>
      <c r="DL47" s="19"/>
      <c r="DM47" s="19"/>
      <c r="DN47" s="19">
        <v>429749971</v>
      </c>
      <c r="DO47" s="19"/>
      <c r="DP47" s="19">
        <v>1663813428</v>
      </c>
      <c r="DQ47" s="19">
        <v>191441170</v>
      </c>
      <c r="DR47" s="19">
        <v>440234598</v>
      </c>
      <c r="DS47" s="19"/>
      <c r="DT47" s="19"/>
      <c r="DU47" s="19"/>
      <c r="DV47" s="19"/>
      <c r="DW47" s="19">
        <v>1283632924</v>
      </c>
      <c r="DX47" s="19"/>
      <c r="DY47" s="19">
        <v>169264772</v>
      </c>
      <c r="DZ47" s="19"/>
      <c r="EA47" s="19"/>
      <c r="EB47" s="19">
        <v>30446293</v>
      </c>
      <c r="EC47" s="19">
        <v>467425553</v>
      </c>
      <c r="ED47" s="19"/>
      <c r="EE47" s="19">
        <v>430375538</v>
      </c>
      <c r="EF47" s="19">
        <v>285304546</v>
      </c>
      <c r="EG47" s="19">
        <v>550127543</v>
      </c>
      <c r="EH47" s="19"/>
      <c r="EI47" s="19">
        <v>5941109</v>
      </c>
      <c r="EJ47" s="19"/>
      <c r="EK47" s="19"/>
      <c r="EL47" s="19">
        <v>4403021126</v>
      </c>
      <c r="EM47" s="19">
        <v>616542061</v>
      </c>
      <c r="EN47" s="19"/>
      <c r="EO47" s="19">
        <v>698272988</v>
      </c>
      <c r="EP47" s="19">
        <v>260434109</v>
      </c>
      <c r="EQ47" s="19"/>
      <c r="ER47" s="19"/>
      <c r="ES47" s="19"/>
      <c r="ET47" s="19"/>
      <c r="EU47" s="19"/>
      <c r="EV47" s="19"/>
      <c r="EW47" s="19">
        <v>77527397</v>
      </c>
      <c r="EX47" s="19"/>
      <c r="EY47" s="19"/>
      <c r="EZ47" s="19"/>
      <c r="FA47" s="19"/>
      <c r="FB47" s="19">
        <v>382733344</v>
      </c>
      <c r="FC47" s="19">
        <v>1799716259</v>
      </c>
      <c r="FD47" s="19">
        <v>149852635</v>
      </c>
      <c r="FE47" s="19"/>
      <c r="FF47" s="19"/>
      <c r="FG47" s="19"/>
      <c r="FH47" s="19">
        <v>49157443</v>
      </c>
      <c r="FI47" s="19"/>
      <c r="FJ47" s="19"/>
      <c r="FK47" s="19">
        <v>484313265</v>
      </c>
      <c r="FL47" s="19">
        <v>239278851</v>
      </c>
      <c r="FM47" s="19"/>
      <c r="FN47" s="19"/>
      <c r="FO47" s="19"/>
      <c r="FP47" s="19"/>
      <c r="FQ47" s="19">
        <v>7388069</v>
      </c>
      <c r="FR47" s="19"/>
      <c r="FS47" s="19">
        <v>102116105</v>
      </c>
      <c r="FT47" s="19">
        <v>1974698821</v>
      </c>
      <c r="FU47" s="19"/>
      <c r="FV47" s="19"/>
      <c r="FW47" s="19">
        <v>14286055</v>
      </c>
      <c r="FX47" s="19"/>
      <c r="FY47" s="19"/>
      <c r="FZ47" s="19"/>
      <c r="GA47" s="19"/>
      <c r="GB47" s="19"/>
      <c r="GC47" s="19"/>
      <c r="GD47" s="19" t="s">
        <v>96</v>
      </c>
      <c r="GE47" s="19"/>
      <c r="GF47" s="19">
        <v>218762966</v>
      </c>
      <c r="GG47" s="19">
        <v>170859943</v>
      </c>
      <c r="GH47" s="19"/>
      <c r="GI47" s="19">
        <v>45465569</v>
      </c>
      <c r="GJ47" s="19"/>
      <c r="GK47" s="19">
        <v>25804820</v>
      </c>
      <c r="GL47" s="19"/>
      <c r="GM47" s="19"/>
      <c r="GN47" s="19"/>
      <c r="GO47" s="19">
        <v>365897856</v>
      </c>
      <c r="GP47" s="19">
        <v>4033351077</v>
      </c>
      <c r="GQ47" s="19">
        <v>271710015</v>
      </c>
      <c r="GR47" s="19">
        <v>236993633</v>
      </c>
      <c r="GS47" s="19"/>
      <c r="GT47" s="19"/>
      <c r="GU47" s="19"/>
      <c r="GV47" s="19"/>
      <c r="GW47" s="19">
        <v>499112880</v>
      </c>
      <c r="GX47" s="19">
        <v>1459360485</v>
      </c>
      <c r="GY47" s="19">
        <v>924309333</v>
      </c>
      <c r="GZ47" s="19">
        <v>427563080</v>
      </c>
      <c r="HA47" s="19"/>
      <c r="HB47" s="37"/>
      <c r="HC47" s="19">
        <v>175989057</v>
      </c>
      <c r="HD47" s="19">
        <v>122138720</v>
      </c>
      <c r="HE47" s="19"/>
      <c r="HF47" s="19"/>
      <c r="HG47" s="19">
        <v>29890610</v>
      </c>
      <c r="HH47" s="19"/>
      <c r="HI47" s="19"/>
      <c r="HJ47" s="19">
        <v>533569484</v>
      </c>
      <c r="HK47" s="19">
        <v>1140997855</v>
      </c>
      <c r="HL47" s="19"/>
      <c r="HM47" s="19"/>
      <c r="HN47" s="19"/>
      <c r="HO47" s="19">
        <v>601831163</v>
      </c>
      <c r="HP47" s="19"/>
      <c r="HQ47" s="41"/>
      <c r="HR47" s="41">
        <v>5217671321</v>
      </c>
      <c r="HS47" s="41">
        <v>128110047</v>
      </c>
      <c r="HT47" s="41"/>
      <c r="HU47" s="41"/>
      <c r="HV47" s="41"/>
      <c r="HW47" s="41"/>
      <c r="HX47" s="41">
        <v>1168430922</v>
      </c>
      <c r="HY47" s="41" t="s">
        <v>114</v>
      </c>
      <c r="HZ47" s="41"/>
      <c r="IA47" s="41"/>
      <c r="IB47" s="41"/>
      <c r="IC47" s="41">
        <v>65307947</v>
      </c>
      <c r="ID47" s="41"/>
      <c r="IE47" s="41" t="s">
        <v>4</v>
      </c>
      <c r="IF47" s="41"/>
      <c r="IG47" s="41"/>
      <c r="IH47" s="41"/>
      <c r="II47" s="41">
        <v>82855491</v>
      </c>
      <c r="IJ47" s="41"/>
      <c r="IK47" s="41">
        <v>132886692</v>
      </c>
      <c r="IL47" s="41">
        <v>46286709</v>
      </c>
      <c r="IM47" s="41"/>
      <c r="IN47" s="41"/>
      <c r="IO47" s="41">
        <v>95049154</v>
      </c>
      <c r="IP47" s="41"/>
      <c r="IQ47" s="41"/>
      <c r="IR47" s="41"/>
      <c r="IS47" s="41">
        <v>1335348922</v>
      </c>
      <c r="IT47" s="41">
        <v>801300</v>
      </c>
      <c r="IU47" s="41"/>
      <c r="IV47" s="41"/>
      <c r="IW47" s="41"/>
      <c r="IX47" s="41" t="s">
        <v>114</v>
      </c>
      <c r="IY47" s="41"/>
      <c r="IZ47" s="41">
        <v>949670138</v>
      </c>
      <c r="JA47" s="41">
        <v>136757591</v>
      </c>
      <c r="JB47" s="41"/>
      <c r="JC47" s="41"/>
      <c r="JD47" s="41"/>
      <c r="JE47" s="41" t="s">
        <v>114</v>
      </c>
      <c r="JF47" s="41"/>
      <c r="JG47" s="41"/>
      <c r="JH47" s="41"/>
      <c r="JI47" s="41"/>
      <c r="JJ47" s="41">
        <v>2180813290</v>
      </c>
      <c r="JK47" s="41"/>
      <c r="JL47" s="41">
        <v>41036809</v>
      </c>
      <c r="JM47" s="41">
        <v>19103137</v>
      </c>
      <c r="JN47" s="41">
        <v>1722433746</v>
      </c>
      <c r="JO47" s="41">
        <v>210321787</v>
      </c>
      <c r="JP47" s="41" t="s">
        <v>4</v>
      </c>
      <c r="JQ47" s="41">
        <v>78511711</v>
      </c>
      <c r="JR47" s="41"/>
      <c r="JS47" s="41"/>
      <c r="JT47" s="41"/>
      <c r="JU47" s="41"/>
      <c r="JV47" s="41">
        <v>331996659</v>
      </c>
      <c r="JW47" s="41"/>
      <c r="JX47" s="41"/>
      <c r="JY47" s="41"/>
      <c r="JZ47" s="41"/>
      <c r="KA47" s="41">
        <v>244110771</v>
      </c>
      <c r="KB47" s="41"/>
      <c r="KC47" s="41"/>
      <c r="KD47" s="41"/>
    </row>
    <row r="48" spans="1:290">
      <c r="A48" s="9" t="s">
        <v>122</v>
      </c>
      <c r="B48" s="15" t="s">
        <v>63</v>
      </c>
      <c r="C48" s="19">
        <v>0</v>
      </c>
      <c r="D48" s="19">
        <v>0</v>
      </c>
      <c r="E48" s="19"/>
      <c r="F48" s="19">
        <v>0</v>
      </c>
      <c r="G48" s="19">
        <v>0</v>
      </c>
      <c r="H48" s="19">
        <v>0</v>
      </c>
      <c r="I48" s="19"/>
      <c r="J48" s="19" t="s">
        <v>4</v>
      </c>
      <c r="K48" s="19"/>
      <c r="L48" s="19" t="s">
        <v>130</v>
      </c>
      <c r="M48" s="19" t="s">
        <v>96</v>
      </c>
      <c r="N48" s="19"/>
      <c r="O48" s="19">
        <v>469674399</v>
      </c>
      <c r="P48" s="19"/>
      <c r="Q48" s="19"/>
      <c r="R48" s="19"/>
      <c r="S48" s="19"/>
      <c r="T48" s="19" t="s">
        <v>96</v>
      </c>
      <c r="U48" s="19"/>
      <c r="V48" s="19" t="s">
        <v>128</v>
      </c>
      <c r="W48" s="19"/>
      <c r="X48" s="19">
        <v>1086819181</v>
      </c>
      <c r="Y48" s="19"/>
      <c r="Z48" s="19"/>
      <c r="AA48" s="19"/>
      <c r="AB48" s="19"/>
      <c r="AC48" s="19"/>
      <c r="AD48" s="19"/>
      <c r="AE48" s="19">
        <v>109225919</v>
      </c>
      <c r="AF48" s="19"/>
      <c r="AG48" s="19"/>
      <c r="AH48" s="19"/>
      <c r="AI48" s="19"/>
      <c r="AJ48" s="19"/>
      <c r="AK48" s="19" t="s">
        <v>89</v>
      </c>
      <c r="AL48" s="19"/>
      <c r="AM48" s="19" t="s">
        <v>4</v>
      </c>
      <c r="AN48" s="19"/>
      <c r="AO48" s="19">
        <v>371986162</v>
      </c>
      <c r="AP48" s="19"/>
      <c r="AQ48" s="19" t="s">
        <v>96</v>
      </c>
      <c r="AR48" s="19"/>
      <c r="AS48" s="19"/>
      <c r="AT48" s="19"/>
      <c r="AU48" s="19"/>
      <c r="AV48" s="19"/>
      <c r="AW48" s="19"/>
      <c r="AX48" s="19" t="s">
        <v>4</v>
      </c>
      <c r="AY48" s="19"/>
      <c r="AZ48" s="19"/>
      <c r="BA48" s="19"/>
      <c r="BB48" s="19"/>
      <c r="BC48" s="19" t="s">
        <v>4</v>
      </c>
      <c r="BD48" s="19" t="s">
        <v>128</v>
      </c>
      <c r="BE48" s="19"/>
      <c r="BF48" s="19"/>
      <c r="BG48" s="19">
        <v>132312681</v>
      </c>
      <c r="BH48" s="19"/>
      <c r="BI48" s="19"/>
      <c r="BJ48" s="19"/>
      <c r="BK48" s="19"/>
      <c r="BL48" s="19"/>
      <c r="BM48" s="19"/>
      <c r="BN48" s="19">
        <v>490283726</v>
      </c>
      <c r="BO48" s="19"/>
      <c r="BP48" s="19" t="s">
        <v>96</v>
      </c>
      <c r="BQ48" s="19" t="s">
        <v>4</v>
      </c>
      <c r="BR48" s="19"/>
      <c r="BS48" s="19"/>
      <c r="BT48" s="19"/>
      <c r="BU48" s="19"/>
      <c r="BV48" s="19"/>
      <c r="BW48" s="19"/>
      <c r="BX48" s="19"/>
      <c r="BY48" s="19"/>
      <c r="BZ48" s="19"/>
      <c r="CA48" s="19"/>
      <c r="CB48" s="19"/>
      <c r="CC48" s="19"/>
      <c r="CD48" s="19"/>
      <c r="CE48" s="19"/>
      <c r="CF48" s="19"/>
      <c r="CG48" s="19"/>
      <c r="CH48" s="19"/>
      <c r="CI48" s="19" t="s">
        <v>128</v>
      </c>
      <c r="CJ48" s="19" t="s">
        <v>89</v>
      </c>
      <c r="CK48" s="19"/>
      <c r="CL48" s="19"/>
      <c r="CM48" s="19"/>
      <c r="CN48" s="19"/>
      <c r="CO48" s="19"/>
      <c r="CP48" s="19"/>
      <c r="CQ48" s="19" t="s">
        <v>96</v>
      </c>
      <c r="CR48" s="19"/>
      <c r="CS48" s="19"/>
      <c r="CT48" s="19"/>
      <c r="CU48" s="19"/>
      <c r="CV48" s="19"/>
      <c r="CW48" s="19"/>
      <c r="CX48" s="19"/>
      <c r="CY48" s="19"/>
      <c r="CZ48" s="19"/>
      <c r="DA48" s="19"/>
      <c r="DB48" s="19"/>
      <c r="DC48" s="19"/>
      <c r="DD48" s="19"/>
      <c r="DE48" s="19" t="s">
        <v>89</v>
      </c>
      <c r="DF48" s="19"/>
      <c r="DG48" s="19"/>
      <c r="DH48" s="19">
        <v>515156018</v>
      </c>
      <c r="DI48" s="19" t="s">
        <v>128</v>
      </c>
      <c r="DJ48" s="19"/>
      <c r="DK48" s="19"/>
      <c r="DL48" s="19"/>
      <c r="DM48" s="19"/>
      <c r="DN48" s="19"/>
      <c r="DO48" s="19"/>
      <c r="DP48" s="19"/>
      <c r="DQ48" s="19"/>
      <c r="DR48" s="19"/>
      <c r="DS48" s="19"/>
      <c r="DT48" s="19"/>
      <c r="DU48" s="19"/>
      <c r="DV48" s="19"/>
      <c r="DW48" s="19"/>
      <c r="DX48" s="19"/>
      <c r="DY48" s="19"/>
      <c r="DZ48" s="19">
        <v>1786634335</v>
      </c>
      <c r="EA48" s="19"/>
      <c r="EB48" s="19"/>
      <c r="EC48" s="19"/>
      <c r="ED48" s="19"/>
      <c r="EE48" s="19"/>
      <c r="EF48" s="19"/>
      <c r="EG48" s="19">
        <v>6833333</v>
      </c>
      <c r="EH48" s="19">
        <v>264246908</v>
      </c>
      <c r="EI48" s="19">
        <v>2198261295</v>
      </c>
      <c r="EJ48" s="19"/>
      <c r="EK48" s="19"/>
      <c r="EL48" s="19"/>
      <c r="EM48" s="19"/>
      <c r="EN48" s="19"/>
      <c r="EO48" s="19"/>
      <c r="EP48" s="19"/>
      <c r="EQ48" s="19"/>
      <c r="ER48" s="19"/>
      <c r="ES48" s="19"/>
      <c r="ET48" s="19"/>
      <c r="EU48" s="19"/>
      <c r="EV48" s="19"/>
      <c r="EW48" s="19"/>
      <c r="EX48" s="19"/>
      <c r="EY48" s="19"/>
      <c r="EZ48" s="19">
        <v>65814645</v>
      </c>
      <c r="FA48" s="19">
        <v>641466745</v>
      </c>
      <c r="FB48" s="19"/>
      <c r="FC48" s="19"/>
      <c r="FD48" s="19"/>
      <c r="FE48" s="19"/>
      <c r="FF48" s="19"/>
      <c r="FG48" s="19"/>
      <c r="FH48" s="19"/>
      <c r="FI48" s="19"/>
      <c r="FJ48" s="19"/>
      <c r="FK48" s="19"/>
      <c r="FL48" s="19"/>
      <c r="FM48" s="19"/>
      <c r="FN48" s="19"/>
      <c r="FO48" s="19"/>
      <c r="FP48" s="19"/>
      <c r="FQ48" s="19"/>
      <c r="FR48" s="19"/>
      <c r="FS48" s="19"/>
      <c r="FT48" s="19"/>
      <c r="FU48" s="19"/>
      <c r="FV48" s="19">
        <v>870641153</v>
      </c>
      <c r="FW48" s="19"/>
      <c r="FX48" s="19"/>
      <c r="FY48" s="19"/>
      <c r="FZ48" s="19">
        <v>37674076</v>
      </c>
      <c r="GA48" s="19"/>
      <c r="GB48" s="19"/>
      <c r="GC48" s="19"/>
      <c r="GD48" s="19" t="s">
        <v>96</v>
      </c>
      <c r="GE48" s="19"/>
      <c r="GF48" s="19"/>
      <c r="GG48" s="19"/>
      <c r="GH48" s="19"/>
      <c r="GI48" s="19"/>
      <c r="GJ48" s="19">
        <v>463603579</v>
      </c>
      <c r="GK48" s="19"/>
      <c r="GL48" s="19"/>
      <c r="GM48" s="19"/>
      <c r="GN48" s="19"/>
      <c r="GO48" s="19"/>
      <c r="GP48" s="19"/>
      <c r="GQ48" s="19"/>
      <c r="GR48" s="19"/>
      <c r="GS48" s="19"/>
      <c r="GT48" s="19"/>
      <c r="GU48" s="19"/>
      <c r="GV48" s="19"/>
      <c r="GW48" s="19"/>
      <c r="GX48" s="19"/>
      <c r="GY48" s="19"/>
      <c r="GZ48" s="19"/>
      <c r="HA48" s="19"/>
      <c r="HB48" s="37"/>
      <c r="HC48" s="19"/>
      <c r="HD48" s="19"/>
      <c r="HE48" s="19"/>
      <c r="HF48" s="19"/>
      <c r="HG48" s="19"/>
      <c r="HH48" s="19"/>
      <c r="HI48" s="19"/>
      <c r="HJ48" s="19"/>
      <c r="HK48" s="19"/>
      <c r="HL48" s="19"/>
      <c r="HM48" s="19"/>
      <c r="HN48" s="19"/>
      <c r="HO48" s="19">
        <v>230090804</v>
      </c>
      <c r="HP48" s="19"/>
      <c r="HQ48" s="41"/>
      <c r="HR48" s="41"/>
      <c r="HS48" s="41"/>
      <c r="HT48" s="41"/>
      <c r="HU48" s="41"/>
      <c r="HV48" s="41"/>
      <c r="HW48" s="41"/>
      <c r="HX48" s="41"/>
      <c r="HY48" s="41" t="s">
        <v>114</v>
      </c>
      <c r="HZ48" s="41"/>
      <c r="IA48" s="41"/>
      <c r="IB48" s="41"/>
      <c r="IC48" s="41"/>
      <c r="ID48" s="41"/>
      <c r="IE48" s="41" t="s">
        <v>4</v>
      </c>
      <c r="IF48" s="41">
        <v>148510278</v>
      </c>
      <c r="IG48" s="41"/>
      <c r="IH48" s="41">
        <v>555166456</v>
      </c>
      <c r="II48" s="41"/>
      <c r="IJ48" s="41"/>
      <c r="IK48" s="41"/>
      <c r="IL48" s="41"/>
      <c r="IM48" s="41"/>
      <c r="IN48" s="41"/>
      <c r="IO48" s="41"/>
      <c r="IP48" s="41"/>
      <c r="IQ48" s="41"/>
      <c r="IR48" s="41">
        <v>249087250</v>
      </c>
      <c r="IS48" s="41"/>
      <c r="IT48" s="41"/>
      <c r="IU48" s="41"/>
      <c r="IV48" s="41"/>
      <c r="IW48" s="41"/>
      <c r="IX48" s="41" t="s">
        <v>114</v>
      </c>
      <c r="IY48" s="41"/>
      <c r="IZ48" s="41"/>
      <c r="JA48" s="41"/>
      <c r="JB48" s="41"/>
      <c r="JC48" s="41"/>
      <c r="JD48" s="41"/>
      <c r="JE48" s="41" t="s">
        <v>114</v>
      </c>
      <c r="JF48" s="41"/>
      <c r="JG48" s="41">
        <v>583961173</v>
      </c>
      <c r="JH48" s="41"/>
      <c r="JI48" s="41"/>
      <c r="JJ48" s="41"/>
      <c r="JK48" s="41"/>
      <c r="JL48" s="41"/>
      <c r="JM48" s="41"/>
      <c r="JN48" s="41"/>
      <c r="JO48" s="41"/>
      <c r="JP48" s="41" t="s">
        <v>4</v>
      </c>
      <c r="JQ48" s="41"/>
      <c r="JR48" s="41"/>
      <c r="JS48" s="41"/>
      <c r="JT48" s="41"/>
      <c r="JU48" s="41"/>
      <c r="JV48" s="41"/>
      <c r="JW48" s="41"/>
      <c r="JX48" s="41">
        <v>20439720</v>
      </c>
      <c r="JY48" s="41"/>
      <c r="JZ48" s="41"/>
      <c r="KA48" s="41"/>
      <c r="KB48" s="41"/>
      <c r="KC48" s="41"/>
      <c r="KD48" s="41"/>
    </row>
    <row r="49" spans="1:290">
      <c r="A49" s="9" t="s">
        <v>122</v>
      </c>
      <c r="B49" s="15" t="s">
        <v>64</v>
      </c>
      <c r="C49" s="19">
        <v>0</v>
      </c>
      <c r="D49" s="19">
        <v>0</v>
      </c>
      <c r="E49" s="19">
        <v>-9910500</v>
      </c>
      <c r="F49" s="19">
        <v>0</v>
      </c>
      <c r="G49" s="19">
        <v>0</v>
      </c>
      <c r="H49" s="19">
        <v>0</v>
      </c>
      <c r="I49" s="19"/>
      <c r="J49" s="19" t="s">
        <v>4</v>
      </c>
      <c r="K49" s="19"/>
      <c r="L49" s="19" t="s">
        <v>130</v>
      </c>
      <c r="M49" s="19" t="s">
        <v>96</v>
      </c>
      <c r="N49" s="19"/>
      <c r="O49" s="19"/>
      <c r="P49" s="19"/>
      <c r="Q49" s="19"/>
      <c r="R49" s="19"/>
      <c r="S49" s="19"/>
      <c r="T49" s="19" t="s">
        <v>96</v>
      </c>
      <c r="U49" s="19"/>
      <c r="V49" s="19" t="s">
        <v>128</v>
      </c>
      <c r="W49" s="19"/>
      <c r="X49" s="19"/>
      <c r="Y49" s="19"/>
      <c r="Z49" s="19"/>
      <c r="AA49" s="19"/>
      <c r="AB49" s="19"/>
      <c r="AC49" s="19"/>
      <c r="AD49" s="19"/>
      <c r="AE49" s="19"/>
      <c r="AF49" s="19"/>
      <c r="AG49" s="19"/>
      <c r="AH49" s="19"/>
      <c r="AI49" s="19"/>
      <c r="AJ49" s="19"/>
      <c r="AK49" s="19" t="s">
        <v>89</v>
      </c>
      <c r="AL49" s="19"/>
      <c r="AM49" s="19" t="s">
        <v>4</v>
      </c>
      <c r="AN49" s="19"/>
      <c r="AO49" s="19"/>
      <c r="AP49" s="19"/>
      <c r="AQ49" s="19" t="s">
        <v>96</v>
      </c>
      <c r="AR49" s="19"/>
      <c r="AS49" s="19"/>
      <c r="AT49" s="19"/>
      <c r="AU49" s="19"/>
      <c r="AV49" s="19"/>
      <c r="AW49" s="19"/>
      <c r="AX49" s="19" t="s">
        <v>4</v>
      </c>
      <c r="AY49" s="19"/>
      <c r="AZ49" s="19"/>
      <c r="BA49" s="19"/>
      <c r="BB49" s="19"/>
      <c r="BC49" s="19" t="s">
        <v>4</v>
      </c>
      <c r="BD49" s="19" t="s">
        <v>128</v>
      </c>
      <c r="BE49" s="19"/>
      <c r="BF49" s="19"/>
      <c r="BG49" s="19"/>
      <c r="BH49" s="19"/>
      <c r="BI49" s="19"/>
      <c r="BJ49" s="19"/>
      <c r="BK49" s="19"/>
      <c r="BL49" s="19"/>
      <c r="BM49" s="19"/>
      <c r="BN49" s="19"/>
      <c r="BO49" s="19"/>
      <c r="BP49" s="19" t="s">
        <v>96</v>
      </c>
      <c r="BQ49" s="19" t="s">
        <v>4</v>
      </c>
      <c r="BR49" s="19"/>
      <c r="BS49" s="19"/>
      <c r="BT49" s="19"/>
      <c r="BU49" s="19"/>
      <c r="BV49" s="19"/>
      <c r="BW49" s="19"/>
      <c r="BX49" s="19"/>
      <c r="BY49" s="19"/>
      <c r="BZ49" s="19"/>
      <c r="CA49" s="19"/>
      <c r="CB49" s="19"/>
      <c r="CC49" s="19"/>
      <c r="CD49" s="19"/>
      <c r="CE49" s="19"/>
      <c r="CF49" s="19"/>
      <c r="CG49" s="19"/>
      <c r="CH49" s="19"/>
      <c r="CI49" s="19" t="s">
        <v>128</v>
      </c>
      <c r="CJ49" s="19" t="s">
        <v>89</v>
      </c>
      <c r="CK49" s="19"/>
      <c r="CL49" s="19"/>
      <c r="CM49" s="19"/>
      <c r="CN49" s="19"/>
      <c r="CO49" s="19"/>
      <c r="CP49" s="19"/>
      <c r="CQ49" s="19" t="s">
        <v>96</v>
      </c>
      <c r="CR49" s="19">
        <v>1934377029</v>
      </c>
      <c r="CS49" s="19"/>
      <c r="CT49" s="19"/>
      <c r="CU49" s="19"/>
      <c r="CV49" s="19"/>
      <c r="CW49" s="19"/>
      <c r="CX49" s="19"/>
      <c r="CY49" s="19">
        <v>6724172459</v>
      </c>
      <c r="CZ49" s="19"/>
      <c r="DA49" s="19"/>
      <c r="DB49" s="19"/>
      <c r="DC49" s="19"/>
      <c r="DD49" s="19"/>
      <c r="DE49" s="19" t="s">
        <v>89</v>
      </c>
      <c r="DF49" s="19"/>
      <c r="DG49" s="19"/>
      <c r="DH49" s="19"/>
      <c r="DI49" s="19" t="s">
        <v>128</v>
      </c>
      <c r="DJ49" s="19"/>
      <c r="DK49" s="19">
        <v>6063512107</v>
      </c>
      <c r="DL49" s="19"/>
      <c r="DM49" s="19"/>
      <c r="DN49" s="19">
        <v>31944000</v>
      </c>
      <c r="DO49" s="19"/>
      <c r="DP49" s="19"/>
      <c r="DQ49" s="19"/>
      <c r="DR49" s="19"/>
      <c r="DS49" s="19"/>
      <c r="DT49" s="19"/>
      <c r="DU49" s="19"/>
      <c r="DV49" s="19"/>
      <c r="DW49" s="19"/>
      <c r="DX49" s="19"/>
      <c r="DY49" s="19"/>
      <c r="DZ49" s="19"/>
      <c r="EA49" s="19"/>
      <c r="EB49" s="19"/>
      <c r="EC49" s="19"/>
      <c r="ED49" s="19"/>
      <c r="EE49" s="19"/>
      <c r="EF49" s="19"/>
      <c r="EG49" s="19"/>
      <c r="EH49" s="19"/>
      <c r="EI49" s="19"/>
      <c r="EJ49" s="19"/>
      <c r="EK49" s="19"/>
      <c r="EL49" s="19"/>
      <c r="EM49" s="19"/>
      <c r="EN49" s="19"/>
      <c r="EO49" s="19"/>
      <c r="EP49" s="19"/>
      <c r="EQ49" s="19"/>
      <c r="ER49" s="19"/>
      <c r="ES49" s="19"/>
      <c r="ET49" s="19"/>
      <c r="EU49" s="19"/>
      <c r="EV49" s="19"/>
      <c r="EW49" s="19"/>
      <c r="EX49" s="19"/>
      <c r="EY49" s="19"/>
      <c r="EZ49" s="19"/>
      <c r="FA49" s="19"/>
      <c r="FB49" s="19"/>
      <c r="FC49" s="19"/>
      <c r="FD49" s="19"/>
      <c r="FE49" s="19"/>
      <c r="FF49" s="19"/>
      <c r="FG49" s="19"/>
      <c r="FH49" s="19"/>
      <c r="FI49" s="19"/>
      <c r="FJ49" s="19"/>
      <c r="FK49" s="19"/>
      <c r="FL49" s="19"/>
      <c r="FM49" s="19"/>
      <c r="FN49" s="19"/>
      <c r="FO49" s="19"/>
      <c r="FP49" s="19"/>
      <c r="FQ49" s="19"/>
      <c r="FR49" s="19"/>
      <c r="FS49" s="19"/>
      <c r="FT49" s="19"/>
      <c r="FU49" s="19"/>
      <c r="FV49" s="19"/>
      <c r="FW49" s="19"/>
      <c r="FX49" s="19"/>
      <c r="FY49" s="19"/>
      <c r="FZ49" s="19"/>
      <c r="GA49" s="19"/>
      <c r="GB49" s="19"/>
      <c r="GC49" s="19"/>
      <c r="GD49" s="19" t="s">
        <v>96</v>
      </c>
      <c r="GE49" s="19"/>
      <c r="GF49" s="19"/>
      <c r="GG49" s="19"/>
      <c r="GH49" s="19"/>
      <c r="GI49" s="19"/>
      <c r="GJ49" s="19"/>
      <c r="GK49" s="19"/>
      <c r="GL49" s="19"/>
      <c r="GM49" s="19"/>
      <c r="GN49" s="19"/>
      <c r="GO49" s="19"/>
      <c r="GP49" s="19"/>
      <c r="GQ49" s="19"/>
      <c r="GR49" s="19"/>
      <c r="GS49" s="19"/>
      <c r="GT49" s="19"/>
      <c r="GU49" s="19"/>
      <c r="GV49" s="19"/>
      <c r="GW49" s="19"/>
      <c r="GX49" s="19"/>
      <c r="GY49" s="19"/>
      <c r="GZ49" s="19"/>
      <c r="HA49" s="19"/>
      <c r="HB49" s="37"/>
      <c r="HC49" s="19"/>
      <c r="HD49" s="19"/>
      <c r="HE49" s="19"/>
      <c r="HF49" s="19"/>
      <c r="HG49" s="19"/>
      <c r="HH49" s="19"/>
      <c r="HI49" s="19"/>
      <c r="HJ49" s="19"/>
      <c r="HK49" s="19"/>
      <c r="HL49" s="19"/>
      <c r="HM49" s="19"/>
      <c r="HN49" s="19"/>
      <c r="HO49" s="19"/>
      <c r="HP49" s="19"/>
      <c r="HQ49" s="41"/>
      <c r="HR49" s="41"/>
      <c r="HS49" s="41"/>
      <c r="HT49" s="41"/>
      <c r="HU49" s="41"/>
      <c r="HV49" s="41"/>
      <c r="HW49" s="41"/>
      <c r="HX49" s="41"/>
      <c r="HY49" s="41" t="s">
        <v>114</v>
      </c>
      <c r="HZ49" s="41">
        <v>951556985</v>
      </c>
      <c r="IA49" s="41"/>
      <c r="IB49" s="41"/>
      <c r="IC49" s="41"/>
      <c r="ID49" s="41"/>
      <c r="IE49" s="41" t="s">
        <v>4</v>
      </c>
      <c r="IF49" s="41">
        <v>32401850</v>
      </c>
      <c r="IG49" s="41"/>
      <c r="IH49" s="41"/>
      <c r="II49" s="41"/>
      <c r="IJ49" s="41"/>
      <c r="IK49" s="41"/>
      <c r="IL49" s="41"/>
      <c r="IM49" s="41"/>
      <c r="IN49" s="41"/>
      <c r="IO49" s="41"/>
      <c r="IP49" s="41"/>
      <c r="IQ49" s="41"/>
      <c r="IR49" s="41"/>
      <c r="IS49" s="41"/>
      <c r="IT49" s="41"/>
      <c r="IU49" s="41"/>
      <c r="IV49" s="41"/>
      <c r="IW49" s="41"/>
      <c r="IX49" s="41" t="s">
        <v>114</v>
      </c>
      <c r="IY49" s="41"/>
      <c r="IZ49" s="41">
        <v>95341577</v>
      </c>
      <c r="JA49" s="41"/>
      <c r="JB49" s="41"/>
      <c r="JC49" s="41"/>
      <c r="JD49" s="41"/>
      <c r="JE49" s="41" t="s">
        <v>114</v>
      </c>
      <c r="JF49" s="41"/>
      <c r="JG49" s="41"/>
      <c r="JH49" s="41"/>
      <c r="JI49" s="41"/>
      <c r="JJ49" s="41"/>
      <c r="JK49" s="41"/>
      <c r="JL49" s="41"/>
      <c r="JM49" s="41"/>
      <c r="JN49" s="41"/>
      <c r="JO49" s="41"/>
      <c r="JP49" s="41" t="s">
        <v>4</v>
      </c>
      <c r="JQ49" s="41"/>
      <c r="JR49" s="41"/>
      <c r="JS49" s="41"/>
      <c r="JT49" s="41"/>
      <c r="JU49" s="41"/>
      <c r="JV49" s="41"/>
      <c r="JW49" s="41"/>
      <c r="JX49" s="41"/>
      <c r="JY49" s="41"/>
      <c r="JZ49" s="41"/>
      <c r="KA49" s="41"/>
      <c r="KB49" s="41"/>
      <c r="KC49" s="41">
        <v>117806359</v>
      </c>
      <c r="KD49" s="41"/>
    </row>
    <row r="50" spans="1:290">
      <c r="A50" s="9" t="s">
        <v>122</v>
      </c>
      <c r="B50" s="10" t="s">
        <v>14</v>
      </c>
      <c r="C50" s="19">
        <v>1815349025</v>
      </c>
      <c r="D50" s="19">
        <v>20883683</v>
      </c>
      <c r="E50" s="19">
        <v>319394700</v>
      </c>
      <c r="F50" s="19">
        <v>950055099</v>
      </c>
      <c r="G50" s="19">
        <v>65947854</v>
      </c>
      <c r="H50" s="19">
        <v>7640505000</v>
      </c>
      <c r="I50" s="19">
        <v>8519359770</v>
      </c>
      <c r="J50" s="19" t="s">
        <v>4</v>
      </c>
      <c r="K50" s="19">
        <v>97425171</v>
      </c>
      <c r="L50" s="19" t="s">
        <v>130</v>
      </c>
      <c r="M50" s="19" t="s">
        <v>96</v>
      </c>
      <c r="N50" s="19">
        <v>258223718</v>
      </c>
      <c r="O50" s="19">
        <v>5119587567</v>
      </c>
      <c r="P50" s="19">
        <v>5426029243</v>
      </c>
      <c r="Q50" s="19">
        <v>53086413</v>
      </c>
      <c r="R50" s="19">
        <v>129656908</v>
      </c>
      <c r="S50" s="19">
        <v>4666674545</v>
      </c>
      <c r="T50" s="19" t="s">
        <v>96</v>
      </c>
      <c r="U50" s="19">
        <v>1624320951</v>
      </c>
      <c r="V50" s="19" t="s">
        <v>128</v>
      </c>
      <c r="W50" s="19">
        <v>808467396</v>
      </c>
      <c r="X50" s="19">
        <v>1206974698</v>
      </c>
      <c r="Y50" s="19">
        <v>973214524</v>
      </c>
      <c r="Z50" s="19">
        <v>1441483007</v>
      </c>
      <c r="AA50" s="19">
        <v>435021212</v>
      </c>
      <c r="AB50" s="19">
        <v>526866586</v>
      </c>
      <c r="AC50" s="19">
        <v>253379405</v>
      </c>
      <c r="AD50" s="19">
        <v>470975247</v>
      </c>
      <c r="AE50" s="19">
        <v>458673694</v>
      </c>
      <c r="AF50" s="19">
        <v>262469567</v>
      </c>
      <c r="AG50" s="19">
        <v>1171511195</v>
      </c>
      <c r="AH50" s="19">
        <v>1412499346</v>
      </c>
      <c r="AI50" s="19">
        <v>169909115</v>
      </c>
      <c r="AJ50" s="19">
        <v>677922736</v>
      </c>
      <c r="AK50" s="19" t="s">
        <v>89</v>
      </c>
      <c r="AL50" s="19">
        <v>1486848983</v>
      </c>
      <c r="AM50" s="19" t="s">
        <v>4</v>
      </c>
      <c r="AN50" s="19">
        <v>782003686</v>
      </c>
      <c r="AO50" s="19">
        <v>1129172323</v>
      </c>
      <c r="AP50" s="19">
        <v>445159535</v>
      </c>
      <c r="AQ50" s="19" t="s">
        <v>96</v>
      </c>
      <c r="AR50" s="19">
        <v>371055851</v>
      </c>
      <c r="AS50" s="19">
        <v>1500683323</v>
      </c>
      <c r="AT50" s="19">
        <v>669959839</v>
      </c>
      <c r="AU50" s="19">
        <v>799620138</v>
      </c>
      <c r="AV50" s="19">
        <v>205709529</v>
      </c>
      <c r="AW50" s="19">
        <v>147552690</v>
      </c>
      <c r="AX50" s="19" t="s">
        <v>4</v>
      </c>
      <c r="AY50" s="19">
        <v>332299124</v>
      </c>
      <c r="AZ50" s="19">
        <v>419931551</v>
      </c>
      <c r="BA50" s="19">
        <v>1784790548</v>
      </c>
      <c r="BB50" s="19">
        <v>76265465</v>
      </c>
      <c r="BC50" s="19" t="s">
        <v>4</v>
      </c>
      <c r="BD50" s="19" t="s">
        <v>128</v>
      </c>
      <c r="BE50" s="19">
        <v>256634904</v>
      </c>
      <c r="BF50" s="19">
        <v>394390433</v>
      </c>
      <c r="BG50" s="19">
        <v>1546145155</v>
      </c>
      <c r="BH50" s="19">
        <v>97072490</v>
      </c>
      <c r="BI50" s="19">
        <v>363954668</v>
      </c>
      <c r="BJ50" s="19">
        <v>330902879</v>
      </c>
      <c r="BK50" s="19">
        <v>429699707</v>
      </c>
      <c r="BL50" s="19">
        <v>760246388</v>
      </c>
      <c r="BM50" s="19">
        <v>504267531</v>
      </c>
      <c r="BN50" s="19">
        <v>137816669</v>
      </c>
      <c r="BO50" s="19">
        <v>187549752</v>
      </c>
      <c r="BP50" s="19" t="s">
        <v>96</v>
      </c>
      <c r="BQ50" s="19" t="s">
        <v>4</v>
      </c>
      <c r="BR50" s="19">
        <v>878150186</v>
      </c>
      <c r="BS50" s="19">
        <v>172552402</v>
      </c>
      <c r="BT50" s="19">
        <v>121710974</v>
      </c>
      <c r="BU50" s="19">
        <v>110110030</v>
      </c>
      <c r="BV50" s="19">
        <v>327086848</v>
      </c>
      <c r="BW50" s="19">
        <v>700722926</v>
      </c>
      <c r="BX50" s="19">
        <v>696096427</v>
      </c>
      <c r="BY50" s="19">
        <v>1165460188</v>
      </c>
      <c r="BZ50" s="19">
        <v>912496304</v>
      </c>
      <c r="CA50" s="19">
        <v>1291827238</v>
      </c>
      <c r="CB50" s="19">
        <v>457086821</v>
      </c>
      <c r="CC50" s="19">
        <v>185276180</v>
      </c>
      <c r="CD50" s="19">
        <v>-114426288</v>
      </c>
      <c r="CE50" s="19">
        <v>46161872</v>
      </c>
      <c r="CF50" s="19">
        <v>262891720</v>
      </c>
      <c r="CG50" s="19">
        <v>832168350</v>
      </c>
      <c r="CH50" s="19">
        <v>241346093</v>
      </c>
      <c r="CI50" s="19" t="s">
        <v>128</v>
      </c>
      <c r="CJ50" s="19" t="s">
        <v>89</v>
      </c>
      <c r="CK50" s="19">
        <v>832866772</v>
      </c>
      <c r="CL50" s="19">
        <v>169528358</v>
      </c>
      <c r="CM50" s="19">
        <v>7877003613</v>
      </c>
      <c r="CN50" s="19">
        <v>317375054</v>
      </c>
      <c r="CO50" s="19">
        <v>164247980</v>
      </c>
      <c r="CP50" s="19">
        <v>2606777182</v>
      </c>
      <c r="CQ50" s="19" t="s">
        <v>96</v>
      </c>
      <c r="CR50" s="19">
        <v>347547149</v>
      </c>
      <c r="CS50" s="19">
        <v>904814600</v>
      </c>
      <c r="CT50" s="19">
        <v>801738064</v>
      </c>
      <c r="CU50" s="19">
        <v>684817073</v>
      </c>
      <c r="CV50" s="19">
        <v>125532811</v>
      </c>
      <c r="CW50" s="19">
        <v>1869959856</v>
      </c>
      <c r="CX50" s="19">
        <v>1171511195</v>
      </c>
      <c r="CY50" s="19">
        <v>10764786388</v>
      </c>
      <c r="CZ50" s="19">
        <v>990109519</v>
      </c>
      <c r="DA50" s="19">
        <v>658192970</v>
      </c>
      <c r="DB50" s="19">
        <v>322744199</v>
      </c>
      <c r="DC50" s="19">
        <v>111086982</v>
      </c>
      <c r="DD50" s="19">
        <v>188702111</v>
      </c>
      <c r="DE50" s="19" t="s">
        <v>89</v>
      </c>
      <c r="DF50" s="19">
        <v>105159719</v>
      </c>
      <c r="DG50" s="19">
        <v>1498028247</v>
      </c>
      <c r="DH50" s="19">
        <v>420925262</v>
      </c>
      <c r="DI50" s="19" t="s">
        <v>128</v>
      </c>
      <c r="DJ50" s="19">
        <v>411798448</v>
      </c>
      <c r="DK50" s="19">
        <v>2078868086</v>
      </c>
      <c r="DL50" s="19">
        <v>492506807</v>
      </c>
      <c r="DM50" s="19">
        <v>607292469</v>
      </c>
      <c r="DN50" s="19">
        <v>110661874</v>
      </c>
      <c r="DO50" s="19">
        <v>197226979</v>
      </c>
      <c r="DP50" s="19">
        <v>491575312</v>
      </c>
      <c r="DQ50" s="19">
        <v>90099007</v>
      </c>
      <c r="DR50" s="19">
        <v>394422864</v>
      </c>
      <c r="DS50" s="19">
        <v>727346626</v>
      </c>
      <c r="DT50" s="19">
        <v>1212699780</v>
      </c>
      <c r="DU50" s="19">
        <v>375035918</v>
      </c>
      <c r="DV50" s="19">
        <f>DV40-DV45</f>
        <v>1280097012</v>
      </c>
      <c r="DW50" s="19">
        <v>428030475</v>
      </c>
      <c r="DX50" s="19">
        <v>4888419835</v>
      </c>
      <c r="DY50" s="19">
        <v>700259124</v>
      </c>
      <c r="DZ50" s="19">
        <v>305619328</v>
      </c>
      <c r="EA50" s="19">
        <v>146816189</v>
      </c>
      <c r="EB50" s="19">
        <v>6485287389</v>
      </c>
      <c r="EC50" s="19">
        <v>315190811</v>
      </c>
      <c r="ED50" s="19">
        <v>109775347</v>
      </c>
      <c r="EE50" s="19">
        <v>123184660</v>
      </c>
      <c r="EF50" s="19">
        <v>550504231</v>
      </c>
      <c r="EG50" s="19">
        <v>14812938</v>
      </c>
      <c r="EH50" s="19">
        <v>115996663</v>
      </c>
      <c r="EI50" s="19">
        <v>1465708953</v>
      </c>
      <c r="EJ50" s="19">
        <v>180294545</v>
      </c>
      <c r="EK50" s="19">
        <v>588939230</v>
      </c>
      <c r="EL50" s="19">
        <v>262595427</v>
      </c>
      <c r="EM50" s="19">
        <v>368494650</v>
      </c>
      <c r="EN50" s="19">
        <v>6738984545</v>
      </c>
      <c r="EO50" s="19">
        <v>1576147713</v>
      </c>
      <c r="EP50" s="19">
        <v>29314964</v>
      </c>
      <c r="EQ50" s="19">
        <v>4679390300</v>
      </c>
      <c r="ER50" s="19">
        <v>5986490840</v>
      </c>
      <c r="ES50" s="19">
        <v>587644176</v>
      </c>
      <c r="ET50" s="19">
        <v>187914556</v>
      </c>
      <c r="EU50" s="19">
        <v>1100570429</v>
      </c>
      <c r="EV50" s="19">
        <v>174432188</v>
      </c>
      <c r="EW50" s="19">
        <v>336326469</v>
      </c>
      <c r="EX50" s="19">
        <v>2181081137</v>
      </c>
      <c r="EY50" s="19">
        <v>5252249094</v>
      </c>
      <c r="EZ50" s="19">
        <v>479954875</v>
      </c>
      <c r="FA50" s="19">
        <v>402553698</v>
      </c>
      <c r="FB50" s="19">
        <v>199802270</v>
      </c>
      <c r="FC50" s="19">
        <v>113189109</v>
      </c>
      <c r="FD50" s="19">
        <v>226851768</v>
      </c>
      <c r="FE50" s="19">
        <v>4817426717</v>
      </c>
      <c r="FF50" s="19">
        <v>259904585</v>
      </c>
      <c r="FG50" s="19">
        <v>464413973</v>
      </c>
      <c r="FH50" s="19">
        <v>246862206</v>
      </c>
      <c r="FI50" s="19">
        <v>281718293</v>
      </c>
      <c r="FJ50" s="19">
        <v>368637474</v>
      </c>
      <c r="FK50" s="19">
        <v>1185708297</v>
      </c>
      <c r="FL50" s="19">
        <v>-125354711</v>
      </c>
      <c r="FM50" s="19">
        <v>196395711</v>
      </c>
      <c r="FN50" s="19">
        <v>104556500</v>
      </c>
      <c r="FO50" s="19">
        <v>64938177</v>
      </c>
      <c r="FP50" s="19">
        <v>126177662</v>
      </c>
      <c r="FQ50" s="19">
        <v>18720477</v>
      </c>
      <c r="FR50" s="19">
        <v>121058443</v>
      </c>
      <c r="FS50" s="19">
        <v>34155387</v>
      </c>
      <c r="FT50" s="19">
        <v>994331235</v>
      </c>
      <c r="FU50" s="19">
        <v>33700000</v>
      </c>
      <c r="FV50" s="19">
        <v>1401483526</v>
      </c>
      <c r="FW50" s="19">
        <v>161326302</v>
      </c>
      <c r="FX50" s="19">
        <v>15222587</v>
      </c>
      <c r="FY50" s="19">
        <v>1750000789</v>
      </c>
      <c r="FZ50" s="19">
        <v>12404013</v>
      </c>
      <c r="GA50" s="19">
        <v>695463142</v>
      </c>
      <c r="GB50" s="19">
        <v>-16053952</v>
      </c>
      <c r="GC50" s="19">
        <v>195801893</v>
      </c>
      <c r="GD50" s="19" t="s">
        <v>96</v>
      </c>
      <c r="GE50" s="19">
        <v>284958992</v>
      </c>
      <c r="GF50" s="19">
        <v>81873013</v>
      </c>
      <c r="GG50" s="19">
        <v>251403729</v>
      </c>
      <c r="GH50" s="19">
        <v>89848568</v>
      </c>
      <c r="GI50" s="19">
        <v>103815553</v>
      </c>
      <c r="GJ50" s="19">
        <v>702967791</v>
      </c>
      <c r="GK50" s="19">
        <v>65216441</v>
      </c>
      <c r="GL50" s="19">
        <v>87753701</v>
      </c>
      <c r="GM50" s="19">
        <v>181517729</v>
      </c>
      <c r="GN50" s="19">
        <v>827961973</v>
      </c>
      <c r="GO50" s="19">
        <v>76265306</v>
      </c>
      <c r="GP50" s="19">
        <v>1548719470</v>
      </c>
      <c r="GQ50" s="19">
        <v>70013777</v>
      </c>
      <c r="GR50" s="19">
        <v>387682851</v>
      </c>
      <c r="GS50" s="19">
        <v>142410067</v>
      </c>
      <c r="GT50" s="19">
        <v>663567246</v>
      </c>
      <c r="GU50" s="19">
        <v>156343600</v>
      </c>
      <c r="GV50" s="19">
        <v>4546016061</v>
      </c>
      <c r="GW50" s="19">
        <v>795292368</v>
      </c>
      <c r="GX50" s="19">
        <v>450842635</v>
      </c>
      <c r="GY50" s="19">
        <v>-838225610</v>
      </c>
      <c r="GZ50" s="19">
        <v>662965429</v>
      </c>
      <c r="HA50" s="19">
        <v>536102968</v>
      </c>
      <c r="HB50" s="37">
        <v>346648293</v>
      </c>
      <c r="HC50" s="19">
        <v>-49822640</v>
      </c>
      <c r="HD50" s="19">
        <v>73180294</v>
      </c>
      <c r="HE50" s="19">
        <v>145731460</v>
      </c>
      <c r="HF50" s="19">
        <v>5457124960</v>
      </c>
      <c r="HG50" s="19">
        <v>125978553</v>
      </c>
      <c r="HH50" s="19">
        <v>186456247</v>
      </c>
      <c r="HI50" s="19">
        <v>370144546</v>
      </c>
      <c r="HJ50" s="19">
        <v>252219423</v>
      </c>
      <c r="HK50" s="19">
        <v>829451181</v>
      </c>
      <c r="HL50" s="19">
        <v>1130766786</v>
      </c>
      <c r="HM50" s="19">
        <v>826271369</v>
      </c>
      <c r="HN50" s="19">
        <v>71983741</v>
      </c>
      <c r="HO50" s="19">
        <v>623175722</v>
      </c>
      <c r="HP50" s="19">
        <v>1251442561</v>
      </c>
      <c r="HQ50" s="41">
        <v>469379008</v>
      </c>
      <c r="HR50" s="41">
        <v>591180347</v>
      </c>
      <c r="HS50" s="41">
        <v>263106438</v>
      </c>
      <c r="HT50" s="41">
        <v>293560235</v>
      </c>
      <c r="HU50" s="41">
        <v>11308265</v>
      </c>
      <c r="HV50" s="41">
        <v>118465208</v>
      </c>
      <c r="HW50" s="41">
        <v>3372534602</v>
      </c>
      <c r="HX50" s="41">
        <v>537695947</v>
      </c>
      <c r="HY50" s="41" t="s">
        <v>114</v>
      </c>
      <c r="HZ50" s="41">
        <v>567690399</v>
      </c>
      <c r="IA50" s="41">
        <v>170441647</v>
      </c>
      <c r="IB50" s="41">
        <v>121255786</v>
      </c>
      <c r="IC50" s="41">
        <v>336491577</v>
      </c>
      <c r="ID50" s="41">
        <v>415609919</v>
      </c>
      <c r="IE50" s="41" t="s">
        <v>4</v>
      </c>
      <c r="IF50" s="41">
        <v>145012006</v>
      </c>
      <c r="IG50" s="41">
        <v>91488516</v>
      </c>
      <c r="IH50" s="41">
        <v>321332967</v>
      </c>
      <c r="II50" s="41">
        <v>88223863</v>
      </c>
      <c r="IJ50" s="41">
        <v>719589816</v>
      </c>
      <c r="IK50" s="41">
        <v>177293619</v>
      </c>
      <c r="IL50" s="41">
        <v>116680772</v>
      </c>
      <c r="IM50" s="41">
        <v>95505873</v>
      </c>
      <c r="IN50" s="41">
        <v>31610909</v>
      </c>
      <c r="IO50" s="41">
        <v>80609866</v>
      </c>
      <c r="IP50" s="41">
        <v>409065657</v>
      </c>
      <c r="IQ50" s="41">
        <v>4540196818</v>
      </c>
      <c r="IR50" s="41">
        <v>2708800760</v>
      </c>
      <c r="IS50" s="41">
        <v>698137731</v>
      </c>
      <c r="IT50" s="41">
        <v>535662011</v>
      </c>
      <c r="IU50" s="41">
        <v>252580989</v>
      </c>
      <c r="IV50" s="41">
        <v>677690234</v>
      </c>
      <c r="IW50" s="41">
        <v>334029414</v>
      </c>
      <c r="IX50" s="41" t="s">
        <v>114</v>
      </c>
      <c r="IY50" s="41">
        <v>57315858</v>
      </c>
      <c r="IZ50" s="41">
        <v>567949663</v>
      </c>
      <c r="JA50" s="41">
        <v>-63390593</v>
      </c>
      <c r="JB50" s="41">
        <v>32099798</v>
      </c>
      <c r="JC50" s="41">
        <v>1457190254</v>
      </c>
      <c r="JD50" s="41">
        <v>321424475</v>
      </c>
      <c r="JE50" s="41" t="s">
        <v>114</v>
      </c>
      <c r="JF50" s="41">
        <v>272771354</v>
      </c>
      <c r="JG50" s="41">
        <v>588704783</v>
      </c>
      <c r="JH50" s="41">
        <v>200682361</v>
      </c>
      <c r="JI50" s="41">
        <v>276738637</v>
      </c>
      <c r="JJ50" s="41">
        <v>519783531</v>
      </c>
      <c r="JK50" s="41">
        <v>537047952</v>
      </c>
      <c r="JL50" s="41">
        <v>505329175</v>
      </c>
      <c r="JM50" s="41">
        <v>90882288</v>
      </c>
      <c r="JN50" s="41">
        <v>16876882</v>
      </c>
      <c r="JO50" s="41">
        <v>153292756</v>
      </c>
      <c r="JP50" s="41" t="s">
        <v>4</v>
      </c>
      <c r="JQ50" s="41">
        <v>80533744</v>
      </c>
      <c r="JR50" s="41">
        <v>299067264</v>
      </c>
      <c r="JS50" s="41">
        <v>46303495</v>
      </c>
      <c r="JT50" s="41">
        <v>514920396</v>
      </c>
      <c r="JU50" s="41">
        <v>259671154</v>
      </c>
      <c r="JV50" s="41">
        <v>128696886</v>
      </c>
      <c r="JW50" s="41">
        <v>1766427711</v>
      </c>
      <c r="JX50" s="41">
        <v>45739375</v>
      </c>
      <c r="JY50" s="41">
        <v>191408574</v>
      </c>
      <c r="JZ50" s="41">
        <v>118533579</v>
      </c>
      <c r="KA50" s="41">
        <v>388659802</v>
      </c>
      <c r="KB50" s="41">
        <v>157072918</v>
      </c>
      <c r="KC50" s="41">
        <v>144931820</v>
      </c>
      <c r="KD50" s="41">
        <v>1880092150</v>
      </c>
    </row>
    <row r="51" spans="1:290">
      <c r="A51" s="9" t="s">
        <v>122</v>
      </c>
      <c r="B51" s="10" t="s">
        <v>102</v>
      </c>
      <c r="C51" s="19">
        <v>1909399149</v>
      </c>
      <c r="D51" s="19">
        <v>525467860</v>
      </c>
      <c r="E51" s="19">
        <v>301669606</v>
      </c>
      <c r="F51" s="19">
        <v>855525767</v>
      </c>
      <c r="G51" s="19">
        <v>83771303</v>
      </c>
      <c r="H51" s="19">
        <v>7723735000</v>
      </c>
      <c r="I51" s="19">
        <v>8471105927</v>
      </c>
      <c r="J51" s="19" t="s">
        <v>4</v>
      </c>
      <c r="K51" s="19">
        <v>1063702831</v>
      </c>
      <c r="L51" s="19" t="s">
        <v>130</v>
      </c>
      <c r="M51" s="19" t="s">
        <v>96</v>
      </c>
      <c r="N51" s="19">
        <v>742936213</v>
      </c>
      <c r="O51" s="19">
        <v>5022156442</v>
      </c>
      <c r="P51" s="19">
        <v>5637397289</v>
      </c>
      <c r="Q51" s="19">
        <v>148828663</v>
      </c>
      <c r="R51" s="19">
        <v>323036062</v>
      </c>
      <c r="S51" s="19">
        <v>3385001043</v>
      </c>
      <c r="T51" s="19" t="s">
        <v>96</v>
      </c>
      <c r="U51" s="19">
        <v>1683763324</v>
      </c>
      <c r="V51" s="19" t="s">
        <v>128</v>
      </c>
      <c r="W51" s="19">
        <v>862898573</v>
      </c>
      <c r="X51" s="19">
        <v>880021355</v>
      </c>
      <c r="Y51" s="19">
        <v>1037248026</v>
      </c>
      <c r="Z51" s="19">
        <v>1510715443</v>
      </c>
      <c r="AA51" s="19">
        <v>310867566</v>
      </c>
      <c r="AB51" s="19">
        <v>573942034</v>
      </c>
      <c r="AC51" s="19">
        <v>195993357</v>
      </c>
      <c r="AD51" s="19">
        <v>402481172</v>
      </c>
      <c r="AE51" s="19">
        <v>389662172</v>
      </c>
      <c r="AF51" s="19">
        <v>387272825</v>
      </c>
      <c r="AG51" s="19">
        <v>2896321668</v>
      </c>
      <c r="AH51" s="19">
        <v>1610359454</v>
      </c>
      <c r="AI51" s="19">
        <v>347746011</v>
      </c>
      <c r="AJ51" s="19">
        <v>607636756</v>
      </c>
      <c r="AK51" s="19" t="s">
        <v>89</v>
      </c>
      <c r="AL51" s="19">
        <v>1447902911</v>
      </c>
      <c r="AM51" s="19" t="s">
        <v>4</v>
      </c>
      <c r="AN51" s="19">
        <v>770367229</v>
      </c>
      <c r="AO51" s="19">
        <v>2108120085</v>
      </c>
      <c r="AP51" s="19">
        <v>834490406</v>
      </c>
      <c r="AQ51" s="19" t="s">
        <v>96</v>
      </c>
      <c r="AR51" s="19">
        <v>447983322</v>
      </c>
      <c r="AS51" s="19">
        <v>1941078762</v>
      </c>
      <c r="AT51" s="19">
        <v>567802910</v>
      </c>
      <c r="AU51" s="19">
        <v>661000415</v>
      </c>
      <c r="AV51" s="19">
        <v>162452790</v>
      </c>
      <c r="AW51" s="19">
        <v>91515847</v>
      </c>
      <c r="AX51" s="19" t="s">
        <v>4</v>
      </c>
      <c r="AY51" s="19">
        <v>386158740</v>
      </c>
      <c r="AZ51" s="19">
        <v>444433784</v>
      </c>
      <c r="BA51" s="19">
        <v>2597443078</v>
      </c>
      <c r="BB51" s="19">
        <v>150503024</v>
      </c>
      <c r="BC51" s="19" t="s">
        <v>4</v>
      </c>
      <c r="BD51" s="19" t="s">
        <v>128</v>
      </c>
      <c r="BE51" s="19">
        <v>136583813</v>
      </c>
      <c r="BF51" s="19">
        <v>454982031</v>
      </c>
      <c r="BG51" s="19">
        <v>1652477899</v>
      </c>
      <c r="BH51" s="19">
        <v>51288427</v>
      </c>
      <c r="BI51" s="19">
        <v>403486638</v>
      </c>
      <c r="BJ51" s="19">
        <v>327835776</v>
      </c>
      <c r="BK51" s="19">
        <v>423653660</v>
      </c>
      <c r="BL51" s="19">
        <v>849437841</v>
      </c>
      <c r="BM51" s="19">
        <v>615775301</v>
      </c>
      <c r="BN51" s="19">
        <v>70184159</v>
      </c>
      <c r="BO51" s="19">
        <v>230253339</v>
      </c>
      <c r="BP51" s="19" t="s">
        <v>96</v>
      </c>
      <c r="BQ51" s="19" t="s">
        <v>4</v>
      </c>
      <c r="BR51" s="19">
        <v>451798961</v>
      </c>
      <c r="BS51" s="19">
        <v>237353393</v>
      </c>
      <c r="BT51" s="19">
        <v>172735936</v>
      </c>
      <c r="BU51" s="19">
        <v>533274273</v>
      </c>
      <c r="BV51" s="19">
        <v>395161670</v>
      </c>
      <c r="BW51" s="19">
        <v>649048912</v>
      </c>
      <c r="BX51" s="19">
        <v>692256425</v>
      </c>
      <c r="BY51" s="19">
        <v>1211194378</v>
      </c>
      <c r="BZ51" s="19">
        <v>498552614</v>
      </c>
      <c r="CA51" s="19">
        <v>1284731310</v>
      </c>
      <c r="CB51" s="19">
        <v>453493993</v>
      </c>
      <c r="CC51" s="19">
        <v>225474786</v>
      </c>
      <c r="CD51" s="19">
        <v>489844214</v>
      </c>
      <c r="CE51" s="19">
        <v>107952290</v>
      </c>
      <c r="CF51" s="19">
        <v>585432181</v>
      </c>
      <c r="CG51" s="19">
        <v>931909731</v>
      </c>
      <c r="CH51" s="19">
        <v>233688370</v>
      </c>
      <c r="CI51" s="19" t="s">
        <v>128</v>
      </c>
      <c r="CJ51" s="19" t="s">
        <v>89</v>
      </c>
      <c r="CK51" s="19">
        <v>1148552546</v>
      </c>
      <c r="CL51" s="19">
        <v>204065980</v>
      </c>
      <c r="CM51" s="19">
        <v>7595666353</v>
      </c>
      <c r="CN51" s="19">
        <v>290477519</v>
      </c>
      <c r="CO51" s="19">
        <v>237134373</v>
      </c>
      <c r="CP51" s="19">
        <v>2575287049</v>
      </c>
      <c r="CQ51" s="19" t="s">
        <v>96</v>
      </c>
      <c r="CR51" s="19">
        <v>404383659</v>
      </c>
      <c r="CS51" s="19">
        <v>995729356</v>
      </c>
      <c r="CT51" s="19">
        <v>2925553628</v>
      </c>
      <c r="CU51" s="19">
        <v>651150448</v>
      </c>
      <c r="CV51" s="19">
        <v>109784699</v>
      </c>
      <c r="CW51" s="19">
        <v>1844540824</v>
      </c>
      <c r="CX51" s="19">
        <v>2896321668</v>
      </c>
      <c r="CY51" s="19">
        <v>10726160780</v>
      </c>
      <c r="CZ51" s="19">
        <v>1088866482</v>
      </c>
      <c r="DA51" s="19">
        <v>593790129</v>
      </c>
      <c r="DB51" s="19">
        <v>270084449</v>
      </c>
      <c r="DC51" s="19">
        <v>157059625</v>
      </c>
      <c r="DD51" s="19">
        <v>215823263</v>
      </c>
      <c r="DE51" s="19" t="s">
        <v>89</v>
      </c>
      <c r="DF51" s="19">
        <v>97682295</v>
      </c>
      <c r="DG51" s="19">
        <v>1576972152</v>
      </c>
      <c r="DH51" s="19">
        <v>480534793</v>
      </c>
      <c r="DI51" s="19" t="s">
        <v>128</v>
      </c>
      <c r="DJ51" s="19">
        <v>392048477</v>
      </c>
      <c r="DK51" s="19">
        <v>1614421903</v>
      </c>
      <c r="DL51" s="19">
        <v>617155211</v>
      </c>
      <c r="DM51" s="19">
        <v>549032948</v>
      </c>
      <c r="DN51" s="19">
        <v>204649985</v>
      </c>
      <c r="DO51" s="19">
        <v>215236269</v>
      </c>
      <c r="DP51" s="19">
        <v>305453088</v>
      </c>
      <c r="DQ51" s="19">
        <v>85297767</v>
      </c>
      <c r="DR51" s="19">
        <v>601020536</v>
      </c>
      <c r="DS51" s="19">
        <v>683317873</v>
      </c>
      <c r="DT51" s="19">
        <v>1125034426</v>
      </c>
      <c r="DU51" s="19">
        <v>354111106</v>
      </c>
      <c r="DV51" s="19">
        <f>1388355570+276463558</f>
        <v>1664819128</v>
      </c>
      <c r="DW51" s="19">
        <v>434159176</v>
      </c>
      <c r="DX51" s="19">
        <v>4147363444</v>
      </c>
      <c r="DY51" s="19">
        <v>656628029</v>
      </c>
      <c r="DZ51" s="19">
        <v>289617039</v>
      </c>
      <c r="EA51" s="19">
        <v>111469832</v>
      </c>
      <c r="EB51" s="19">
        <v>6440418559</v>
      </c>
      <c r="EC51" s="19">
        <v>377845980</v>
      </c>
      <c r="ED51" s="19">
        <v>304538739</v>
      </c>
      <c r="EE51" s="19">
        <v>119073326</v>
      </c>
      <c r="EF51" s="19">
        <v>344118683</v>
      </c>
      <c r="EG51" s="19">
        <v>3351424416</v>
      </c>
      <c r="EH51" s="19">
        <v>91225797</v>
      </c>
      <c r="EI51" s="19">
        <v>1653236119</v>
      </c>
      <c r="EJ51" s="19">
        <v>475805251</v>
      </c>
      <c r="EK51" s="19">
        <v>825100469</v>
      </c>
      <c r="EL51" s="19">
        <v>859878498</v>
      </c>
      <c r="EM51" s="19">
        <v>207116935</v>
      </c>
      <c r="EN51" s="19">
        <v>6568870367</v>
      </c>
      <c r="EO51" s="19">
        <v>1520767681</v>
      </c>
      <c r="EP51" s="19">
        <v>342924516</v>
      </c>
      <c r="EQ51" s="19">
        <v>4263489981</v>
      </c>
      <c r="ER51" s="19">
        <v>6422171834</v>
      </c>
      <c r="ES51" s="19">
        <v>566876096</v>
      </c>
      <c r="ET51" s="19">
        <v>415354252</v>
      </c>
      <c r="EU51" s="19">
        <v>1044300240</v>
      </c>
      <c r="EV51" s="19">
        <v>138538574</v>
      </c>
      <c r="EW51" s="19">
        <v>337402248</v>
      </c>
      <c r="EX51" s="19">
        <v>1959967347</v>
      </c>
      <c r="EY51" s="19">
        <v>5090691949</v>
      </c>
      <c r="EZ51" s="19">
        <v>501005058</v>
      </c>
      <c r="FA51" s="19">
        <v>372269174</v>
      </c>
      <c r="FB51" s="19">
        <v>295192297</v>
      </c>
      <c r="FC51" s="19">
        <v>345322411</v>
      </c>
      <c r="FD51" s="19">
        <v>290498846</v>
      </c>
      <c r="FE51" s="19">
        <v>4185623594</v>
      </c>
      <c r="FF51" s="19">
        <v>249952401</v>
      </c>
      <c r="FG51" s="19">
        <v>691382532</v>
      </c>
      <c r="FH51" s="19">
        <v>192859154</v>
      </c>
      <c r="FI51" s="19">
        <v>443488175</v>
      </c>
      <c r="FJ51" s="19">
        <v>359889315</v>
      </c>
      <c r="FK51" s="19">
        <v>1412238496</v>
      </c>
      <c r="FL51" s="19">
        <v>209746121</v>
      </c>
      <c r="FM51" s="19">
        <v>272014229</v>
      </c>
      <c r="FN51" s="19">
        <v>855542965</v>
      </c>
      <c r="FO51" s="19">
        <v>66844186</v>
      </c>
      <c r="FP51" s="19">
        <v>201897521</v>
      </c>
      <c r="FQ51" s="19">
        <v>47234126</v>
      </c>
      <c r="FR51" s="19">
        <v>332883263</v>
      </c>
      <c r="FS51" s="19">
        <v>115729206</v>
      </c>
      <c r="FT51" s="19">
        <v>870478277</v>
      </c>
      <c r="FU51" s="19">
        <v>30576230</v>
      </c>
      <c r="FV51" s="19">
        <v>1235677762</v>
      </c>
      <c r="FW51" s="19">
        <v>207305686</v>
      </c>
      <c r="FX51" s="19">
        <v>353989704</v>
      </c>
      <c r="FY51" s="19">
        <v>2970544517</v>
      </c>
      <c r="FZ51" s="19">
        <v>342255548</v>
      </c>
      <c r="GA51" s="19">
        <v>936954106</v>
      </c>
      <c r="GB51" s="19">
        <v>278911497</v>
      </c>
      <c r="GC51" s="19">
        <v>254212450</v>
      </c>
      <c r="GD51" s="19" t="s">
        <v>96</v>
      </c>
      <c r="GE51" s="19">
        <v>441808180</v>
      </c>
      <c r="GF51" s="19">
        <v>97546746</v>
      </c>
      <c r="GG51" s="19">
        <v>1390921594</v>
      </c>
      <c r="GH51" s="19">
        <v>342360764</v>
      </c>
      <c r="GI51" s="19">
        <v>93146905</v>
      </c>
      <c r="GJ51" s="19">
        <v>802990152</v>
      </c>
      <c r="GK51" s="19">
        <v>255093936</v>
      </c>
      <c r="GL51" s="19">
        <v>109090949</v>
      </c>
      <c r="GM51" s="19">
        <v>303797082</v>
      </c>
      <c r="GN51" s="19">
        <v>844432679</v>
      </c>
      <c r="GO51" s="19">
        <v>878036615</v>
      </c>
      <c r="GP51" s="19">
        <v>1284170672</v>
      </c>
      <c r="GQ51" s="19">
        <v>150121896</v>
      </c>
      <c r="GR51" s="19">
        <v>478387088</v>
      </c>
      <c r="GS51" s="19">
        <v>73529974</v>
      </c>
      <c r="GT51" s="19">
        <v>934562631</v>
      </c>
      <c r="GU51" s="19">
        <v>294602399</v>
      </c>
      <c r="GV51" s="19">
        <v>4221580035</v>
      </c>
      <c r="GW51" s="19">
        <v>2112340617</v>
      </c>
      <c r="GX51" s="19">
        <v>377238716</v>
      </c>
      <c r="GY51" s="19">
        <v>1491423751</v>
      </c>
      <c r="GZ51" s="19">
        <v>425204657</v>
      </c>
      <c r="HA51" s="19">
        <v>1409239549</v>
      </c>
      <c r="HB51" s="37">
        <v>741594271</v>
      </c>
      <c r="HC51" s="19">
        <v>328861874</v>
      </c>
      <c r="HD51" s="19">
        <v>78675402</v>
      </c>
      <c r="HE51" s="19">
        <v>515714254</v>
      </c>
      <c r="HF51" s="19">
        <v>5494088334</v>
      </c>
      <c r="HG51" s="19">
        <v>112617043</v>
      </c>
      <c r="HH51" s="19">
        <v>163235813</v>
      </c>
      <c r="HI51" s="19">
        <v>817556390</v>
      </c>
      <c r="HJ51" s="19">
        <v>185881750</v>
      </c>
      <c r="HK51" s="19">
        <v>1325889193</v>
      </c>
      <c r="HL51" s="19">
        <v>749973231</v>
      </c>
      <c r="HM51" s="19">
        <v>821004957</v>
      </c>
      <c r="HN51" s="19">
        <v>154331331</v>
      </c>
      <c r="HO51" s="19">
        <v>519400476</v>
      </c>
      <c r="HP51" s="19">
        <v>1316459372</v>
      </c>
      <c r="HQ51" s="41">
        <v>545683168</v>
      </c>
      <c r="HR51" s="41">
        <v>946707691</v>
      </c>
      <c r="HS51" s="41">
        <v>256871990</v>
      </c>
      <c r="HT51" s="41">
        <v>251770690</v>
      </c>
      <c r="HU51" s="41">
        <v>1749112253</v>
      </c>
      <c r="HV51" s="41">
        <v>117378377</v>
      </c>
      <c r="HW51" s="41">
        <v>28228027991</v>
      </c>
      <c r="HX51" s="41">
        <v>418200781</v>
      </c>
      <c r="HY51" s="41" t="s">
        <v>114</v>
      </c>
      <c r="HZ51" s="41">
        <v>88021047</v>
      </c>
      <c r="IA51" s="41">
        <v>156308923</v>
      </c>
      <c r="IB51" s="41">
        <v>243758098</v>
      </c>
      <c r="IC51" s="41">
        <v>283954520</v>
      </c>
      <c r="ID51" s="41">
        <v>381205665</v>
      </c>
      <c r="IE51" s="41" t="s">
        <v>4</v>
      </c>
      <c r="IF51" s="41">
        <v>232025582</v>
      </c>
      <c r="IG51" s="41">
        <v>110801112</v>
      </c>
      <c r="IH51" s="41">
        <v>414692527</v>
      </c>
      <c r="II51" s="41">
        <v>77771039</v>
      </c>
      <c r="IJ51" s="41">
        <v>892311993</v>
      </c>
      <c r="IK51" s="41">
        <v>236423844</v>
      </c>
      <c r="IL51" s="41">
        <v>102524211</v>
      </c>
      <c r="IM51" s="41">
        <v>163275906</v>
      </c>
      <c r="IN51" s="41">
        <v>245276183</v>
      </c>
      <c r="IO51" s="41">
        <v>138638305</v>
      </c>
      <c r="IP51" s="41">
        <v>955339775</v>
      </c>
      <c r="IQ51" s="41">
        <v>4231867187</v>
      </c>
      <c r="IR51" s="41">
        <v>2748173107</v>
      </c>
      <c r="IS51" s="41">
        <v>402265614</v>
      </c>
      <c r="IT51" s="41">
        <v>493327619</v>
      </c>
      <c r="IU51" s="41">
        <v>453022493</v>
      </c>
      <c r="IV51" s="41">
        <v>632805632</v>
      </c>
      <c r="IW51" s="41">
        <v>410367679</v>
      </c>
      <c r="IX51" s="41" t="s">
        <v>114</v>
      </c>
      <c r="IY51" s="41">
        <v>291950305</v>
      </c>
      <c r="IZ51" s="41">
        <v>509157994</v>
      </c>
      <c r="JA51" s="41">
        <v>73697463</v>
      </c>
      <c r="JB51" s="41">
        <v>51771090</v>
      </c>
      <c r="JC51" s="41">
        <v>1583035811</v>
      </c>
      <c r="JD51" s="41">
        <v>270197122</v>
      </c>
      <c r="JE51" s="41" t="s">
        <v>114</v>
      </c>
      <c r="JF51" s="41">
        <v>344084346</v>
      </c>
      <c r="JG51" s="41">
        <v>1129724178</v>
      </c>
      <c r="JH51" s="41">
        <v>165445115</v>
      </c>
      <c r="JI51" s="41">
        <v>257534192</v>
      </c>
      <c r="JJ51" s="41">
        <v>409390460</v>
      </c>
      <c r="JK51" s="41">
        <v>500851267</v>
      </c>
      <c r="JL51" s="41">
        <v>353705742</v>
      </c>
      <c r="JM51" s="41">
        <v>135740901</v>
      </c>
      <c r="JN51" s="41">
        <v>1322683835</v>
      </c>
      <c r="JO51" s="41">
        <v>125340643</v>
      </c>
      <c r="JP51" s="41" t="s">
        <v>4</v>
      </c>
      <c r="JQ51" s="41">
        <v>419125494</v>
      </c>
      <c r="JR51" s="41">
        <v>393389064</v>
      </c>
      <c r="JS51" s="41">
        <v>228428005</v>
      </c>
      <c r="JT51" s="41">
        <v>472212782</v>
      </c>
      <c r="JU51" s="41">
        <v>226010680</v>
      </c>
      <c r="JV51" s="41">
        <v>114031179</v>
      </c>
      <c r="JW51" s="41">
        <v>1635571014</v>
      </c>
      <c r="JX51" s="41">
        <v>155648945</v>
      </c>
      <c r="JY51" s="41">
        <v>196849498</v>
      </c>
      <c r="JZ51" s="41">
        <v>128609831</v>
      </c>
      <c r="KA51" s="41">
        <v>388100521</v>
      </c>
      <c r="KB51" s="41">
        <v>177419890</v>
      </c>
      <c r="KC51" s="41">
        <v>52998057</v>
      </c>
      <c r="KD51" s="41">
        <v>2226020208</v>
      </c>
    </row>
    <row r="52" spans="1:290">
      <c r="A52" s="9" t="s">
        <v>122</v>
      </c>
      <c r="B52" s="15" t="s">
        <v>26</v>
      </c>
      <c r="C52" s="19">
        <v>1645207850</v>
      </c>
      <c r="D52" s="19">
        <v>579756410</v>
      </c>
      <c r="E52" s="19">
        <v>175833290</v>
      </c>
      <c r="F52" s="19">
        <v>510157592</v>
      </c>
      <c r="G52" s="19">
        <v>71650000</v>
      </c>
      <c r="H52" s="19"/>
      <c r="I52" s="19">
        <v>7277595402</v>
      </c>
      <c r="J52" s="19" t="s">
        <v>4</v>
      </c>
      <c r="K52" s="19">
        <v>738572473</v>
      </c>
      <c r="L52" s="19" t="s">
        <v>130</v>
      </c>
      <c r="M52" s="19" t="s">
        <v>96</v>
      </c>
      <c r="N52" s="19">
        <v>451695015</v>
      </c>
      <c r="O52" s="19">
        <v>3737739325</v>
      </c>
      <c r="P52" s="19">
        <v>3654766334</v>
      </c>
      <c r="Q52" s="19">
        <v>95000503</v>
      </c>
      <c r="R52" s="19">
        <v>109925690</v>
      </c>
      <c r="S52" s="19">
        <v>899529762</v>
      </c>
      <c r="T52" s="19" t="s">
        <v>96</v>
      </c>
      <c r="U52" s="19">
        <v>962039197</v>
      </c>
      <c r="V52" s="19" t="s">
        <v>128</v>
      </c>
      <c r="W52" s="19">
        <v>214919707</v>
      </c>
      <c r="X52" s="19">
        <v>434588220</v>
      </c>
      <c r="Y52" s="19">
        <v>357420363</v>
      </c>
      <c r="Z52" s="19">
        <v>405488212</v>
      </c>
      <c r="AA52" s="19">
        <v>137830744</v>
      </c>
      <c r="AB52" s="19">
        <v>190263217</v>
      </c>
      <c r="AC52" s="19">
        <v>85975598</v>
      </c>
      <c r="AD52" s="19">
        <v>171601773</v>
      </c>
      <c r="AE52" s="19">
        <v>128139839</v>
      </c>
      <c r="AF52" s="19">
        <v>234973301</v>
      </c>
      <c r="AG52" s="19">
        <v>1366500230</v>
      </c>
      <c r="AH52" s="19">
        <v>608540346</v>
      </c>
      <c r="AI52" s="19">
        <v>211900000</v>
      </c>
      <c r="AJ52" s="19">
        <v>352649630</v>
      </c>
      <c r="AK52" s="19" t="s">
        <v>89</v>
      </c>
      <c r="AL52" s="19">
        <v>555075023</v>
      </c>
      <c r="AM52" s="19" t="s">
        <v>4</v>
      </c>
      <c r="AN52" s="19">
        <v>366690652</v>
      </c>
      <c r="AO52" s="19">
        <v>1086159116</v>
      </c>
      <c r="AP52" s="19">
        <v>473559163</v>
      </c>
      <c r="AQ52" s="19" t="s">
        <v>96</v>
      </c>
      <c r="AR52" s="19">
        <v>333694679</v>
      </c>
      <c r="AS52" s="19">
        <v>392681057</v>
      </c>
      <c r="AT52" s="19">
        <v>429452401</v>
      </c>
      <c r="AU52" s="19">
        <v>254264516</v>
      </c>
      <c r="AV52" s="19">
        <v>36117307</v>
      </c>
      <c r="AW52" s="19">
        <v>62351400</v>
      </c>
      <c r="AX52" s="19" t="s">
        <v>4</v>
      </c>
      <c r="AY52" s="19">
        <v>238775589</v>
      </c>
      <c r="AZ52" s="19">
        <v>221373244</v>
      </c>
      <c r="BA52" s="19">
        <v>1463281531</v>
      </c>
      <c r="BB52" s="19">
        <v>104257420</v>
      </c>
      <c r="BC52" s="19" t="s">
        <v>4</v>
      </c>
      <c r="BD52" s="19" t="s">
        <v>128</v>
      </c>
      <c r="BE52" s="19">
        <v>53236267</v>
      </c>
      <c r="BF52" s="19">
        <v>66662960</v>
      </c>
      <c r="BG52" s="19">
        <v>457284542</v>
      </c>
      <c r="BH52" s="19">
        <v>43243164</v>
      </c>
      <c r="BI52" s="19">
        <v>286483225</v>
      </c>
      <c r="BJ52" s="19">
        <v>196881784</v>
      </c>
      <c r="BK52" s="19">
        <v>163039353</v>
      </c>
      <c r="BL52" s="19">
        <v>429313517</v>
      </c>
      <c r="BM52" s="19">
        <v>573490079</v>
      </c>
      <c r="BN52" s="19">
        <v>71094770</v>
      </c>
      <c r="BO52" s="19">
        <v>81660600</v>
      </c>
      <c r="BP52" s="19" t="s">
        <v>96</v>
      </c>
      <c r="BQ52" s="19" t="s">
        <v>4</v>
      </c>
      <c r="BR52" s="19">
        <v>207753393</v>
      </c>
      <c r="BS52" s="19">
        <v>86535660</v>
      </c>
      <c r="BT52" s="19">
        <v>116054625</v>
      </c>
      <c r="BU52" s="19">
        <v>228747851</v>
      </c>
      <c r="BV52" s="19">
        <v>213924090</v>
      </c>
      <c r="BW52" s="19">
        <v>267803368</v>
      </c>
      <c r="BX52" s="19">
        <v>202685225</v>
      </c>
      <c r="BY52" s="19">
        <v>1079113277</v>
      </c>
      <c r="BZ52" s="19">
        <v>147390000</v>
      </c>
      <c r="CA52" s="19">
        <v>619277450</v>
      </c>
      <c r="CB52" s="19">
        <v>207039879</v>
      </c>
      <c r="CC52" s="19">
        <v>112254099</v>
      </c>
      <c r="CD52" s="19">
        <v>286105831</v>
      </c>
      <c r="CE52" s="19">
        <v>75600000</v>
      </c>
      <c r="CF52" s="19">
        <v>375709156</v>
      </c>
      <c r="CG52" s="19">
        <v>822693639</v>
      </c>
      <c r="CH52" s="19">
        <v>138326922</v>
      </c>
      <c r="CI52" s="19" t="s">
        <v>128</v>
      </c>
      <c r="CJ52" s="19" t="s">
        <v>89</v>
      </c>
      <c r="CK52" s="19">
        <v>599189729</v>
      </c>
      <c r="CL52" s="19">
        <v>50837444</v>
      </c>
      <c r="CM52" s="19">
        <v>6693748182</v>
      </c>
      <c r="CN52" s="19">
        <v>163423047</v>
      </c>
      <c r="CO52" s="19">
        <v>123610718</v>
      </c>
      <c r="CP52" s="19">
        <v>408985485</v>
      </c>
      <c r="CQ52" s="19" t="s">
        <v>96</v>
      </c>
      <c r="CR52" s="19">
        <v>316716967</v>
      </c>
      <c r="CS52" s="19">
        <v>512574880</v>
      </c>
      <c r="CT52" s="19">
        <v>1032494125</v>
      </c>
      <c r="CU52" s="19">
        <v>312872193</v>
      </c>
      <c r="CV52" s="19">
        <v>12999996</v>
      </c>
      <c r="CW52" s="19">
        <v>1131049638</v>
      </c>
      <c r="CX52" s="19">
        <v>1534189337</v>
      </c>
      <c r="CY52" s="19">
        <v>7383145883</v>
      </c>
      <c r="CZ52" s="19">
        <v>512998665</v>
      </c>
      <c r="DA52" s="19">
        <v>474003384</v>
      </c>
      <c r="DB52" s="19">
        <v>160581909</v>
      </c>
      <c r="DC52" s="19">
        <v>31444690</v>
      </c>
      <c r="DD52" s="19">
        <v>143883437</v>
      </c>
      <c r="DE52" s="19" t="s">
        <v>89</v>
      </c>
      <c r="DF52" s="19">
        <v>145313740</v>
      </c>
      <c r="DG52" s="19">
        <v>250689262</v>
      </c>
      <c r="DH52" s="19">
        <v>232159849</v>
      </c>
      <c r="DI52" s="19" t="s">
        <v>128</v>
      </c>
      <c r="DJ52" s="19">
        <v>110600000</v>
      </c>
      <c r="DK52" s="19">
        <v>286824046</v>
      </c>
      <c r="DL52" s="19">
        <v>268038137</v>
      </c>
      <c r="DM52" s="19">
        <v>478939222</v>
      </c>
      <c r="DN52" s="19">
        <v>68362090</v>
      </c>
      <c r="DO52" s="19">
        <v>168070767</v>
      </c>
      <c r="DP52" s="19">
        <v>86036275</v>
      </c>
      <c r="DQ52" s="19">
        <v>61186705</v>
      </c>
      <c r="DR52" s="19">
        <v>225978603</v>
      </c>
      <c r="DS52" s="19">
        <v>568581130</v>
      </c>
      <c r="DT52" s="19">
        <v>492504659</v>
      </c>
      <c r="DU52" s="19">
        <v>226356112</v>
      </c>
      <c r="DV52" s="19">
        <f>437175314+141103395+(3300000)+132069569</f>
        <v>713648278</v>
      </c>
      <c r="DW52" s="19">
        <v>367913690</v>
      </c>
      <c r="DX52" s="19">
        <v>1532634210</v>
      </c>
      <c r="DY52" s="19">
        <v>426500977</v>
      </c>
      <c r="DZ52" s="19">
        <v>209655300</v>
      </c>
      <c r="EA52" s="19">
        <v>109800000</v>
      </c>
      <c r="EB52" s="19">
        <v>5575439968</v>
      </c>
      <c r="EC52" s="19">
        <v>125218365</v>
      </c>
      <c r="ED52" s="19">
        <v>212947618</v>
      </c>
      <c r="EE52" s="19">
        <v>81126338</v>
      </c>
      <c r="EF52" s="19">
        <v>221084185</v>
      </c>
      <c r="EG52" s="19">
        <v>1022479898</v>
      </c>
      <c r="EH52" s="19">
        <v>26841030</v>
      </c>
      <c r="EI52" s="19">
        <v>1220069362</v>
      </c>
      <c r="EJ52" s="19">
        <v>300865300</v>
      </c>
      <c r="EK52" s="19">
        <v>419684591</v>
      </c>
      <c r="EL52" s="19">
        <v>440893801</v>
      </c>
      <c r="EM52" s="19">
        <v>129967695</v>
      </c>
      <c r="EN52" s="19">
        <v>4890380940</v>
      </c>
      <c r="EO52" s="19">
        <v>915284039</v>
      </c>
      <c r="EP52" s="19">
        <v>563799140</v>
      </c>
      <c r="EQ52" s="19">
        <v>3328994248</v>
      </c>
      <c r="ER52" s="19">
        <v>5525633300</v>
      </c>
      <c r="ES52" s="19">
        <v>345077104</v>
      </c>
      <c r="ET52" s="19">
        <v>68246404</v>
      </c>
      <c r="EU52" s="19">
        <v>365536139</v>
      </c>
      <c r="EV52" s="19">
        <v>88079790</v>
      </c>
      <c r="EW52" s="19">
        <v>107751603</v>
      </c>
      <c r="EX52" s="19">
        <v>410406540</v>
      </c>
      <c r="EY52" s="19">
        <v>3875134470</v>
      </c>
      <c r="EZ52" s="19">
        <v>188185742</v>
      </c>
      <c r="FA52" s="19">
        <v>259727629</v>
      </c>
      <c r="FB52" s="19">
        <v>200280460</v>
      </c>
      <c r="FC52" s="19">
        <v>141404640</v>
      </c>
      <c r="FD52" s="19">
        <v>185268806</v>
      </c>
      <c r="FE52" s="19">
        <v>1547340519</v>
      </c>
      <c r="FF52" s="19">
        <v>240432560</v>
      </c>
      <c r="FG52" s="19">
        <f>34974731+1100000+4225000+12236220</f>
        <v>52535951</v>
      </c>
      <c r="FH52" s="19">
        <v>223989523</v>
      </c>
      <c r="FI52" s="19">
        <v>103867316</v>
      </c>
      <c r="FJ52" s="19">
        <v>153779420</v>
      </c>
      <c r="FK52" s="19">
        <v>1002604723</v>
      </c>
      <c r="FL52" s="19">
        <v>24502103</v>
      </c>
      <c r="FM52" s="19">
        <v>141244722</v>
      </c>
      <c r="FN52" s="19">
        <v>319801272</v>
      </c>
      <c r="FO52" s="19">
        <v>18860108</v>
      </c>
      <c r="FP52" s="19">
        <v>158104198</v>
      </c>
      <c r="FQ52" s="19">
        <v>27000000</v>
      </c>
      <c r="FR52" s="19">
        <v>206868770</v>
      </c>
      <c r="FS52" s="19">
        <v>58416437</v>
      </c>
      <c r="FT52" s="19">
        <v>226330803</v>
      </c>
      <c r="FU52" s="19"/>
      <c r="FV52" s="19">
        <v>631462837</v>
      </c>
      <c r="FW52" s="19">
        <v>62019907</v>
      </c>
      <c r="FX52" s="19">
        <v>255963424</v>
      </c>
      <c r="FY52" s="19">
        <v>795003595</v>
      </c>
      <c r="FZ52" s="19">
        <v>192705573</v>
      </c>
      <c r="GA52" s="19">
        <v>412549922</v>
      </c>
      <c r="GB52" s="19">
        <v>168840294</v>
      </c>
      <c r="GC52" s="19">
        <v>103254660</v>
      </c>
      <c r="GD52" s="19" t="s">
        <v>96</v>
      </c>
      <c r="GE52" s="19">
        <v>197696950</v>
      </c>
      <c r="GF52" s="19">
        <v>20552800</v>
      </c>
      <c r="GG52" s="19">
        <v>457413693</v>
      </c>
      <c r="GH52" s="19">
        <v>191377809</v>
      </c>
      <c r="GI52" s="19">
        <v>12000000</v>
      </c>
      <c r="GJ52" s="19">
        <v>541161860</v>
      </c>
      <c r="GK52" s="19">
        <v>80803333</v>
      </c>
      <c r="GL52" s="19">
        <v>148488571</v>
      </c>
      <c r="GM52" s="19">
        <v>62602152</v>
      </c>
      <c r="GN52" s="19">
        <v>108208599</v>
      </c>
      <c r="GO52" s="19">
        <v>274322816</v>
      </c>
      <c r="GP52" s="19">
        <v>260254485</v>
      </c>
      <c r="GQ52" s="19">
        <v>52300000</v>
      </c>
      <c r="GR52" s="19">
        <v>201559977</v>
      </c>
      <c r="GS52" s="19"/>
      <c r="GT52" s="19">
        <v>676223085</v>
      </c>
      <c r="GU52" s="19">
        <v>226624873</v>
      </c>
      <c r="GV52" s="19">
        <v>3674993224</v>
      </c>
      <c r="GW52" s="19">
        <v>880593140</v>
      </c>
      <c r="GX52" s="19">
        <v>259766571</v>
      </c>
      <c r="GY52" s="19">
        <v>503578994</v>
      </c>
      <c r="GZ52" s="19">
        <v>327839000</v>
      </c>
      <c r="HA52" s="19">
        <v>600847293</v>
      </c>
      <c r="HB52" s="37">
        <v>391904646</v>
      </c>
      <c r="HC52" s="19">
        <v>102400000</v>
      </c>
      <c r="HD52" s="19">
        <v>37582261</v>
      </c>
      <c r="HE52" s="19">
        <v>150966440</v>
      </c>
      <c r="HF52" s="19">
        <v>4941369914</v>
      </c>
      <c r="HG52" s="19">
        <v>124347265</v>
      </c>
      <c r="HH52" s="19">
        <v>107949405</v>
      </c>
      <c r="HI52" s="19">
        <v>535479739</v>
      </c>
      <c r="HJ52" s="19">
        <v>40800000</v>
      </c>
      <c r="HK52" s="19">
        <v>859684882</v>
      </c>
      <c r="HL52" s="19">
        <v>363303220</v>
      </c>
      <c r="HM52" s="19">
        <v>433782720</v>
      </c>
      <c r="HN52" s="19">
        <v>83200000</v>
      </c>
      <c r="HO52" s="19">
        <v>474765720</v>
      </c>
      <c r="HP52" s="19">
        <v>444005210</v>
      </c>
      <c r="HQ52" s="41">
        <v>517356982</v>
      </c>
      <c r="HR52" s="41">
        <v>1796174725</v>
      </c>
      <c r="HS52" s="41">
        <v>272600367</v>
      </c>
      <c r="HT52" s="41">
        <v>192302320</v>
      </c>
      <c r="HU52" s="41">
        <v>479921666</v>
      </c>
      <c r="HV52" s="41">
        <v>95555120</v>
      </c>
      <c r="HW52" s="41">
        <v>6765870478</v>
      </c>
      <c r="HX52" s="41">
        <v>111099155</v>
      </c>
      <c r="HY52" s="41" t="s">
        <v>114</v>
      </c>
      <c r="HZ52" s="41">
        <v>133637358</v>
      </c>
      <c r="IA52" s="41">
        <v>108026864</v>
      </c>
      <c r="IB52" s="41">
        <v>114355576</v>
      </c>
      <c r="IC52" s="41">
        <v>340813432</v>
      </c>
      <c r="ID52" s="41">
        <v>336608496</v>
      </c>
      <c r="IE52" s="41" t="s">
        <v>4</v>
      </c>
      <c r="IF52" s="41">
        <v>190439534</v>
      </c>
      <c r="IG52" s="41">
        <v>66086040</v>
      </c>
      <c r="IH52" s="41">
        <v>186095734</v>
      </c>
      <c r="II52" s="41"/>
      <c r="IJ52" s="41">
        <v>688674979</v>
      </c>
      <c r="IK52" s="41">
        <v>126492993</v>
      </c>
      <c r="IL52" s="41">
        <v>132974200</v>
      </c>
      <c r="IM52" s="41">
        <v>93689048</v>
      </c>
      <c r="IN52" s="41">
        <v>126400000</v>
      </c>
      <c r="IO52" s="41">
        <v>39677700</v>
      </c>
      <c r="IP52" s="41">
        <v>239008000</v>
      </c>
      <c r="IQ52" s="41">
        <v>272503976</v>
      </c>
      <c r="IR52" s="41">
        <v>2240438486</v>
      </c>
      <c r="IS52" s="41">
        <v>149934384</v>
      </c>
      <c r="IT52" s="41">
        <v>441633536</v>
      </c>
      <c r="IU52" s="41">
        <v>214971792</v>
      </c>
      <c r="IV52" s="41">
        <v>279829001</v>
      </c>
      <c r="IW52" s="41">
        <v>192176646</v>
      </c>
      <c r="IX52" s="41" t="s">
        <v>114</v>
      </c>
      <c r="IY52" s="41">
        <v>143120375</v>
      </c>
      <c r="IZ52" s="41">
        <v>270365453</v>
      </c>
      <c r="JA52" s="41">
        <v>44076000</v>
      </c>
      <c r="JB52" s="41">
        <v>20640000</v>
      </c>
      <c r="JC52" s="41">
        <v>1336676651</v>
      </c>
      <c r="JD52" s="41">
        <v>302143840</v>
      </c>
      <c r="JE52" s="41" t="s">
        <v>114</v>
      </c>
      <c r="JF52" s="41">
        <v>206873080</v>
      </c>
      <c r="JG52" s="41">
        <v>437570338</v>
      </c>
      <c r="JH52" s="41">
        <v>122731510</v>
      </c>
      <c r="JI52" s="41">
        <v>54968081</v>
      </c>
      <c r="JJ52" s="41">
        <v>266172163</v>
      </c>
      <c r="JK52" s="41">
        <v>333768978</v>
      </c>
      <c r="JL52" s="41">
        <v>216131221</v>
      </c>
      <c r="JM52" s="41">
        <v>72390000</v>
      </c>
      <c r="JN52" s="41">
        <v>940461820</v>
      </c>
      <c r="JO52" s="41">
        <v>160090310</v>
      </c>
      <c r="JP52" s="41" t="s">
        <v>4</v>
      </c>
      <c r="JQ52" s="41">
        <v>241481666</v>
      </c>
      <c r="JR52" s="41">
        <v>176889440</v>
      </c>
      <c r="JS52" s="41">
        <v>160545613</v>
      </c>
      <c r="JT52" s="41">
        <v>235638957</v>
      </c>
      <c r="JU52" s="41">
        <v>91907564</v>
      </c>
      <c r="JV52" s="41">
        <v>50866860</v>
      </c>
      <c r="JW52" s="41">
        <v>970856347</v>
      </c>
      <c r="JX52" s="41">
        <v>83554441</v>
      </c>
      <c r="JY52" s="41">
        <v>186185000</v>
      </c>
      <c r="JZ52" s="41">
        <v>54030000</v>
      </c>
      <c r="KA52" s="41">
        <v>186068915</v>
      </c>
      <c r="KB52" s="41">
        <v>68758000</v>
      </c>
      <c r="KC52" s="41">
        <v>34607733</v>
      </c>
      <c r="KD52" s="41">
        <v>725239003</v>
      </c>
    </row>
    <row r="53" spans="1:290">
      <c r="A53" s="9" t="s">
        <v>122</v>
      </c>
      <c r="B53" s="15" t="s">
        <v>35</v>
      </c>
      <c r="C53" s="19"/>
      <c r="D53" s="19">
        <v>-624552820</v>
      </c>
      <c r="E53" s="19">
        <v>0</v>
      </c>
      <c r="F53" s="19">
        <v>0</v>
      </c>
      <c r="G53" s="19">
        <v>-42373420</v>
      </c>
      <c r="H53" s="19"/>
      <c r="I53" s="19">
        <v>-360542930</v>
      </c>
      <c r="J53" s="19" t="s">
        <v>4</v>
      </c>
      <c r="K53" s="19"/>
      <c r="L53" s="19" t="s">
        <v>130</v>
      </c>
      <c r="M53" s="19" t="s">
        <v>96</v>
      </c>
      <c r="N53" s="19"/>
      <c r="O53" s="19"/>
      <c r="P53" s="19"/>
      <c r="Q53" s="19">
        <v>-25567820</v>
      </c>
      <c r="R53" s="19"/>
      <c r="S53" s="19">
        <v>-196135119</v>
      </c>
      <c r="T53" s="19" t="s">
        <v>96</v>
      </c>
      <c r="U53" s="19"/>
      <c r="V53" s="19" t="s">
        <v>128</v>
      </c>
      <c r="W53" s="19">
        <v>-26242754</v>
      </c>
      <c r="X53" s="19"/>
      <c r="Y53" s="19"/>
      <c r="Z53" s="19"/>
      <c r="AA53" s="19"/>
      <c r="AB53" s="19"/>
      <c r="AC53" s="19"/>
      <c r="AD53" s="19"/>
      <c r="AE53" s="19"/>
      <c r="AF53" s="19">
        <v>-40460000</v>
      </c>
      <c r="AG53" s="19">
        <v>-138311140</v>
      </c>
      <c r="AH53" s="19"/>
      <c r="AI53" s="19"/>
      <c r="AJ53" s="19">
        <v>-19640000</v>
      </c>
      <c r="AK53" s="19" t="s">
        <v>89</v>
      </c>
      <c r="AL53" s="19"/>
      <c r="AM53" s="19" t="s">
        <v>4</v>
      </c>
      <c r="AN53" s="19"/>
      <c r="AO53" s="19"/>
      <c r="AP53" s="19"/>
      <c r="AQ53" s="19" t="s">
        <v>96</v>
      </c>
      <c r="AR53" s="19">
        <v>-129103696</v>
      </c>
      <c r="AS53" s="19"/>
      <c r="AT53" s="19"/>
      <c r="AU53" s="19"/>
      <c r="AV53" s="19"/>
      <c r="AW53" s="19"/>
      <c r="AX53" s="19" t="s">
        <v>4</v>
      </c>
      <c r="AY53" s="19"/>
      <c r="AZ53" s="19"/>
      <c r="BA53" s="19">
        <v>-33709657</v>
      </c>
      <c r="BB53" s="19"/>
      <c r="BC53" s="19" t="s">
        <v>4</v>
      </c>
      <c r="BD53" s="19" t="s">
        <v>128</v>
      </c>
      <c r="BE53" s="19"/>
      <c r="BF53" s="19"/>
      <c r="BG53" s="19"/>
      <c r="BH53" s="19">
        <v>-31978670</v>
      </c>
      <c r="BI53" s="19">
        <v>-52402720</v>
      </c>
      <c r="BJ53" s="19">
        <v>-39580660</v>
      </c>
      <c r="BK53" s="19"/>
      <c r="BL53" s="19"/>
      <c r="BM53" s="19">
        <v>-181900930</v>
      </c>
      <c r="BN53" s="19">
        <v>-31673000</v>
      </c>
      <c r="BO53" s="19">
        <v>-12600000</v>
      </c>
      <c r="BP53" s="19" t="s">
        <v>96</v>
      </c>
      <c r="BQ53" s="19" t="s">
        <v>4</v>
      </c>
      <c r="BR53" s="19">
        <v>-63666960</v>
      </c>
      <c r="BS53" s="19">
        <v>-21470968</v>
      </c>
      <c r="BT53" s="19"/>
      <c r="BU53" s="19"/>
      <c r="BV53" s="19">
        <v>-54330770</v>
      </c>
      <c r="BW53" s="19">
        <v>-79922560</v>
      </c>
      <c r="BX53" s="19">
        <v>-15289230</v>
      </c>
      <c r="BY53" s="19">
        <v>-534892978</v>
      </c>
      <c r="BZ53" s="19"/>
      <c r="CA53" s="19">
        <v>-86708950</v>
      </c>
      <c r="CB53" s="19">
        <v>-8190300</v>
      </c>
      <c r="CC53" s="19"/>
      <c r="CD53" s="19"/>
      <c r="CE53" s="19">
        <v>-10040000</v>
      </c>
      <c r="CF53" s="19"/>
      <c r="CG53" s="19"/>
      <c r="CH53" s="19">
        <v>-36061847</v>
      </c>
      <c r="CI53" s="19" t="s">
        <v>128</v>
      </c>
      <c r="CJ53" s="19" t="s">
        <v>89</v>
      </c>
      <c r="CK53" s="19">
        <v>-130459840</v>
      </c>
      <c r="CL53" s="19"/>
      <c r="CM53" s="19">
        <v>-32692500</v>
      </c>
      <c r="CN53" s="19">
        <v>-89788700</v>
      </c>
      <c r="CO53" s="19"/>
      <c r="CP53" s="19">
        <v>-74470470</v>
      </c>
      <c r="CQ53" s="19" t="s">
        <v>96</v>
      </c>
      <c r="CR53" s="19">
        <v>-55523930</v>
      </c>
      <c r="CS53" s="19"/>
      <c r="CT53" s="19"/>
      <c r="CU53" s="19">
        <v>-147270340</v>
      </c>
      <c r="CV53" s="19"/>
      <c r="CW53" s="19">
        <v>-59607230</v>
      </c>
      <c r="CX53" s="19">
        <v>-138311140</v>
      </c>
      <c r="CY53" s="19">
        <v>-398917460</v>
      </c>
      <c r="CZ53" s="19">
        <v>-40026530</v>
      </c>
      <c r="DA53" s="19">
        <v>-270989090</v>
      </c>
      <c r="DB53" s="19">
        <v>-7980000</v>
      </c>
      <c r="DC53" s="19"/>
      <c r="DD53" s="19">
        <v>-45843920</v>
      </c>
      <c r="DE53" s="19" t="s">
        <v>89</v>
      </c>
      <c r="DF53" s="19">
        <v>-125268407</v>
      </c>
      <c r="DG53" s="19">
        <v>-141696910</v>
      </c>
      <c r="DH53" s="19">
        <v>-35729510</v>
      </c>
      <c r="DI53" s="19" t="s">
        <v>128</v>
      </c>
      <c r="DJ53" s="19">
        <v>-49840000</v>
      </c>
      <c r="DK53" s="19">
        <v>-83615190</v>
      </c>
      <c r="DL53" s="19"/>
      <c r="DM53" s="19">
        <v>-237738130</v>
      </c>
      <c r="DN53" s="19"/>
      <c r="DO53" s="19"/>
      <c r="DP53" s="19"/>
      <c r="DQ53" s="19">
        <v>-14833950</v>
      </c>
      <c r="DR53" s="19">
        <v>-93509720</v>
      </c>
      <c r="DS53" s="19">
        <v>-75523590</v>
      </c>
      <c r="DT53" s="19">
        <v>-47697000</v>
      </c>
      <c r="DU53" s="19">
        <v>-67887826</v>
      </c>
      <c r="DV53" s="19">
        <v>-3300000</v>
      </c>
      <c r="DW53" s="19">
        <v>-157662610</v>
      </c>
      <c r="DX53" s="19"/>
      <c r="DY53" s="19">
        <v>-138868094</v>
      </c>
      <c r="DZ53" s="19"/>
      <c r="EA53" s="19">
        <v>-39314060</v>
      </c>
      <c r="EB53" s="19">
        <v>-54396820</v>
      </c>
      <c r="EC53" s="19"/>
      <c r="ED53" s="19"/>
      <c r="EE53" s="19"/>
      <c r="EF53" s="19">
        <v>-29299410</v>
      </c>
      <c r="EG53" s="19"/>
      <c r="EH53" s="19"/>
      <c r="EI53" s="19">
        <v>-182174930</v>
      </c>
      <c r="EJ53" s="19">
        <v>-22579770</v>
      </c>
      <c r="EK53" s="19">
        <v>-84748396</v>
      </c>
      <c r="EL53" s="19"/>
      <c r="EM53" s="19"/>
      <c r="EN53" s="19">
        <v>-421258340</v>
      </c>
      <c r="EO53" s="19">
        <v>-265773260</v>
      </c>
      <c r="EP53" s="19">
        <v>-517038710</v>
      </c>
      <c r="EQ53" s="19"/>
      <c r="ER53" s="19"/>
      <c r="ES53" s="19">
        <v>-18876210</v>
      </c>
      <c r="ET53" s="19"/>
      <c r="EU53" s="19"/>
      <c r="EV53" s="19">
        <v>-27716260</v>
      </c>
      <c r="EW53" s="19">
        <v>-14117680</v>
      </c>
      <c r="EX53" s="19">
        <v>-118452991</v>
      </c>
      <c r="EY53" s="19"/>
      <c r="EZ53" s="19"/>
      <c r="FA53" s="19"/>
      <c r="FB53" s="19">
        <v>-32653860</v>
      </c>
      <c r="FC53" s="19"/>
      <c r="FD53" s="19"/>
      <c r="FE53" s="19"/>
      <c r="FF53" s="19">
        <v>-43421820</v>
      </c>
      <c r="FG53" s="19"/>
      <c r="FH53" s="19">
        <v>-158736905</v>
      </c>
      <c r="FI53" s="19"/>
      <c r="FJ53" s="19">
        <v>-41662380</v>
      </c>
      <c r="FK53" s="19"/>
      <c r="FL53" s="19"/>
      <c r="FM53" s="19"/>
      <c r="FN53" s="19"/>
      <c r="FO53" s="19"/>
      <c r="FP53" s="19">
        <v>-84933540</v>
      </c>
      <c r="FQ53" s="19"/>
      <c r="FR53" s="19"/>
      <c r="FS53" s="19"/>
      <c r="FT53" s="19"/>
      <c r="FU53" s="19"/>
      <c r="FV53" s="19"/>
      <c r="FW53" s="19"/>
      <c r="FX53" s="19"/>
      <c r="FY53" s="19"/>
      <c r="FZ53" s="19"/>
      <c r="GA53" s="19">
        <v>-155980101</v>
      </c>
      <c r="GB53" s="19"/>
      <c r="GC53" s="19"/>
      <c r="GD53" s="19" t="s">
        <v>96</v>
      </c>
      <c r="GE53" s="19"/>
      <c r="GF53" s="19"/>
      <c r="GG53" s="19"/>
      <c r="GH53" s="19"/>
      <c r="GI53" s="19"/>
      <c r="GJ53" s="19"/>
      <c r="GK53" s="19"/>
      <c r="GL53" s="19">
        <v>-121290510</v>
      </c>
      <c r="GM53" s="19"/>
      <c r="GN53" s="19"/>
      <c r="GO53" s="19"/>
      <c r="GP53" s="19">
        <v>-14927500</v>
      </c>
      <c r="GQ53" s="19"/>
      <c r="GR53" s="19"/>
      <c r="GS53" s="19"/>
      <c r="GT53" s="19">
        <v>-160356862</v>
      </c>
      <c r="GU53" s="19">
        <v>-4543330</v>
      </c>
      <c r="GV53" s="19"/>
      <c r="GW53" s="19">
        <v>-7029720</v>
      </c>
      <c r="GX53" s="19">
        <v>-183363430</v>
      </c>
      <c r="GY53" s="19"/>
      <c r="GZ53" s="19">
        <v>-210844060</v>
      </c>
      <c r="HA53" s="19"/>
      <c r="HB53" s="37">
        <v>-7363020</v>
      </c>
      <c r="HC53" s="19"/>
      <c r="HD53" s="19"/>
      <c r="HE53" s="19"/>
      <c r="HF53" s="19"/>
      <c r="HG53" s="19">
        <v>-97508150</v>
      </c>
      <c r="HH53" s="19">
        <v>-31911200</v>
      </c>
      <c r="HI53" s="19"/>
      <c r="HJ53" s="19"/>
      <c r="HK53" s="19"/>
      <c r="HL53" s="19"/>
      <c r="HM53" s="19">
        <v>-127761080</v>
      </c>
      <c r="HN53" s="19"/>
      <c r="HO53" s="19">
        <v>-167748540</v>
      </c>
      <c r="HP53" s="19"/>
      <c r="HQ53" s="41">
        <v>-14869300</v>
      </c>
      <c r="HR53" s="41">
        <v>-1386428459</v>
      </c>
      <c r="HS53" s="41">
        <v>-109240665</v>
      </c>
      <c r="HT53" s="41">
        <v>-115983010</v>
      </c>
      <c r="HU53" s="41"/>
      <c r="HV53" s="41">
        <v>-50457900</v>
      </c>
      <c r="HW53" s="41"/>
      <c r="HX53" s="41">
        <v>-1800000</v>
      </c>
      <c r="HY53" s="41" t="s">
        <v>114</v>
      </c>
      <c r="HZ53" s="41">
        <v>-94509100</v>
      </c>
      <c r="IA53" s="41">
        <v>-73082252</v>
      </c>
      <c r="IB53" s="41"/>
      <c r="IC53" s="41">
        <v>-206218570</v>
      </c>
      <c r="ID53" s="41">
        <v>-28314380</v>
      </c>
      <c r="IE53" s="41" t="s">
        <v>4</v>
      </c>
      <c r="IF53" s="41">
        <v>-35303680</v>
      </c>
      <c r="IG53" s="41"/>
      <c r="IH53" s="41"/>
      <c r="II53" s="41"/>
      <c r="IJ53" s="41"/>
      <c r="IK53" s="41"/>
      <c r="IL53" s="41">
        <v>-83211180</v>
      </c>
      <c r="IM53" s="41"/>
      <c r="IN53" s="41"/>
      <c r="IO53" s="41">
        <v>-19670000</v>
      </c>
      <c r="IP53" s="41"/>
      <c r="IQ53" s="41"/>
      <c r="IR53" s="41">
        <v>-61693910</v>
      </c>
      <c r="IS53" s="41"/>
      <c r="IT53" s="41">
        <v>-81770600</v>
      </c>
      <c r="IU53" s="41"/>
      <c r="IV53" s="41"/>
      <c r="IW53" s="41">
        <v>-48320000</v>
      </c>
      <c r="IX53" s="41" t="s">
        <v>114</v>
      </c>
      <c r="IY53" s="41"/>
      <c r="IZ53" s="41">
        <v>-101582140</v>
      </c>
      <c r="JA53" s="41"/>
      <c r="JB53" s="41"/>
      <c r="JC53" s="41"/>
      <c r="JD53" s="41">
        <v>-205564180</v>
      </c>
      <c r="JE53" s="41" t="s">
        <v>114</v>
      </c>
      <c r="JF53" s="41"/>
      <c r="JG53" s="41"/>
      <c r="JH53" s="41">
        <v>-32477190</v>
      </c>
      <c r="JI53" s="41"/>
      <c r="JJ53" s="41"/>
      <c r="JK53" s="41">
        <v>-25854000</v>
      </c>
      <c r="JL53" s="41">
        <v>-83976260</v>
      </c>
      <c r="JM53" s="41"/>
      <c r="JN53" s="41">
        <v>-61451350</v>
      </c>
      <c r="JO53" s="41">
        <v>-114246750</v>
      </c>
      <c r="JP53" s="41" t="s">
        <v>4</v>
      </c>
      <c r="JQ53" s="41"/>
      <c r="JR53" s="41"/>
      <c r="JS53" s="41"/>
      <c r="JT53" s="41"/>
      <c r="JU53" s="41"/>
      <c r="JV53" s="41"/>
      <c r="JW53" s="41">
        <v>-780000</v>
      </c>
      <c r="JX53" s="41"/>
      <c r="JY53" s="41">
        <v>-60865660</v>
      </c>
      <c r="JZ53" s="41"/>
      <c r="KA53" s="41"/>
      <c r="KB53" s="41">
        <v>-35458480</v>
      </c>
      <c r="KC53" s="41"/>
      <c r="KD53" s="41"/>
    </row>
    <row r="54" spans="1:290">
      <c r="A54" s="9" t="s">
        <v>122</v>
      </c>
      <c r="B54" s="15" t="s">
        <v>73</v>
      </c>
      <c r="C54" s="19">
        <v>11640033</v>
      </c>
      <c r="D54" s="19">
        <v>7661489</v>
      </c>
      <c r="E54" s="19">
        <v>19105109</v>
      </c>
      <c r="F54" s="19">
        <v>20158856</v>
      </c>
      <c r="G54" s="19">
        <v>1414000</v>
      </c>
      <c r="H54" s="19"/>
      <c r="I54" s="19"/>
      <c r="J54" s="19" t="s">
        <v>4</v>
      </c>
      <c r="K54" s="19">
        <v>10046087</v>
      </c>
      <c r="L54" s="19" t="s">
        <v>130</v>
      </c>
      <c r="M54" s="19" t="s">
        <v>96</v>
      </c>
      <c r="N54" s="19">
        <v>2876186</v>
      </c>
      <c r="O54" s="19">
        <v>156701265</v>
      </c>
      <c r="P54" s="19">
        <v>128434274</v>
      </c>
      <c r="Q54" s="19">
        <v>710461</v>
      </c>
      <c r="R54" s="19">
        <v>1273775</v>
      </c>
      <c r="S54" s="19">
        <v>727892755</v>
      </c>
      <c r="T54" s="19" t="s">
        <v>96</v>
      </c>
      <c r="U54" s="19">
        <v>320414220</v>
      </c>
      <c r="V54" s="19" t="s">
        <v>128</v>
      </c>
      <c r="W54" s="19">
        <v>94024</v>
      </c>
      <c r="X54" s="19">
        <v>76409887</v>
      </c>
      <c r="Y54" s="19">
        <v>1757273</v>
      </c>
      <c r="Z54" s="19">
        <v>13226431</v>
      </c>
      <c r="AA54" s="19">
        <v>14185060</v>
      </c>
      <c r="AB54" s="19">
        <v>4866219</v>
      </c>
      <c r="AC54" s="19">
        <v>30139215</v>
      </c>
      <c r="AD54" s="19"/>
      <c r="AE54" s="19">
        <v>25657884</v>
      </c>
      <c r="AF54" s="19">
        <v>50274454</v>
      </c>
      <c r="AG54" s="19">
        <v>55461295</v>
      </c>
      <c r="AH54" s="19">
        <v>114437528</v>
      </c>
      <c r="AI54" s="19"/>
      <c r="AJ54" s="19">
        <v>13317213</v>
      </c>
      <c r="AK54" s="19" t="s">
        <v>89</v>
      </c>
      <c r="AL54" s="19">
        <v>29192600</v>
      </c>
      <c r="AM54" s="19" t="s">
        <v>4</v>
      </c>
      <c r="AN54" s="19">
        <v>40297929</v>
      </c>
      <c r="AO54" s="19">
        <v>49939180</v>
      </c>
      <c r="AP54" s="19">
        <v>7786906</v>
      </c>
      <c r="AQ54" s="19" t="s">
        <v>96</v>
      </c>
      <c r="AR54" s="19">
        <v>4772626</v>
      </c>
      <c r="AS54" s="19"/>
      <c r="AT54" s="19"/>
      <c r="AU54" s="19"/>
      <c r="AV54" s="19">
        <v>11859025</v>
      </c>
      <c r="AW54" s="19">
        <v>4565444</v>
      </c>
      <c r="AX54" s="19" t="s">
        <v>4</v>
      </c>
      <c r="AY54" s="19"/>
      <c r="AZ54" s="19"/>
      <c r="BA54" s="19"/>
      <c r="BB54" s="19"/>
      <c r="BC54" s="19" t="s">
        <v>4</v>
      </c>
      <c r="BD54" s="19" t="s">
        <v>128</v>
      </c>
      <c r="BE54" s="19">
        <v>6556500</v>
      </c>
      <c r="BF54" s="19">
        <v>4566660</v>
      </c>
      <c r="BG54" s="19">
        <v>6215879</v>
      </c>
      <c r="BH54" s="19"/>
      <c r="BI54" s="19">
        <v>5792170</v>
      </c>
      <c r="BJ54" s="19">
        <v>16142088</v>
      </c>
      <c r="BK54" s="19">
        <v>4134349</v>
      </c>
      <c r="BL54" s="19">
        <v>2755523</v>
      </c>
      <c r="BM54" s="19"/>
      <c r="BN54" s="19">
        <v>3871410</v>
      </c>
      <c r="BO54" s="19">
        <v>3151080</v>
      </c>
      <c r="BP54" s="19" t="s">
        <v>96</v>
      </c>
      <c r="BQ54" s="19" t="s">
        <v>4</v>
      </c>
      <c r="BR54" s="19">
        <v>182636</v>
      </c>
      <c r="BS54" s="19">
        <v>16248313</v>
      </c>
      <c r="BT54" s="19">
        <v>9986504</v>
      </c>
      <c r="BU54" s="19"/>
      <c r="BV54" s="19">
        <v>138034</v>
      </c>
      <c r="BW54" s="19">
        <v>9164291</v>
      </c>
      <c r="BX54" s="19">
        <v>7242906</v>
      </c>
      <c r="BY54" s="19"/>
      <c r="BZ54" s="19">
        <v>643938</v>
      </c>
      <c r="CA54" s="19">
        <v>36726002</v>
      </c>
      <c r="CB54" s="19">
        <v>27924358</v>
      </c>
      <c r="CC54" s="19"/>
      <c r="CD54" s="19">
        <v>650127</v>
      </c>
      <c r="CE54" s="19"/>
      <c r="CF54" s="19">
        <v>771543</v>
      </c>
      <c r="CG54" s="19">
        <v>3338300</v>
      </c>
      <c r="CH54" s="19">
        <v>7740757</v>
      </c>
      <c r="CI54" s="19" t="s">
        <v>128</v>
      </c>
      <c r="CJ54" s="19" t="s">
        <v>89</v>
      </c>
      <c r="CK54" s="19">
        <v>26145115</v>
      </c>
      <c r="CL54" s="19"/>
      <c r="CM54" s="19">
        <v>18151458</v>
      </c>
      <c r="CN54" s="19">
        <v>19267882</v>
      </c>
      <c r="CO54" s="19">
        <v>7802056</v>
      </c>
      <c r="CP54" s="19">
        <v>19587499</v>
      </c>
      <c r="CQ54" s="19" t="s">
        <v>96</v>
      </c>
      <c r="CR54" s="19">
        <v>14651322</v>
      </c>
      <c r="CS54" s="19"/>
      <c r="CT54" s="19">
        <v>18972953</v>
      </c>
      <c r="CU54" s="19">
        <v>2656978</v>
      </c>
      <c r="CV54" s="19"/>
      <c r="CW54" s="19">
        <v>86094541</v>
      </c>
      <c r="CX54" s="19">
        <v>66335142</v>
      </c>
      <c r="CY54" s="19">
        <v>110468493</v>
      </c>
      <c r="CZ54" s="19">
        <v>36344990</v>
      </c>
      <c r="DA54" s="19">
        <v>2664262</v>
      </c>
      <c r="DB54" s="19">
        <v>9532981</v>
      </c>
      <c r="DC54" s="19"/>
      <c r="DD54" s="19">
        <v>3367564</v>
      </c>
      <c r="DE54" s="19" t="s">
        <v>89</v>
      </c>
      <c r="DF54" s="19">
        <v>4994779</v>
      </c>
      <c r="DG54" s="19">
        <v>39538280</v>
      </c>
      <c r="DH54" s="19">
        <v>1038038</v>
      </c>
      <c r="DI54" s="19" t="s">
        <v>128</v>
      </c>
      <c r="DJ54" s="19">
        <v>1259034</v>
      </c>
      <c r="DK54" s="19">
        <v>155130567</v>
      </c>
      <c r="DL54" s="19"/>
      <c r="DM54" s="19">
        <v>26688969</v>
      </c>
      <c r="DN54" s="19">
        <v>6710962</v>
      </c>
      <c r="DO54" s="19"/>
      <c r="DP54" s="19">
        <v>20945319</v>
      </c>
      <c r="DQ54" s="19">
        <v>7165926</v>
      </c>
      <c r="DR54" s="19"/>
      <c r="DS54" s="19">
        <v>14842272</v>
      </c>
      <c r="DT54" s="19">
        <v>65936345</v>
      </c>
      <c r="DU54" s="19">
        <v>9368940</v>
      </c>
      <c r="DV54" s="19">
        <f>1544250</f>
        <v>1544250</v>
      </c>
      <c r="DW54" s="19">
        <v>20138065</v>
      </c>
      <c r="DX54" s="19">
        <v>43053458</v>
      </c>
      <c r="DY54" s="19">
        <v>2987136</v>
      </c>
      <c r="DZ54" s="19">
        <v>6573802</v>
      </c>
      <c r="EA54" s="19"/>
      <c r="EB54" s="19">
        <v>49349984</v>
      </c>
      <c r="EC54" s="19">
        <v>2190985</v>
      </c>
      <c r="ED54" s="19"/>
      <c r="EE54" s="19">
        <v>11109675</v>
      </c>
      <c r="EF54" s="19"/>
      <c r="EG54" s="19">
        <v>295619503</v>
      </c>
      <c r="EH54" s="19"/>
      <c r="EI54" s="19">
        <v>38367783</v>
      </c>
      <c r="EJ54" s="19">
        <v>8629518</v>
      </c>
      <c r="EK54" s="19">
        <v>5734753</v>
      </c>
      <c r="EL54" s="19"/>
      <c r="EM54" s="19">
        <v>4021343</v>
      </c>
      <c r="EN54" s="19">
        <v>74664281</v>
      </c>
      <c r="EO54" s="19">
        <v>121506612</v>
      </c>
      <c r="EP54" s="19">
        <v>14367902</v>
      </c>
      <c r="EQ54" s="19"/>
      <c r="ER54" s="19">
        <v>203019398</v>
      </c>
      <c r="ES54" s="19">
        <v>19047699</v>
      </c>
      <c r="ET54" s="19"/>
      <c r="EU54" s="19">
        <v>1638941</v>
      </c>
      <c r="EV54" s="19">
        <v>469713</v>
      </c>
      <c r="EW54" s="19">
        <v>11008514</v>
      </c>
      <c r="EX54" s="19">
        <v>52329134</v>
      </c>
      <c r="EY54" s="19">
        <v>157981223</v>
      </c>
      <c r="EZ54" s="19"/>
      <c r="FA54" s="19"/>
      <c r="FB54" s="19"/>
      <c r="FC54" s="19"/>
      <c r="FD54" s="19"/>
      <c r="FE54" s="19">
        <v>49008201</v>
      </c>
      <c r="FF54" s="19"/>
      <c r="FG54" s="19">
        <f>10072400+16003791</f>
        <v>26076191</v>
      </c>
      <c r="FH54" s="19">
        <v>22063597</v>
      </c>
      <c r="FI54" s="19">
        <v>1107936</v>
      </c>
      <c r="FJ54" s="19">
        <v>4120436</v>
      </c>
      <c r="FK54" s="19">
        <v>5831998</v>
      </c>
      <c r="FL54" s="19"/>
      <c r="FM54" s="19"/>
      <c r="FN54" s="19"/>
      <c r="FO54" s="19"/>
      <c r="FP54" s="19">
        <v>15802537</v>
      </c>
      <c r="FQ54" s="19"/>
      <c r="FR54" s="19"/>
      <c r="FS54" s="19"/>
      <c r="FT54" s="19">
        <v>724758</v>
      </c>
      <c r="FU54" s="19"/>
      <c r="FV54" s="19">
        <v>120938115</v>
      </c>
      <c r="FW54" s="19"/>
      <c r="FX54" s="19">
        <v>3045123</v>
      </c>
      <c r="FY54" s="19">
        <v>17480524</v>
      </c>
      <c r="FZ54" s="19">
        <v>19279447</v>
      </c>
      <c r="GA54" s="19">
        <v>3471932</v>
      </c>
      <c r="GB54" s="19">
        <v>1172599</v>
      </c>
      <c r="GC54" s="19">
        <v>1744731</v>
      </c>
      <c r="GD54" s="19" t="s">
        <v>96</v>
      </c>
      <c r="GE54" s="19"/>
      <c r="GF54" s="19"/>
      <c r="GG54" s="19">
        <v>5376329</v>
      </c>
      <c r="GH54" s="19"/>
      <c r="GI54" s="19"/>
      <c r="GJ54" s="19"/>
      <c r="GK54" s="19">
        <v>5966240</v>
      </c>
      <c r="GL54" s="19">
        <v>9527932</v>
      </c>
      <c r="GM54" s="19"/>
      <c r="GN54" s="19"/>
      <c r="GO54" s="19"/>
      <c r="GP54" s="19">
        <v>83802228</v>
      </c>
      <c r="GQ54" s="19">
        <v>5801632</v>
      </c>
      <c r="GR54" s="19"/>
      <c r="GS54" s="19"/>
      <c r="GT54" s="19"/>
      <c r="GU54" s="19"/>
      <c r="GV54" s="19">
        <v>21210825</v>
      </c>
      <c r="GW54" s="19">
        <v>326980380</v>
      </c>
      <c r="GX54" s="19">
        <v>26194909</v>
      </c>
      <c r="GY54" s="19">
        <v>5415090</v>
      </c>
      <c r="GZ54" s="19">
        <v>6751161</v>
      </c>
      <c r="HA54" s="19">
        <v>3252081</v>
      </c>
      <c r="HB54" s="37">
        <v>10123307</v>
      </c>
      <c r="HC54" s="19"/>
      <c r="HD54" s="19">
        <v>859800</v>
      </c>
      <c r="HE54" s="19"/>
      <c r="HF54" s="19">
        <v>12867150</v>
      </c>
      <c r="HG54" s="19">
        <v>6326489</v>
      </c>
      <c r="HH54" s="19"/>
      <c r="HI54" s="19"/>
      <c r="HJ54" s="19">
        <v>31485042</v>
      </c>
      <c r="HK54" s="19">
        <v>22913542</v>
      </c>
      <c r="HL54" s="19"/>
      <c r="HM54" s="19"/>
      <c r="HN54" s="19">
        <v>10557759</v>
      </c>
      <c r="HO54" s="19">
        <v>8330027</v>
      </c>
      <c r="HP54" s="19">
        <v>33617173</v>
      </c>
      <c r="HQ54" s="41"/>
      <c r="HR54" s="41">
        <v>30601199</v>
      </c>
      <c r="HS54" s="41">
        <v>20504002</v>
      </c>
      <c r="HT54" s="41"/>
      <c r="HU54" s="41"/>
      <c r="HV54" s="41">
        <v>8579963</v>
      </c>
      <c r="HW54" s="41">
        <v>175323438</v>
      </c>
      <c r="HX54" s="41">
        <v>89962004</v>
      </c>
      <c r="HY54" s="41" t="s">
        <v>114</v>
      </c>
      <c r="HZ54" s="41">
        <v>604120</v>
      </c>
      <c r="IA54" s="41">
        <v>5777347</v>
      </c>
      <c r="IB54" s="41"/>
      <c r="IC54" s="41"/>
      <c r="ID54" s="41">
        <v>10583626</v>
      </c>
      <c r="IE54" s="41" t="s">
        <v>4</v>
      </c>
      <c r="IF54" s="41">
        <v>7614688</v>
      </c>
      <c r="IG54" s="41">
        <v>716677</v>
      </c>
      <c r="IH54" s="41">
        <v>25901191</v>
      </c>
      <c r="II54" s="41"/>
      <c r="IJ54" s="41"/>
      <c r="IK54" s="41">
        <v>10335761</v>
      </c>
      <c r="IL54" s="41"/>
      <c r="IM54" s="41"/>
      <c r="IN54" s="41">
        <v>5351114</v>
      </c>
      <c r="IO54" s="41"/>
      <c r="IP54" s="41">
        <v>22489180</v>
      </c>
      <c r="IQ54" s="41"/>
      <c r="IR54" s="41">
        <v>13678520</v>
      </c>
      <c r="IS54" s="41">
        <v>16018343</v>
      </c>
      <c r="IT54" s="41">
        <v>14766675</v>
      </c>
      <c r="IU54" s="41"/>
      <c r="IV54" s="41"/>
      <c r="IW54" s="41"/>
      <c r="IX54" s="41" t="s">
        <v>114</v>
      </c>
      <c r="IY54" s="41"/>
      <c r="IZ54" s="41">
        <v>61800685</v>
      </c>
      <c r="JA54" s="41">
        <v>1418265</v>
      </c>
      <c r="JB54" s="41"/>
      <c r="JC54" s="41">
        <v>6607196</v>
      </c>
      <c r="JD54" s="41">
        <v>8321749</v>
      </c>
      <c r="JE54" s="41" t="s">
        <v>114</v>
      </c>
      <c r="JF54" s="41">
        <v>7459026</v>
      </c>
      <c r="JG54" s="41">
        <v>82355118</v>
      </c>
      <c r="JH54" s="41"/>
      <c r="JI54" s="41">
        <v>664694</v>
      </c>
      <c r="JJ54" s="41">
        <v>20798331</v>
      </c>
      <c r="JK54" s="41">
        <v>27227475</v>
      </c>
      <c r="JL54" s="41">
        <v>2400000</v>
      </c>
      <c r="JM54" s="41"/>
      <c r="JN54" s="41">
        <v>32617606</v>
      </c>
      <c r="JO54" s="41"/>
      <c r="JP54" s="41" t="s">
        <v>4</v>
      </c>
      <c r="JQ54" s="41">
        <v>3649582</v>
      </c>
      <c r="JR54" s="41">
        <v>13178876</v>
      </c>
      <c r="JS54" s="41">
        <v>4707980</v>
      </c>
      <c r="JT54" s="41"/>
      <c r="JU54" s="41">
        <v>16870977</v>
      </c>
      <c r="JV54" s="41">
        <v>7350679</v>
      </c>
      <c r="JW54" s="41">
        <v>3344929</v>
      </c>
      <c r="JX54" s="41">
        <v>1473068</v>
      </c>
      <c r="JY54" s="41">
        <v>7687146</v>
      </c>
      <c r="JZ54" s="41"/>
      <c r="KA54" s="41"/>
      <c r="KB54" s="41">
        <v>3920115</v>
      </c>
      <c r="KC54" s="41">
        <v>279831</v>
      </c>
      <c r="KD54" s="41">
        <v>29502151</v>
      </c>
    </row>
    <row r="55" spans="1:290">
      <c r="A55" s="9" t="s">
        <v>122</v>
      </c>
      <c r="B55" s="15" t="s">
        <v>58</v>
      </c>
      <c r="C55" s="19">
        <v>0</v>
      </c>
      <c r="D55" s="19">
        <v>0</v>
      </c>
      <c r="E55" s="19">
        <v>0</v>
      </c>
      <c r="F55" s="19">
        <v>0</v>
      </c>
      <c r="G55" s="19">
        <v>0</v>
      </c>
      <c r="H55" s="19"/>
      <c r="I55" s="19"/>
      <c r="J55" s="19" t="s">
        <v>4</v>
      </c>
      <c r="K55" s="19">
        <v>42443594</v>
      </c>
      <c r="L55" s="19" t="s">
        <v>130</v>
      </c>
      <c r="M55" s="19" t="s">
        <v>96</v>
      </c>
      <c r="N55" s="19"/>
      <c r="O55" s="19"/>
      <c r="P55" s="19"/>
      <c r="Q55" s="19"/>
      <c r="R55" s="19"/>
      <c r="S55" s="19">
        <v>6997387</v>
      </c>
      <c r="T55" s="19" t="s">
        <v>96</v>
      </c>
      <c r="U55" s="19"/>
      <c r="V55" s="19" t="s">
        <v>128</v>
      </c>
      <c r="W55" s="19"/>
      <c r="X55" s="19"/>
      <c r="Y55" s="19"/>
      <c r="Z55" s="19"/>
      <c r="AA55" s="19"/>
      <c r="AB55" s="19"/>
      <c r="AC55" s="19"/>
      <c r="AD55" s="19"/>
      <c r="AE55" s="19"/>
      <c r="AF55" s="19"/>
      <c r="AG55" s="19"/>
      <c r="AH55" s="19"/>
      <c r="AI55" s="19"/>
      <c r="AJ55" s="19"/>
      <c r="AK55" s="19" t="s">
        <v>89</v>
      </c>
      <c r="AL55" s="19"/>
      <c r="AM55" s="19" t="s">
        <v>4</v>
      </c>
      <c r="AN55" s="19"/>
      <c r="AO55" s="19">
        <v>388991</v>
      </c>
      <c r="AP55" s="19">
        <v>2500000</v>
      </c>
      <c r="AQ55" s="19" t="s">
        <v>96</v>
      </c>
      <c r="AR55" s="19"/>
      <c r="AS55" s="19"/>
      <c r="AT55" s="19"/>
      <c r="AU55" s="19"/>
      <c r="AV55" s="19">
        <v>652180</v>
      </c>
      <c r="AW55" s="19"/>
      <c r="AX55" s="19" t="s">
        <v>4</v>
      </c>
      <c r="AY55" s="19"/>
      <c r="AZ55" s="19"/>
      <c r="BA55" s="19"/>
      <c r="BB55" s="19"/>
      <c r="BC55" s="19" t="s">
        <v>4</v>
      </c>
      <c r="BD55" s="19" t="s">
        <v>128</v>
      </c>
      <c r="BE55" s="19"/>
      <c r="BF55" s="19"/>
      <c r="BG55" s="19"/>
      <c r="BH55" s="19"/>
      <c r="BI55" s="19"/>
      <c r="BJ55" s="19"/>
      <c r="BK55" s="19">
        <v>4495989</v>
      </c>
      <c r="BL55" s="19"/>
      <c r="BM55" s="19"/>
      <c r="BN55" s="19"/>
      <c r="BO55" s="19"/>
      <c r="BP55" s="19" t="s">
        <v>96</v>
      </c>
      <c r="BQ55" s="19" t="s">
        <v>4</v>
      </c>
      <c r="BR55" s="19"/>
      <c r="BS55" s="19"/>
      <c r="BT55" s="19"/>
      <c r="BU55" s="19"/>
      <c r="BV55" s="19"/>
      <c r="BW55" s="19"/>
      <c r="BX55" s="19"/>
      <c r="BY55" s="19"/>
      <c r="BZ55" s="19"/>
      <c r="CA55" s="19"/>
      <c r="CB55" s="19"/>
      <c r="CC55" s="19"/>
      <c r="CD55" s="19">
        <v>59550140</v>
      </c>
      <c r="CE55" s="19"/>
      <c r="CF55" s="19"/>
      <c r="CG55" s="19"/>
      <c r="CH55" s="19"/>
      <c r="CI55" s="19" t="s">
        <v>128</v>
      </c>
      <c r="CJ55" s="19" t="s">
        <v>89</v>
      </c>
      <c r="CK55" s="19"/>
      <c r="CL55" s="19"/>
      <c r="CM55" s="19"/>
      <c r="CN55" s="19"/>
      <c r="CO55" s="19"/>
      <c r="CP55" s="19"/>
      <c r="CQ55" s="19" t="s">
        <v>96</v>
      </c>
      <c r="CR55" s="19">
        <v>722353</v>
      </c>
      <c r="CS55" s="19"/>
      <c r="CT55" s="19"/>
      <c r="CU55" s="19"/>
      <c r="CV55" s="19"/>
      <c r="CW55" s="19"/>
      <c r="CX55" s="19"/>
      <c r="CY55" s="19">
        <v>-4699119</v>
      </c>
      <c r="CZ55" s="19"/>
      <c r="DA55" s="19"/>
      <c r="DB55" s="19"/>
      <c r="DC55" s="19"/>
      <c r="DD55" s="19"/>
      <c r="DE55" s="19" t="s">
        <v>89</v>
      </c>
      <c r="DF55" s="19"/>
      <c r="DG55" s="19"/>
      <c r="DH55" s="19"/>
      <c r="DI55" s="19" t="s">
        <v>128</v>
      </c>
      <c r="DJ55" s="19"/>
      <c r="DK55" s="19"/>
      <c r="DL55" s="19"/>
      <c r="DM55" s="19">
        <v>3179950</v>
      </c>
      <c r="DN55" s="19"/>
      <c r="DO55" s="19"/>
      <c r="DP55" s="19">
        <v>2478383</v>
      </c>
      <c r="DQ55" s="19"/>
      <c r="DR55" s="19"/>
      <c r="DS55" s="19">
        <v>13198530</v>
      </c>
      <c r="DT55" s="19"/>
      <c r="DU55" s="19"/>
      <c r="DV55" s="19"/>
      <c r="DW55" s="19">
        <v>27348211</v>
      </c>
      <c r="DX55" s="19"/>
      <c r="DY55" s="19"/>
      <c r="DZ55" s="19"/>
      <c r="EA55" s="19"/>
      <c r="EB55" s="19"/>
      <c r="EC55" s="19"/>
      <c r="ED55" s="19"/>
      <c r="EE55" s="19"/>
      <c r="EF55" s="19"/>
      <c r="EG55" s="19">
        <v>26694355</v>
      </c>
      <c r="EH55" s="19"/>
      <c r="EI55" s="19">
        <v>6871568</v>
      </c>
      <c r="EJ55" s="19"/>
      <c r="EK55" s="19"/>
      <c r="EL55" s="19"/>
      <c r="EM55" s="19"/>
      <c r="EN55" s="19"/>
      <c r="EO55" s="19"/>
      <c r="EP55" s="19"/>
      <c r="EQ55" s="19"/>
      <c r="ER55" s="19"/>
      <c r="ES55" s="19"/>
      <c r="ET55" s="19"/>
      <c r="EU55" s="19"/>
      <c r="EV55" s="19"/>
      <c r="EW55" s="19"/>
      <c r="EX55" s="19"/>
      <c r="EY55" s="19"/>
      <c r="EZ55" s="19"/>
      <c r="FA55" s="19"/>
      <c r="FB55" s="19"/>
      <c r="FC55" s="19"/>
      <c r="FD55" s="19"/>
      <c r="FE55" s="19"/>
      <c r="FF55" s="19"/>
      <c r="FG55" s="19"/>
      <c r="FH55" s="19"/>
      <c r="FI55" s="19"/>
      <c r="FJ55" s="19"/>
      <c r="FK55" s="19"/>
      <c r="FL55" s="19"/>
      <c r="FM55" s="19"/>
      <c r="FN55" s="19"/>
      <c r="FO55" s="19"/>
      <c r="FP55" s="19"/>
      <c r="FQ55" s="19"/>
      <c r="FR55" s="19"/>
      <c r="FS55" s="19"/>
      <c r="FT55" s="19"/>
      <c r="FU55" s="19"/>
      <c r="FV55" s="19">
        <v>11769277</v>
      </c>
      <c r="FW55" s="19"/>
      <c r="FX55" s="19"/>
      <c r="FY55" s="19"/>
      <c r="FZ55" s="19"/>
      <c r="GA55" s="19"/>
      <c r="GB55" s="19"/>
      <c r="GC55" s="19"/>
      <c r="GD55" s="19" t="s">
        <v>96</v>
      </c>
      <c r="GE55" s="19"/>
      <c r="GF55" s="19"/>
      <c r="GG55" s="19"/>
      <c r="GH55" s="19"/>
      <c r="GI55" s="19"/>
      <c r="GJ55" s="19"/>
      <c r="GK55" s="19"/>
      <c r="GL55" s="19"/>
      <c r="GM55" s="19"/>
      <c r="GN55" s="19"/>
      <c r="GO55" s="19"/>
      <c r="GP55" s="19">
        <v>7099984</v>
      </c>
      <c r="GQ55" s="19"/>
      <c r="GR55" s="19"/>
      <c r="GS55" s="19">
        <v>25719484</v>
      </c>
      <c r="GT55" s="19"/>
      <c r="GU55" s="19"/>
      <c r="GV55" s="19"/>
      <c r="GW55" s="19"/>
      <c r="GX55" s="19"/>
      <c r="GY55" s="19"/>
      <c r="GZ55" s="19"/>
      <c r="HA55" s="19"/>
      <c r="HB55" s="37">
        <v>-268242</v>
      </c>
      <c r="HC55" s="19"/>
      <c r="HD55" s="19"/>
      <c r="HE55" s="19"/>
      <c r="HF55" s="19">
        <v>2922319</v>
      </c>
      <c r="HG55" s="19"/>
      <c r="HH55" s="19"/>
      <c r="HI55" s="19"/>
      <c r="HJ55" s="19"/>
      <c r="HK55" s="19">
        <v>94263</v>
      </c>
      <c r="HL55" s="19"/>
      <c r="HM55" s="19"/>
      <c r="HN55" s="19"/>
      <c r="HO55" s="19"/>
      <c r="HP55" s="19"/>
      <c r="HQ55" s="41"/>
      <c r="HR55" s="41"/>
      <c r="HS55" s="41"/>
      <c r="HT55" s="41"/>
      <c r="HU55" s="41"/>
      <c r="HV55" s="41"/>
      <c r="HW55" s="41">
        <v>546767333</v>
      </c>
      <c r="HX55" s="41">
        <v>2427553</v>
      </c>
      <c r="HY55" s="41" t="s">
        <v>114</v>
      </c>
      <c r="HZ55" s="41"/>
      <c r="IA55" s="41"/>
      <c r="IB55" s="41"/>
      <c r="IC55" s="41"/>
      <c r="ID55" s="41"/>
      <c r="IE55" s="41" t="s">
        <v>4</v>
      </c>
      <c r="IF55" s="41"/>
      <c r="IG55" s="41"/>
      <c r="IH55" s="41"/>
      <c r="II55" s="41"/>
      <c r="IJ55" s="41"/>
      <c r="IK55" s="41"/>
      <c r="IL55" s="41"/>
      <c r="IM55" s="41"/>
      <c r="IN55" s="41"/>
      <c r="IO55" s="41"/>
      <c r="IP55" s="41"/>
      <c r="IQ55" s="41"/>
      <c r="IR55" s="41"/>
      <c r="IS55" s="41"/>
      <c r="IT55" s="41"/>
      <c r="IU55" s="41"/>
      <c r="IV55" s="41"/>
      <c r="IW55" s="41"/>
      <c r="IX55" s="41" t="s">
        <v>114</v>
      </c>
      <c r="IY55" s="41"/>
      <c r="IZ55" s="41"/>
      <c r="JA55" s="41"/>
      <c r="JB55" s="41"/>
      <c r="JC55" s="41">
        <v>696354</v>
      </c>
      <c r="JD55" s="41"/>
      <c r="JE55" s="41" t="s">
        <v>114</v>
      </c>
      <c r="JF55" s="41"/>
      <c r="JG55" s="41"/>
      <c r="JH55" s="41"/>
      <c r="JI55" s="41"/>
      <c r="JJ55" s="41"/>
      <c r="JK55" s="41">
        <v>214532</v>
      </c>
      <c r="JL55" s="41"/>
      <c r="JM55" s="41"/>
      <c r="JN55" s="41"/>
      <c r="JO55" s="41"/>
      <c r="JP55" s="41" t="s">
        <v>4</v>
      </c>
      <c r="JQ55" s="41"/>
      <c r="JR55" s="41"/>
      <c r="JS55" s="41"/>
      <c r="JT55" s="41"/>
      <c r="JU55" s="41"/>
      <c r="JV55" s="41"/>
      <c r="JW55" s="41"/>
      <c r="JX55" s="41"/>
      <c r="JY55" s="41"/>
      <c r="JZ55" s="41"/>
      <c r="KA55" s="41">
        <v>1788075</v>
      </c>
      <c r="KB55" s="41"/>
      <c r="KC55" s="41"/>
      <c r="KD55" s="41"/>
    </row>
    <row r="56" spans="1:290">
      <c r="A56" s="9" t="s">
        <v>122</v>
      </c>
      <c r="B56" s="15" t="s">
        <v>55</v>
      </c>
      <c r="C56" s="19">
        <v>545100</v>
      </c>
      <c r="D56" s="19">
        <v>15779950</v>
      </c>
      <c r="E56" s="19">
        <v>3208152</v>
      </c>
      <c r="F56" s="19">
        <v>17187200</v>
      </c>
      <c r="G56" s="19">
        <v>3448860</v>
      </c>
      <c r="H56" s="19"/>
      <c r="I56" s="19">
        <v>176078291</v>
      </c>
      <c r="J56" s="19" t="s">
        <v>4</v>
      </c>
      <c r="K56" s="19">
        <v>62660743</v>
      </c>
      <c r="L56" s="19" t="s">
        <v>130</v>
      </c>
      <c r="M56" s="19" t="s">
        <v>96</v>
      </c>
      <c r="N56" s="19">
        <v>19844403</v>
      </c>
      <c r="O56" s="19">
        <v>8345750</v>
      </c>
      <c r="P56" s="19">
        <v>37986220</v>
      </c>
      <c r="Q56" s="19">
        <v>5084060</v>
      </c>
      <c r="R56" s="19">
        <v>7394617</v>
      </c>
      <c r="S56" s="19">
        <v>24611172</v>
      </c>
      <c r="T56" s="19" t="s">
        <v>96</v>
      </c>
      <c r="U56" s="19">
        <v>699270</v>
      </c>
      <c r="V56" s="19" t="s">
        <v>128</v>
      </c>
      <c r="W56" s="19">
        <v>727400</v>
      </c>
      <c r="X56" s="19">
        <v>42093345</v>
      </c>
      <c r="Y56" s="19">
        <v>31223644</v>
      </c>
      <c r="Z56" s="19">
        <v>57715105</v>
      </c>
      <c r="AA56" s="19">
        <v>25770414</v>
      </c>
      <c r="AB56" s="19">
        <v>4529575</v>
      </c>
      <c r="AC56" s="19">
        <v>1784430</v>
      </c>
      <c r="AD56" s="19">
        <v>6860530</v>
      </c>
      <c r="AE56" s="19">
        <v>20116983</v>
      </c>
      <c r="AF56" s="19">
        <v>10480060</v>
      </c>
      <c r="AG56" s="19">
        <v>48804070</v>
      </c>
      <c r="AH56" s="19">
        <v>20637980</v>
      </c>
      <c r="AI56" s="19">
        <v>7771790</v>
      </c>
      <c r="AJ56" s="19">
        <v>15867310</v>
      </c>
      <c r="AK56" s="19" t="s">
        <v>89</v>
      </c>
      <c r="AL56" s="19">
        <v>28970284</v>
      </c>
      <c r="AM56" s="19" t="s">
        <v>4</v>
      </c>
      <c r="AN56" s="19">
        <v>16888154</v>
      </c>
      <c r="AO56" s="19">
        <v>52247500</v>
      </c>
      <c r="AP56" s="19">
        <v>1359680</v>
      </c>
      <c r="AQ56" s="19" t="s">
        <v>96</v>
      </c>
      <c r="AR56" s="19">
        <v>13067520</v>
      </c>
      <c r="AS56" s="19">
        <v>9308884</v>
      </c>
      <c r="AT56" s="19">
        <v>26160279</v>
      </c>
      <c r="AU56" s="19">
        <v>10777955</v>
      </c>
      <c r="AV56" s="19"/>
      <c r="AW56" s="19">
        <v>1180670</v>
      </c>
      <c r="AX56" s="19" t="s">
        <v>4</v>
      </c>
      <c r="AY56" s="19">
        <v>13559051</v>
      </c>
      <c r="AZ56" s="19">
        <v>14473760</v>
      </c>
      <c r="BA56" s="19">
        <v>79338396</v>
      </c>
      <c r="BB56" s="19">
        <v>2772770</v>
      </c>
      <c r="BC56" s="19" t="s">
        <v>4</v>
      </c>
      <c r="BD56" s="19" t="s">
        <v>128</v>
      </c>
      <c r="BE56" s="19">
        <v>1141540</v>
      </c>
      <c r="BF56" s="19">
        <v>9427110</v>
      </c>
      <c r="BG56" s="19">
        <v>23695080</v>
      </c>
      <c r="BH56" s="19">
        <v>1561110</v>
      </c>
      <c r="BI56" s="19">
        <v>244260</v>
      </c>
      <c r="BJ56" s="19">
        <v>9795398</v>
      </c>
      <c r="BK56" s="19">
        <v>8816587</v>
      </c>
      <c r="BL56" s="19">
        <v>18932458</v>
      </c>
      <c r="BM56" s="19">
        <v>28792671</v>
      </c>
      <c r="BN56" s="19">
        <v>881340</v>
      </c>
      <c r="BO56" s="19">
        <v>252870</v>
      </c>
      <c r="BP56" s="19" t="s">
        <v>96</v>
      </c>
      <c r="BQ56" s="19" t="s">
        <v>4</v>
      </c>
      <c r="BR56" s="19">
        <v>22289503</v>
      </c>
      <c r="BS56" s="19">
        <v>2282340</v>
      </c>
      <c r="BT56" s="19">
        <v>2854960</v>
      </c>
      <c r="BU56" s="19">
        <v>12450920</v>
      </c>
      <c r="BV56" s="19">
        <v>7252960</v>
      </c>
      <c r="BW56" s="19">
        <v>10205620</v>
      </c>
      <c r="BX56" s="19">
        <v>9874750</v>
      </c>
      <c r="BY56" s="19">
        <v>45655410</v>
      </c>
      <c r="BZ56" s="19">
        <v>9749960</v>
      </c>
      <c r="CA56" s="19">
        <v>50624401</v>
      </c>
      <c r="CB56" s="19">
        <v>1407720</v>
      </c>
      <c r="CC56" s="19">
        <v>539550</v>
      </c>
      <c r="CD56" s="19"/>
      <c r="CE56" s="19">
        <v>2127460</v>
      </c>
      <c r="CF56" s="19">
        <v>12865630</v>
      </c>
      <c r="CG56" s="19">
        <v>4968370</v>
      </c>
      <c r="CH56" s="19">
        <v>3048862</v>
      </c>
      <c r="CI56" s="19" t="s">
        <v>128</v>
      </c>
      <c r="CJ56" s="19" t="s">
        <v>89</v>
      </c>
      <c r="CK56" s="19">
        <v>65979680</v>
      </c>
      <c r="CL56" s="19">
        <v>210790</v>
      </c>
      <c r="CM56" s="19">
        <v>1512470</v>
      </c>
      <c r="CN56" s="19">
        <v>4204600</v>
      </c>
      <c r="CO56" s="19">
        <v>4256210</v>
      </c>
      <c r="CP56" s="19">
        <v>19246390</v>
      </c>
      <c r="CQ56" s="19" t="s">
        <v>96</v>
      </c>
      <c r="CR56" s="19">
        <v>9818190</v>
      </c>
      <c r="CS56" s="19"/>
      <c r="CT56" s="19">
        <v>22190230</v>
      </c>
      <c r="CU56" s="19">
        <v>15246729</v>
      </c>
      <c r="CV56" s="19">
        <v>678920</v>
      </c>
      <c r="CW56" s="19">
        <v>1226820</v>
      </c>
      <c r="CX56" s="19">
        <v>48804070</v>
      </c>
      <c r="CY56" s="19">
        <v>19787272</v>
      </c>
      <c r="CZ56" s="19">
        <v>17261410</v>
      </c>
      <c r="DA56" s="19">
        <v>21368490</v>
      </c>
      <c r="DB56" s="19">
        <v>8509103</v>
      </c>
      <c r="DC56" s="19">
        <v>1743070</v>
      </c>
      <c r="DD56" s="19">
        <v>3129490</v>
      </c>
      <c r="DE56" s="19" t="s">
        <v>89</v>
      </c>
      <c r="DF56" s="19">
        <v>12202972</v>
      </c>
      <c r="DG56" s="19">
        <v>12046210</v>
      </c>
      <c r="DH56" s="19">
        <v>8927610</v>
      </c>
      <c r="DI56" s="19" t="s">
        <v>128</v>
      </c>
      <c r="DJ56" s="19">
        <v>4145830</v>
      </c>
      <c r="DK56" s="19">
        <v>53357913</v>
      </c>
      <c r="DL56" s="19">
        <v>6386675</v>
      </c>
      <c r="DM56" s="19">
        <v>19514547</v>
      </c>
      <c r="DN56" s="19">
        <v>13327908</v>
      </c>
      <c r="DO56" s="19">
        <v>3580110</v>
      </c>
      <c r="DP56" s="19">
        <v>7563349</v>
      </c>
      <c r="DQ56" s="19">
        <v>3464048</v>
      </c>
      <c r="DR56" s="19">
        <v>24134739</v>
      </c>
      <c r="DS56" s="19"/>
      <c r="DT56" s="19">
        <v>26638360</v>
      </c>
      <c r="DU56" s="19">
        <v>4399080</v>
      </c>
      <c r="DV56" s="19">
        <f>471350+40000</f>
        <v>511350</v>
      </c>
      <c r="DW56" s="19"/>
      <c r="DX56" s="19">
        <v>63528221</v>
      </c>
      <c r="DY56" s="19">
        <v>26987020</v>
      </c>
      <c r="DZ56" s="19">
        <v>14497390</v>
      </c>
      <c r="EA56" s="19"/>
      <c r="EB56" s="19">
        <v>34487306</v>
      </c>
      <c r="EC56" s="19">
        <v>3735250</v>
      </c>
      <c r="ED56" s="19">
        <v>7355665</v>
      </c>
      <c r="EE56" s="19">
        <v>748820</v>
      </c>
      <c r="EF56" s="19">
        <v>12181103</v>
      </c>
      <c r="EG56" s="19">
        <v>58832961</v>
      </c>
      <c r="EH56" s="19">
        <v>737645</v>
      </c>
      <c r="EI56" s="19">
        <v>2540350</v>
      </c>
      <c r="EJ56" s="19">
        <v>478840</v>
      </c>
      <c r="EK56" s="19">
        <v>10798040</v>
      </c>
      <c r="EL56" s="19">
        <v>60130638</v>
      </c>
      <c r="EM56" s="19">
        <v>5156130</v>
      </c>
      <c r="EN56" s="19">
        <v>8492340</v>
      </c>
      <c r="EO56" s="19">
        <v>31885770</v>
      </c>
      <c r="EP56" s="19">
        <v>26286288</v>
      </c>
      <c r="EQ56" s="19">
        <v>65075430</v>
      </c>
      <c r="ER56" s="19">
        <v>148224122</v>
      </c>
      <c r="ES56" s="19">
        <v>14983530</v>
      </c>
      <c r="ET56" s="19">
        <v>18408657</v>
      </c>
      <c r="EU56" s="19">
        <v>12897500</v>
      </c>
      <c r="EV56" s="19">
        <v>2367450</v>
      </c>
      <c r="EW56" s="19">
        <v>1623471</v>
      </c>
      <c r="EX56" s="19">
        <v>18976090</v>
      </c>
      <c r="EY56" s="19">
        <v>106180150</v>
      </c>
      <c r="EZ56" s="19">
        <v>7049530</v>
      </c>
      <c r="FA56" s="19">
        <v>11948150</v>
      </c>
      <c r="FB56" s="19">
        <v>8582142</v>
      </c>
      <c r="FC56" s="19">
        <v>3657042</v>
      </c>
      <c r="FD56" s="19">
        <v>2970814</v>
      </c>
      <c r="FE56" s="19">
        <v>54852752</v>
      </c>
      <c r="FF56" s="19">
        <v>5001619</v>
      </c>
      <c r="FG56" s="19">
        <v>10466995</v>
      </c>
      <c r="FH56" s="19">
        <v>8165657</v>
      </c>
      <c r="FI56" s="19">
        <v>3093004</v>
      </c>
      <c r="FJ56" s="19">
        <v>3557170</v>
      </c>
      <c r="FK56" s="19">
        <v>37577116</v>
      </c>
      <c r="FL56" s="19">
        <v>8930320</v>
      </c>
      <c r="FM56" s="19">
        <v>2832270</v>
      </c>
      <c r="FN56" s="19">
        <v>13014780</v>
      </c>
      <c r="FO56" s="19">
        <v>276110</v>
      </c>
      <c r="FP56" s="19">
        <v>9162220</v>
      </c>
      <c r="FQ56" s="19">
        <v>94578</v>
      </c>
      <c r="FR56" s="19">
        <v>6896810</v>
      </c>
      <c r="FS56" s="19">
        <v>2924640</v>
      </c>
      <c r="FT56" s="19">
        <v>15913520</v>
      </c>
      <c r="FU56" s="19">
        <v>62500</v>
      </c>
      <c r="FV56" s="19">
        <v>49495305</v>
      </c>
      <c r="FW56" s="19">
        <v>2924694</v>
      </c>
      <c r="FX56" s="19">
        <v>62500</v>
      </c>
      <c r="FY56" s="19">
        <v>19931690</v>
      </c>
      <c r="FZ56" s="19">
        <v>12516480</v>
      </c>
      <c r="GA56" s="19">
        <v>14757170</v>
      </c>
      <c r="GB56" s="19">
        <v>2605560</v>
      </c>
      <c r="GC56" s="19">
        <v>3175860</v>
      </c>
      <c r="GD56" s="19" t="s">
        <v>96</v>
      </c>
      <c r="GE56" s="19">
        <v>7877340</v>
      </c>
      <c r="GF56" s="19">
        <v>826980</v>
      </c>
      <c r="GG56" s="19">
        <v>21334740</v>
      </c>
      <c r="GH56" s="19">
        <v>11117685</v>
      </c>
      <c r="GI56" s="19">
        <v>1323511</v>
      </c>
      <c r="GJ56" s="19"/>
      <c r="GK56" s="19">
        <v>4126310</v>
      </c>
      <c r="GL56" s="19">
        <v>6085076</v>
      </c>
      <c r="GM56" s="19">
        <v>1555580</v>
      </c>
      <c r="GN56" s="19">
        <v>6060790</v>
      </c>
      <c r="GO56" s="19">
        <v>21423084</v>
      </c>
      <c r="GP56" s="19">
        <v>17128364</v>
      </c>
      <c r="GQ56" s="19">
        <v>1418650</v>
      </c>
      <c r="GR56" s="19">
        <v>10183990</v>
      </c>
      <c r="GS56" s="19"/>
      <c r="GT56" s="19">
        <v>26568340</v>
      </c>
      <c r="GU56" s="19">
        <v>6664380</v>
      </c>
      <c r="GV56" s="19">
        <v>18526550</v>
      </c>
      <c r="GW56" s="19">
        <v>34613075</v>
      </c>
      <c r="GX56" s="19">
        <v>924880</v>
      </c>
      <c r="GY56" s="19">
        <v>14365778</v>
      </c>
      <c r="GZ56" s="19">
        <v>1192140</v>
      </c>
      <c r="HA56" s="19">
        <v>20900918</v>
      </c>
      <c r="HB56" s="37">
        <v>1487057</v>
      </c>
      <c r="HC56" s="19">
        <v>4874846</v>
      </c>
      <c r="HD56" s="19">
        <v>597583</v>
      </c>
      <c r="HE56" s="19">
        <v>5340063</v>
      </c>
      <c r="HF56" s="19">
        <v>129924490</v>
      </c>
      <c r="HG56" s="19">
        <v>8712834</v>
      </c>
      <c r="HH56" s="19">
        <v>4822195</v>
      </c>
      <c r="HI56" s="19">
        <v>16428560</v>
      </c>
      <c r="HJ56" s="19">
        <v>7643720</v>
      </c>
      <c r="HK56" s="19">
        <v>28827050</v>
      </c>
      <c r="HL56" s="19">
        <v>6277185</v>
      </c>
      <c r="HM56" s="19">
        <v>16595890</v>
      </c>
      <c r="HN56" s="19">
        <v>6382230</v>
      </c>
      <c r="HO56" s="19">
        <v>790900</v>
      </c>
      <c r="HP56" s="19">
        <v>37190520</v>
      </c>
      <c r="HQ56" s="41">
        <v>10451510</v>
      </c>
      <c r="HR56" s="41">
        <v>24853441</v>
      </c>
      <c r="HS56" s="41">
        <v>6563715</v>
      </c>
      <c r="HT56" s="41">
        <v>390681</v>
      </c>
      <c r="HU56" s="41">
        <v>17876450</v>
      </c>
      <c r="HV56" s="41">
        <v>6050800</v>
      </c>
      <c r="HW56" s="41">
        <v>298242305</v>
      </c>
      <c r="HX56" s="41">
        <v>10650741</v>
      </c>
      <c r="HY56" s="41" t="s">
        <v>114</v>
      </c>
      <c r="HZ56" s="41">
        <v>7625672</v>
      </c>
      <c r="IA56" s="41">
        <v>304091</v>
      </c>
      <c r="IB56" s="41">
        <v>4477710</v>
      </c>
      <c r="IC56" s="41">
        <v>15574770</v>
      </c>
      <c r="ID56" s="41">
        <v>10088500</v>
      </c>
      <c r="IE56" s="41" t="s">
        <v>4</v>
      </c>
      <c r="IF56" s="41">
        <v>242190</v>
      </c>
      <c r="IG56" s="41">
        <v>1908790</v>
      </c>
      <c r="IH56" s="41">
        <v>14640329</v>
      </c>
      <c r="II56" s="41">
        <v>384620</v>
      </c>
      <c r="IJ56" s="41">
        <v>1043800</v>
      </c>
      <c r="IK56" s="41">
        <v>1465480</v>
      </c>
      <c r="IL56" s="41">
        <v>1044155</v>
      </c>
      <c r="IM56" s="41">
        <v>2729870</v>
      </c>
      <c r="IN56" s="41">
        <v>4049600</v>
      </c>
      <c r="IO56" s="41"/>
      <c r="IP56" s="41">
        <v>6588000</v>
      </c>
      <c r="IQ56" s="41">
        <v>9959560</v>
      </c>
      <c r="IR56" s="41">
        <v>60716220</v>
      </c>
      <c r="IS56" s="41">
        <v>11142850</v>
      </c>
      <c r="IT56" s="41">
        <v>16773240</v>
      </c>
      <c r="IU56" s="41">
        <v>5441080</v>
      </c>
      <c r="IV56" s="41">
        <v>25114230</v>
      </c>
      <c r="IW56" s="41">
        <v>9006931</v>
      </c>
      <c r="IX56" s="41" t="s">
        <v>114</v>
      </c>
      <c r="IY56" s="41">
        <v>1868200</v>
      </c>
      <c r="IZ56" s="41">
        <v>20946470</v>
      </c>
      <c r="JA56" s="41">
        <v>619600</v>
      </c>
      <c r="JB56" s="41">
        <v>572145</v>
      </c>
      <c r="JC56" s="41">
        <v>29652690</v>
      </c>
      <c r="JD56" s="41">
        <v>10821855</v>
      </c>
      <c r="JE56" s="41" t="s">
        <v>114</v>
      </c>
      <c r="JF56" s="41">
        <v>4109450</v>
      </c>
      <c r="JG56" s="41">
        <v>2535358</v>
      </c>
      <c r="JH56" s="41">
        <v>2558350</v>
      </c>
      <c r="JI56" s="41">
        <v>1317670</v>
      </c>
      <c r="JJ56" s="41">
        <v>4254620</v>
      </c>
      <c r="JK56" s="41">
        <v>16948192</v>
      </c>
      <c r="JL56" s="41">
        <v>6682750</v>
      </c>
      <c r="JM56" s="41">
        <v>2479750</v>
      </c>
      <c r="JN56" s="41"/>
      <c r="JO56" s="41">
        <v>11518817</v>
      </c>
      <c r="JP56" s="41" t="s">
        <v>4</v>
      </c>
      <c r="JQ56" s="41">
        <v>8933420</v>
      </c>
      <c r="JR56" s="41">
        <v>4949250</v>
      </c>
      <c r="JS56" s="41">
        <v>6950430</v>
      </c>
      <c r="JT56" s="41">
        <v>1882343</v>
      </c>
      <c r="JU56" s="41">
        <v>3476652</v>
      </c>
      <c r="JV56" s="41">
        <v>5861249</v>
      </c>
      <c r="JW56" s="41">
        <v>42704073</v>
      </c>
      <c r="JX56" s="41">
        <v>5039920</v>
      </c>
      <c r="JY56" s="41">
        <v>8309912</v>
      </c>
      <c r="JZ56" s="41">
        <v>996530</v>
      </c>
      <c r="KA56" s="41"/>
      <c r="KB56" s="41">
        <v>2528705</v>
      </c>
      <c r="KC56" s="41">
        <v>598300</v>
      </c>
      <c r="KD56" s="41">
        <v>328930</v>
      </c>
    </row>
    <row r="57" spans="1:290">
      <c r="A57" s="9" t="s">
        <v>122</v>
      </c>
      <c r="B57" s="15" t="s">
        <v>77</v>
      </c>
      <c r="C57" s="19">
        <v>252006166</v>
      </c>
      <c r="D57" s="19">
        <v>546822831</v>
      </c>
      <c r="E57" s="19">
        <v>103523055</v>
      </c>
      <c r="F57" s="19">
        <v>308022119</v>
      </c>
      <c r="G57" s="19">
        <v>49631863</v>
      </c>
      <c r="H57" s="19">
        <v>7723735000</v>
      </c>
      <c r="I57" s="19">
        <v>1377975164</v>
      </c>
      <c r="J57" s="19" t="s">
        <v>4</v>
      </c>
      <c r="K57" s="19">
        <v>209979934</v>
      </c>
      <c r="L57" s="19" t="s">
        <v>130</v>
      </c>
      <c r="M57" s="19" t="s">
        <v>96</v>
      </c>
      <c r="N57" s="19">
        <v>268520609</v>
      </c>
      <c r="O57" s="19">
        <v>1119370102</v>
      </c>
      <c r="P57" s="19">
        <v>1816210461</v>
      </c>
      <c r="Q57" s="19">
        <v>73601459</v>
      </c>
      <c r="R57" s="19">
        <v>204441980</v>
      </c>
      <c r="S57" s="19">
        <v>1922105086</v>
      </c>
      <c r="T57" s="19" t="s">
        <v>96</v>
      </c>
      <c r="U57" s="19">
        <v>400610637</v>
      </c>
      <c r="V57" s="19" t="s">
        <v>128</v>
      </c>
      <c r="W57" s="19">
        <v>673400196</v>
      </c>
      <c r="X57" s="19">
        <v>326929903</v>
      </c>
      <c r="Y57" s="19">
        <v>646846746</v>
      </c>
      <c r="Z57" s="19">
        <v>1034285695</v>
      </c>
      <c r="AA57" s="19">
        <v>133081348</v>
      </c>
      <c r="AB57" s="19">
        <v>374283023</v>
      </c>
      <c r="AC57" s="19">
        <v>78094114</v>
      </c>
      <c r="AD57" s="19">
        <v>224018869</v>
      </c>
      <c r="AE57" s="19">
        <v>215747466</v>
      </c>
      <c r="AF57" s="19">
        <v>132005010</v>
      </c>
      <c r="AG57" s="19">
        <v>1563867213</v>
      </c>
      <c r="AH57" s="19">
        <v>866743600</v>
      </c>
      <c r="AI57" s="19">
        <v>128074221</v>
      </c>
      <c r="AJ57" s="19">
        <v>245442603</v>
      </c>
      <c r="AK57" s="19" t="s">
        <v>89</v>
      </c>
      <c r="AL57" s="19">
        <v>834665004</v>
      </c>
      <c r="AM57" s="19" t="s">
        <v>4</v>
      </c>
      <c r="AN57" s="19">
        <v>346490494</v>
      </c>
      <c r="AO57" s="19">
        <v>919385298</v>
      </c>
      <c r="AP57" s="19">
        <v>349284657</v>
      </c>
      <c r="AQ57" s="19" t="s">
        <v>96</v>
      </c>
      <c r="AR57" s="19">
        <v>225552193</v>
      </c>
      <c r="AS57" s="19">
        <v>1539088821</v>
      </c>
      <c r="AT57" s="19">
        <v>112190230</v>
      </c>
      <c r="AU57" s="19">
        <v>395957944</v>
      </c>
      <c r="AV57" s="19">
        <v>113824278</v>
      </c>
      <c r="AW57" s="19">
        <v>23418333</v>
      </c>
      <c r="AX57" s="19" t="s">
        <v>4</v>
      </c>
      <c r="AY57" s="19">
        <v>133824100</v>
      </c>
      <c r="AZ57" s="19">
        <v>208586780</v>
      </c>
      <c r="BA57" s="19">
        <v>1088532808</v>
      </c>
      <c r="BB57" s="19">
        <v>43472834</v>
      </c>
      <c r="BC57" s="19" t="s">
        <v>4</v>
      </c>
      <c r="BD57" s="19" t="s">
        <v>128</v>
      </c>
      <c r="BE57" s="19">
        <v>75649506</v>
      </c>
      <c r="BF57" s="19">
        <v>374325301</v>
      </c>
      <c r="BG57" s="19">
        <v>1165282398</v>
      </c>
      <c r="BH57" s="19">
        <v>38462823</v>
      </c>
      <c r="BI57" s="19">
        <v>163369703</v>
      </c>
      <c r="BJ57" s="19">
        <v>144597166</v>
      </c>
      <c r="BK57" s="19">
        <v>243167382</v>
      </c>
      <c r="BL57" s="19">
        <v>398436343</v>
      </c>
      <c r="BM57" s="19">
        <v>195393481</v>
      </c>
      <c r="BN57" s="19">
        <v>26009639</v>
      </c>
      <c r="BO57" s="19">
        <v>157788789</v>
      </c>
      <c r="BP57" s="19" t="s">
        <v>96</v>
      </c>
      <c r="BQ57" s="19" t="s">
        <v>4</v>
      </c>
      <c r="BR57" s="19">
        <v>285240389</v>
      </c>
      <c r="BS57" s="19">
        <v>153758048</v>
      </c>
      <c r="BT57" s="19">
        <v>43839847</v>
      </c>
      <c r="BU57" s="19">
        <v>292075502</v>
      </c>
      <c r="BV57" s="19">
        <v>228177356</v>
      </c>
      <c r="BW57" s="19">
        <v>441798193</v>
      </c>
      <c r="BX57" s="19">
        <v>487742774</v>
      </c>
      <c r="BY57" s="19">
        <v>621318669</v>
      </c>
      <c r="BZ57" s="19">
        <v>340768716</v>
      </c>
      <c r="CA57" s="19">
        <v>664812407</v>
      </c>
      <c r="CB57" s="19">
        <v>225312336</v>
      </c>
      <c r="CC57" s="19">
        <v>112681137</v>
      </c>
      <c r="CD57" s="19">
        <v>143538116</v>
      </c>
      <c r="CE57" s="19">
        <v>40264830</v>
      </c>
      <c r="CF57" s="19">
        <v>196085852</v>
      </c>
      <c r="CG57" s="19">
        <v>100909422</v>
      </c>
      <c r="CH57" s="19">
        <v>120633676</v>
      </c>
      <c r="CI57" s="19" t="s">
        <v>128</v>
      </c>
      <c r="CJ57" s="19" t="s">
        <v>89</v>
      </c>
      <c r="CK57" s="19">
        <v>587697862</v>
      </c>
      <c r="CL57" s="19">
        <v>153017746</v>
      </c>
      <c r="CM57" s="19">
        <v>914946743</v>
      </c>
      <c r="CN57" s="19">
        <v>193370690</v>
      </c>
      <c r="CO57" s="19">
        <v>101465389</v>
      </c>
      <c r="CP57" s="19">
        <v>2201938145</v>
      </c>
      <c r="CQ57" s="19" t="s">
        <v>96</v>
      </c>
      <c r="CR57" s="19">
        <v>117998757</v>
      </c>
      <c r="CS57" s="19">
        <v>483154476</v>
      </c>
      <c r="CT57" s="19">
        <v>1851896320</v>
      </c>
      <c r="CU57" s="19">
        <v>467644888</v>
      </c>
      <c r="CV57" s="19">
        <v>96105783</v>
      </c>
      <c r="CW57" s="19">
        <v>685777055</v>
      </c>
      <c r="CX57" s="19">
        <v>1385304259</v>
      </c>
      <c r="CY57" s="19">
        <v>3616375711</v>
      </c>
      <c r="CZ57" s="19">
        <v>562287947</v>
      </c>
      <c r="DA57" s="19">
        <v>366743083</v>
      </c>
      <c r="DB57" s="19">
        <v>99440456</v>
      </c>
      <c r="DC57" s="19">
        <v>123871865</v>
      </c>
      <c r="DD57" s="19">
        <v>111286692</v>
      </c>
      <c r="DE57" s="19" t="s">
        <v>89</v>
      </c>
      <c r="DF57" s="19">
        <v>60439211</v>
      </c>
      <c r="DG57" s="19">
        <v>1416395310</v>
      </c>
      <c r="DH57" s="19">
        <v>274138806</v>
      </c>
      <c r="DI57" s="19" t="s">
        <v>128</v>
      </c>
      <c r="DJ57" s="19">
        <v>325883613</v>
      </c>
      <c r="DK57" s="19">
        <v>1202724567</v>
      </c>
      <c r="DL57" s="19">
        <v>342730399</v>
      </c>
      <c r="DM57" s="19">
        <v>258448390</v>
      </c>
      <c r="DN57" s="19">
        <v>116249025</v>
      </c>
      <c r="DO57" s="19">
        <v>43585392</v>
      </c>
      <c r="DP57" s="19">
        <v>188429762</v>
      </c>
      <c r="DQ57" s="19">
        <v>28315038</v>
      </c>
      <c r="DR57" s="19">
        <v>444416914</v>
      </c>
      <c r="DS57" s="19">
        <v>162219531</v>
      </c>
      <c r="DT57" s="19">
        <v>587652062</v>
      </c>
      <c r="DU57" s="19">
        <v>181874800</v>
      </c>
      <c r="DV57" s="19">
        <f>DV51-DV52-DV53-DV54-DV56</f>
        <v>952415250</v>
      </c>
      <c r="DW57" s="19">
        <v>176421820</v>
      </c>
      <c r="DX57" s="19">
        <v>2508147555</v>
      </c>
      <c r="DY57" s="19">
        <v>339020990</v>
      </c>
      <c r="DZ57" s="19">
        <v>58890547</v>
      </c>
      <c r="EA57" s="19">
        <v>40983892</v>
      </c>
      <c r="EB57" s="19">
        <v>835538121</v>
      </c>
      <c r="EC57" s="19">
        <v>246701380</v>
      </c>
      <c r="ED57" s="19">
        <v>84235456</v>
      </c>
      <c r="EE57" s="19">
        <v>26088493</v>
      </c>
      <c r="EF57" s="19">
        <v>140152805</v>
      </c>
      <c r="EG57" s="19">
        <v>1947797699</v>
      </c>
      <c r="EH57" s="19">
        <v>63647122</v>
      </c>
      <c r="EI57" s="19">
        <v>567561986</v>
      </c>
      <c r="EJ57" s="19">
        <v>188411363</v>
      </c>
      <c r="EK57" s="19">
        <v>473631481</v>
      </c>
      <c r="EL57" s="19">
        <v>358854059</v>
      </c>
      <c r="EM57" s="19">
        <v>67971767</v>
      </c>
      <c r="EN57" s="19">
        <v>2016591146</v>
      </c>
      <c r="EO57" s="19">
        <v>717864520</v>
      </c>
      <c r="EP57" s="19">
        <v>255509896</v>
      </c>
      <c r="EQ57" s="19">
        <v>869420303</v>
      </c>
      <c r="ER57" s="19">
        <v>545295014</v>
      </c>
      <c r="ES57" s="19">
        <v>206643973</v>
      </c>
      <c r="ET57" s="19">
        <v>328699191</v>
      </c>
      <c r="EU57" s="19">
        <v>664227660</v>
      </c>
      <c r="EV57" s="19">
        <v>75337881</v>
      </c>
      <c r="EW57" s="19">
        <v>231136340</v>
      </c>
      <c r="EX57" s="19">
        <v>1596708574</v>
      </c>
      <c r="EY57" s="19">
        <v>951396106</v>
      </c>
      <c r="EZ57" s="19">
        <v>305769786</v>
      </c>
      <c r="FA57" s="19">
        <v>100593395</v>
      </c>
      <c r="FB57" s="19">
        <v>118983555</v>
      </c>
      <c r="FC57" s="19">
        <v>200260729</v>
      </c>
      <c r="FD57" s="19">
        <v>102259226</v>
      </c>
      <c r="FE57" s="19">
        <v>2534422122</v>
      </c>
      <c r="FF57" s="19">
        <v>47940042</v>
      </c>
      <c r="FG57" s="19">
        <f>FG51-FG52-FG54-FG56</f>
        <v>602303395</v>
      </c>
      <c r="FH57" s="19">
        <v>97377282</v>
      </c>
      <c r="FI57" s="19">
        <v>335419919</v>
      </c>
      <c r="FJ57" s="19">
        <v>240094669</v>
      </c>
      <c r="FK57" s="19">
        <v>366224659</v>
      </c>
      <c r="FL57" s="19">
        <v>176313698</v>
      </c>
      <c r="FM57" s="19">
        <v>127937237</v>
      </c>
      <c r="FN57" s="19">
        <v>522726913</v>
      </c>
      <c r="FO57" s="19">
        <v>47707968</v>
      </c>
      <c r="FP57" s="19">
        <v>103762106</v>
      </c>
      <c r="FQ57" s="19">
        <v>20139548</v>
      </c>
      <c r="FR57" s="19">
        <v>119117683</v>
      </c>
      <c r="FS57" s="19">
        <v>54388129</v>
      </c>
      <c r="FT57" s="19">
        <v>627509196</v>
      </c>
      <c r="FU57" s="19">
        <v>30513730</v>
      </c>
      <c r="FV57" s="19">
        <v>422012228</v>
      </c>
      <c r="FW57" s="19">
        <v>142361085</v>
      </c>
      <c r="FX57" s="19">
        <v>94918657</v>
      </c>
      <c r="FY57" s="19">
        <v>2138128708</v>
      </c>
      <c r="FZ57" s="19">
        <v>117754048</v>
      </c>
      <c r="GA57" s="19">
        <v>662155183</v>
      </c>
      <c r="GB57" s="19">
        <v>106293044</v>
      </c>
      <c r="GC57" s="19">
        <v>146037199</v>
      </c>
      <c r="GD57" s="19" t="s">
        <v>96</v>
      </c>
      <c r="GE57" s="19">
        <v>236233890</v>
      </c>
      <c r="GF57" s="19">
        <v>76166966</v>
      </c>
      <c r="GG57" s="19">
        <v>906796832</v>
      </c>
      <c r="GH57" s="19">
        <v>139865270</v>
      </c>
      <c r="GI57" s="19">
        <v>79823394</v>
      </c>
      <c r="GJ57" s="19">
        <v>261828292</v>
      </c>
      <c r="GK57" s="19">
        <v>164198053</v>
      </c>
      <c r="GL57" s="19">
        <v>66279880</v>
      </c>
      <c r="GM57" s="19">
        <v>239639350</v>
      </c>
      <c r="GN57" s="19">
        <v>730163290</v>
      </c>
      <c r="GO57" s="19">
        <v>582290715</v>
      </c>
      <c r="GP57" s="19">
        <v>930813111</v>
      </c>
      <c r="GQ57" s="19">
        <v>90601614</v>
      </c>
      <c r="GR57" s="19">
        <v>266643121</v>
      </c>
      <c r="GS57" s="19">
        <v>47810490</v>
      </c>
      <c r="GT57" s="19">
        <v>392128068</v>
      </c>
      <c r="GU57" s="19">
        <v>65856476</v>
      </c>
      <c r="GV57" s="19">
        <v>506849436</v>
      </c>
      <c r="GW57" s="19">
        <v>877183742</v>
      </c>
      <c r="GX57" s="19">
        <v>273715786</v>
      </c>
      <c r="GY57" s="19">
        <v>968063889</v>
      </c>
      <c r="GZ57" s="19">
        <v>300266416</v>
      </c>
      <c r="HA57" s="19">
        <v>784239257</v>
      </c>
      <c r="HB57" s="37">
        <v>345710523</v>
      </c>
      <c r="HC57" s="19">
        <v>221587028</v>
      </c>
      <c r="HD57" s="19">
        <v>39635758</v>
      </c>
      <c r="HE57" s="19">
        <v>359407751</v>
      </c>
      <c r="HF57" s="19">
        <v>407004461</v>
      </c>
      <c r="HG57" s="19">
        <v>70738605</v>
      </c>
      <c r="HH57" s="19">
        <v>82375413</v>
      </c>
      <c r="HI57" s="19">
        <v>265648091</v>
      </c>
      <c r="HJ57" s="19">
        <v>105952988</v>
      </c>
      <c r="HK57" s="19">
        <v>414369456</v>
      </c>
      <c r="HL57" s="19">
        <v>380392826</v>
      </c>
      <c r="HM57" s="19">
        <v>498387427</v>
      </c>
      <c r="HN57" s="19">
        <v>54191342</v>
      </c>
      <c r="HO57" s="19">
        <v>203262369</v>
      </c>
      <c r="HP57" s="19">
        <v>801646469</v>
      </c>
      <c r="HQ57" s="41">
        <v>32743976</v>
      </c>
      <c r="HR57" s="41">
        <v>481506785</v>
      </c>
      <c r="HS57" s="41">
        <v>66444571</v>
      </c>
      <c r="HT57" s="41">
        <v>175060699</v>
      </c>
      <c r="HU57" s="41">
        <v>1251314137</v>
      </c>
      <c r="HV57" s="41">
        <v>57650394</v>
      </c>
      <c r="HW57" s="41">
        <v>20441824437</v>
      </c>
      <c r="HX57" s="41">
        <v>205861328</v>
      </c>
      <c r="HY57" s="41" t="s">
        <v>114</v>
      </c>
      <c r="HZ57" s="41">
        <v>40662997</v>
      </c>
      <c r="IA57" s="41">
        <v>115282873</v>
      </c>
      <c r="IB57" s="41">
        <v>124924812</v>
      </c>
      <c r="IC57" s="41">
        <v>133784888</v>
      </c>
      <c r="ID57" s="41">
        <v>52239423</v>
      </c>
      <c r="IE57" s="41" t="s">
        <v>4</v>
      </c>
      <c r="IF57" s="41">
        <v>69032850</v>
      </c>
      <c r="IG57" s="41">
        <v>42089605</v>
      </c>
      <c r="IH57" s="41">
        <v>188055273</v>
      </c>
      <c r="II57" s="41">
        <v>77386419</v>
      </c>
      <c r="IJ57" s="41">
        <v>202593214</v>
      </c>
      <c r="IK57" s="41">
        <v>98129610</v>
      </c>
      <c r="IL57" s="41">
        <v>51717036</v>
      </c>
      <c r="IM57" s="41">
        <v>66856988</v>
      </c>
      <c r="IN57" s="41">
        <v>109475469</v>
      </c>
      <c r="IO57" s="41">
        <v>118630605</v>
      </c>
      <c r="IP57" s="41">
        <v>687254595</v>
      </c>
      <c r="IQ57" s="41">
        <v>3949403651</v>
      </c>
      <c r="IR57" s="41">
        <v>495033791</v>
      </c>
      <c r="IS57" s="41">
        <v>225170037</v>
      </c>
      <c r="IT57" s="41">
        <v>101924768</v>
      </c>
      <c r="IU57" s="41">
        <v>232609621</v>
      </c>
      <c r="IV57" s="41">
        <v>327862401</v>
      </c>
      <c r="IW57" s="41">
        <v>257504102</v>
      </c>
      <c r="IX57" s="41" t="s">
        <v>114</v>
      </c>
      <c r="IY57" s="41">
        <v>146961730</v>
      </c>
      <c r="IZ57" s="41">
        <v>257627526</v>
      </c>
      <c r="JA57" s="41">
        <v>27583598</v>
      </c>
      <c r="JB57" s="41">
        <v>30558945</v>
      </c>
      <c r="JC57" s="41">
        <v>209402920</v>
      </c>
      <c r="JD57" s="41">
        <v>154473858</v>
      </c>
      <c r="JE57" s="41" t="s">
        <v>114</v>
      </c>
      <c r="JF57" s="41">
        <v>125642790</v>
      </c>
      <c r="JG57" s="41">
        <v>607263364</v>
      </c>
      <c r="JH57" s="41">
        <v>72632445</v>
      </c>
      <c r="JI57" s="41">
        <v>200583747</v>
      </c>
      <c r="JJ57" s="41">
        <v>118165346</v>
      </c>
      <c r="JK57" s="41">
        <v>148546090</v>
      </c>
      <c r="JL57" s="41">
        <v>212468031</v>
      </c>
      <c r="JM57" s="41">
        <v>60871151</v>
      </c>
      <c r="JN57" s="41">
        <v>411055759</v>
      </c>
      <c r="JO57" s="41">
        <v>67978266</v>
      </c>
      <c r="JP57" s="41" t="s">
        <v>4</v>
      </c>
      <c r="JQ57" s="41">
        <v>165060826</v>
      </c>
      <c r="JR57" s="41">
        <v>198371498</v>
      </c>
      <c r="JS57" s="41">
        <v>56223982</v>
      </c>
      <c r="JT57" s="41">
        <v>234691482</v>
      </c>
      <c r="JU57" s="41">
        <v>113755487</v>
      </c>
      <c r="JV57" s="41">
        <v>49952391</v>
      </c>
      <c r="JW57" s="41">
        <v>619445665</v>
      </c>
      <c r="JX57" s="41">
        <v>65581516</v>
      </c>
      <c r="JY57" s="41">
        <v>55533100</v>
      </c>
      <c r="JZ57" s="41">
        <v>73583301</v>
      </c>
      <c r="KA57" s="41">
        <v>200243531</v>
      </c>
      <c r="KB57" s="41">
        <v>137671550</v>
      </c>
      <c r="KC57" s="41">
        <v>17512193</v>
      </c>
      <c r="KD57" s="41">
        <v>1470950124</v>
      </c>
    </row>
    <row r="58" spans="1:290">
      <c r="A58" s="9" t="s">
        <v>122</v>
      </c>
      <c r="B58" s="10" t="s">
        <v>87</v>
      </c>
      <c r="C58" s="19">
        <v>-94050124</v>
      </c>
      <c r="D58" s="19">
        <v>-504584177</v>
      </c>
      <c r="E58" s="19">
        <v>17725094</v>
      </c>
      <c r="F58" s="19">
        <v>94529332</v>
      </c>
      <c r="G58" s="19">
        <v>-17823449</v>
      </c>
      <c r="H58" s="19">
        <v>-83230000</v>
      </c>
      <c r="I58" s="19">
        <v>48253843</v>
      </c>
      <c r="J58" s="19" t="s">
        <v>4</v>
      </c>
      <c r="K58" s="19">
        <v>-966277660</v>
      </c>
      <c r="L58" s="19" t="s">
        <v>130</v>
      </c>
      <c r="M58" s="19" t="s">
        <v>96</v>
      </c>
      <c r="N58" s="19">
        <v>-484712495</v>
      </c>
      <c r="O58" s="19">
        <v>97431125</v>
      </c>
      <c r="P58" s="19">
        <v>-211368046</v>
      </c>
      <c r="Q58" s="19">
        <v>-95742250</v>
      </c>
      <c r="R58" s="19">
        <v>-193379154</v>
      </c>
      <c r="S58" s="19">
        <v>1281673502</v>
      </c>
      <c r="T58" s="19" t="s">
        <v>96</v>
      </c>
      <c r="U58" s="19">
        <v>-59442373</v>
      </c>
      <c r="V58" s="19" t="s">
        <v>128</v>
      </c>
      <c r="W58" s="19">
        <v>-54431177</v>
      </c>
      <c r="X58" s="19">
        <v>326953343</v>
      </c>
      <c r="Y58" s="19">
        <v>-64033502</v>
      </c>
      <c r="Z58" s="19">
        <v>-69232436</v>
      </c>
      <c r="AA58" s="19">
        <v>124153646</v>
      </c>
      <c r="AB58" s="19">
        <v>-47075448</v>
      </c>
      <c r="AC58" s="19">
        <v>57386048</v>
      </c>
      <c r="AD58" s="19">
        <v>68494075</v>
      </c>
      <c r="AE58" s="19">
        <v>69011522</v>
      </c>
      <c r="AF58" s="19">
        <v>-124803258</v>
      </c>
      <c r="AG58" s="19">
        <v>-1724810473</v>
      </c>
      <c r="AH58" s="19">
        <v>-197860108</v>
      </c>
      <c r="AI58" s="19">
        <v>-177836896</v>
      </c>
      <c r="AJ58" s="19">
        <v>70285980</v>
      </c>
      <c r="AK58" s="19" t="s">
        <v>89</v>
      </c>
      <c r="AL58" s="19">
        <v>38946072</v>
      </c>
      <c r="AM58" s="19" t="s">
        <v>4</v>
      </c>
      <c r="AN58" s="19">
        <v>11636457</v>
      </c>
      <c r="AO58" s="19">
        <v>-978947762</v>
      </c>
      <c r="AP58" s="19">
        <v>-389330871</v>
      </c>
      <c r="AQ58" s="19" t="s">
        <v>96</v>
      </c>
      <c r="AR58" s="19">
        <v>-76927471</v>
      </c>
      <c r="AS58" s="19">
        <v>-440395439</v>
      </c>
      <c r="AT58" s="19">
        <v>102156929</v>
      </c>
      <c r="AU58" s="19">
        <v>138619723</v>
      </c>
      <c r="AV58" s="19">
        <v>43256739</v>
      </c>
      <c r="AW58" s="19">
        <v>56036843</v>
      </c>
      <c r="AX58" s="19" t="s">
        <v>4</v>
      </c>
      <c r="AY58" s="19">
        <v>-53859616</v>
      </c>
      <c r="AZ58" s="19">
        <v>-24502233</v>
      </c>
      <c r="BA58" s="19">
        <v>-812652530</v>
      </c>
      <c r="BB58" s="19">
        <v>-74237559</v>
      </c>
      <c r="BC58" s="19" t="s">
        <v>4</v>
      </c>
      <c r="BD58" s="19" t="s">
        <v>128</v>
      </c>
      <c r="BE58" s="19">
        <v>120051091</v>
      </c>
      <c r="BF58" s="19">
        <v>-60591598</v>
      </c>
      <c r="BG58" s="19">
        <v>-106332744</v>
      </c>
      <c r="BH58" s="19">
        <v>45784063</v>
      </c>
      <c r="BI58" s="19">
        <v>-39531970</v>
      </c>
      <c r="BJ58" s="19">
        <v>3067103</v>
      </c>
      <c r="BK58" s="19">
        <v>6046047</v>
      </c>
      <c r="BL58" s="19">
        <v>-89191453</v>
      </c>
      <c r="BM58" s="19">
        <v>-111507770</v>
      </c>
      <c r="BN58" s="19">
        <v>67632510</v>
      </c>
      <c r="BO58" s="19">
        <v>-42703587</v>
      </c>
      <c r="BP58" s="19" t="s">
        <v>96</v>
      </c>
      <c r="BQ58" s="19" t="s">
        <v>4</v>
      </c>
      <c r="BR58" s="19">
        <v>426351225</v>
      </c>
      <c r="BS58" s="19">
        <v>-64800991</v>
      </c>
      <c r="BT58" s="19">
        <v>-51024962</v>
      </c>
      <c r="BU58" s="19">
        <v>-423164243</v>
      </c>
      <c r="BV58" s="19">
        <v>-68074822</v>
      </c>
      <c r="BW58" s="19">
        <v>51674014</v>
      </c>
      <c r="BX58" s="19">
        <v>3840002</v>
      </c>
      <c r="BY58" s="19">
        <v>-45734190</v>
      </c>
      <c r="BZ58" s="19">
        <v>413943690</v>
      </c>
      <c r="CA58" s="19">
        <v>7095928</v>
      </c>
      <c r="CB58" s="19">
        <v>3592828</v>
      </c>
      <c r="CC58" s="19">
        <v>-40198606</v>
      </c>
      <c r="CD58" s="19">
        <v>-604270502</v>
      </c>
      <c r="CE58" s="19">
        <v>-61790418</v>
      </c>
      <c r="CF58" s="19">
        <v>-322540461</v>
      </c>
      <c r="CG58" s="19">
        <v>-99741381</v>
      </c>
      <c r="CH58" s="19">
        <v>7657723</v>
      </c>
      <c r="CI58" s="19" t="s">
        <v>128</v>
      </c>
      <c r="CJ58" s="19" t="s">
        <v>89</v>
      </c>
      <c r="CK58" s="19">
        <v>-315685774</v>
      </c>
      <c r="CL58" s="19">
        <v>-34537622</v>
      </c>
      <c r="CM58" s="19">
        <v>281337260</v>
      </c>
      <c r="CN58" s="19">
        <v>26897535</v>
      </c>
      <c r="CO58" s="19">
        <v>-72886393</v>
      </c>
      <c r="CP58" s="19">
        <v>31490133</v>
      </c>
      <c r="CQ58" s="19" t="s">
        <v>96</v>
      </c>
      <c r="CR58" s="19">
        <v>-56836510</v>
      </c>
      <c r="CS58" s="19">
        <v>-90914756</v>
      </c>
      <c r="CT58" s="19">
        <v>-2123815564</v>
      </c>
      <c r="CU58" s="19">
        <v>33666625</v>
      </c>
      <c r="CV58" s="19">
        <v>15748112</v>
      </c>
      <c r="CW58" s="19">
        <v>25419032</v>
      </c>
      <c r="CX58" s="19">
        <v>-1724810473</v>
      </c>
      <c r="CY58" s="19">
        <v>38625608</v>
      </c>
      <c r="CZ58" s="19">
        <v>-98756963</v>
      </c>
      <c r="DA58" s="19">
        <v>64402841</v>
      </c>
      <c r="DB58" s="19">
        <v>52659750</v>
      </c>
      <c r="DC58" s="19">
        <v>-45972643</v>
      </c>
      <c r="DD58" s="19">
        <v>-27121152</v>
      </c>
      <c r="DE58" s="19" t="s">
        <v>89</v>
      </c>
      <c r="DF58" s="19">
        <v>7477424</v>
      </c>
      <c r="DG58" s="19">
        <v>-78943905</v>
      </c>
      <c r="DH58" s="19">
        <v>-59609531</v>
      </c>
      <c r="DI58" s="19" t="s">
        <v>128</v>
      </c>
      <c r="DJ58" s="19">
        <v>19749971</v>
      </c>
      <c r="DK58" s="19">
        <v>464446183</v>
      </c>
      <c r="DL58" s="19">
        <v>-124648404</v>
      </c>
      <c r="DM58" s="19">
        <v>58259521</v>
      </c>
      <c r="DN58" s="19">
        <v>-93988111</v>
      </c>
      <c r="DO58" s="19">
        <v>-18009290</v>
      </c>
      <c r="DP58" s="19">
        <v>186122224</v>
      </c>
      <c r="DQ58" s="19">
        <v>4801240</v>
      </c>
      <c r="DR58" s="19">
        <v>-206597672</v>
      </c>
      <c r="DS58" s="19">
        <v>44028753</v>
      </c>
      <c r="DT58" s="19">
        <v>87665354</v>
      </c>
      <c r="DU58" s="19">
        <v>20924812</v>
      </c>
      <c r="DV58" s="19">
        <v>-111627768</v>
      </c>
      <c r="DW58" s="19">
        <v>-6128701</v>
      </c>
      <c r="DX58" s="19">
        <v>741056391</v>
      </c>
      <c r="DY58" s="19">
        <v>43631095</v>
      </c>
      <c r="DZ58" s="19">
        <v>16002289</v>
      </c>
      <c r="EA58" s="19">
        <v>35346357</v>
      </c>
      <c r="EB58" s="19">
        <v>44868830</v>
      </c>
      <c r="EC58" s="19">
        <v>-62655169</v>
      </c>
      <c r="ED58" s="19">
        <v>-194763392</v>
      </c>
      <c r="EE58" s="19">
        <v>4111334</v>
      </c>
      <c r="EF58" s="19">
        <v>206385548</v>
      </c>
      <c r="EG58" s="19">
        <v>-3336611478</v>
      </c>
      <c r="EH58" s="19">
        <v>24770866</v>
      </c>
      <c r="EI58" s="19">
        <v>-187527166</v>
      </c>
      <c r="EJ58" s="19">
        <v>-295510706</v>
      </c>
      <c r="EK58" s="19">
        <v>-236161239</v>
      </c>
      <c r="EL58" s="19">
        <v>-597283071</v>
      </c>
      <c r="EM58" s="19">
        <v>161377715</v>
      </c>
      <c r="EN58" s="19">
        <v>170114178</v>
      </c>
      <c r="EO58" s="19">
        <v>55380032</v>
      </c>
      <c r="EP58" s="19">
        <v>-313609552</v>
      </c>
      <c r="EQ58" s="19">
        <v>415900319</v>
      </c>
      <c r="ER58" s="19">
        <v>-435680994</v>
      </c>
      <c r="ES58" s="19">
        <v>20768080</v>
      </c>
      <c r="ET58" s="19">
        <v>-227439696</v>
      </c>
      <c r="EU58" s="19">
        <v>56270189</v>
      </c>
      <c r="EV58" s="19">
        <v>35893614</v>
      </c>
      <c r="EW58" s="19">
        <v>-1075779</v>
      </c>
      <c r="EX58" s="19">
        <v>221113790</v>
      </c>
      <c r="EY58" s="19">
        <v>161557145</v>
      </c>
      <c r="EZ58" s="19">
        <v>-21050183</v>
      </c>
      <c r="FA58" s="19">
        <v>30284524</v>
      </c>
      <c r="FB58" s="19">
        <v>-95390027</v>
      </c>
      <c r="FC58" s="19">
        <v>-232133302</v>
      </c>
      <c r="FD58" s="19">
        <v>-63647078</v>
      </c>
      <c r="FE58" s="19">
        <v>631803123</v>
      </c>
      <c r="FF58" s="19">
        <v>9952184</v>
      </c>
      <c r="FG58" s="19">
        <v>-226968559</v>
      </c>
      <c r="FH58" s="19">
        <v>54003052</v>
      </c>
      <c r="FI58" s="19">
        <v>-161769882</v>
      </c>
      <c r="FJ58" s="19">
        <v>8748159</v>
      </c>
      <c r="FK58" s="19">
        <v>-226530199</v>
      </c>
      <c r="FL58" s="19">
        <v>-335100832</v>
      </c>
      <c r="FM58" s="19">
        <v>-75618518</v>
      </c>
      <c r="FN58" s="19">
        <v>-750986465</v>
      </c>
      <c r="FO58" s="19">
        <v>-1906009</v>
      </c>
      <c r="FP58" s="19">
        <v>-75719859</v>
      </c>
      <c r="FQ58" s="19">
        <v>-28513649</v>
      </c>
      <c r="FR58" s="19">
        <v>-211824820</v>
      </c>
      <c r="FS58" s="19">
        <v>-81573819</v>
      </c>
      <c r="FT58" s="19">
        <v>123852958</v>
      </c>
      <c r="FU58" s="19">
        <v>3123770</v>
      </c>
      <c r="FV58" s="19">
        <v>165805764</v>
      </c>
      <c r="FW58" s="19">
        <v>-45979384</v>
      </c>
      <c r="FX58" s="19">
        <v>-338767117</v>
      </c>
      <c r="FY58" s="19">
        <v>-1220543728</v>
      </c>
      <c r="FZ58" s="19">
        <v>-329851535</v>
      </c>
      <c r="GA58" s="19">
        <v>-241490964</v>
      </c>
      <c r="GB58" s="19">
        <v>-294965449</v>
      </c>
      <c r="GC58" s="19">
        <v>-58410557</v>
      </c>
      <c r="GD58" s="19" t="s">
        <v>96</v>
      </c>
      <c r="GE58" s="19">
        <v>-156849188</v>
      </c>
      <c r="GF58" s="19">
        <v>-15673733</v>
      </c>
      <c r="GG58" s="19">
        <v>-1139517865</v>
      </c>
      <c r="GH58" s="19">
        <v>-252512196</v>
      </c>
      <c r="GI58" s="19">
        <v>10668648</v>
      </c>
      <c r="GJ58" s="19">
        <v>-100022361</v>
      </c>
      <c r="GK58" s="19">
        <v>-189877495</v>
      </c>
      <c r="GL58" s="19">
        <v>-21337248</v>
      </c>
      <c r="GM58" s="19">
        <v>-122279353</v>
      </c>
      <c r="GN58" s="19">
        <v>-16470706</v>
      </c>
      <c r="GO58" s="19">
        <v>-801771309</v>
      </c>
      <c r="GP58" s="19">
        <v>264548798</v>
      </c>
      <c r="GQ58" s="19">
        <v>-80108119</v>
      </c>
      <c r="GR58" s="19">
        <v>-90704237</v>
      </c>
      <c r="GS58" s="19">
        <v>68880093</v>
      </c>
      <c r="GT58" s="19">
        <v>-270995385</v>
      </c>
      <c r="GU58" s="19">
        <v>-138258799</v>
      </c>
      <c r="GV58" s="19">
        <v>324436026</v>
      </c>
      <c r="GW58" s="19">
        <v>-1317048249</v>
      </c>
      <c r="GX58" s="19">
        <v>73603919</v>
      </c>
      <c r="GY58" s="19">
        <v>-2329649361</v>
      </c>
      <c r="GZ58" s="19">
        <v>237760772</v>
      </c>
      <c r="HA58" s="19">
        <v>-873136581</v>
      </c>
      <c r="HB58" s="37">
        <v>-394945978</v>
      </c>
      <c r="HC58" s="19">
        <v>-378684514</v>
      </c>
      <c r="HD58" s="19">
        <v>-5495108</v>
      </c>
      <c r="HE58" s="19">
        <v>-369982794</v>
      </c>
      <c r="HF58" s="19">
        <v>-36963374</v>
      </c>
      <c r="HG58" s="19">
        <v>13361510</v>
      </c>
      <c r="HH58" s="19">
        <v>23220434</v>
      </c>
      <c r="HI58" s="19">
        <v>-447411844</v>
      </c>
      <c r="HJ58" s="19">
        <v>66337673</v>
      </c>
      <c r="HK58" s="19">
        <v>-496438012</v>
      </c>
      <c r="HL58" s="19">
        <v>380793555</v>
      </c>
      <c r="HM58" s="19">
        <v>5266412</v>
      </c>
      <c r="HN58" s="19">
        <v>-82347590</v>
      </c>
      <c r="HO58" s="19">
        <v>103775246</v>
      </c>
      <c r="HP58" s="19">
        <v>-65016811</v>
      </c>
      <c r="HQ58" s="41">
        <v>-76304160</v>
      </c>
      <c r="HR58" s="41">
        <v>-355527344</v>
      </c>
      <c r="HS58" s="41">
        <v>6234448</v>
      </c>
      <c r="HT58" s="41">
        <v>41789545</v>
      </c>
      <c r="HU58" s="41">
        <v>-1737803988</v>
      </c>
      <c r="HV58" s="41">
        <v>1086831</v>
      </c>
      <c r="HW58" s="41">
        <v>-24855493389</v>
      </c>
      <c r="HX58" s="41">
        <v>119495166</v>
      </c>
      <c r="HY58" s="41" t="s">
        <v>114</v>
      </c>
      <c r="HZ58" s="41">
        <v>479669352</v>
      </c>
      <c r="IA58" s="41">
        <v>14132724</v>
      </c>
      <c r="IB58" s="41">
        <v>-122502312</v>
      </c>
      <c r="IC58" s="41">
        <v>52537057</v>
      </c>
      <c r="ID58" s="41">
        <v>34404254</v>
      </c>
      <c r="IE58" s="41" t="s">
        <v>4</v>
      </c>
      <c r="IF58" s="41">
        <v>-87013576</v>
      </c>
      <c r="IG58" s="41">
        <v>-19312596</v>
      </c>
      <c r="IH58" s="41">
        <v>-93359560</v>
      </c>
      <c r="II58" s="41">
        <v>10452824</v>
      </c>
      <c r="IJ58" s="41">
        <v>-172722177</v>
      </c>
      <c r="IK58" s="41">
        <v>-59130225</v>
      </c>
      <c r="IL58" s="41">
        <v>14156561</v>
      </c>
      <c r="IM58" s="41">
        <v>-67770033</v>
      </c>
      <c r="IN58" s="41">
        <v>-213665274</v>
      </c>
      <c r="IO58" s="41">
        <v>-58028439</v>
      </c>
      <c r="IP58" s="41">
        <v>-546274118</v>
      </c>
      <c r="IQ58" s="41">
        <v>308329631</v>
      </c>
      <c r="IR58" s="41">
        <v>-39372347</v>
      </c>
      <c r="IS58" s="41">
        <v>295872117</v>
      </c>
      <c r="IT58" s="41">
        <v>42334392</v>
      </c>
      <c r="IU58" s="41">
        <v>-200441504</v>
      </c>
      <c r="IV58" s="41">
        <v>44884602</v>
      </c>
      <c r="IW58" s="41">
        <v>-76338265</v>
      </c>
      <c r="IX58" s="41" t="s">
        <v>114</v>
      </c>
      <c r="IY58" s="41">
        <v>-234634447</v>
      </c>
      <c r="IZ58" s="41">
        <v>58791669</v>
      </c>
      <c r="JA58" s="41">
        <v>-137088056</v>
      </c>
      <c r="JB58" s="41">
        <v>-19671292</v>
      </c>
      <c r="JC58" s="41">
        <v>-125845557</v>
      </c>
      <c r="JD58" s="41">
        <v>51227353</v>
      </c>
      <c r="JE58" s="41" t="s">
        <v>114</v>
      </c>
      <c r="JF58" s="41">
        <v>-71312992</v>
      </c>
      <c r="JG58" s="41">
        <v>-541019395</v>
      </c>
      <c r="JH58" s="41">
        <v>35237246</v>
      </c>
      <c r="JI58" s="41">
        <v>19204445</v>
      </c>
      <c r="JJ58" s="41">
        <v>110393071</v>
      </c>
      <c r="JK58" s="41">
        <v>36196685</v>
      </c>
      <c r="JL58" s="41">
        <v>151623433</v>
      </c>
      <c r="JM58" s="41">
        <v>-44858613</v>
      </c>
      <c r="JN58" s="41">
        <v>-1305806953</v>
      </c>
      <c r="JO58" s="41">
        <v>27952113</v>
      </c>
      <c r="JP58" s="41" t="s">
        <v>4</v>
      </c>
      <c r="JQ58" s="41">
        <v>-338591750</v>
      </c>
      <c r="JR58" s="41">
        <v>-94321800</v>
      </c>
      <c r="JS58" s="41">
        <v>-182124510</v>
      </c>
      <c r="JT58" s="41">
        <v>42707614</v>
      </c>
      <c r="JU58" s="41">
        <v>33660474</v>
      </c>
      <c r="JV58" s="41">
        <v>14665707</v>
      </c>
      <c r="JW58" s="41">
        <v>130856697</v>
      </c>
      <c r="JX58" s="41">
        <v>-109909570</v>
      </c>
      <c r="JY58" s="41">
        <v>-5440924</v>
      </c>
      <c r="JZ58" s="41">
        <v>-10076252</v>
      </c>
      <c r="KA58" s="41">
        <v>559281</v>
      </c>
      <c r="KB58" s="41">
        <v>-20346972</v>
      </c>
      <c r="KC58" s="41">
        <v>91933763</v>
      </c>
      <c r="KD58" s="41">
        <v>-345928058</v>
      </c>
    </row>
    <row r="59" spans="1:290">
      <c r="A59" s="9" t="s">
        <v>122</v>
      </c>
      <c r="B59" s="10" t="s">
        <v>16</v>
      </c>
      <c r="C59" s="19">
        <v>237288141</v>
      </c>
      <c r="D59" s="19">
        <v>746381447</v>
      </c>
      <c r="E59" s="19">
        <v>89416692</v>
      </c>
      <c r="F59" s="19">
        <v>46248608</v>
      </c>
      <c r="G59" s="19">
        <v>32223287</v>
      </c>
      <c r="H59" s="19">
        <v>302316000</v>
      </c>
      <c r="I59" s="19">
        <v>462378149</v>
      </c>
      <c r="J59" s="19" t="s">
        <v>4</v>
      </c>
      <c r="K59" s="19">
        <v>1025567051</v>
      </c>
      <c r="L59" s="19" t="s">
        <v>130</v>
      </c>
      <c r="M59" s="19" t="s">
        <v>96</v>
      </c>
      <c r="N59" s="19">
        <v>307049026</v>
      </c>
      <c r="O59" s="19">
        <v>57577822</v>
      </c>
      <c r="P59" s="19">
        <v>113078755</v>
      </c>
      <c r="Q59" s="19">
        <v>52535300</v>
      </c>
      <c r="R59" s="19">
        <v>195869615</v>
      </c>
      <c r="S59" s="19">
        <v>95860488</v>
      </c>
      <c r="T59" s="19" t="s">
        <v>96</v>
      </c>
      <c r="U59" s="19">
        <v>34914720</v>
      </c>
      <c r="V59" s="19" t="s">
        <v>128</v>
      </c>
      <c r="W59" s="19">
        <v>10793098</v>
      </c>
      <c r="X59" s="19">
        <v>87378280</v>
      </c>
      <c r="Y59" s="19">
        <v>65485999</v>
      </c>
      <c r="Z59" s="19">
        <v>140635185</v>
      </c>
      <c r="AA59" s="19">
        <v>119745445</v>
      </c>
      <c r="AB59" s="19">
        <v>84863529</v>
      </c>
      <c r="AC59" s="19">
        <v>16254065</v>
      </c>
      <c r="AD59" s="19">
        <v>11364377</v>
      </c>
      <c r="AE59" s="19">
        <v>17056427</v>
      </c>
      <c r="AF59" s="19">
        <v>173420153</v>
      </c>
      <c r="AG59" s="19">
        <v>58694350</v>
      </c>
      <c r="AH59" s="19">
        <v>337373607</v>
      </c>
      <c r="AI59" s="19">
        <v>96759060</v>
      </c>
      <c r="AJ59" s="19">
        <v>7727462</v>
      </c>
      <c r="AK59" s="19" t="s">
        <v>89</v>
      </c>
      <c r="AL59" s="19">
        <v>119424371</v>
      </c>
      <c r="AM59" s="19" t="s">
        <v>4</v>
      </c>
      <c r="AN59" s="19">
        <v>79188610</v>
      </c>
      <c r="AO59" s="19">
        <v>349481828</v>
      </c>
      <c r="AP59" s="19">
        <v>58068715</v>
      </c>
      <c r="AQ59" s="19" t="s">
        <v>96</v>
      </c>
      <c r="AR59" s="19">
        <v>49402641</v>
      </c>
      <c r="AS59" s="19">
        <v>380259618</v>
      </c>
      <c r="AT59" s="19">
        <v>9889142</v>
      </c>
      <c r="AU59" s="19">
        <v>27564686</v>
      </c>
      <c r="AV59" s="19">
        <v>102778813</v>
      </c>
      <c r="AW59" s="19">
        <v>25432662</v>
      </c>
      <c r="AX59" s="19" t="s">
        <v>4</v>
      </c>
      <c r="AY59" s="19">
        <v>66740354</v>
      </c>
      <c r="AZ59" s="19">
        <v>26378366</v>
      </c>
      <c r="BA59" s="19">
        <v>883165492</v>
      </c>
      <c r="BB59" s="19">
        <v>52104928</v>
      </c>
      <c r="BC59" s="19" t="s">
        <v>4</v>
      </c>
      <c r="BD59" s="19" t="s">
        <v>128</v>
      </c>
      <c r="BE59" s="19">
        <v>63530385</v>
      </c>
      <c r="BF59" s="19">
        <v>110099847</v>
      </c>
      <c r="BG59" s="19">
        <v>74938766</v>
      </c>
      <c r="BH59" s="19">
        <v>25623112</v>
      </c>
      <c r="BI59" s="19">
        <v>49276233</v>
      </c>
      <c r="BJ59" s="19">
        <v>18034984</v>
      </c>
      <c r="BK59" s="19">
        <v>31366068</v>
      </c>
      <c r="BL59" s="19">
        <v>10284522</v>
      </c>
      <c r="BM59" s="19">
        <v>78268933</v>
      </c>
      <c r="BN59" s="19">
        <v>8227680</v>
      </c>
      <c r="BO59" s="19">
        <v>50199595</v>
      </c>
      <c r="BP59" s="19" t="s">
        <v>96</v>
      </c>
      <c r="BQ59" s="19" t="s">
        <v>4</v>
      </c>
      <c r="BR59" s="19">
        <v>344070885</v>
      </c>
      <c r="BS59" s="19">
        <v>85957443</v>
      </c>
      <c r="BT59" s="19">
        <v>14603739</v>
      </c>
      <c r="BU59" s="19">
        <v>437419294</v>
      </c>
      <c r="BV59" s="19">
        <v>77209602</v>
      </c>
      <c r="BW59" s="19">
        <v>25882282</v>
      </c>
      <c r="BX59" s="19">
        <v>24375144</v>
      </c>
      <c r="BY59" s="19">
        <v>379234861</v>
      </c>
      <c r="BZ59" s="19">
        <v>93500018</v>
      </c>
      <c r="CA59" s="19">
        <v>10780563</v>
      </c>
      <c r="CB59" s="19">
        <v>9506838</v>
      </c>
      <c r="CC59" s="19">
        <v>51292752</v>
      </c>
      <c r="CD59" s="19">
        <v>793918140</v>
      </c>
      <c r="CE59" s="19">
        <v>69390941</v>
      </c>
      <c r="CF59" s="19">
        <v>137738640</v>
      </c>
      <c r="CG59" s="19">
        <v>134437894</v>
      </c>
      <c r="CH59" s="19">
        <v>218795727</v>
      </c>
      <c r="CI59" s="19" t="s">
        <v>128</v>
      </c>
      <c r="CJ59" s="19" t="s">
        <v>89</v>
      </c>
      <c r="CK59" s="19">
        <v>517862876</v>
      </c>
      <c r="CL59" s="19">
        <v>105921410</v>
      </c>
      <c r="CM59" s="19">
        <v>564409353</v>
      </c>
      <c r="CN59" s="19">
        <v>5838509</v>
      </c>
      <c r="CO59" s="19">
        <v>75051908</v>
      </c>
      <c r="CP59" s="19">
        <v>132602856</v>
      </c>
      <c r="CQ59" s="19" t="s">
        <v>96</v>
      </c>
      <c r="CR59" s="19">
        <v>175228228</v>
      </c>
      <c r="CS59" s="19">
        <v>271584917</v>
      </c>
      <c r="CT59" s="19">
        <v>208042194</v>
      </c>
      <c r="CU59" s="19">
        <v>165319774</v>
      </c>
      <c r="CV59" s="19">
        <v>5744626</v>
      </c>
      <c r="CW59" s="19">
        <v>193643849</v>
      </c>
      <c r="CX59" s="19">
        <v>58694350</v>
      </c>
      <c r="CY59" s="19">
        <v>900756527</v>
      </c>
      <c r="CZ59" s="19">
        <v>131210499</v>
      </c>
      <c r="DA59" s="19">
        <v>23629763</v>
      </c>
      <c r="DB59" s="19">
        <v>66831705</v>
      </c>
      <c r="DC59" s="19">
        <v>42696410</v>
      </c>
      <c r="DD59" s="19">
        <v>38568071</v>
      </c>
      <c r="DE59" s="19" t="s">
        <v>89</v>
      </c>
      <c r="DF59" s="19">
        <v>375520</v>
      </c>
      <c r="DG59" s="19">
        <v>97468991</v>
      </c>
      <c r="DH59" s="19">
        <v>65419898</v>
      </c>
      <c r="DI59" s="19" t="s">
        <v>128</v>
      </c>
      <c r="DJ59" s="19">
        <v>15427574</v>
      </c>
      <c r="DK59" s="19">
        <v>128033312</v>
      </c>
      <c r="DL59" s="19">
        <v>188364150</v>
      </c>
      <c r="DM59" s="19">
        <v>24749298</v>
      </c>
      <c r="DN59" s="19">
        <v>50444189</v>
      </c>
      <c r="DO59" s="19">
        <v>18190800</v>
      </c>
      <c r="DP59" s="19">
        <v>180809004</v>
      </c>
      <c r="DQ59" s="19">
        <v>7014264</v>
      </c>
      <c r="DR59" s="19">
        <v>97959409</v>
      </c>
      <c r="DS59" s="19">
        <v>124421872</v>
      </c>
      <c r="DT59" s="19">
        <v>155767934</v>
      </c>
      <c r="DU59" s="19">
        <v>4160127</v>
      </c>
      <c r="DV59" s="19">
        <v>435689971</v>
      </c>
      <c r="DW59" s="19">
        <v>184164068</v>
      </c>
      <c r="DX59" s="19">
        <v>204677049</v>
      </c>
      <c r="DY59" s="19">
        <v>19419320</v>
      </c>
      <c r="DZ59" s="19">
        <v>42308579</v>
      </c>
      <c r="EA59" s="19">
        <v>24367202</v>
      </c>
      <c r="EB59" s="19">
        <v>580939849</v>
      </c>
      <c r="EC59" s="19">
        <v>24321227</v>
      </c>
      <c r="ED59" s="19">
        <v>244015497</v>
      </c>
      <c r="EE59" s="19">
        <v>52315230</v>
      </c>
      <c r="EF59" s="19">
        <v>94627378</v>
      </c>
      <c r="EG59" s="19">
        <v>74594980</v>
      </c>
      <c r="EH59" s="19">
        <v>29656546</v>
      </c>
      <c r="EI59" s="19">
        <v>26682591</v>
      </c>
      <c r="EJ59" s="19">
        <v>283634492</v>
      </c>
      <c r="EK59" s="19">
        <v>36645159</v>
      </c>
      <c r="EL59" s="19">
        <v>508354677</v>
      </c>
      <c r="EM59" s="19">
        <v>65636987</v>
      </c>
      <c r="EN59" s="19">
        <v>301863364</v>
      </c>
      <c r="EO59" s="19">
        <v>76803946</v>
      </c>
      <c r="EP59" s="19">
        <v>206766515</v>
      </c>
      <c r="EQ59" s="19">
        <v>27490832</v>
      </c>
      <c r="ER59" s="19">
        <v>557096311</v>
      </c>
      <c r="ES59" s="19">
        <v>45553291</v>
      </c>
      <c r="ET59" s="19">
        <v>100363936</v>
      </c>
      <c r="EU59" s="19">
        <v>85592223</v>
      </c>
      <c r="EV59" s="19">
        <v>41907905</v>
      </c>
      <c r="EW59" s="19">
        <v>9364852</v>
      </c>
      <c r="EX59" s="19">
        <v>28001392</v>
      </c>
      <c r="EY59" s="19">
        <v>537822162</v>
      </c>
      <c r="EZ59" s="19">
        <v>16082108</v>
      </c>
      <c r="FA59" s="19">
        <v>24063641</v>
      </c>
      <c r="FB59" s="19">
        <v>106834452</v>
      </c>
      <c r="FC59" s="19">
        <v>247686714</v>
      </c>
      <c r="FD59" s="19">
        <v>83066574</v>
      </c>
      <c r="FE59" s="19">
        <v>133318495</v>
      </c>
      <c r="FF59" s="19">
        <v>7398567</v>
      </c>
      <c r="FG59" s="19">
        <v>352121300</v>
      </c>
      <c r="FH59" s="19">
        <v>10594006</v>
      </c>
      <c r="FI59" s="19">
        <v>144878884</v>
      </c>
      <c r="FJ59" s="19">
        <v>41111467</v>
      </c>
      <c r="FK59" s="19">
        <v>411615644</v>
      </c>
      <c r="FL59" s="19">
        <v>138875327</v>
      </c>
      <c r="FM59" s="19">
        <v>20481820</v>
      </c>
      <c r="FN59" s="19">
        <v>315024695</v>
      </c>
      <c r="FO59" s="19">
        <v>9943984</v>
      </c>
      <c r="FP59" s="19">
        <v>105254203</v>
      </c>
      <c r="FQ59" s="19">
        <v>147154</v>
      </c>
      <c r="FR59" s="19">
        <v>199739242</v>
      </c>
      <c r="FS59" s="19">
        <v>79841751</v>
      </c>
      <c r="FT59" s="19">
        <v>462738768</v>
      </c>
      <c r="FU59" s="19">
        <v>1942</v>
      </c>
      <c r="FV59" s="19">
        <v>134119104</v>
      </c>
      <c r="FW59" s="19">
        <v>49373540</v>
      </c>
      <c r="FX59" s="19">
        <v>157934284</v>
      </c>
      <c r="FY59" s="19">
        <v>341221000</v>
      </c>
      <c r="FZ59" s="19">
        <v>76343474</v>
      </c>
      <c r="GA59" s="19">
        <v>306449547</v>
      </c>
      <c r="GB59" s="19">
        <v>188968007</v>
      </c>
      <c r="GC59" s="19">
        <v>113639894</v>
      </c>
      <c r="GD59" s="19" t="s">
        <v>96</v>
      </c>
      <c r="GE59" s="19">
        <v>31252282</v>
      </c>
      <c r="GF59" s="19">
        <v>24733022</v>
      </c>
      <c r="GG59" s="19">
        <v>859373817</v>
      </c>
      <c r="GH59" s="19">
        <v>16988361</v>
      </c>
      <c r="GI59" s="19">
        <v>4364</v>
      </c>
      <c r="GJ59" s="19">
        <v>125939313</v>
      </c>
      <c r="GK59" s="19">
        <v>107253876</v>
      </c>
      <c r="GL59" s="19">
        <v>26204955</v>
      </c>
      <c r="GM59" s="19">
        <v>99888644</v>
      </c>
      <c r="GN59" s="19">
        <v>66751013</v>
      </c>
      <c r="GO59" s="19">
        <v>32266331</v>
      </c>
      <c r="GP59" s="19">
        <v>34122840</v>
      </c>
      <c r="GQ59" s="19">
        <v>122570235</v>
      </c>
      <c r="GR59" s="19">
        <v>460615810</v>
      </c>
      <c r="GS59" s="19">
        <v>453973</v>
      </c>
      <c r="GT59" s="19">
        <v>2672017</v>
      </c>
      <c r="GU59" s="19">
        <v>105192544</v>
      </c>
      <c r="GV59" s="19">
        <v>164666548</v>
      </c>
      <c r="GW59" s="19">
        <v>43964912</v>
      </c>
      <c r="GX59" s="19">
        <v>11582202</v>
      </c>
      <c r="GY59" s="19">
        <v>1451177965</v>
      </c>
      <c r="GZ59" s="19">
        <v>87726229</v>
      </c>
      <c r="HA59" s="19">
        <v>67814930</v>
      </c>
      <c r="HB59" s="37">
        <v>419413574</v>
      </c>
      <c r="HC59" s="19">
        <v>52059525</v>
      </c>
      <c r="HD59" s="19">
        <v>87302797</v>
      </c>
      <c r="HE59" s="19">
        <v>64271735</v>
      </c>
      <c r="HF59" s="19">
        <v>242171356</v>
      </c>
      <c r="HG59" s="19">
        <v>39529211</v>
      </c>
      <c r="HH59" s="19">
        <v>31754</v>
      </c>
      <c r="HI59" s="19">
        <v>59864939</v>
      </c>
      <c r="HJ59" s="19">
        <v>2564464</v>
      </c>
      <c r="HK59" s="19">
        <v>34230878</v>
      </c>
      <c r="HL59" s="19">
        <v>57805128</v>
      </c>
      <c r="HM59" s="19">
        <v>9053127</v>
      </c>
      <c r="HN59" s="19">
        <v>5909851</v>
      </c>
      <c r="HO59" s="19">
        <v>107383421</v>
      </c>
      <c r="HP59" s="19">
        <v>5063006</v>
      </c>
      <c r="HQ59" s="41">
        <v>53896054</v>
      </c>
      <c r="HR59" s="41">
        <v>383307094</v>
      </c>
      <c r="HS59" s="41">
        <v>149216685</v>
      </c>
      <c r="HT59" s="41">
        <v>1761789</v>
      </c>
      <c r="HU59" s="41">
        <v>125906116</v>
      </c>
      <c r="HV59" s="41">
        <v>1312683</v>
      </c>
      <c r="HW59" s="41">
        <v>202702212</v>
      </c>
      <c r="HX59" s="41">
        <v>9184935</v>
      </c>
      <c r="HY59" s="41" t="s">
        <v>114</v>
      </c>
      <c r="HZ59" s="41">
        <v>307883415</v>
      </c>
      <c r="IA59" s="41">
        <v>4449882</v>
      </c>
      <c r="IB59" s="41">
        <v>102431997</v>
      </c>
      <c r="IC59" s="41">
        <v>43679</v>
      </c>
      <c r="ID59" s="41">
        <v>8178514</v>
      </c>
      <c r="IE59" s="41" t="s">
        <v>4</v>
      </c>
      <c r="IF59" s="41">
        <v>80269370</v>
      </c>
      <c r="IG59" s="41">
        <v>3641809</v>
      </c>
      <c r="IH59" s="41">
        <v>138819775</v>
      </c>
      <c r="II59" s="41">
        <v>8630830</v>
      </c>
      <c r="IJ59" s="41">
        <v>203969188</v>
      </c>
      <c r="IK59" s="41">
        <v>74669681</v>
      </c>
      <c r="IL59" s="41">
        <v>1942850</v>
      </c>
      <c r="IM59" s="41">
        <v>71032770</v>
      </c>
      <c r="IN59" s="41">
        <v>240152063</v>
      </c>
      <c r="IO59" s="41">
        <v>1120857</v>
      </c>
      <c r="IP59" s="41">
        <v>588576338</v>
      </c>
      <c r="IQ59" s="41">
        <v>144952961</v>
      </c>
      <c r="IR59" s="41">
        <v>229761271</v>
      </c>
      <c r="IS59" s="41">
        <v>162431171</v>
      </c>
      <c r="IT59" s="41">
        <v>43576102</v>
      </c>
      <c r="IU59" s="41">
        <v>7884058</v>
      </c>
      <c r="IV59" s="41">
        <v>6719940</v>
      </c>
      <c r="IW59" s="41">
        <v>89037820</v>
      </c>
      <c r="IX59" s="41" t="s">
        <v>114</v>
      </c>
      <c r="IY59" s="41">
        <v>238336227</v>
      </c>
      <c r="IZ59" s="41">
        <v>86387439</v>
      </c>
      <c r="JA59" s="41">
        <v>93148580</v>
      </c>
      <c r="JB59" s="41">
        <v>4722545</v>
      </c>
      <c r="JC59" s="41">
        <v>127546300</v>
      </c>
      <c r="JD59" s="41">
        <v>4456127</v>
      </c>
      <c r="JE59" s="41" t="s">
        <v>114</v>
      </c>
      <c r="JF59" s="41">
        <v>136499612</v>
      </c>
      <c r="JG59" s="41">
        <v>107234225</v>
      </c>
      <c r="JH59" s="41">
        <v>5431019</v>
      </c>
      <c r="JI59" s="41">
        <v>1505700</v>
      </c>
      <c r="JJ59" s="41">
        <v>70703913</v>
      </c>
      <c r="JK59" s="41">
        <v>10091168</v>
      </c>
      <c r="JL59" s="41">
        <v>60669356</v>
      </c>
      <c r="JM59" s="41">
        <v>49596888</v>
      </c>
      <c r="JN59" s="41">
        <v>1374322094</v>
      </c>
      <c r="JO59" s="41">
        <v>85506463</v>
      </c>
      <c r="JP59" s="41" t="s">
        <v>4</v>
      </c>
      <c r="JQ59" s="41">
        <v>247006058</v>
      </c>
      <c r="JR59" s="41">
        <v>209718644</v>
      </c>
      <c r="JS59" s="41">
        <v>257695632</v>
      </c>
      <c r="JT59" s="41">
        <v>47278</v>
      </c>
      <c r="JU59" s="41">
        <v>1374228</v>
      </c>
      <c r="JV59" s="41">
        <v>1017141</v>
      </c>
      <c r="JW59" s="41">
        <v>18449011</v>
      </c>
      <c r="JX59" s="41">
        <v>7795905</v>
      </c>
      <c r="JY59" s="41">
        <v>36058687</v>
      </c>
      <c r="JZ59" s="41">
        <v>38627945</v>
      </c>
      <c r="KA59" s="41">
        <v>41976012</v>
      </c>
      <c r="KB59" s="41">
        <v>27442624</v>
      </c>
      <c r="KC59" s="41">
        <v>23418786</v>
      </c>
      <c r="KD59" s="41">
        <v>67980320</v>
      </c>
    </row>
    <row r="60" spans="1:290">
      <c r="A60" s="9" t="s">
        <v>122</v>
      </c>
      <c r="B60" s="15" t="s">
        <v>148</v>
      </c>
      <c r="C60" s="19">
        <v>64709</v>
      </c>
      <c r="D60" s="19">
        <v>257878</v>
      </c>
      <c r="E60" s="19">
        <v>145018</v>
      </c>
      <c r="F60" s="19">
        <v>4100387</v>
      </c>
      <c r="G60" s="19">
        <v>34854</v>
      </c>
      <c r="H60" s="19"/>
      <c r="I60" s="19">
        <v>131019</v>
      </c>
      <c r="J60" s="19" t="s">
        <v>4</v>
      </c>
      <c r="K60" s="19">
        <v>269311</v>
      </c>
      <c r="L60" s="19" t="s">
        <v>130</v>
      </c>
      <c r="M60" s="19" t="s">
        <v>96</v>
      </c>
      <c r="N60" s="19">
        <v>135165</v>
      </c>
      <c r="O60" s="19">
        <v>1230544</v>
      </c>
      <c r="P60" s="19">
        <v>566986</v>
      </c>
      <c r="Q60" s="19">
        <v>17355</v>
      </c>
      <c r="R60" s="19">
        <v>131157</v>
      </c>
      <c r="S60" s="19">
        <v>890441</v>
      </c>
      <c r="T60" s="19" t="s">
        <v>96</v>
      </c>
      <c r="U60" s="19">
        <v>2373505</v>
      </c>
      <c r="V60" s="19" t="s">
        <v>128</v>
      </c>
      <c r="W60" s="19">
        <v>230793</v>
      </c>
      <c r="X60" s="19">
        <v>4005971</v>
      </c>
      <c r="Y60" s="19">
        <v>1170673</v>
      </c>
      <c r="Z60" s="19">
        <v>52823</v>
      </c>
      <c r="AA60" s="19">
        <v>8738909</v>
      </c>
      <c r="AB60" s="19">
        <v>2572679</v>
      </c>
      <c r="AC60" s="19">
        <v>233019</v>
      </c>
      <c r="AD60" s="19">
        <v>1449720</v>
      </c>
      <c r="AE60" s="19">
        <v>899933</v>
      </c>
      <c r="AF60" s="19">
        <v>72565</v>
      </c>
      <c r="AG60" s="19">
        <v>15813234</v>
      </c>
      <c r="AH60" s="19">
        <v>12275291</v>
      </c>
      <c r="AI60" s="19">
        <v>68420</v>
      </c>
      <c r="AJ60" s="19">
        <v>85827</v>
      </c>
      <c r="AK60" s="19" t="s">
        <v>89</v>
      </c>
      <c r="AL60" s="19">
        <v>182031</v>
      </c>
      <c r="AM60" s="19" t="s">
        <v>4</v>
      </c>
      <c r="AN60" s="19">
        <v>78093</v>
      </c>
      <c r="AO60" s="19">
        <v>1158864</v>
      </c>
      <c r="AP60" s="19">
        <v>340178</v>
      </c>
      <c r="AQ60" s="19" t="s">
        <v>96</v>
      </c>
      <c r="AR60" s="19">
        <v>51310</v>
      </c>
      <c r="AS60" s="19">
        <v>267420</v>
      </c>
      <c r="AT60" s="19">
        <v>217868</v>
      </c>
      <c r="AU60" s="19">
        <v>23585</v>
      </c>
      <c r="AV60" s="19">
        <v>208136</v>
      </c>
      <c r="AW60" s="19">
        <v>11121</v>
      </c>
      <c r="AX60" s="19" t="s">
        <v>4</v>
      </c>
      <c r="AY60" s="19">
        <v>82271</v>
      </c>
      <c r="AZ60" s="19">
        <v>860674</v>
      </c>
      <c r="BA60" s="19">
        <v>183451</v>
      </c>
      <c r="BB60" s="19">
        <v>91047</v>
      </c>
      <c r="BC60" s="19" t="s">
        <v>4</v>
      </c>
      <c r="BD60" s="19" t="s">
        <v>128</v>
      </c>
      <c r="BE60" s="19">
        <v>384258</v>
      </c>
      <c r="BF60" s="19">
        <v>528401</v>
      </c>
      <c r="BG60" s="19">
        <v>3542271</v>
      </c>
      <c r="BH60" s="19">
        <v>129336</v>
      </c>
      <c r="BI60" s="19">
        <v>3719688</v>
      </c>
      <c r="BJ60" s="19">
        <v>60467</v>
      </c>
      <c r="BK60" s="19">
        <v>142079</v>
      </c>
      <c r="BL60" s="19">
        <v>160558</v>
      </c>
      <c r="BM60" s="19">
        <v>131597</v>
      </c>
      <c r="BN60" s="19">
        <v>1647017</v>
      </c>
      <c r="BO60" s="19">
        <v>188311</v>
      </c>
      <c r="BP60" s="19" t="s">
        <v>96</v>
      </c>
      <c r="BQ60" s="19" t="s">
        <v>4</v>
      </c>
      <c r="BR60" s="19">
        <v>900022</v>
      </c>
      <c r="BS60" s="19">
        <v>41150</v>
      </c>
      <c r="BT60" s="19">
        <v>10155</v>
      </c>
      <c r="BU60" s="19">
        <v>2925809</v>
      </c>
      <c r="BV60" s="19">
        <v>22560</v>
      </c>
      <c r="BW60" s="19">
        <v>25320</v>
      </c>
      <c r="BX60" s="19">
        <v>165975</v>
      </c>
      <c r="BY60" s="19">
        <v>284573</v>
      </c>
      <c r="BZ60" s="19">
        <v>20598133</v>
      </c>
      <c r="CA60" s="19">
        <v>519566</v>
      </c>
      <c r="CB60" s="19">
        <v>348082</v>
      </c>
      <c r="CC60" s="19">
        <v>63585</v>
      </c>
      <c r="CD60" s="19">
        <v>1165634</v>
      </c>
      <c r="CE60" s="19">
        <v>4554</v>
      </c>
      <c r="CF60" s="19">
        <v>10199</v>
      </c>
      <c r="CG60" s="19">
        <v>1084956</v>
      </c>
      <c r="CH60" s="19">
        <v>130327</v>
      </c>
      <c r="CI60" s="19" t="s">
        <v>128</v>
      </c>
      <c r="CJ60" s="19" t="s">
        <v>89</v>
      </c>
      <c r="CK60" s="19">
        <v>110051</v>
      </c>
      <c r="CL60" s="19">
        <v>40625</v>
      </c>
      <c r="CM60" s="19">
        <v>13873503</v>
      </c>
      <c r="CN60" s="19">
        <v>64711</v>
      </c>
      <c r="CO60" s="19">
        <v>105625</v>
      </c>
      <c r="CP60" s="19">
        <v>62050</v>
      </c>
      <c r="CQ60" s="19" t="s">
        <v>96</v>
      </c>
      <c r="CR60" s="19">
        <v>468739</v>
      </c>
      <c r="CS60" s="19">
        <v>34322</v>
      </c>
      <c r="CT60" s="19">
        <v>57534084</v>
      </c>
      <c r="CU60" s="19">
        <v>121183</v>
      </c>
      <c r="CV60" s="19">
        <v>9917</v>
      </c>
      <c r="CW60" s="19">
        <v>12035113</v>
      </c>
      <c r="CX60" s="19">
        <v>15813234</v>
      </c>
      <c r="CY60" s="19">
        <v>4822405</v>
      </c>
      <c r="CZ60" s="19">
        <v>77422</v>
      </c>
      <c r="DA60" s="19">
        <v>7425</v>
      </c>
      <c r="DB60" s="19">
        <v>16678</v>
      </c>
      <c r="DC60" s="19">
        <v>32409</v>
      </c>
      <c r="DD60" s="19">
        <v>28158</v>
      </c>
      <c r="DE60" s="19" t="s">
        <v>89</v>
      </c>
      <c r="DF60" s="19">
        <v>36363</v>
      </c>
      <c r="DG60" s="19">
        <v>59776</v>
      </c>
      <c r="DH60" s="19">
        <v>98748</v>
      </c>
      <c r="DI60" s="19" t="s">
        <v>128</v>
      </c>
      <c r="DJ60" s="19">
        <v>101436</v>
      </c>
      <c r="DK60" s="19">
        <v>270944</v>
      </c>
      <c r="DL60" s="19">
        <v>183717</v>
      </c>
      <c r="DM60" s="19">
        <v>6643062</v>
      </c>
      <c r="DN60" s="19">
        <v>143560</v>
      </c>
      <c r="DO60" s="19">
        <v>17345</v>
      </c>
      <c r="DP60" s="19">
        <v>538352</v>
      </c>
      <c r="DQ60" s="19">
        <v>392340</v>
      </c>
      <c r="DR60" s="19">
        <v>231773</v>
      </c>
      <c r="DS60" s="19">
        <v>4551476</v>
      </c>
      <c r="DT60" s="19">
        <v>870095</v>
      </c>
      <c r="DU60" s="19">
        <v>127</v>
      </c>
      <c r="DV60" s="19">
        <v>1029103</v>
      </c>
      <c r="DW60" s="19">
        <v>579429</v>
      </c>
      <c r="DX60" s="19">
        <v>5402305</v>
      </c>
      <c r="DY60" s="19">
        <v>4660</v>
      </c>
      <c r="DZ60" s="19">
        <v>12943141</v>
      </c>
      <c r="EA60" s="19"/>
      <c r="EB60" s="19">
        <v>439755</v>
      </c>
      <c r="EC60" s="19">
        <v>128451</v>
      </c>
      <c r="ED60" s="19">
        <v>64750</v>
      </c>
      <c r="EE60" s="19">
        <v>140495</v>
      </c>
      <c r="EF60" s="19">
        <v>17163</v>
      </c>
      <c r="EG60" s="19">
        <v>2615044</v>
      </c>
      <c r="EH60" s="19">
        <v>55569</v>
      </c>
      <c r="EI60" s="19">
        <v>503899</v>
      </c>
      <c r="EJ60" s="19">
        <v>149266</v>
      </c>
      <c r="EK60" s="19">
        <v>160381</v>
      </c>
      <c r="EL60" s="19">
        <v>19283935</v>
      </c>
      <c r="EM60" s="19">
        <v>731089</v>
      </c>
      <c r="EN60" s="19">
        <v>17341334</v>
      </c>
      <c r="EO60" s="19">
        <v>355260</v>
      </c>
      <c r="EP60" s="19">
        <v>89458</v>
      </c>
      <c r="EQ60" s="19">
        <v>771194</v>
      </c>
      <c r="ER60" s="19">
        <v>544860</v>
      </c>
      <c r="ES60" s="19">
        <v>1469144</v>
      </c>
      <c r="ET60" s="19">
        <v>18339066</v>
      </c>
      <c r="EU60" s="19">
        <v>194424</v>
      </c>
      <c r="EV60" s="19">
        <v>15104</v>
      </c>
      <c r="EW60" s="19">
        <v>10467</v>
      </c>
      <c r="EX60" s="19">
        <v>255283</v>
      </c>
      <c r="EY60" s="19">
        <v>8262048</v>
      </c>
      <c r="EZ60" s="19">
        <v>119328</v>
      </c>
      <c r="FA60" s="19">
        <v>125550</v>
      </c>
      <c r="FB60" s="19">
        <v>33409</v>
      </c>
      <c r="FC60" s="19">
        <v>252828</v>
      </c>
      <c r="FD60" s="19">
        <v>41947</v>
      </c>
      <c r="FE60" s="19">
        <v>1474475</v>
      </c>
      <c r="FF60" s="19">
        <v>31067</v>
      </c>
      <c r="FG60" s="19">
        <f>546540</f>
        <v>546540</v>
      </c>
      <c r="FH60" s="19">
        <v>33729</v>
      </c>
      <c r="FI60" s="19">
        <v>30220</v>
      </c>
      <c r="FJ60" s="19">
        <v>2004593</v>
      </c>
      <c r="FK60" s="19">
        <v>83469</v>
      </c>
      <c r="FL60" s="19">
        <v>207934</v>
      </c>
      <c r="FM60" s="19">
        <v>107287</v>
      </c>
      <c r="FN60" s="19">
        <v>4167668</v>
      </c>
      <c r="FO60" s="19">
        <v>2817</v>
      </c>
      <c r="FP60" s="19">
        <v>52543</v>
      </c>
      <c r="FQ60" s="19">
        <v>102973</v>
      </c>
      <c r="FR60" s="19">
        <v>56080</v>
      </c>
      <c r="FS60" s="19">
        <v>28030</v>
      </c>
      <c r="FT60" s="19">
        <v>17889960</v>
      </c>
      <c r="FU60" s="19">
        <v>1942</v>
      </c>
      <c r="FV60" s="19">
        <v>44812</v>
      </c>
      <c r="FW60" s="19">
        <v>8600</v>
      </c>
      <c r="FX60" s="19">
        <v>76437</v>
      </c>
      <c r="FY60" s="19">
        <v>9054020</v>
      </c>
      <c r="FZ60" s="19">
        <v>97173</v>
      </c>
      <c r="GA60" s="19">
        <v>189415</v>
      </c>
      <c r="GB60" s="19">
        <v>52576</v>
      </c>
      <c r="GC60" s="19">
        <v>13149246</v>
      </c>
      <c r="GD60" s="19" t="s">
        <v>96</v>
      </c>
      <c r="GE60" s="19">
        <v>156727</v>
      </c>
      <c r="GF60" s="19">
        <v>17949</v>
      </c>
      <c r="GG60" s="19">
        <v>349170</v>
      </c>
      <c r="GH60" s="19">
        <v>252432</v>
      </c>
      <c r="GI60" s="19">
        <v>3889</v>
      </c>
      <c r="GJ60" s="19">
        <v>126386</v>
      </c>
      <c r="GK60" s="19">
        <v>44305</v>
      </c>
      <c r="GL60" s="19">
        <v>56588</v>
      </c>
      <c r="GM60" s="19">
        <v>14544</v>
      </c>
      <c r="GN60" s="19">
        <v>339246</v>
      </c>
      <c r="GO60" s="19">
        <v>56231</v>
      </c>
      <c r="GP60" s="19">
        <v>14418607</v>
      </c>
      <c r="GQ60" s="19">
        <v>299005</v>
      </c>
      <c r="GR60" s="19">
        <v>38305</v>
      </c>
      <c r="GS60" s="19">
        <v>453973</v>
      </c>
      <c r="GT60" s="19">
        <v>104133</v>
      </c>
      <c r="GU60" s="19">
        <v>48270</v>
      </c>
      <c r="GV60" s="19">
        <v>7140861</v>
      </c>
      <c r="GW60" s="19">
        <v>16884218</v>
      </c>
      <c r="GX60" s="19">
        <v>64469</v>
      </c>
      <c r="GY60" s="19">
        <v>1856449</v>
      </c>
      <c r="GZ60" s="19">
        <v>207445</v>
      </c>
      <c r="HA60" s="19">
        <v>554708</v>
      </c>
      <c r="HB60" s="37">
        <v>170799</v>
      </c>
      <c r="HC60" s="19">
        <v>127695</v>
      </c>
      <c r="HD60" s="19"/>
      <c r="HE60" s="19">
        <v>125661</v>
      </c>
      <c r="HF60" s="19">
        <v>313114</v>
      </c>
      <c r="HG60" s="19">
        <v>113451</v>
      </c>
      <c r="HH60" s="19">
        <v>18685</v>
      </c>
      <c r="HI60" s="19">
        <v>89042</v>
      </c>
      <c r="HJ60" s="19">
        <v>118856</v>
      </c>
      <c r="HK60" s="19">
        <v>796624</v>
      </c>
      <c r="HL60" s="19">
        <v>290499</v>
      </c>
      <c r="HM60" s="19">
        <v>79867</v>
      </c>
      <c r="HN60" s="19">
        <v>26366</v>
      </c>
      <c r="HO60" s="19">
        <v>462892</v>
      </c>
      <c r="HP60" s="19">
        <v>89898</v>
      </c>
      <c r="HQ60" s="41">
        <v>6291</v>
      </c>
      <c r="HR60" s="41">
        <v>587707</v>
      </c>
      <c r="HS60" s="41">
        <v>74704</v>
      </c>
      <c r="HT60" s="41">
        <v>1669</v>
      </c>
      <c r="HU60" s="41">
        <v>10801698</v>
      </c>
      <c r="HV60" s="41">
        <v>12612</v>
      </c>
      <c r="HW60" s="41">
        <v>152320881</v>
      </c>
      <c r="HX60" s="41">
        <v>7649258</v>
      </c>
      <c r="HY60" s="41" t="s">
        <v>114</v>
      </c>
      <c r="HZ60" s="41">
        <v>5431942</v>
      </c>
      <c r="IA60" s="41">
        <v>39216</v>
      </c>
      <c r="IB60" s="41">
        <v>637517</v>
      </c>
      <c r="IC60" s="41">
        <v>43094</v>
      </c>
      <c r="ID60" s="41">
        <v>37929</v>
      </c>
      <c r="IE60" s="41" t="s">
        <v>4</v>
      </c>
      <c r="IF60" s="41">
        <v>81434</v>
      </c>
      <c r="IG60" s="41">
        <v>15685</v>
      </c>
      <c r="IH60" s="41">
        <v>111365</v>
      </c>
      <c r="II60" s="41">
        <v>6088</v>
      </c>
      <c r="IJ60" s="41">
        <v>461065</v>
      </c>
      <c r="IK60" s="41">
        <v>101742</v>
      </c>
      <c r="IL60" s="41">
        <v>12428</v>
      </c>
      <c r="IM60" s="41">
        <v>29599</v>
      </c>
      <c r="IN60" s="41">
        <v>23733</v>
      </c>
      <c r="IO60" s="41">
        <v>187607</v>
      </c>
      <c r="IP60" s="41">
        <v>838</v>
      </c>
      <c r="IQ60" s="41">
        <v>732193</v>
      </c>
      <c r="IR60" s="41">
        <v>413575</v>
      </c>
      <c r="IS60" s="41">
        <v>135587</v>
      </c>
      <c r="IT60" s="41">
        <v>26514</v>
      </c>
      <c r="IU60" s="41">
        <v>122577</v>
      </c>
      <c r="IV60" s="41">
        <v>128632</v>
      </c>
      <c r="IW60" s="41">
        <v>46390</v>
      </c>
      <c r="IX60" s="41" t="s">
        <v>114</v>
      </c>
      <c r="IY60" s="41">
        <v>7608</v>
      </c>
      <c r="IZ60" s="41">
        <v>73061</v>
      </c>
      <c r="JA60" s="41">
        <v>31631</v>
      </c>
      <c r="JB60" s="41">
        <v>9664</v>
      </c>
      <c r="JC60" s="41">
        <v>135648</v>
      </c>
      <c r="JD60" s="41">
        <v>4456127</v>
      </c>
      <c r="JE60" s="41" t="s">
        <v>114</v>
      </c>
      <c r="JF60" s="41">
        <v>10150</v>
      </c>
      <c r="JG60" s="41">
        <v>71437</v>
      </c>
      <c r="JH60" s="41">
        <v>60186</v>
      </c>
      <c r="JI60" s="41">
        <v>89669</v>
      </c>
      <c r="JJ60" s="41">
        <v>9200312</v>
      </c>
      <c r="JK60" s="41">
        <v>254431</v>
      </c>
      <c r="JL60" s="41">
        <v>79901</v>
      </c>
      <c r="JM60" s="41">
        <v>1452</v>
      </c>
      <c r="JN60" s="41">
        <v>370286</v>
      </c>
      <c r="JO60" s="41">
        <v>1904254</v>
      </c>
      <c r="JP60" s="41" t="s">
        <v>4</v>
      </c>
      <c r="JQ60" s="41">
        <v>110074</v>
      </c>
      <c r="JR60" s="41">
        <v>1074486</v>
      </c>
      <c r="JS60" s="41">
        <v>92161</v>
      </c>
      <c r="JT60" s="41">
        <v>25636</v>
      </c>
      <c r="JU60" s="41">
        <v>178889</v>
      </c>
      <c r="JV60" s="41">
        <v>1017141</v>
      </c>
      <c r="JW60" s="41">
        <v>1126399</v>
      </c>
      <c r="JX60" s="41">
        <v>10064</v>
      </c>
      <c r="JY60" s="41">
        <v>29297</v>
      </c>
      <c r="JZ60" s="41">
        <v>2497</v>
      </c>
      <c r="KA60" s="41">
        <v>102622</v>
      </c>
      <c r="KB60" s="41">
        <v>9526</v>
      </c>
      <c r="KC60" s="41">
        <v>10276410</v>
      </c>
      <c r="KD60" s="41">
        <v>258801</v>
      </c>
    </row>
    <row r="61" spans="1:290">
      <c r="A61" s="9" t="s">
        <v>122</v>
      </c>
      <c r="B61" s="15" t="s">
        <v>62</v>
      </c>
      <c r="C61" s="19">
        <v>0</v>
      </c>
      <c r="D61" s="19">
        <v>0</v>
      </c>
      <c r="E61" s="19">
        <v>0</v>
      </c>
      <c r="F61" s="19">
        <v>0</v>
      </c>
      <c r="G61" s="19">
        <v>0</v>
      </c>
      <c r="H61" s="19"/>
      <c r="I61" s="19"/>
      <c r="J61" s="19" t="s">
        <v>4</v>
      </c>
      <c r="K61" s="19"/>
      <c r="L61" s="19" t="s">
        <v>130</v>
      </c>
      <c r="M61" s="19" t="s">
        <v>96</v>
      </c>
      <c r="N61" s="19"/>
      <c r="O61" s="19"/>
      <c r="P61" s="19"/>
      <c r="Q61" s="19"/>
      <c r="R61" s="19"/>
      <c r="S61" s="19"/>
      <c r="T61" s="19" t="s">
        <v>96</v>
      </c>
      <c r="U61" s="19"/>
      <c r="V61" s="19" t="s">
        <v>128</v>
      </c>
      <c r="W61" s="19"/>
      <c r="X61" s="19"/>
      <c r="Y61" s="19"/>
      <c r="Z61" s="19"/>
      <c r="AA61" s="19"/>
      <c r="AB61" s="19"/>
      <c r="AC61" s="19"/>
      <c r="AD61" s="19"/>
      <c r="AE61" s="19"/>
      <c r="AF61" s="19"/>
      <c r="AG61" s="19">
        <v>13621354</v>
      </c>
      <c r="AH61" s="19"/>
      <c r="AI61" s="19"/>
      <c r="AJ61" s="19"/>
      <c r="AK61" s="19" t="s">
        <v>89</v>
      </c>
      <c r="AL61" s="19"/>
      <c r="AM61" s="19" t="s">
        <v>4</v>
      </c>
      <c r="AN61" s="19"/>
      <c r="AO61" s="19"/>
      <c r="AP61" s="19"/>
      <c r="AQ61" s="19" t="s">
        <v>96</v>
      </c>
      <c r="AR61" s="19"/>
      <c r="AS61" s="19"/>
      <c r="AT61" s="19"/>
      <c r="AU61" s="19"/>
      <c r="AV61" s="19"/>
      <c r="AW61" s="19"/>
      <c r="AX61" s="19" t="s">
        <v>4</v>
      </c>
      <c r="AY61" s="19"/>
      <c r="AZ61" s="19"/>
      <c r="BA61" s="19"/>
      <c r="BB61" s="19"/>
      <c r="BC61" s="19" t="s">
        <v>4</v>
      </c>
      <c r="BD61" s="19" t="s">
        <v>128</v>
      </c>
      <c r="BE61" s="19"/>
      <c r="BF61" s="19"/>
      <c r="BG61" s="19"/>
      <c r="BH61" s="19"/>
      <c r="BI61" s="19"/>
      <c r="BJ61" s="19"/>
      <c r="BK61" s="19"/>
      <c r="BL61" s="19"/>
      <c r="BM61" s="19"/>
      <c r="BN61" s="19"/>
      <c r="BO61" s="19"/>
      <c r="BP61" s="19" t="s">
        <v>96</v>
      </c>
      <c r="BQ61" s="19" t="s">
        <v>4</v>
      </c>
      <c r="BR61" s="19"/>
      <c r="BS61" s="19"/>
      <c r="BT61" s="19"/>
      <c r="BU61" s="19"/>
      <c r="BV61" s="19"/>
      <c r="BW61" s="19"/>
      <c r="BX61" s="19"/>
      <c r="BY61" s="19"/>
      <c r="BZ61" s="19"/>
      <c r="CA61" s="19"/>
      <c r="CB61" s="19"/>
      <c r="CC61" s="19"/>
      <c r="CD61" s="19"/>
      <c r="CE61" s="19"/>
      <c r="CF61" s="19"/>
      <c r="CG61" s="19"/>
      <c r="CH61" s="19"/>
      <c r="CI61" s="19" t="s">
        <v>128</v>
      </c>
      <c r="CJ61" s="19" t="s">
        <v>89</v>
      </c>
      <c r="CK61" s="19"/>
      <c r="CL61" s="19"/>
      <c r="CM61" s="19"/>
      <c r="CN61" s="19"/>
      <c r="CO61" s="19"/>
      <c r="CP61" s="19"/>
      <c r="CQ61" s="19" t="s">
        <v>96</v>
      </c>
      <c r="CR61" s="19"/>
      <c r="CS61" s="19"/>
      <c r="CT61" s="19"/>
      <c r="CU61" s="19">
        <v>1357000</v>
      </c>
      <c r="CV61" s="19"/>
      <c r="CW61" s="19"/>
      <c r="CX61" s="19"/>
      <c r="CY61" s="19"/>
      <c r="CZ61" s="19"/>
      <c r="DA61" s="19"/>
      <c r="DB61" s="19"/>
      <c r="DC61" s="19">
        <v>38224257</v>
      </c>
      <c r="DD61" s="19"/>
      <c r="DE61" s="19" t="s">
        <v>89</v>
      </c>
      <c r="DF61" s="19"/>
      <c r="DG61" s="19"/>
      <c r="DH61" s="19"/>
      <c r="DI61" s="19" t="s">
        <v>128</v>
      </c>
      <c r="DJ61" s="19"/>
      <c r="DK61" s="19">
        <v>75250000</v>
      </c>
      <c r="DL61" s="19"/>
      <c r="DM61" s="19"/>
      <c r="DN61" s="19"/>
      <c r="DO61" s="19"/>
      <c r="DP61" s="19"/>
      <c r="DQ61" s="19"/>
      <c r="DR61" s="19"/>
      <c r="DS61" s="19"/>
      <c r="DT61" s="19"/>
      <c r="DU61" s="19"/>
      <c r="DV61" s="19"/>
      <c r="DW61" s="19">
        <v>1035689</v>
      </c>
      <c r="DX61" s="19"/>
      <c r="DY61" s="19"/>
      <c r="DZ61" s="19">
        <v>2850989</v>
      </c>
      <c r="EA61" s="19"/>
      <c r="EB61" s="19"/>
      <c r="EC61" s="19"/>
      <c r="ED61" s="19"/>
      <c r="EE61" s="19"/>
      <c r="EF61" s="19"/>
      <c r="EG61" s="19"/>
      <c r="EH61" s="19"/>
      <c r="EI61" s="19"/>
      <c r="EJ61" s="19"/>
      <c r="EK61" s="19"/>
      <c r="EL61" s="19"/>
      <c r="EM61" s="19"/>
      <c r="EN61" s="19"/>
      <c r="EO61" s="19"/>
      <c r="EP61" s="19"/>
      <c r="EQ61" s="19"/>
      <c r="ER61" s="19"/>
      <c r="ES61" s="19"/>
      <c r="ET61" s="19"/>
      <c r="EU61" s="19"/>
      <c r="EV61" s="19"/>
      <c r="EW61" s="19"/>
      <c r="EX61" s="19"/>
      <c r="EY61" s="19"/>
      <c r="EZ61" s="19"/>
      <c r="FA61" s="19"/>
      <c r="FB61" s="19"/>
      <c r="FC61" s="19"/>
      <c r="FD61" s="19"/>
      <c r="FE61" s="19"/>
      <c r="FF61" s="19"/>
      <c r="FG61" s="19">
        <f>1238038+706250</f>
        <v>1944288</v>
      </c>
      <c r="FH61" s="19">
        <v>7450000</v>
      </c>
      <c r="FI61" s="19"/>
      <c r="FJ61" s="19"/>
      <c r="FK61" s="19"/>
      <c r="FL61" s="19"/>
      <c r="FM61" s="19"/>
      <c r="FN61" s="19"/>
      <c r="FO61" s="19"/>
      <c r="FP61" s="19"/>
      <c r="FQ61" s="19"/>
      <c r="FR61" s="19"/>
      <c r="FS61" s="19"/>
      <c r="FT61" s="19"/>
      <c r="FU61" s="19"/>
      <c r="FV61" s="19"/>
      <c r="FW61" s="19"/>
      <c r="FX61" s="19"/>
      <c r="FY61" s="19"/>
      <c r="FZ61" s="19"/>
      <c r="GA61" s="19"/>
      <c r="GB61" s="19"/>
      <c r="GC61" s="19"/>
      <c r="GD61" s="19" t="s">
        <v>96</v>
      </c>
      <c r="GE61" s="19"/>
      <c r="GF61" s="19"/>
      <c r="GG61" s="19"/>
      <c r="GH61" s="19"/>
      <c r="GI61" s="19"/>
      <c r="GJ61" s="19"/>
      <c r="GK61" s="19"/>
      <c r="GL61" s="19"/>
      <c r="GM61" s="19"/>
      <c r="GN61" s="19"/>
      <c r="GO61" s="19"/>
      <c r="GP61" s="19"/>
      <c r="GQ61" s="19"/>
      <c r="GR61" s="19"/>
      <c r="GS61" s="19"/>
      <c r="GT61" s="19"/>
      <c r="GU61" s="19"/>
      <c r="GV61" s="19">
        <v>1776910</v>
      </c>
      <c r="GW61" s="19"/>
      <c r="GX61" s="19"/>
      <c r="GY61" s="19"/>
      <c r="GZ61" s="19"/>
      <c r="HA61" s="19"/>
      <c r="HB61" s="37"/>
      <c r="HC61" s="19"/>
      <c r="HD61" s="19"/>
      <c r="HE61" s="19"/>
      <c r="HF61" s="19"/>
      <c r="HG61" s="19"/>
      <c r="HH61" s="19"/>
      <c r="HI61" s="19"/>
      <c r="HJ61" s="19"/>
      <c r="HK61" s="19"/>
      <c r="HL61" s="19"/>
      <c r="HM61" s="19"/>
      <c r="HN61" s="19"/>
      <c r="HO61" s="19"/>
      <c r="HP61" s="19"/>
      <c r="HQ61" s="41"/>
      <c r="HR61" s="41"/>
      <c r="HS61" s="41"/>
      <c r="HT61" s="41"/>
      <c r="HU61" s="41"/>
      <c r="HV61" s="41"/>
      <c r="HW61" s="41">
        <v>2424340</v>
      </c>
      <c r="HX61" s="41"/>
      <c r="HY61" s="41" t="s">
        <v>114</v>
      </c>
      <c r="HZ61" s="41"/>
      <c r="IA61" s="41"/>
      <c r="IB61" s="41"/>
      <c r="IC61" s="41"/>
      <c r="ID61" s="41"/>
      <c r="IE61" s="41" t="s">
        <v>4</v>
      </c>
      <c r="IF61" s="41"/>
      <c r="IG61" s="41"/>
      <c r="IH61" s="41"/>
      <c r="II61" s="41"/>
      <c r="IJ61" s="41"/>
      <c r="IK61" s="41"/>
      <c r="IL61" s="41"/>
      <c r="IM61" s="41"/>
      <c r="IN61" s="41"/>
      <c r="IO61" s="41"/>
      <c r="IP61" s="41"/>
      <c r="IQ61" s="41"/>
      <c r="IR61" s="41"/>
      <c r="IS61" s="41"/>
      <c r="IT61" s="41"/>
      <c r="IU61" s="41"/>
      <c r="IV61" s="41">
        <v>2200000</v>
      </c>
      <c r="IW61" s="41"/>
      <c r="IX61" s="41" t="s">
        <v>114</v>
      </c>
      <c r="IY61" s="41"/>
      <c r="IZ61" s="41"/>
      <c r="JA61" s="41"/>
      <c r="JB61" s="41"/>
      <c r="JC61" s="41"/>
      <c r="JD61" s="41"/>
      <c r="JE61" s="41" t="s">
        <v>114</v>
      </c>
      <c r="JF61" s="41"/>
      <c r="JG61" s="41"/>
      <c r="JH61" s="41"/>
      <c r="JI61" s="41"/>
      <c r="JJ61" s="41"/>
      <c r="JK61" s="41"/>
      <c r="JL61" s="41"/>
      <c r="JM61" s="41"/>
      <c r="JN61" s="41"/>
      <c r="JO61" s="41"/>
      <c r="JP61" s="41" t="s">
        <v>4</v>
      </c>
      <c r="JQ61" s="41"/>
      <c r="JR61" s="41"/>
      <c r="JS61" s="41"/>
      <c r="JT61" s="41"/>
      <c r="JU61" s="41"/>
      <c r="JV61" s="41"/>
      <c r="JW61" s="41"/>
      <c r="JX61" s="41"/>
      <c r="JY61" s="41"/>
      <c r="JZ61" s="41"/>
      <c r="KA61" s="41">
        <v>11503</v>
      </c>
      <c r="KB61" s="41"/>
      <c r="KC61" s="41"/>
      <c r="KD61" s="41"/>
    </row>
    <row r="62" spans="1:290">
      <c r="A62" s="9" t="s">
        <v>122</v>
      </c>
      <c r="B62" s="15" t="s">
        <v>20</v>
      </c>
      <c r="C62" s="19">
        <v>198944</v>
      </c>
      <c r="D62" s="19">
        <v>62850362</v>
      </c>
      <c r="E62" s="19">
        <v>2469488</v>
      </c>
      <c r="F62" s="19">
        <v>424176</v>
      </c>
      <c r="G62" s="19">
        <v>1234639</v>
      </c>
      <c r="H62" s="19"/>
      <c r="I62" s="19">
        <v>462247130</v>
      </c>
      <c r="J62" s="19" t="s">
        <v>4</v>
      </c>
      <c r="K62" s="19">
        <v>2220913</v>
      </c>
      <c r="L62" s="19" t="s">
        <v>130</v>
      </c>
      <c r="M62" s="19" t="s">
        <v>96</v>
      </c>
      <c r="N62" s="19">
        <v>7228437</v>
      </c>
      <c r="O62" s="19">
        <v>7420407</v>
      </c>
      <c r="P62" s="19">
        <v>27236019</v>
      </c>
      <c r="Q62" s="19">
        <v>1194016</v>
      </c>
      <c r="R62" s="19">
        <v>1155299</v>
      </c>
      <c r="S62" s="19">
        <v>7961063</v>
      </c>
      <c r="T62" s="19" t="s">
        <v>96</v>
      </c>
      <c r="U62" s="19">
        <v>453929</v>
      </c>
      <c r="V62" s="19" t="s">
        <v>128</v>
      </c>
      <c r="W62" s="19">
        <v>3182592</v>
      </c>
      <c r="X62" s="19">
        <v>126050</v>
      </c>
      <c r="Y62" s="19">
        <v>19829365</v>
      </c>
      <c r="Z62" s="19">
        <v>5442049</v>
      </c>
      <c r="AA62" s="19">
        <v>4679520</v>
      </c>
      <c r="AB62" s="19">
        <v>865850</v>
      </c>
      <c r="AC62" s="19">
        <v>8969854</v>
      </c>
      <c r="AD62" s="19">
        <v>9914657</v>
      </c>
      <c r="AE62" s="19"/>
      <c r="AF62" s="19">
        <v>3780000</v>
      </c>
      <c r="AG62" s="19">
        <v>222490</v>
      </c>
      <c r="AH62" s="19">
        <v>46911562</v>
      </c>
      <c r="AI62" s="19">
        <v>2278896</v>
      </c>
      <c r="AJ62" s="19">
        <v>2638635</v>
      </c>
      <c r="AK62" s="19" t="s">
        <v>89</v>
      </c>
      <c r="AL62" s="19">
        <v>3353250</v>
      </c>
      <c r="AM62" s="19" t="s">
        <v>4</v>
      </c>
      <c r="AN62" s="19">
        <v>19721735</v>
      </c>
      <c r="AO62" s="19">
        <v>40062695</v>
      </c>
      <c r="AP62" s="19">
        <v>562569</v>
      </c>
      <c r="AQ62" s="19" t="s">
        <v>96</v>
      </c>
      <c r="AR62" s="19">
        <v>9157335</v>
      </c>
      <c r="AS62" s="19">
        <v>17400602</v>
      </c>
      <c r="AT62" s="19">
        <v>9671274</v>
      </c>
      <c r="AU62" s="19">
        <v>27541101</v>
      </c>
      <c r="AV62" s="19">
        <v>95569</v>
      </c>
      <c r="AW62" s="19">
        <v>25421541</v>
      </c>
      <c r="AX62" s="19" t="s">
        <v>4</v>
      </c>
      <c r="AY62" s="19">
        <v>3567464</v>
      </c>
      <c r="AZ62" s="19">
        <v>25517692</v>
      </c>
      <c r="BA62" s="19">
        <v>4702530</v>
      </c>
      <c r="BB62" s="19">
        <v>52013881</v>
      </c>
      <c r="BC62" s="19" t="s">
        <v>4</v>
      </c>
      <c r="BD62" s="19" t="s">
        <v>128</v>
      </c>
      <c r="BE62" s="19">
        <v>510</v>
      </c>
      <c r="BF62" s="19">
        <v>399258</v>
      </c>
      <c r="BG62" s="19">
        <v>8994268</v>
      </c>
      <c r="BH62" s="19">
        <v>25493776</v>
      </c>
      <c r="BI62" s="19">
        <v>439982</v>
      </c>
      <c r="BJ62" s="19">
        <v>3902520</v>
      </c>
      <c r="BK62" s="19">
        <v>27559201</v>
      </c>
      <c r="BL62" s="19">
        <v>2677944</v>
      </c>
      <c r="BM62" s="19">
        <v>1809796</v>
      </c>
      <c r="BN62" s="19">
        <v>888163</v>
      </c>
      <c r="BO62" s="19">
        <v>24323977</v>
      </c>
      <c r="BP62" s="19" t="s">
        <v>96</v>
      </c>
      <c r="BQ62" s="19" t="s">
        <v>4</v>
      </c>
      <c r="BR62" s="19">
        <v>92438332</v>
      </c>
      <c r="BS62" s="19">
        <v>15480880</v>
      </c>
      <c r="BT62" s="19">
        <v>4926475</v>
      </c>
      <c r="BU62" s="19">
        <v>342257</v>
      </c>
      <c r="BV62" s="19">
        <v>1056458</v>
      </c>
      <c r="BW62" s="19">
        <v>1296</v>
      </c>
      <c r="BX62" s="19">
        <v>1148736</v>
      </c>
      <c r="BY62" s="19">
        <v>229042261</v>
      </c>
      <c r="BZ62" s="19">
        <v>3326937</v>
      </c>
      <c r="CA62" s="19">
        <v>2004601</v>
      </c>
      <c r="CB62" s="19">
        <v>459223</v>
      </c>
      <c r="CC62" s="19">
        <v>1633080</v>
      </c>
      <c r="CD62" s="19">
        <v>15121108</v>
      </c>
      <c r="CE62" s="19">
        <v>277</v>
      </c>
      <c r="CF62" s="19">
        <v>5519496</v>
      </c>
      <c r="CG62" s="19">
        <v>8876322</v>
      </c>
      <c r="CH62" s="19">
        <v>547314</v>
      </c>
      <c r="CI62" s="19" t="s">
        <v>128</v>
      </c>
      <c r="CJ62" s="19" t="s">
        <v>89</v>
      </c>
      <c r="CK62" s="19">
        <v>51468845</v>
      </c>
      <c r="CL62" s="19">
        <v>80214935</v>
      </c>
      <c r="CM62" s="19">
        <v>10669237</v>
      </c>
      <c r="CN62" s="19">
        <v>5773798</v>
      </c>
      <c r="CO62" s="19">
        <v>66446283</v>
      </c>
      <c r="CP62" s="19">
        <v>43447888</v>
      </c>
      <c r="CQ62" s="19" t="s">
        <v>96</v>
      </c>
      <c r="CR62" s="19">
        <v>24232809</v>
      </c>
      <c r="CS62" s="19">
        <v>228846502</v>
      </c>
      <c r="CT62" s="19">
        <v>150508110</v>
      </c>
      <c r="CU62" s="19"/>
      <c r="CV62" s="19">
        <v>2079</v>
      </c>
      <c r="CW62" s="19">
        <v>2176108</v>
      </c>
      <c r="CX62" s="19">
        <v>222490</v>
      </c>
      <c r="CY62" s="19">
        <v>6306872</v>
      </c>
      <c r="CZ62" s="19">
        <v>1156755</v>
      </c>
      <c r="DA62" s="19">
        <v>167095</v>
      </c>
      <c r="DB62" s="19">
        <v>66815027</v>
      </c>
      <c r="DC62" s="19">
        <v>4439744</v>
      </c>
      <c r="DD62" s="19">
        <v>1297</v>
      </c>
      <c r="DE62" s="19" t="s">
        <v>89</v>
      </c>
      <c r="DF62" s="19">
        <v>339157</v>
      </c>
      <c r="DG62" s="19">
        <v>2309266</v>
      </c>
      <c r="DH62" s="19">
        <v>8165</v>
      </c>
      <c r="DI62" s="19" t="s">
        <v>128</v>
      </c>
      <c r="DJ62" s="19">
        <v>15326138</v>
      </c>
      <c r="DK62" s="19">
        <v>50739467</v>
      </c>
      <c r="DL62" s="19">
        <v>1885635</v>
      </c>
      <c r="DM62" s="19">
        <v>6176705</v>
      </c>
      <c r="DN62" s="19">
        <v>12643169</v>
      </c>
      <c r="DO62" s="19">
        <v>8841095</v>
      </c>
      <c r="DP62" s="19">
        <v>1170877</v>
      </c>
      <c r="DQ62" s="19">
        <v>6621924</v>
      </c>
      <c r="DR62" s="19">
        <v>100732</v>
      </c>
      <c r="DS62" s="19">
        <v>95825136</v>
      </c>
      <c r="DT62" s="19">
        <v>88465159</v>
      </c>
      <c r="DU62" s="19">
        <v>4160000</v>
      </c>
      <c r="DV62" s="19">
        <v>1009231</v>
      </c>
      <c r="DW62" s="19">
        <v>182548950</v>
      </c>
      <c r="DX62" s="19">
        <v>199274744</v>
      </c>
      <c r="DY62" s="19">
        <v>13379000</v>
      </c>
      <c r="DZ62" s="19">
        <v>7670069</v>
      </c>
      <c r="EA62" s="19"/>
      <c r="EB62" s="19">
        <v>34680305</v>
      </c>
      <c r="EC62" s="19">
        <v>2663406</v>
      </c>
      <c r="ED62" s="19">
        <v>14080057</v>
      </c>
      <c r="EE62" s="19">
        <v>2835507</v>
      </c>
      <c r="EF62" s="19">
        <v>4340190</v>
      </c>
      <c r="EG62" s="19">
        <v>57179209</v>
      </c>
      <c r="EH62" s="19"/>
      <c r="EI62" s="19">
        <v>8132608</v>
      </c>
      <c r="EJ62" s="19">
        <v>124789</v>
      </c>
      <c r="EK62" s="19">
        <v>475322</v>
      </c>
      <c r="EL62" s="19">
        <v>193046443</v>
      </c>
      <c r="EM62" s="19">
        <v>41550</v>
      </c>
      <c r="EN62" s="19">
        <v>16185</v>
      </c>
      <c r="EO62" s="19">
        <v>2003663</v>
      </c>
      <c r="EP62" s="19">
        <v>12145997</v>
      </c>
      <c r="EQ62" s="19">
        <v>26719638</v>
      </c>
      <c r="ER62" s="19">
        <v>24040065</v>
      </c>
      <c r="ES62" s="19">
        <v>12523619</v>
      </c>
      <c r="ET62" s="19">
        <v>82024870</v>
      </c>
      <c r="EU62" s="19">
        <v>442796</v>
      </c>
      <c r="EV62" s="19">
        <v>30</v>
      </c>
      <c r="EW62" s="19">
        <v>14089</v>
      </c>
      <c r="EX62" s="19">
        <v>27746109</v>
      </c>
      <c r="EY62" s="19">
        <v>4356427</v>
      </c>
      <c r="EZ62" s="19">
        <v>3137568</v>
      </c>
      <c r="FA62" s="19">
        <v>23938091</v>
      </c>
      <c r="FB62" s="19">
        <v>835859</v>
      </c>
      <c r="FC62" s="19">
        <v>1090293</v>
      </c>
      <c r="FD62" s="19">
        <v>310172</v>
      </c>
      <c r="FE62" s="19">
        <v>13705710</v>
      </c>
      <c r="FF62" s="19">
        <v>7367500</v>
      </c>
      <c r="FG62" s="19">
        <v>791610</v>
      </c>
      <c r="FH62" s="19">
        <v>3110277</v>
      </c>
      <c r="FI62" s="19">
        <v>1717338</v>
      </c>
      <c r="FJ62" s="19">
        <v>9330816</v>
      </c>
      <c r="FK62" s="19">
        <v>121153154</v>
      </c>
      <c r="FL62" s="19">
        <v>6862114</v>
      </c>
      <c r="FM62" s="19">
        <v>9073</v>
      </c>
      <c r="FN62" s="19">
        <v>1959695</v>
      </c>
      <c r="FO62" s="19">
        <v>9941167</v>
      </c>
      <c r="FP62" s="19">
        <v>21190</v>
      </c>
      <c r="FQ62" s="19">
        <v>44181</v>
      </c>
      <c r="FR62" s="19">
        <v>199683162</v>
      </c>
      <c r="FS62" s="19">
        <v>170</v>
      </c>
      <c r="FT62" s="19">
        <v>344800</v>
      </c>
      <c r="FU62" s="19"/>
      <c r="FV62" s="19">
        <v>1567522</v>
      </c>
      <c r="FW62" s="19">
        <v>851820</v>
      </c>
      <c r="FX62" s="19">
        <v>1552847</v>
      </c>
      <c r="FY62" s="19">
        <v>1778318</v>
      </c>
      <c r="FZ62" s="19"/>
      <c r="GA62" s="19">
        <v>24141567</v>
      </c>
      <c r="GB62" s="19">
        <v>11021949</v>
      </c>
      <c r="GC62" s="19">
        <v>582668</v>
      </c>
      <c r="GD62" s="19" t="s">
        <v>96</v>
      </c>
      <c r="GE62" s="19">
        <v>2773514</v>
      </c>
      <c r="GF62" s="19">
        <v>415112</v>
      </c>
      <c r="GG62" s="19">
        <v>25198772</v>
      </c>
      <c r="GH62" s="19">
        <v>11735929</v>
      </c>
      <c r="GI62" s="19">
        <v>475</v>
      </c>
      <c r="GJ62" s="19">
        <v>12753570</v>
      </c>
      <c r="GK62" s="19">
        <v>2169571</v>
      </c>
      <c r="GL62" s="19">
        <v>4097</v>
      </c>
      <c r="GM62" s="19">
        <v>22211005</v>
      </c>
      <c r="GN62" s="19">
        <v>18803817</v>
      </c>
      <c r="GO62" s="19">
        <v>138697</v>
      </c>
      <c r="GP62" s="19">
        <v>404366</v>
      </c>
      <c r="GQ62" s="19">
        <v>67712</v>
      </c>
      <c r="GR62" s="19">
        <v>876176</v>
      </c>
      <c r="GS62" s="19"/>
      <c r="GT62" s="19">
        <v>2567884</v>
      </c>
      <c r="GU62" s="19">
        <v>5465</v>
      </c>
      <c r="GV62" s="19">
        <v>154348777</v>
      </c>
      <c r="GW62" s="19">
        <v>27080694</v>
      </c>
      <c r="GX62" s="19">
        <v>4540358</v>
      </c>
      <c r="GY62" s="19">
        <v>44964753</v>
      </c>
      <c r="GZ62" s="19">
        <v>8394320</v>
      </c>
      <c r="HA62" s="19">
        <v>67260222</v>
      </c>
      <c r="HB62" s="37">
        <v>10024808</v>
      </c>
      <c r="HC62" s="19">
        <v>11715820</v>
      </c>
      <c r="HD62" s="19">
        <v>2545160</v>
      </c>
      <c r="HE62" s="19">
        <v>2075264</v>
      </c>
      <c r="HF62" s="19">
        <v>734742</v>
      </c>
      <c r="HG62" s="19">
        <v>32455760</v>
      </c>
      <c r="HH62" s="19">
        <v>13069</v>
      </c>
      <c r="HI62" s="19">
        <v>1210909</v>
      </c>
      <c r="HJ62" s="19">
        <v>565908</v>
      </c>
      <c r="HK62" s="19">
        <v>135496</v>
      </c>
      <c r="HL62" s="19">
        <v>57514629</v>
      </c>
      <c r="HM62" s="19">
        <v>700070</v>
      </c>
      <c r="HN62" s="19">
        <v>2013826</v>
      </c>
      <c r="HO62" s="19">
        <v>2409249</v>
      </c>
      <c r="HP62" s="19">
        <v>4973108</v>
      </c>
      <c r="HQ62" s="41">
        <v>268663</v>
      </c>
      <c r="HR62" s="41">
        <v>33763367</v>
      </c>
      <c r="HS62" s="41">
        <v>4763471</v>
      </c>
      <c r="HT62" s="41"/>
      <c r="HU62" s="41">
        <v>58497577</v>
      </c>
      <c r="HV62" s="41">
        <v>1300071</v>
      </c>
      <c r="HW62" s="41">
        <v>22868799</v>
      </c>
      <c r="HX62" s="41">
        <v>33850</v>
      </c>
      <c r="HY62" s="41" t="s">
        <v>114</v>
      </c>
      <c r="HZ62" s="41">
        <v>63096346</v>
      </c>
      <c r="IA62" s="41">
        <v>106666</v>
      </c>
      <c r="IB62" s="41">
        <v>2608804</v>
      </c>
      <c r="IC62" s="41">
        <v>585</v>
      </c>
      <c r="ID62" s="41">
        <v>8140585</v>
      </c>
      <c r="IE62" s="41" t="s">
        <v>4</v>
      </c>
      <c r="IF62" s="41">
        <v>3610316</v>
      </c>
      <c r="IG62" s="41">
        <v>3626124</v>
      </c>
      <c r="IH62" s="41">
        <v>422970</v>
      </c>
      <c r="II62" s="41">
        <v>8624742</v>
      </c>
      <c r="IJ62" s="41">
        <v>11263703</v>
      </c>
      <c r="IK62" s="41">
        <v>3383</v>
      </c>
      <c r="IL62" s="41">
        <v>1930422</v>
      </c>
      <c r="IM62" s="41">
        <v>3773312</v>
      </c>
      <c r="IN62" s="41"/>
      <c r="IO62" s="41">
        <v>280067</v>
      </c>
      <c r="IP62" s="41">
        <v>79538620</v>
      </c>
      <c r="IQ62" s="41">
        <v>3148108</v>
      </c>
      <c r="IR62" s="41">
        <v>45360541</v>
      </c>
      <c r="IS62" s="41">
        <v>8410574</v>
      </c>
      <c r="IT62" s="41">
        <v>43485874</v>
      </c>
      <c r="IU62" s="41">
        <v>1961481</v>
      </c>
      <c r="IV62" s="41">
        <v>4391308</v>
      </c>
      <c r="IW62" s="41">
        <v>3533310</v>
      </c>
      <c r="IX62" s="41" t="s">
        <v>114</v>
      </c>
      <c r="IY62" s="41">
        <v>6485681</v>
      </c>
      <c r="IZ62" s="41">
        <v>710838</v>
      </c>
      <c r="JA62" s="41">
        <v>1506222</v>
      </c>
      <c r="JB62" s="41">
        <v>4712881</v>
      </c>
      <c r="JC62" s="41">
        <v>131300</v>
      </c>
      <c r="JD62" s="41"/>
      <c r="JE62" s="41" t="s">
        <v>114</v>
      </c>
      <c r="JF62" s="41">
        <v>4951422</v>
      </c>
      <c r="JG62" s="41">
        <v>7145388</v>
      </c>
      <c r="JH62" s="41">
        <v>5370833</v>
      </c>
      <c r="JI62" s="41">
        <v>1416031</v>
      </c>
      <c r="JJ62" s="41">
        <v>61503601</v>
      </c>
      <c r="JK62" s="41">
        <v>1356054</v>
      </c>
      <c r="JL62" s="41">
        <v>169432</v>
      </c>
      <c r="JM62" s="41">
        <v>106</v>
      </c>
      <c r="JN62" s="41">
        <v>11730299</v>
      </c>
      <c r="JO62" s="41">
        <v>5722209</v>
      </c>
      <c r="JP62" s="41" t="s">
        <v>4</v>
      </c>
      <c r="JQ62" s="41">
        <v>246895984</v>
      </c>
      <c r="JR62" s="41">
        <v>44</v>
      </c>
      <c r="JS62" s="41">
        <v>3002743</v>
      </c>
      <c r="JT62" s="41">
        <v>21642</v>
      </c>
      <c r="JU62" s="41">
        <v>1195339</v>
      </c>
      <c r="JV62" s="41"/>
      <c r="JW62" s="41">
        <v>654861</v>
      </c>
      <c r="JX62" s="41">
        <v>7785841</v>
      </c>
      <c r="JY62" s="41">
        <v>25786208</v>
      </c>
      <c r="JZ62" s="41">
        <v>38625448</v>
      </c>
      <c r="KA62" s="41">
        <v>1478162</v>
      </c>
      <c r="KB62" s="41">
        <v>25893098</v>
      </c>
      <c r="KC62" s="41">
        <v>2441941</v>
      </c>
      <c r="KD62" s="41"/>
    </row>
    <row r="63" spans="1:290">
      <c r="A63" s="9" t="s">
        <v>122</v>
      </c>
      <c r="B63" s="15" t="s">
        <v>145</v>
      </c>
      <c r="C63" s="19">
        <v>0</v>
      </c>
      <c r="D63" s="19">
        <v>0</v>
      </c>
      <c r="E63" s="19">
        <v>0</v>
      </c>
      <c r="F63" s="19">
        <v>0</v>
      </c>
      <c r="G63" s="19">
        <v>0</v>
      </c>
      <c r="H63" s="19"/>
      <c r="I63" s="19"/>
      <c r="J63" s="19" t="s">
        <v>4</v>
      </c>
      <c r="K63" s="19"/>
      <c r="L63" s="19" t="s">
        <v>130</v>
      </c>
      <c r="M63" s="19" t="s">
        <v>96</v>
      </c>
      <c r="N63" s="19"/>
      <c r="O63" s="19">
        <v>1027227</v>
      </c>
      <c r="P63" s="19"/>
      <c r="Q63" s="19"/>
      <c r="R63" s="19"/>
      <c r="S63" s="19">
        <v>170053</v>
      </c>
      <c r="T63" s="19" t="s">
        <v>96</v>
      </c>
      <c r="U63" s="19"/>
      <c r="V63" s="19" t="s">
        <v>128</v>
      </c>
      <c r="W63" s="19"/>
      <c r="X63" s="19"/>
      <c r="Y63" s="19"/>
      <c r="Z63" s="19"/>
      <c r="AA63" s="19"/>
      <c r="AB63" s="19"/>
      <c r="AC63" s="19"/>
      <c r="AD63" s="19"/>
      <c r="AE63" s="19"/>
      <c r="AF63" s="19"/>
      <c r="AG63" s="19"/>
      <c r="AH63" s="19">
        <v>1321168</v>
      </c>
      <c r="AI63" s="19"/>
      <c r="AJ63" s="19"/>
      <c r="AK63" s="19" t="s">
        <v>89</v>
      </c>
      <c r="AL63" s="19"/>
      <c r="AM63" s="19" t="s">
        <v>4</v>
      </c>
      <c r="AN63" s="19"/>
      <c r="AO63" s="19"/>
      <c r="AP63" s="19"/>
      <c r="AQ63" s="19" t="s">
        <v>96</v>
      </c>
      <c r="AR63" s="19"/>
      <c r="AS63" s="19"/>
      <c r="AT63" s="19"/>
      <c r="AU63" s="19"/>
      <c r="AV63" s="19"/>
      <c r="AW63" s="19"/>
      <c r="AX63" s="19" t="s">
        <v>4</v>
      </c>
      <c r="AY63" s="19"/>
      <c r="AZ63" s="19"/>
      <c r="BA63" s="19"/>
      <c r="BB63" s="19"/>
      <c r="BC63" s="19" t="s">
        <v>4</v>
      </c>
      <c r="BD63" s="19" t="s">
        <v>128</v>
      </c>
      <c r="BE63" s="19"/>
      <c r="BF63" s="19"/>
      <c r="BG63" s="19"/>
      <c r="BH63" s="19"/>
      <c r="BI63" s="19"/>
      <c r="BJ63" s="19"/>
      <c r="BK63" s="19"/>
      <c r="BL63" s="19"/>
      <c r="BM63" s="19"/>
      <c r="BN63" s="19"/>
      <c r="BO63" s="19"/>
      <c r="BP63" s="19" t="s">
        <v>96</v>
      </c>
      <c r="BQ63" s="19" t="s">
        <v>4</v>
      </c>
      <c r="BR63" s="19"/>
      <c r="BS63" s="19"/>
      <c r="BT63" s="19"/>
      <c r="BU63" s="19"/>
      <c r="BV63" s="19"/>
      <c r="BW63" s="19"/>
      <c r="BX63" s="19"/>
      <c r="BY63" s="19"/>
      <c r="BZ63" s="19"/>
      <c r="CA63" s="19"/>
      <c r="CB63" s="19"/>
      <c r="CC63" s="19"/>
      <c r="CD63" s="19"/>
      <c r="CE63" s="19"/>
      <c r="CF63" s="19"/>
      <c r="CG63" s="19"/>
      <c r="CH63" s="19"/>
      <c r="CI63" s="19" t="s">
        <v>128</v>
      </c>
      <c r="CJ63" s="19" t="s">
        <v>89</v>
      </c>
      <c r="CK63" s="19"/>
      <c r="CL63" s="19"/>
      <c r="CM63" s="19"/>
      <c r="CN63" s="19"/>
      <c r="CO63" s="19"/>
      <c r="CP63" s="19"/>
      <c r="CQ63" s="19" t="s">
        <v>96</v>
      </c>
      <c r="CR63" s="19"/>
      <c r="CS63" s="19"/>
      <c r="CT63" s="19"/>
      <c r="CU63" s="19"/>
      <c r="CV63" s="19"/>
      <c r="CW63" s="19"/>
      <c r="CX63" s="19"/>
      <c r="CY63" s="19"/>
      <c r="CZ63" s="19"/>
      <c r="DA63" s="19"/>
      <c r="DB63" s="19"/>
      <c r="DC63" s="19"/>
      <c r="DD63" s="19"/>
      <c r="DE63" s="19" t="s">
        <v>89</v>
      </c>
      <c r="DF63" s="19"/>
      <c r="DG63" s="19"/>
      <c r="DH63" s="19"/>
      <c r="DI63" s="19" t="s">
        <v>128</v>
      </c>
      <c r="DJ63" s="19"/>
      <c r="DK63" s="19"/>
      <c r="DL63" s="19"/>
      <c r="DM63" s="19"/>
      <c r="DN63" s="19"/>
      <c r="DO63" s="19"/>
      <c r="DP63" s="19"/>
      <c r="DQ63" s="19"/>
      <c r="DR63" s="19"/>
      <c r="DS63" s="19"/>
      <c r="DT63" s="19"/>
      <c r="DU63" s="19"/>
      <c r="DV63" s="19"/>
      <c r="DW63" s="19"/>
      <c r="DX63" s="19"/>
      <c r="DY63" s="19"/>
      <c r="DZ63" s="19">
        <v>683424</v>
      </c>
      <c r="EA63" s="19"/>
      <c r="EB63" s="19"/>
      <c r="EC63" s="19"/>
      <c r="ED63" s="19"/>
      <c r="EE63" s="19"/>
      <c r="EF63" s="19"/>
      <c r="EG63" s="19"/>
      <c r="EH63" s="19"/>
      <c r="EI63" s="19"/>
      <c r="EJ63" s="19"/>
      <c r="EK63" s="19"/>
      <c r="EL63" s="19"/>
      <c r="EM63" s="19"/>
      <c r="EN63" s="19"/>
      <c r="EO63" s="19"/>
      <c r="EP63" s="19"/>
      <c r="EQ63" s="19"/>
      <c r="ER63" s="19"/>
      <c r="ES63" s="19"/>
      <c r="ET63" s="19"/>
      <c r="EU63" s="19"/>
      <c r="EV63" s="19"/>
      <c r="EW63" s="19"/>
      <c r="EX63" s="19"/>
      <c r="EY63" s="19"/>
      <c r="EZ63" s="19"/>
      <c r="FA63" s="19"/>
      <c r="FB63" s="19"/>
      <c r="FC63" s="19"/>
      <c r="FD63" s="19"/>
      <c r="FE63" s="19"/>
      <c r="FF63" s="19"/>
      <c r="FG63" s="19"/>
      <c r="FH63" s="19"/>
      <c r="FI63" s="19"/>
      <c r="FJ63" s="19"/>
      <c r="FK63" s="19"/>
      <c r="FL63" s="19"/>
      <c r="FM63" s="19"/>
      <c r="FN63" s="19"/>
      <c r="FO63" s="19"/>
      <c r="FP63" s="19"/>
      <c r="FQ63" s="19"/>
      <c r="FR63" s="19"/>
      <c r="FS63" s="19"/>
      <c r="FT63" s="19"/>
      <c r="FU63" s="19"/>
      <c r="FV63" s="19"/>
      <c r="FW63" s="19"/>
      <c r="FX63" s="19"/>
      <c r="FY63" s="19"/>
      <c r="FZ63" s="19"/>
      <c r="GA63" s="19"/>
      <c r="GB63" s="19"/>
      <c r="GC63" s="19"/>
      <c r="GD63" s="19" t="s">
        <v>96</v>
      </c>
      <c r="GE63" s="19"/>
      <c r="GF63" s="19"/>
      <c r="GG63" s="19"/>
      <c r="GH63" s="19"/>
      <c r="GI63" s="19"/>
      <c r="GJ63" s="19"/>
      <c r="GK63" s="19"/>
      <c r="GL63" s="19"/>
      <c r="GM63" s="19"/>
      <c r="GN63" s="19"/>
      <c r="GO63" s="19"/>
      <c r="GP63" s="19"/>
      <c r="GQ63" s="19"/>
      <c r="GR63" s="19"/>
      <c r="GS63" s="19"/>
      <c r="GT63" s="19"/>
      <c r="GU63" s="19"/>
      <c r="GV63" s="19"/>
      <c r="GW63" s="19"/>
      <c r="GX63" s="19"/>
      <c r="GY63" s="19"/>
      <c r="GZ63" s="19"/>
      <c r="HA63" s="19"/>
      <c r="HB63" s="37"/>
      <c r="HC63" s="19"/>
      <c r="HD63" s="19"/>
      <c r="HE63" s="19"/>
      <c r="HF63" s="19"/>
      <c r="HG63" s="19"/>
      <c r="HH63" s="19"/>
      <c r="HI63" s="19"/>
      <c r="HJ63" s="19"/>
      <c r="HK63" s="19"/>
      <c r="HL63" s="19"/>
      <c r="HM63" s="19"/>
      <c r="HN63" s="19"/>
      <c r="HO63" s="19"/>
      <c r="HP63" s="19"/>
      <c r="HQ63" s="41"/>
      <c r="HR63" s="41"/>
      <c r="HS63" s="41"/>
      <c r="HT63" s="41"/>
      <c r="HU63" s="41"/>
      <c r="HV63" s="41"/>
      <c r="HW63" s="41"/>
      <c r="HX63" s="41"/>
      <c r="HY63" s="41" t="s">
        <v>114</v>
      </c>
      <c r="HZ63" s="41"/>
      <c r="IA63" s="41"/>
      <c r="IB63" s="41"/>
      <c r="IC63" s="41"/>
      <c r="ID63" s="41"/>
      <c r="IE63" s="41" t="s">
        <v>4</v>
      </c>
      <c r="IF63" s="41"/>
      <c r="IG63" s="41"/>
      <c r="IH63" s="41"/>
      <c r="II63" s="41"/>
      <c r="IJ63" s="41"/>
      <c r="IK63" s="41"/>
      <c r="IL63" s="41"/>
      <c r="IM63" s="41"/>
      <c r="IN63" s="41"/>
      <c r="IO63" s="41"/>
      <c r="IP63" s="41"/>
      <c r="IQ63" s="41"/>
      <c r="IR63" s="41"/>
      <c r="IS63" s="41"/>
      <c r="IT63" s="41">
        <v>63714</v>
      </c>
      <c r="IU63" s="41"/>
      <c r="IV63" s="41"/>
      <c r="IW63" s="41"/>
      <c r="IX63" s="41" t="s">
        <v>114</v>
      </c>
      <c r="IY63" s="41"/>
      <c r="IZ63" s="41"/>
      <c r="JA63" s="41"/>
      <c r="JB63" s="41"/>
      <c r="JC63" s="41"/>
      <c r="JD63" s="41"/>
      <c r="JE63" s="41" t="s">
        <v>114</v>
      </c>
      <c r="JF63" s="41"/>
      <c r="JG63" s="41"/>
      <c r="JH63" s="41"/>
      <c r="JI63" s="41"/>
      <c r="JJ63" s="41"/>
      <c r="JK63" s="41">
        <v>1416368</v>
      </c>
      <c r="JL63" s="41"/>
      <c r="JM63" s="41"/>
      <c r="JN63" s="41"/>
      <c r="JO63" s="41"/>
      <c r="JP63" s="41" t="s">
        <v>4</v>
      </c>
      <c r="JQ63" s="41"/>
      <c r="JR63" s="41"/>
      <c r="JS63" s="41"/>
      <c r="JT63" s="41"/>
      <c r="JU63" s="41"/>
      <c r="JV63" s="41"/>
      <c r="JW63" s="41"/>
      <c r="JX63" s="41"/>
      <c r="JY63" s="41"/>
      <c r="JZ63" s="41"/>
      <c r="KA63" s="41"/>
      <c r="KB63" s="41"/>
      <c r="KC63" s="41"/>
      <c r="KD63" s="41"/>
    </row>
    <row r="64" spans="1:290">
      <c r="A64" s="9" t="s">
        <v>122</v>
      </c>
      <c r="B64" s="16" t="s">
        <v>78</v>
      </c>
      <c r="C64" s="19">
        <v>237024488</v>
      </c>
      <c r="D64" s="19">
        <v>672152839</v>
      </c>
      <c r="E64" s="19">
        <v>86802186</v>
      </c>
      <c r="F64" s="19">
        <v>39420396</v>
      </c>
      <c r="G64" s="19">
        <v>11653794</v>
      </c>
      <c r="H64" s="19">
        <v>0</v>
      </c>
      <c r="I64" s="19">
        <v>0</v>
      </c>
      <c r="J64" s="19" t="s">
        <v>4</v>
      </c>
      <c r="K64" s="19">
        <v>1023076827</v>
      </c>
      <c r="L64" s="19" t="s">
        <v>130</v>
      </c>
      <c r="M64" s="19" t="s">
        <v>96</v>
      </c>
      <c r="N64" s="19">
        <v>297586424</v>
      </c>
      <c r="O64" s="19">
        <v>47899644</v>
      </c>
      <c r="P64" s="19">
        <v>85275750</v>
      </c>
      <c r="Q64" s="19">
        <v>9836230</v>
      </c>
      <c r="R64" s="19">
        <v>138328675</v>
      </c>
      <c r="S64" s="19">
        <v>24613754</v>
      </c>
      <c r="T64" s="19" t="s">
        <v>96</v>
      </c>
      <c r="U64" s="19">
        <v>32087286</v>
      </c>
      <c r="V64" s="19" t="s">
        <v>128</v>
      </c>
      <c r="W64" s="19">
        <v>7379713</v>
      </c>
      <c r="X64" s="19">
        <v>57800000</v>
      </c>
      <c r="Y64" s="19">
        <v>24993977</v>
      </c>
      <c r="Z64" s="19">
        <v>135140313</v>
      </c>
      <c r="AA64" s="19">
        <v>83255187</v>
      </c>
      <c r="AB64" s="19">
        <v>81425000</v>
      </c>
      <c r="AC64" s="19">
        <v>3810000</v>
      </c>
      <c r="AD64" s="19">
        <v>0</v>
      </c>
      <c r="AE64" s="19">
        <v>1232113</v>
      </c>
      <c r="AF64" s="19">
        <v>169567588</v>
      </c>
      <c r="AG64" s="19">
        <v>26478653</v>
      </c>
      <c r="AH64" s="19">
        <v>276041642</v>
      </c>
      <c r="AI64" s="19">
        <v>80217074</v>
      </c>
      <c r="AJ64" s="19">
        <v>0</v>
      </c>
      <c r="AK64" s="19" t="s">
        <v>89</v>
      </c>
      <c r="AL64" s="19">
        <v>115889090</v>
      </c>
      <c r="AM64" s="19" t="s">
        <v>4</v>
      </c>
      <c r="AN64" s="19">
        <v>59388782</v>
      </c>
      <c r="AO64" s="19">
        <v>308253605</v>
      </c>
      <c r="AP64" s="19">
        <v>54565968</v>
      </c>
      <c r="AQ64" s="19" t="s">
        <v>96</v>
      </c>
      <c r="AR64" s="19">
        <v>40193996</v>
      </c>
      <c r="AS64" s="19">
        <v>362591596</v>
      </c>
      <c r="AT64" s="19">
        <v>0</v>
      </c>
      <c r="AU64" s="19">
        <v>0</v>
      </c>
      <c r="AV64" s="19">
        <v>102475108</v>
      </c>
      <c r="AW64" s="19">
        <v>0</v>
      </c>
      <c r="AX64" s="19" t="s">
        <v>4</v>
      </c>
      <c r="AY64" s="19">
        <v>59200494</v>
      </c>
      <c r="AZ64" s="19">
        <v>0</v>
      </c>
      <c r="BA64" s="19">
        <v>593162627</v>
      </c>
      <c r="BB64" s="19">
        <v>0</v>
      </c>
      <c r="BC64" s="19" t="s">
        <v>4</v>
      </c>
      <c r="BD64" s="19" t="s">
        <v>128</v>
      </c>
      <c r="BE64" s="19">
        <v>63145617</v>
      </c>
      <c r="BF64" s="19">
        <v>109172188</v>
      </c>
      <c r="BG64" s="19">
        <v>47104373</v>
      </c>
      <c r="BH64" s="19">
        <v>0</v>
      </c>
      <c r="BI64" s="19">
        <v>44887469</v>
      </c>
      <c r="BJ64" s="19">
        <v>0</v>
      </c>
      <c r="BK64" s="19">
        <v>0</v>
      </c>
      <c r="BL64" s="19">
        <v>7446020</v>
      </c>
      <c r="BM64" s="19">
        <v>76327540</v>
      </c>
      <c r="BN64" s="19">
        <v>5000000</v>
      </c>
      <c r="BO64" s="19">
        <v>24938800</v>
      </c>
      <c r="BP64" s="19" t="s">
        <v>96</v>
      </c>
      <c r="BQ64" s="19" t="s">
        <v>4</v>
      </c>
      <c r="BR64" s="19">
        <v>250162271</v>
      </c>
      <c r="BS64" s="19">
        <v>70434041</v>
      </c>
      <c r="BT64" s="19">
        <v>0</v>
      </c>
      <c r="BU64" s="19">
        <v>433995272</v>
      </c>
      <c r="BV64" s="19">
        <v>76130584</v>
      </c>
      <c r="BW64" s="19">
        <v>25855666</v>
      </c>
      <c r="BX64" s="19">
        <v>23060433</v>
      </c>
      <c r="BY64" s="19">
        <v>149908027</v>
      </c>
      <c r="BZ64" s="19">
        <v>69574948</v>
      </c>
      <c r="CA64" s="19">
        <v>8256396</v>
      </c>
      <c r="CB64" s="19">
        <v>7426806</v>
      </c>
      <c r="CC64" s="19">
        <v>49596087</v>
      </c>
      <c r="CD64" s="19">
        <v>777631398</v>
      </c>
      <c r="CE64" s="19">
        <v>0</v>
      </c>
      <c r="CF64" s="19">
        <v>122899222</v>
      </c>
      <c r="CG64" s="19">
        <v>69272576</v>
      </c>
      <c r="CH64" s="19">
        <v>207318086</v>
      </c>
      <c r="CI64" s="19" t="s">
        <v>128</v>
      </c>
      <c r="CJ64" s="19" t="s">
        <v>89</v>
      </c>
      <c r="CK64" s="19">
        <v>15590623</v>
      </c>
      <c r="CL64" s="19">
        <v>25665850</v>
      </c>
      <c r="CM64" s="19">
        <v>539866613</v>
      </c>
      <c r="CN64" s="19">
        <v>0</v>
      </c>
      <c r="CO64" s="19">
        <v>8500000</v>
      </c>
      <c r="CP64" s="19">
        <v>85242918</v>
      </c>
      <c r="CQ64" s="19" t="s">
        <v>96</v>
      </c>
      <c r="CR64" s="19">
        <v>149880000</v>
      </c>
      <c r="CS64" s="19">
        <v>42704093</v>
      </c>
      <c r="CT64" s="19">
        <v>0</v>
      </c>
      <c r="CU64" s="19">
        <v>107343563</v>
      </c>
      <c r="CV64" s="19">
        <v>0</v>
      </c>
      <c r="CW64" s="19">
        <v>179305728</v>
      </c>
      <c r="CX64" s="19">
        <v>26478653</v>
      </c>
      <c r="CY64" s="19">
        <v>874365145</v>
      </c>
      <c r="CZ64" s="19">
        <v>127043246</v>
      </c>
      <c r="DA64" s="19">
        <v>23455243</v>
      </c>
      <c r="DB64" s="19">
        <v>0</v>
      </c>
      <c r="DC64" s="19">
        <v>0</v>
      </c>
      <c r="DD64" s="19">
        <v>23538616</v>
      </c>
      <c r="DE64" s="19" t="s">
        <v>89</v>
      </c>
      <c r="DF64" s="19">
        <v>0</v>
      </c>
      <c r="DG64" s="19">
        <v>95099949</v>
      </c>
      <c r="DH64" s="19">
        <v>64827162</v>
      </c>
      <c r="DI64" s="19" t="s">
        <v>128</v>
      </c>
      <c r="DJ64" s="19">
        <v>0</v>
      </c>
      <c r="DK64" s="19">
        <v>0</v>
      </c>
      <c r="DL64" s="19">
        <v>186294798</v>
      </c>
      <c r="DM64" s="19">
        <v>11929531</v>
      </c>
      <c r="DN64" s="19">
        <v>37657460</v>
      </c>
      <c r="DO64" s="19">
        <v>9332360</v>
      </c>
      <c r="DP64" s="19">
        <v>151501610</v>
      </c>
      <c r="DQ64" s="19">
        <v>0</v>
      </c>
      <c r="DR64" s="19">
        <v>97626904</v>
      </c>
      <c r="DS64" s="19">
        <v>24027260</v>
      </c>
      <c r="DT64" s="19">
        <v>66432680</v>
      </c>
      <c r="DU64" s="19">
        <v>0</v>
      </c>
      <c r="DV64" s="19">
        <f>DV66+DV68</f>
        <v>433651637</v>
      </c>
      <c r="DW64" s="19">
        <v>0</v>
      </c>
      <c r="DX64" s="19">
        <v>0</v>
      </c>
      <c r="DY64" s="19">
        <v>6035660</v>
      </c>
      <c r="DZ64" s="19">
        <v>17600956</v>
      </c>
      <c r="EA64" s="19">
        <v>24367202</v>
      </c>
      <c r="EB64" s="19">
        <v>545819789</v>
      </c>
      <c r="EC64" s="19">
        <v>21529370</v>
      </c>
      <c r="ED64" s="19">
        <v>229870690</v>
      </c>
      <c r="EE64" s="19">
        <v>49339228</v>
      </c>
      <c r="EF64" s="19">
        <v>85215397</v>
      </c>
      <c r="EG64" s="19">
        <v>0</v>
      </c>
      <c r="EH64" s="19">
        <v>5565828</v>
      </c>
      <c r="EI64" s="19">
        <v>18046084</v>
      </c>
      <c r="EJ64" s="19">
        <v>157791650</v>
      </c>
      <c r="EK64" s="19">
        <v>36009456</v>
      </c>
      <c r="EL64" s="19">
        <v>296024299</v>
      </c>
      <c r="EM64" s="19">
        <v>64864348</v>
      </c>
      <c r="EN64" s="19">
        <v>284505845</v>
      </c>
      <c r="EO64" s="19">
        <v>8006251</v>
      </c>
      <c r="EP64" s="19">
        <v>194531060</v>
      </c>
      <c r="EQ64" s="19">
        <v>0</v>
      </c>
      <c r="ER64" s="19">
        <v>305981610</v>
      </c>
      <c r="ES64" s="19">
        <v>27274168</v>
      </c>
      <c r="ET64" s="19">
        <v>0</v>
      </c>
      <c r="EU64" s="19">
        <v>12000000</v>
      </c>
      <c r="EV64" s="19">
        <v>41891016</v>
      </c>
      <c r="EW64" s="19">
        <v>9340296</v>
      </c>
      <c r="EX64" s="19">
        <v>0</v>
      </c>
      <c r="EY64" s="19">
        <v>524525247</v>
      </c>
      <c r="EZ64" s="19">
        <v>11756620</v>
      </c>
      <c r="FA64" s="19">
        <v>0</v>
      </c>
      <c r="FB64" s="19">
        <v>105965184</v>
      </c>
      <c r="FC64" s="19">
        <v>246343593</v>
      </c>
      <c r="FD64" s="19">
        <v>82332833</v>
      </c>
      <c r="FE64" s="19">
        <v>118138310</v>
      </c>
      <c r="FF64" s="19">
        <v>0</v>
      </c>
      <c r="FG64" s="19"/>
      <c r="FH64" s="19">
        <v>0</v>
      </c>
      <c r="FI64" s="19">
        <v>143131326</v>
      </c>
      <c r="FJ64" s="19">
        <v>29776058</v>
      </c>
      <c r="FK64" s="19">
        <v>222840938</v>
      </c>
      <c r="FL64" s="19">
        <v>131805279</v>
      </c>
      <c r="FM64" s="19">
        <v>20365460</v>
      </c>
      <c r="FN64" s="19">
        <v>308897332</v>
      </c>
      <c r="FO64" s="19">
        <v>0</v>
      </c>
      <c r="FP64" s="19">
        <v>105180470</v>
      </c>
      <c r="FQ64" s="19">
        <v>0</v>
      </c>
      <c r="FR64" s="19">
        <v>0</v>
      </c>
      <c r="FS64" s="19">
        <v>79813551</v>
      </c>
      <c r="FT64" s="19">
        <v>370881562</v>
      </c>
      <c r="FU64" s="19">
        <v>0</v>
      </c>
      <c r="FV64" s="19">
        <v>132506770</v>
      </c>
      <c r="FW64" s="19">
        <v>48513120</v>
      </c>
      <c r="FX64" s="19">
        <v>156305000</v>
      </c>
      <c r="FY64" s="19">
        <v>330388662</v>
      </c>
      <c r="FZ64" s="19">
        <v>36500000</v>
      </c>
      <c r="GA64" s="19">
        <v>282118565</v>
      </c>
      <c r="GB64" s="19">
        <v>177893482</v>
      </c>
      <c r="GC64" s="19">
        <v>99907980</v>
      </c>
      <c r="GD64" s="19" t="s">
        <v>96</v>
      </c>
      <c r="GE64" s="19">
        <v>28322041</v>
      </c>
      <c r="GF64" s="19">
        <v>24299961</v>
      </c>
      <c r="GG64" s="19">
        <v>833825875</v>
      </c>
      <c r="GH64" s="19">
        <v>0</v>
      </c>
      <c r="GI64" s="19">
        <v>0</v>
      </c>
      <c r="GJ64" s="19">
        <v>53059357</v>
      </c>
      <c r="GK64" s="19">
        <v>105040000</v>
      </c>
      <c r="GL64" s="19">
        <v>26144270</v>
      </c>
      <c r="GM64" s="19">
        <v>77663095</v>
      </c>
      <c r="GN64" s="19">
        <v>47607950</v>
      </c>
      <c r="GO64" s="19">
        <v>23033050</v>
      </c>
      <c r="GP64" s="19">
        <v>0</v>
      </c>
      <c r="GQ64" s="19">
        <v>122203518</v>
      </c>
      <c r="GR64" s="19">
        <v>459701329</v>
      </c>
      <c r="GS64" s="19">
        <v>0</v>
      </c>
      <c r="GT64" s="19">
        <v>0</v>
      </c>
      <c r="GU64" s="19">
        <v>0</v>
      </c>
      <c r="GV64" s="19">
        <v>0</v>
      </c>
      <c r="GW64" s="19">
        <v>0</v>
      </c>
      <c r="GX64" s="19">
        <v>6739145</v>
      </c>
      <c r="GY64" s="19">
        <v>1402534308</v>
      </c>
      <c r="GZ64" s="19">
        <v>79124464</v>
      </c>
      <c r="HA64" s="19">
        <v>0</v>
      </c>
      <c r="HB64" s="37">
        <v>378619964</v>
      </c>
      <c r="HC64" s="19">
        <v>40216010</v>
      </c>
      <c r="HD64" s="19">
        <v>84757637</v>
      </c>
      <c r="HE64" s="19">
        <v>62070810</v>
      </c>
      <c r="HF64" s="19">
        <v>236647750</v>
      </c>
      <c r="HG64" s="19">
        <v>6960000</v>
      </c>
      <c r="HH64" s="19">
        <v>0</v>
      </c>
      <c r="HI64" s="19">
        <v>58564988</v>
      </c>
      <c r="HJ64" s="19">
        <v>1879700</v>
      </c>
      <c r="HK64" s="19">
        <v>32622600</v>
      </c>
      <c r="HL64" s="19">
        <v>0</v>
      </c>
      <c r="HM64" s="19">
        <v>8273190</v>
      </c>
      <c r="HN64" s="19">
        <v>0</v>
      </c>
      <c r="HO64" s="19">
        <v>104511280</v>
      </c>
      <c r="HP64" s="19">
        <v>0</v>
      </c>
      <c r="HQ64" s="41">
        <v>53621100</v>
      </c>
      <c r="HR64" s="41">
        <v>234821005</v>
      </c>
      <c r="HS64" s="41">
        <v>144378510</v>
      </c>
      <c r="HT64" s="41">
        <v>1760120</v>
      </c>
      <c r="HU64" s="41">
        <v>56606841</v>
      </c>
      <c r="HV64" s="41">
        <v>0</v>
      </c>
      <c r="HW64" s="41">
        <v>7500000</v>
      </c>
      <c r="HX64" s="41">
        <v>1241910</v>
      </c>
      <c r="HY64" s="41" t="s">
        <v>114</v>
      </c>
      <c r="HZ64" s="41">
        <v>239349662</v>
      </c>
      <c r="IA64" s="41">
        <v>3370000</v>
      </c>
      <c r="IB64" s="41">
        <v>99185676</v>
      </c>
      <c r="IC64" s="41">
        <v>0</v>
      </c>
      <c r="ID64" s="41">
        <v>0</v>
      </c>
      <c r="IE64" s="41" t="s">
        <v>4</v>
      </c>
      <c r="IF64" s="41">
        <v>0</v>
      </c>
      <c r="IG64" s="41">
        <v>0</v>
      </c>
      <c r="IH64" s="41">
        <v>138285440</v>
      </c>
      <c r="II64" s="41">
        <v>0</v>
      </c>
      <c r="IJ64" s="41">
        <v>192244420</v>
      </c>
      <c r="IK64" s="41">
        <v>74564556</v>
      </c>
      <c r="IL64" s="41">
        <v>0</v>
      </c>
      <c r="IM64" s="41">
        <v>66964957</v>
      </c>
      <c r="IN64" s="41">
        <v>240128330</v>
      </c>
      <c r="IO64" s="41">
        <v>0</v>
      </c>
      <c r="IP64" s="41">
        <v>509036880</v>
      </c>
      <c r="IQ64" s="41">
        <v>141072660</v>
      </c>
      <c r="IR64" s="41">
        <v>14037155</v>
      </c>
      <c r="IS64" s="41">
        <v>153885010</v>
      </c>
      <c r="IT64" s="41">
        <v>0</v>
      </c>
      <c r="IU64" s="41">
        <v>5800000</v>
      </c>
      <c r="IV64" s="41">
        <v>0</v>
      </c>
      <c r="IW64" s="41">
        <v>85458120</v>
      </c>
      <c r="IX64" s="41" t="s">
        <v>114</v>
      </c>
      <c r="IY64" s="41">
        <v>162211145</v>
      </c>
      <c r="IZ64" s="41">
        <v>77683540</v>
      </c>
      <c r="JA64" s="41">
        <v>91610727</v>
      </c>
      <c r="JB64" s="41">
        <v>0</v>
      </c>
      <c r="JC64" s="41">
        <v>126688880</v>
      </c>
      <c r="JD64" s="41">
        <v>0</v>
      </c>
      <c r="JE64" s="41" t="s">
        <v>114</v>
      </c>
      <c r="JF64" s="41">
        <v>131538040</v>
      </c>
      <c r="JG64" s="41">
        <v>100017400</v>
      </c>
      <c r="JH64" s="41">
        <v>0</v>
      </c>
      <c r="JI64" s="41">
        <v>0</v>
      </c>
      <c r="JJ64" s="41">
        <v>0</v>
      </c>
      <c r="JK64" s="41">
        <v>6630000</v>
      </c>
      <c r="JL64" s="41">
        <v>60420023</v>
      </c>
      <c r="JM64" s="41">
        <v>20595330</v>
      </c>
      <c r="JN64" s="41">
        <v>1055685018</v>
      </c>
      <c r="JO64" s="41">
        <v>77880000</v>
      </c>
      <c r="JP64" s="41" t="s">
        <v>4</v>
      </c>
      <c r="JQ64" s="41">
        <v>0</v>
      </c>
      <c r="JR64" s="41">
        <v>208255295</v>
      </c>
      <c r="JS64" s="41">
        <v>254254980</v>
      </c>
      <c r="JT64" s="41">
        <v>0</v>
      </c>
      <c r="JU64" s="41">
        <v>0</v>
      </c>
      <c r="JV64" s="41">
        <v>0</v>
      </c>
      <c r="JW64" s="41">
        <v>7740000</v>
      </c>
      <c r="JX64" s="41">
        <v>0</v>
      </c>
      <c r="JY64" s="41">
        <v>10243182</v>
      </c>
      <c r="JZ64" s="41">
        <v>0</v>
      </c>
      <c r="KA64" s="41">
        <v>30000000</v>
      </c>
      <c r="KB64" s="41">
        <v>1540000</v>
      </c>
      <c r="KC64" s="41">
        <v>0</v>
      </c>
      <c r="KD64" s="41">
        <v>0</v>
      </c>
    </row>
    <row r="65" spans="1:290">
      <c r="A65" s="9" t="s">
        <v>122</v>
      </c>
      <c r="B65" s="17" t="s">
        <v>80</v>
      </c>
      <c r="C65" s="19">
        <v>120940920</v>
      </c>
      <c r="D65" s="19"/>
      <c r="E65" s="19">
        <v>0</v>
      </c>
      <c r="F65" s="19"/>
      <c r="G65" s="19">
        <v>0</v>
      </c>
      <c r="H65" s="19"/>
      <c r="I65" s="19"/>
      <c r="J65" s="19" t="s">
        <v>4</v>
      </c>
      <c r="K65" s="19"/>
      <c r="L65" s="19" t="s">
        <v>130</v>
      </c>
      <c r="M65" s="19" t="s">
        <v>96</v>
      </c>
      <c r="N65" s="19"/>
      <c r="O65" s="19"/>
      <c r="P65" s="19"/>
      <c r="Q65" s="19">
        <v>9836230</v>
      </c>
      <c r="R65" s="19">
        <v>138328675</v>
      </c>
      <c r="S65" s="19">
        <v>24613754</v>
      </c>
      <c r="T65" s="19" t="s">
        <v>96</v>
      </c>
      <c r="U65" s="19"/>
      <c r="V65" s="19" t="s">
        <v>128</v>
      </c>
      <c r="W65" s="19"/>
      <c r="X65" s="19"/>
      <c r="Y65" s="19">
        <v>24993977</v>
      </c>
      <c r="Z65" s="19"/>
      <c r="AA65" s="19"/>
      <c r="AB65" s="19"/>
      <c r="AC65" s="19"/>
      <c r="AD65" s="19"/>
      <c r="AE65" s="19"/>
      <c r="AF65" s="19">
        <v>11200000</v>
      </c>
      <c r="AG65" s="19"/>
      <c r="AH65" s="19"/>
      <c r="AI65" s="19"/>
      <c r="AJ65" s="19"/>
      <c r="AK65" s="19" t="s">
        <v>89</v>
      </c>
      <c r="AL65" s="19"/>
      <c r="AM65" s="19" t="s">
        <v>4</v>
      </c>
      <c r="AN65" s="19"/>
      <c r="AO65" s="19"/>
      <c r="AP65" s="19"/>
      <c r="AQ65" s="19" t="s">
        <v>96</v>
      </c>
      <c r="AR65" s="19"/>
      <c r="AS65" s="19"/>
      <c r="AT65" s="19"/>
      <c r="AU65" s="19"/>
      <c r="AV65" s="19"/>
      <c r="AW65" s="19"/>
      <c r="AX65" s="19" t="s">
        <v>4</v>
      </c>
      <c r="AY65" s="19">
        <v>1258060</v>
      </c>
      <c r="AZ65" s="19"/>
      <c r="BA65" s="19">
        <v>593162627</v>
      </c>
      <c r="BB65" s="19"/>
      <c r="BC65" s="19" t="s">
        <v>4</v>
      </c>
      <c r="BD65" s="19" t="s">
        <v>128</v>
      </c>
      <c r="BE65" s="19"/>
      <c r="BF65" s="19">
        <v>7120000</v>
      </c>
      <c r="BG65" s="19"/>
      <c r="BH65" s="19"/>
      <c r="BI65" s="19"/>
      <c r="BJ65" s="19"/>
      <c r="BK65" s="19"/>
      <c r="BL65" s="19">
        <v>7446020</v>
      </c>
      <c r="BM65" s="19"/>
      <c r="BN65" s="19"/>
      <c r="BO65" s="19"/>
      <c r="BP65" s="19" t="s">
        <v>96</v>
      </c>
      <c r="BQ65" s="19" t="s">
        <v>4</v>
      </c>
      <c r="BR65" s="19"/>
      <c r="BS65" s="19"/>
      <c r="BT65" s="19"/>
      <c r="BU65" s="19">
        <v>372897952</v>
      </c>
      <c r="BV65" s="19"/>
      <c r="BW65" s="19"/>
      <c r="BX65" s="19"/>
      <c r="BY65" s="19">
        <v>149908027</v>
      </c>
      <c r="BZ65" s="19"/>
      <c r="CA65" s="19"/>
      <c r="CB65" s="19"/>
      <c r="CC65" s="19"/>
      <c r="CD65" s="19"/>
      <c r="CE65" s="19"/>
      <c r="CF65" s="19">
        <v>115219222</v>
      </c>
      <c r="CG65" s="19"/>
      <c r="CH65" s="19"/>
      <c r="CI65" s="19" t="s">
        <v>128</v>
      </c>
      <c r="CJ65" s="19" t="s">
        <v>89</v>
      </c>
      <c r="CK65" s="19"/>
      <c r="CL65" s="19"/>
      <c r="CM65" s="19">
        <v>77250434</v>
      </c>
      <c r="CN65" s="19"/>
      <c r="CO65" s="19"/>
      <c r="CP65" s="19"/>
      <c r="CQ65" s="19" t="s">
        <v>96</v>
      </c>
      <c r="CR65" s="19">
        <v>147540000</v>
      </c>
      <c r="CS65" s="19">
        <v>42704093</v>
      </c>
      <c r="CT65" s="19"/>
      <c r="CU65" s="19"/>
      <c r="CV65" s="19"/>
      <c r="CW65" s="19">
        <v>35785970</v>
      </c>
      <c r="CX65" s="19"/>
      <c r="CY65" s="19">
        <v>297049478</v>
      </c>
      <c r="CZ65" s="19"/>
      <c r="DA65" s="19"/>
      <c r="DB65" s="19"/>
      <c r="DC65" s="19"/>
      <c r="DD65" s="19"/>
      <c r="DE65" s="19" t="s">
        <v>89</v>
      </c>
      <c r="DF65" s="19"/>
      <c r="DG65" s="19"/>
      <c r="DH65" s="19"/>
      <c r="DI65" s="19" t="s">
        <v>128</v>
      </c>
      <c r="DJ65" s="19"/>
      <c r="DK65" s="19"/>
      <c r="DL65" s="19"/>
      <c r="DM65" s="19"/>
      <c r="DN65" s="19"/>
      <c r="DO65" s="19">
        <v>4683670</v>
      </c>
      <c r="DP65" s="19"/>
      <c r="DQ65" s="19"/>
      <c r="DR65" s="19"/>
      <c r="DS65" s="19">
        <v>24027260</v>
      </c>
      <c r="DT65" s="19">
        <v>66432680</v>
      </c>
      <c r="DU65" s="19"/>
      <c r="DV65" s="19"/>
      <c r="DW65" s="19"/>
      <c r="DX65" s="19"/>
      <c r="DY65" s="19">
        <v>6035660</v>
      </c>
      <c r="DZ65" s="19">
        <v>4500000</v>
      </c>
      <c r="EA65" s="19"/>
      <c r="EB65" s="19">
        <v>352803300</v>
      </c>
      <c r="EC65" s="19">
        <v>16529370</v>
      </c>
      <c r="ED65" s="19">
        <v>229870690</v>
      </c>
      <c r="EE65" s="19"/>
      <c r="EF65" s="19">
        <v>29397000</v>
      </c>
      <c r="EG65" s="19"/>
      <c r="EH65" s="19"/>
      <c r="EI65" s="19"/>
      <c r="EJ65" s="19">
        <v>42342000</v>
      </c>
      <c r="EK65" s="19">
        <v>36009456</v>
      </c>
      <c r="EL65" s="19"/>
      <c r="EM65" s="19"/>
      <c r="EN65" s="19"/>
      <c r="EO65" s="19"/>
      <c r="EP65" s="19"/>
      <c r="EQ65" s="19"/>
      <c r="ER65" s="19"/>
      <c r="ES65" s="19"/>
      <c r="ET65" s="19"/>
      <c r="EU65" s="19"/>
      <c r="EV65" s="19"/>
      <c r="EW65" s="19"/>
      <c r="EX65" s="19"/>
      <c r="EY65" s="19"/>
      <c r="EZ65" s="19"/>
      <c r="FA65" s="19"/>
      <c r="FB65" s="19">
        <v>4130000</v>
      </c>
      <c r="FC65" s="19"/>
      <c r="FD65" s="19"/>
      <c r="FE65" s="19">
        <v>42836800</v>
      </c>
      <c r="FF65" s="19"/>
      <c r="FG65" s="19"/>
      <c r="FH65" s="19"/>
      <c r="FI65" s="19"/>
      <c r="FJ65" s="19"/>
      <c r="FK65" s="19">
        <v>57891903</v>
      </c>
      <c r="FL65" s="19"/>
      <c r="FM65" s="19"/>
      <c r="FN65" s="19">
        <v>308897332</v>
      </c>
      <c r="FO65" s="19"/>
      <c r="FP65" s="19">
        <v>1951020</v>
      </c>
      <c r="FQ65" s="19"/>
      <c r="FR65" s="19"/>
      <c r="FS65" s="19">
        <v>79813551</v>
      </c>
      <c r="FT65" s="19"/>
      <c r="FU65" s="19"/>
      <c r="FV65" s="19"/>
      <c r="FW65" s="19">
        <v>48513120</v>
      </c>
      <c r="FX65" s="19"/>
      <c r="FY65" s="19">
        <v>330388662</v>
      </c>
      <c r="FZ65" s="19"/>
      <c r="GA65" s="19">
        <v>282118565</v>
      </c>
      <c r="GB65" s="19"/>
      <c r="GC65" s="19">
        <v>43077980</v>
      </c>
      <c r="GD65" s="19" t="s">
        <v>96</v>
      </c>
      <c r="GE65" s="19">
        <v>3677960</v>
      </c>
      <c r="GF65" s="19"/>
      <c r="GG65" s="19"/>
      <c r="GH65" s="19"/>
      <c r="GI65" s="19"/>
      <c r="GJ65" s="19"/>
      <c r="GK65" s="19"/>
      <c r="GL65" s="19"/>
      <c r="GM65" s="19">
        <v>77663095</v>
      </c>
      <c r="GN65" s="19"/>
      <c r="GO65" s="19">
        <v>23033050</v>
      </c>
      <c r="GP65" s="19"/>
      <c r="GQ65" s="19"/>
      <c r="GR65" s="19">
        <v>459701329</v>
      </c>
      <c r="GS65" s="19"/>
      <c r="GT65" s="19"/>
      <c r="GU65" s="19"/>
      <c r="GV65" s="19"/>
      <c r="GW65" s="19"/>
      <c r="GX65" s="19">
        <v>6739145</v>
      </c>
      <c r="GY65" s="19">
        <v>1402534308</v>
      </c>
      <c r="GZ65" s="19">
        <v>79124464</v>
      </c>
      <c r="HA65" s="19"/>
      <c r="HB65" s="37"/>
      <c r="HC65" s="19">
        <v>40216010</v>
      </c>
      <c r="HD65" s="19">
        <v>84757637</v>
      </c>
      <c r="HE65" s="19"/>
      <c r="HF65" s="19">
        <v>236647750</v>
      </c>
      <c r="HG65" s="19">
        <v>2410000</v>
      </c>
      <c r="HH65" s="19"/>
      <c r="HI65" s="19">
        <v>52564988</v>
      </c>
      <c r="HJ65" s="19"/>
      <c r="HK65" s="19">
        <v>30622600</v>
      </c>
      <c r="HL65" s="19"/>
      <c r="HM65" s="19">
        <v>8273190</v>
      </c>
      <c r="HN65" s="19"/>
      <c r="HO65" s="19">
        <v>103371280</v>
      </c>
      <c r="HP65" s="19"/>
      <c r="HQ65" s="41"/>
      <c r="HR65" s="41"/>
      <c r="HS65" s="41"/>
      <c r="HT65" s="41"/>
      <c r="HU65" s="41"/>
      <c r="HV65" s="41"/>
      <c r="HW65" s="41">
        <v>7500000</v>
      </c>
      <c r="HX65" s="41">
        <v>1241910</v>
      </c>
      <c r="HY65" s="41" t="s">
        <v>114</v>
      </c>
      <c r="HZ65" s="41"/>
      <c r="IA65" s="41"/>
      <c r="IB65" s="41"/>
      <c r="IC65" s="41"/>
      <c r="ID65" s="41"/>
      <c r="IE65" s="41" t="s">
        <v>4</v>
      </c>
      <c r="IF65" s="41"/>
      <c r="IG65" s="41"/>
      <c r="IH65" s="41"/>
      <c r="II65" s="41"/>
      <c r="IJ65" s="41"/>
      <c r="IK65" s="41"/>
      <c r="IL65" s="41"/>
      <c r="IM65" s="41"/>
      <c r="IN65" s="41">
        <v>240128330</v>
      </c>
      <c r="IO65" s="41"/>
      <c r="IP65" s="41">
        <v>25000000</v>
      </c>
      <c r="IQ65" s="41">
        <v>141072660</v>
      </c>
      <c r="IR65" s="41">
        <v>14037155</v>
      </c>
      <c r="IS65" s="41"/>
      <c r="IT65" s="41"/>
      <c r="IU65" s="41"/>
      <c r="IV65" s="41"/>
      <c r="IW65" s="41"/>
      <c r="IX65" s="41" t="s">
        <v>114</v>
      </c>
      <c r="IY65" s="41"/>
      <c r="IZ65" s="41"/>
      <c r="JA65" s="41">
        <v>58953340</v>
      </c>
      <c r="JB65" s="41"/>
      <c r="JC65" s="41"/>
      <c r="JD65" s="41"/>
      <c r="JE65" s="41" t="s">
        <v>114</v>
      </c>
      <c r="JF65" s="41">
        <v>131538040</v>
      </c>
      <c r="JG65" s="41"/>
      <c r="JH65" s="41"/>
      <c r="JI65" s="41"/>
      <c r="JJ65" s="41"/>
      <c r="JK65" s="41"/>
      <c r="JL65" s="41"/>
      <c r="JM65" s="41"/>
      <c r="JN65" s="41"/>
      <c r="JO65" s="41"/>
      <c r="JP65" s="41" t="s">
        <v>4</v>
      </c>
      <c r="JQ65" s="41"/>
      <c r="JR65" s="41">
        <v>206683635</v>
      </c>
      <c r="JS65" s="41"/>
      <c r="JT65" s="41"/>
      <c r="JU65" s="41"/>
      <c r="JV65" s="41"/>
      <c r="JW65" s="41"/>
      <c r="JX65" s="41"/>
      <c r="JY65" s="41"/>
      <c r="JZ65" s="41"/>
      <c r="KA65" s="41">
        <v>30000000</v>
      </c>
      <c r="KB65" s="41"/>
      <c r="KC65" s="41"/>
      <c r="KD65" s="41"/>
    </row>
    <row r="66" spans="1:290">
      <c r="A66" s="9" t="s">
        <v>122</v>
      </c>
      <c r="B66" s="17" t="s">
        <v>7</v>
      </c>
      <c r="C66" s="19">
        <v>0</v>
      </c>
      <c r="D66" s="19">
        <v>557942839</v>
      </c>
      <c r="E66" s="19">
        <v>0</v>
      </c>
      <c r="F66" s="19">
        <v>8070000</v>
      </c>
      <c r="G66" s="19">
        <v>0</v>
      </c>
      <c r="H66" s="19"/>
      <c r="I66" s="19"/>
      <c r="J66" s="19" t="s">
        <v>4</v>
      </c>
      <c r="K66" s="19"/>
      <c r="L66" s="19" t="s">
        <v>130</v>
      </c>
      <c r="M66" s="19" t="s">
        <v>96</v>
      </c>
      <c r="N66" s="19"/>
      <c r="O66" s="19"/>
      <c r="P66" s="19"/>
      <c r="Q66" s="19"/>
      <c r="R66" s="19"/>
      <c r="S66" s="19"/>
      <c r="T66" s="19" t="s">
        <v>96</v>
      </c>
      <c r="U66" s="19">
        <v>32087286</v>
      </c>
      <c r="V66" s="19" t="s">
        <v>128</v>
      </c>
      <c r="W66" s="19"/>
      <c r="X66" s="19"/>
      <c r="Y66" s="19"/>
      <c r="Z66" s="19">
        <v>27211043</v>
      </c>
      <c r="AA66" s="19">
        <v>19951340</v>
      </c>
      <c r="AB66" s="19">
        <v>71075000</v>
      </c>
      <c r="AC66" s="19"/>
      <c r="AD66" s="19"/>
      <c r="AE66" s="19">
        <v>1232113</v>
      </c>
      <c r="AF66" s="19"/>
      <c r="AG66" s="19">
        <v>26478653</v>
      </c>
      <c r="AH66" s="19"/>
      <c r="AI66" s="19"/>
      <c r="AJ66" s="19"/>
      <c r="AK66" s="19" t="s">
        <v>89</v>
      </c>
      <c r="AL66" s="19"/>
      <c r="AM66" s="19" t="s">
        <v>4</v>
      </c>
      <c r="AN66" s="19"/>
      <c r="AO66" s="19"/>
      <c r="AP66" s="19"/>
      <c r="AQ66" s="19" t="s">
        <v>96</v>
      </c>
      <c r="AR66" s="19"/>
      <c r="AS66" s="19">
        <v>269920000</v>
      </c>
      <c r="AT66" s="19"/>
      <c r="AU66" s="19"/>
      <c r="AV66" s="19"/>
      <c r="AW66" s="19"/>
      <c r="AX66" s="19" t="s">
        <v>4</v>
      </c>
      <c r="AY66" s="19">
        <v>13001200</v>
      </c>
      <c r="AZ66" s="19"/>
      <c r="BA66" s="19"/>
      <c r="BB66" s="19"/>
      <c r="BC66" s="19" t="s">
        <v>4</v>
      </c>
      <c r="BD66" s="19" t="s">
        <v>128</v>
      </c>
      <c r="BE66" s="19">
        <v>26445980</v>
      </c>
      <c r="BF66" s="19">
        <v>82052188</v>
      </c>
      <c r="BG66" s="19"/>
      <c r="BH66" s="19"/>
      <c r="BI66" s="19">
        <v>44887469</v>
      </c>
      <c r="BJ66" s="19"/>
      <c r="BK66" s="19"/>
      <c r="BL66" s="19"/>
      <c r="BM66" s="19">
        <v>76327540</v>
      </c>
      <c r="BN66" s="19"/>
      <c r="BO66" s="19">
        <v>24938800</v>
      </c>
      <c r="BP66" s="19" t="s">
        <v>96</v>
      </c>
      <c r="BQ66" s="19" t="s">
        <v>4</v>
      </c>
      <c r="BR66" s="19">
        <v>250162271</v>
      </c>
      <c r="BS66" s="19">
        <v>70434041</v>
      </c>
      <c r="BT66" s="19"/>
      <c r="BU66" s="19"/>
      <c r="BV66" s="19">
        <v>59644100</v>
      </c>
      <c r="BW66" s="19"/>
      <c r="BX66" s="19">
        <v>16620433</v>
      </c>
      <c r="BY66" s="19"/>
      <c r="BZ66" s="19"/>
      <c r="CA66" s="19">
        <v>8256396</v>
      </c>
      <c r="CB66" s="19">
        <v>7426806</v>
      </c>
      <c r="CC66" s="19"/>
      <c r="CD66" s="19"/>
      <c r="CE66" s="19"/>
      <c r="CF66" s="19"/>
      <c r="CG66" s="19"/>
      <c r="CH66" s="19">
        <v>207318086</v>
      </c>
      <c r="CI66" s="19" t="s">
        <v>128</v>
      </c>
      <c r="CJ66" s="19" t="s">
        <v>89</v>
      </c>
      <c r="CK66" s="19">
        <v>15590623</v>
      </c>
      <c r="CL66" s="19"/>
      <c r="CM66" s="19"/>
      <c r="CN66" s="19"/>
      <c r="CO66" s="19">
        <v>7000000</v>
      </c>
      <c r="CP66" s="19"/>
      <c r="CQ66" s="19" t="s">
        <v>96</v>
      </c>
      <c r="CR66" s="19">
        <v>2340000</v>
      </c>
      <c r="CS66" s="19"/>
      <c r="CT66" s="19"/>
      <c r="CU66" s="19"/>
      <c r="CV66" s="19"/>
      <c r="CW66" s="19"/>
      <c r="CX66" s="19">
        <v>26478653</v>
      </c>
      <c r="CY66" s="19">
        <v>125696950</v>
      </c>
      <c r="CZ66" s="19"/>
      <c r="DA66" s="19"/>
      <c r="DB66" s="19"/>
      <c r="DC66" s="19"/>
      <c r="DD66" s="19"/>
      <c r="DE66" s="19" t="s">
        <v>89</v>
      </c>
      <c r="DF66" s="19"/>
      <c r="DG66" s="19"/>
      <c r="DH66" s="19">
        <v>64827162</v>
      </c>
      <c r="DI66" s="19" t="s">
        <v>128</v>
      </c>
      <c r="DJ66" s="19"/>
      <c r="DK66" s="19"/>
      <c r="DL66" s="19"/>
      <c r="DM66" s="19"/>
      <c r="DN66" s="19"/>
      <c r="DO66" s="19"/>
      <c r="DP66" s="19"/>
      <c r="DQ66" s="19"/>
      <c r="DR66" s="19">
        <v>95099127</v>
      </c>
      <c r="DS66" s="19"/>
      <c r="DT66" s="19"/>
      <c r="DU66" s="19"/>
      <c r="DV66" s="19">
        <v>3459660</v>
      </c>
      <c r="DW66" s="19"/>
      <c r="DX66" s="19"/>
      <c r="DY66" s="19"/>
      <c r="DZ66" s="19"/>
      <c r="EA66" s="19"/>
      <c r="EB66" s="19"/>
      <c r="EC66" s="19"/>
      <c r="ED66" s="19"/>
      <c r="EE66" s="19">
        <v>49339228</v>
      </c>
      <c r="EF66" s="19"/>
      <c r="EG66" s="19"/>
      <c r="EH66" s="19"/>
      <c r="EI66" s="19"/>
      <c r="EJ66" s="19"/>
      <c r="EK66" s="19"/>
      <c r="EL66" s="19">
        <v>282699939</v>
      </c>
      <c r="EM66" s="19">
        <v>64864348</v>
      </c>
      <c r="EN66" s="19">
        <v>284505845</v>
      </c>
      <c r="EO66" s="19"/>
      <c r="EP66" s="19"/>
      <c r="EQ66" s="19"/>
      <c r="ER66" s="19">
        <v>293546610</v>
      </c>
      <c r="ES66" s="19"/>
      <c r="ET66" s="19"/>
      <c r="EU66" s="19"/>
      <c r="EV66" s="19"/>
      <c r="EW66" s="19">
        <v>9340296</v>
      </c>
      <c r="EX66" s="19"/>
      <c r="EY66" s="19"/>
      <c r="EZ66" s="19"/>
      <c r="FA66" s="19"/>
      <c r="FB66" s="19"/>
      <c r="FC66" s="19">
        <v>246343593</v>
      </c>
      <c r="FD66" s="19">
        <v>82332833</v>
      </c>
      <c r="FE66" s="19"/>
      <c r="FF66" s="19"/>
      <c r="FG66" s="19"/>
      <c r="FH66" s="19"/>
      <c r="FI66" s="19"/>
      <c r="FJ66" s="19"/>
      <c r="FK66" s="19"/>
      <c r="FL66" s="19"/>
      <c r="FM66" s="19">
        <v>20365460</v>
      </c>
      <c r="FN66" s="19"/>
      <c r="FO66" s="19"/>
      <c r="FP66" s="19"/>
      <c r="FQ66" s="19"/>
      <c r="FR66" s="19"/>
      <c r="FS66" s="19"/>
      <c r="FT66" s="19"/>
      <c r="FU66" s="19"/>
      <c r="FV66" s="19">
        <v>101754240</v>
      </c>
      <c r="FW66" s="19"/>
      <c r="FX66" s="19"/>
      <c r="FY66" s="19"/>
      <c r="FZ66" s="19">
        <v>36500000</v>
      </c>
      <c r="GA66" s="19"/>
      <c r="GB66" s="19">
        <v>177893482</v>
      </c>
      <c r="GC66" s="19"/>
      <c r="GD66" s="19" t="s">
        <v>96</v>
      </c>
      <c r="GE66" s="19">
        <v>24644081</v>
      </c>
      <c r="GF66" s="19">
        <v>24299961</v>
      </c>
      <c r="GG66" s="19"/>
      <c r="GH66" s="19"/>
      <c r="GI66" s="19"/>
      <c r="GJ66" s="19"/>
      <c r="GK66" s="19">
        <v>105040000</v>
      </c>
      <c r="GL66" s="19">
        <v>26144270</v>
      </c>
      <c r="GM66" s="19"/>
      <c r="GN66" s="19"/>
      <c r="GO66" s="19"/>
      <c r="GP66" s="19"/>
      <c r="GQ66" s="19"/>
      <c r="GR66" s="19"/>
      <c r="GS66" s="19"/>
      <c r="GT66" s="19"/>
      <c r="GU66" s="19"/>
      <c r="GV66" s="19"/>
      <c r="GW66" s="19"/>
      <c r="GX66" s="19"/>
      <c r="GY66" s="19"/>
      <c r="GZ66" s="19"/>
      <c r="HA66" s="19"/>
      <c r="HB66" s="37">
        <v>247959520</v>
      </c>
      <c r="HC66" s="19"/>
      <c r="HD66" s="19"/>
      <c r="HE66" s="19">
        <v>62070810</v>
      </c>
      <c r="HF66" s="19"/>
      <c r="HG66" s="19"/>
      <c r="HH66" s="19"/>
      <c r="HI66" s="19"/>
      <c r="HJ66" s="19">
        <v>1879700</v>
      </c>
      <c r="HK66" s="19">
        <v>2000000</v>
      </c>
      <c r="HL66" s="19"/>
      <c r="HM66" s="19"/>
      <c r="HN66" s="19"/>
      <c r="HO66" s="19"/>
      <c r="HP66" s="19"/>
      <c r="HQ66" s="41"/>
      <c r="HR66" s="41"/>
      <c r="HS66" s="41">
        <v>144378510</v>
      </c>
      <c r="HT66" s="41">
        <v>1760120</v>
      </c>
      <c r="HU66" s="41">
        <v>56606841</v>
      </c>
      <c r="HV66" s="41"/>
      <c r="HW66" s="41"/>
      <c r="HX66" s="41"/>
      <c r="HY66" s="41" t="s">
        <v>114</v>
      </c>
      <c r="HZ66" s="41">
        <v>239349662</v>
      </c>
      <c r="IA66" s="41">
        <v>3370000</v>
      </c>
      <c r="IB66" s="41"/>
      <c r="IC66" s="41"/>
      <c r="ID66" s="41"/>
      <c r="IE66" s="41" t="s">
        <v>4</v>
      </c>
      <c r="IF66" s="41"/>
      <c r="IG66" s="41"/>
      <c r="IH66" s="41">
        <v>10996210</v>
      </c>
      <c r="II66" s="41"/>
      <c r="IJ66" s="41"/>
      <c r="IK66" s="41">
        <v>74564556</v>
      </c>
      <c r="IL66" s="41"/>
      <c r="IM66" s="41">
        <v>66964957</v>
      </c>
      <c r="IN66" s="41"/>
      <c r="IO66" s="41"/>
      <c r="IP66" s="41"/>
      <c r="IQ66" s="41"/>
      <c r="IR66" s="41"/>
      <c r="IS66" s="41">
        <v>153885010</v>
      </c>
      <c r="IT66" s="41"/>
      <c r="IU66" s="41"/>
      <c r="IV66" s="41"/>
      <c r="IW66" s="41"/>
      <c r="IX66" s="41" t="s">
        <v>114</v>
      </c>
      <c r="IY66" s="41">
        <v>112847410</v>
      </c>
      <c r="IZ66" s="41">
        <v>23773540</v>
      </c>
      <c r="JA66" s="41"/>
      <c r="JB66" s="41"/>
      <c r="JC66" s="41"/>
      <c r="JD66" s="41"/>
      <c r="JE66" s="41" t="s">
        <v>114</v>
      </c>
      <c r="JF66" s="41"/>
      <c r="JG66" s="41"/>
      <c r="JH66" s="41"/>
      <c r="JI66" s="41"/>
      <c r="JJ66" s="41"/>
      <c r="JK66" s="41">
        <v>6630000</v>
      </c>
      <c r="JL66" s="41">
        <v>60420023</v>
      </c>
      <c r="JM66" s="41">
        <v>20595330</v>
      </c>
      <c r="JN66" s="41">
        <v>1055669918</v>
      </c>
      <c r="JO66" s="41"/>
      <c r="JP66" s="41" t="s">
        <v>4</v>
      </c>
      <c r="JQ66" s="41"/>
      <c r="JR66" s="41"/>
      <c r="JS66" s="41"/>
      <c r="JT66" s="41"/>
      <c r="JU66" s="41"/>
      <c r="JV66" s="41"/>
      <c r="JW66" s="41">
        <v>7740000</v>
      </c>
      <c r="JX66" s="41"/>
      <c r="JY66" s="41"/>
      <c r="JZ66" s="41"/>
      <c r="KA66" s="41"/>
      <c r="KB66" s="41">
        <v>1540000</v>
      </c>
      <c r="KC66" s="41"/>
      <c r="KD66" s="41"/>
    </row>
    <row r="67" spans="1:290">
      <c r="A67" s="9" t="s">
        <v>122</v>
      </c>
      <c r="B67" s="17" t="s">
        <v>25</v>
      </c>
      <c r="C67" s="19">
        <v>116083568</v>
      </c>
      <c r="D67" s="19">
        <v>114210000</v>
      </c>
      <c r="E67" s="19">
        <v>0</v>
      </c>
      <c r="F67" s="19">
        <v>29782166</v>
      </c>
      <c r="G67" s="19">
        <v>11653794</v>
      </c>
      <c r="H67" s="19"/>
      <c r="I67" s="19"/>
      <c r="J67" s="19" t="s">
        <v>4</v>
      </c>
      <c r="K67" s="19">
        <v>1023076827</v>
      </c>
      <c r="L67" s="19" t="s">
        <v>130</v>
      </c>
      <c r="M67" s="19" t="s">
        <v>96</v>
      </c>
      <c r="N67" s="19">
        <v>162235274</v>
      </c>
      <c r="O67" s="19">
        <v>47899644</v>
      </c>
      <c r="P67" s="19"/>
      <c r="Q67" s="19"/>
      <c r="R67" s="19"/>
      <c r="S67" s="19"/>
      <c r="T67" s="19" t="s">
        <v>96</v>
      </c>
      <c r="U67" s="19"/>
      <c r="V67" s="19" t="s">
        <v>128</v>
      </c>
      <c r="W67" s="19">
        <v>7379713</v>
      </c>
      <c r="X67" s="19"/>
      <c r="Z67" s="19"/>
      <c r="AA67" s="19">
        <v>63303847</v>
      </c>
      <c r="AB67" s="19"/>
      <c r="AC67" s="19"/>
      <c r="AD67" s="19"/>
      <c r="AE67" s="19"/>
      <c r="AF67" s="19">
        <v>158367588</v>
      </c>
      <c r="AG67" s="19"/>
      <c r="AH67" s="19"/>
      <c r="AI67" s="19">
        <v>80217074</v>
      </c>
      <c r="AJ67" s="19"/>
      <c r="AK67" s="19" t="s">
        <v>89</v>
      </c>
      <c r="AL67" s="19">
        <v>105000000</v>
      </c>
      <c r="AM67" s="19" t="s">
        <v>4</v>
      </c>
      <c r="AN67" s="19"/>
      <c r="AO67" s="19">
        <v>8374028</v>
      </c>
      <c r="AP67" s="19">
        <v>54565968</v>
      </c>
      <c r="AQ67" s="19" t="s">
        <v>96</v>
      </c>
      <c r="AR67" s="19">
        <v>40193996</v>
      </c>
      <c r="AS67" s="19">
        <v>92671596</v>
      </c>
      <c r="AT67" s="19"/>
      <c r="AU67" s="19"/>
      <c r="AV67" s="19"/>
      <c r="AW67" s="19"/>
      <c r="AX67" s="19" t="s">
        <v>4</v>
      </c>
      <c r="AY67" s="19">
        <v>40211700</v>
      </c>
      <c r="AZ67" s="19"/>
      <c r="BA67" s="19"/>
      <c r="BB67" s="19"/>
      <c r="BC67" s="19" t="s">
        <v>4</v>
      </c>
      <c r="BD67" s="19" t="s">
        <v>128</v>
      </c>
      <c r="BE67" s="19">
        <v>36699637</v>
      </c>
      <c r="BF67" s="19"/>
      <c r="BG67" s="19">
        <v>47104373</v>
      </c>
      <c r="BH67" s="19"/>
      <c r="BI67" s="19"/>
      <c r="BJ67" s="19"/>
      <c r="BK67" s="19"/>
      <c r="BL67" s="19"/>
      <c r="BM67" s="19"/>
      <c r="BN67" s="19">
        <v>5000000</v>
      </c>
      <c r="BO67" s="19"/>
      <c r="BP67" s="19" t="s">
        <v>96</v>
      </c>
      <c r="BQ67" s="19" t="s">
        <v>4</v>
      </c>
      <c r="BR67" s="19"/>
      <c r="BS67" s="19"/>
      <c r="BT67" s="19"/>
      <c r="BU67" s="19"/>
      <c r="BV67" s="19">
        <v>16486484</v>
      </c>
      <c r="BW67" s="19">
        <v>25855666</v>
      </c>
      <c r="BX67" s="19"/>
      <c r="BY67" s="19"/>
      <c r="BZ67" s="19">
        <v>69574948</v>
      </c>
      <c r="CA67" s="19"/>
      <c r="CB67" s="19"/>
      <c r="CC67" s="19">
        <v>49596087</v>
      </c>
      <c r="CD67" s="19"/>
      <c r="CE67" s="19"/>
      <c r="CF67" s="19"/>
      <c r="CG67" s="19">
        <v>69272576</v>
      </c>
      <c r="CH67" s="19"/>
      <c r="CI67" s="19" t="s">
        <v>128</v>
      </c>
      <c r="CJ67" s="19" t="s">
        <v>89</v>
      </c>
      <c r="CK67" s="19"/>
      <c r="CL67" s="19"/>
      <c r="CM67" s="19">
        <v>137540719</v>
      </c>
      <c r="CN67" s="19"/>
      <c r="CO67" s="19"/>
      <c r="CP67" s="19">
        <v>85242918</v>
      </c>
      <c r="CQ67" s="19" t="s">
        <v>96</v>
      </c>
      <c r="CR67" s="19"/>
      <c r="CS67" s="19"/>
      <c r="CT67" s="19"/>
      <c r="CU67" s="19">
        <v>107343563</v>
      </c>
      <c r="CV67" s="19"/>
      <c r="CW67" s="19">
        <v>143519758</v>
      </c>
      <c r="CX67" s="19"/>
      <c r="CY67" s="19">
        <v>451618717</v>
      </c>
      <c r="CZ67" s="19">
        <v>87709646</v>
      </c>
      <c r="DA67" s="19">
        <v>23455243</v>
      </c>
      <c r="DB67" s="19"/>
      <c r="DC67" s="19"/>
      <c r="DD67" s="19">
        <v>23538616</v>
      </c>
      <c r="DE67" s="19" t="s">
        <v>89</v>
      </c>
      <c r="DF67" s="19"/>
      <c r="DG67" s="19">
        <v>95099949</v>
      </c>
      <c r="DH67" s="19"/>
      <c r="DI67" s="19" t="s">
        <v>128</v>
      </c>
      <c r="DJ67" s="19"/>
      <c r="DK67" s="19"/>
      <c r="DL67" s="19"/>
      <c r="DM67" s="19">
        <v>11929531</v>
      </c>
      <c r="DN67" s="19">
        <v>22657460</v>
      </c>
      <c r="DO67" s="19"/>
      <c r="DP67" s="19"/>
      <c r="DQ67" s="19"/>
      <c r="DR67" s="19">
        <v>2527777</v>
      </c>
      <c r="DS67" s="19"/>
      <c r="DT67" s="19"/>
      <c r="DU67" s="19"/>
      <c r="DW67" s="19"/>
      <c r="DX67" s="19"/>
      <c r="DY67" s="19"/>
      <c r="DZ67" s="19">
        <v>13100956</v>
      </c>
      <c r="EA67" s="19">
        <v>24367202</v>
      </c>
      <c r="EB67" s="19">
        <v>193016489</v>
      </c>
      <c r="EC67" s="19">
        <v>5000000</v>
      </c>
      <c r="ED67" s="19"/>
      <c r="EE67" s="19"/>
      <c r="EF67" s="19">
        <v>55818397</v>
      </c>
      <c r="EG67" s="19"/>
      <c r="EH67" s="19">
        <v>5565828</v>
      </c>
      <c r="EI67" s="19"/>
      <c r="EJ67" s="19">
        <v>115449650</v>
      </c>
      <c r="EK67" s="19"/>
      <c r="EL67" s="19">
        <v>13324360</v>
      </c>
      <c r="EM67" s="19"/>
      <c r="EN67" s="19"/>
      <c r="EO67" s="19">
        <v>8006251</v>
      </c>
      <c r="EP67" s="19">
        <v>24317780</v>
      </c>
      <c r="EQ67" s="19"/>
      <c r="ER67" s="19">
        <v>12435000</v>
      </c>
      <c r="ES67" s="19">
        <v>27274168</v>
      </c>
      <c r="ET67" s="19"/>
      <c r="EU67" s="19"/>
      <c r="EV67" s="19"/>
      <c r="EW67" s="19"/>
      <c r="EX67" s="19"/>
      <c r="EY67" s="19"/>
      <c r="EZ67" s="19"/>
      <c r="FA67" s="19"/>
      <c r="FB67" s="19">
        <v>101835184</v>
      </c>
      <c r="FC67" s="19"/>
      <c r="FD67" s="19"/>
      <c r="FE67" s="19">
        <v>75301510</v>
      </c>
      <c r="FF67" s="19"/>
      <c r="FG67" s="19"/>
      <c r="FH67" s="19"/>
      <c r="FI67" s="19"/>
      <c r="FJ67" s="19">
        <v>29776058</v>
      </c>
      <c r="FK67" s="19"/>
      <c r="FL67" s="19"/>
      <c r="FM67" s="19"/>
      <c r="FN67" s="19"/>
      <c r="FO67" s="19"/>
      <c r="FP67" s="19"/>
      <c r="FQ67" s="19"/>
      <c r="FR67" s="19"/>
      <c r="FS67" s="19"/>
      <c r="FT67" s="19"/>
      <c r="FU67" s="19"/>
      <c r="FV67" s="19">
        <v>30752530</v>
      </c>
      <c r="FW67" s="19"/>
      <c r="FX67" s="19"/>
      <c r="FY67" s="19"/>
      <c r="FZ67" s="19"/>
      <c r="GA67" s="19"/>
      <c r="GB67" s="19"/>
      <c r="GC67" s="19"/>
      <c r="GD67" s="19" t="s">
        <v>96</v>
      </c>
      <c r="GE67" s="19"/>
      <c r="GF67" s="19"/>
      <c r="GG67" s="19"/>
      <c r="GH67" s="19"/>
      <c r="GI67" s="19"/>
      <c r="GJ67" s="19">
        <v>53059357</v>
      </c>
      <c r="GK67" s="19"/>
      <c r="GL67" s="19"/>
      <c r="GM67" s="19"/>
      <c r="GN67" s="19"/>
      <c r="GO67" s="19"/>
      <c r="GP67" s="19"/>
      <c r="GQ67" s="19"/>
      <c r="GR67" s="19"/>
      <c r="GS67" s="19"/>
      <c r="GT67" s="19"/>
      <c r="GU67" s="19"/>
      <c r="GV67" s="19"/>
      <c r="GW67" s="19"/>
      <c r="GX67" s="19"/>
      <c r="GY67" s="19"/>
      <c r="GZ67" s="19"/>
      <c r="HA67" s="19"/>
      <c r="HB67" s="37">
        <v>130660444</v>
      </c>
      <c r="HC67" s="19"/>
      <c r="HD67" s="19"/>
      <c r="HE67" s="19"/>
      <c r="HF67" s="19"/>
      <c r="HG67" s="19"/>
      <c r="HH67" s="19"/>
      <c r="HI67" s="19"/>
      <c r="HJ67" s="19"/>
      <c r="HK67" s="19"/>
      <c r="HL67" s="19"/>
      <c r="HM67" s="19"/>
      <c r="HN67" s="19"/>
      <c r="HO67" s="19"/>
      <c r="HP67" s="19"/>
      <c r="HQ67" s="41"/>
      <c r="HR67" s="41">
        <v>130655005</v>
      </c>
      <c r="HS67" s="41"/>
      <c r="HT67" s="41"/>
      <c r="HU67" s="41"/>
      <c r="HV67" s="41"/>
      <c r="HW67" s="41"/>
      <c r="HX67" s="41"/>
      <c r="HY67" s="41" t="s">
        <v>114</v>
      </c>
      <c r="HZ67" s="41"/>
      <c r="IA67" s="41"/>
      <c r="IB67" s="41"/>
      <c r="IC67" s="41"/>
      <c r="ID67" s="41"/>
      <c r="IE67" s="41" t="s">
        <v>4</v>
      </c>
      <c r="IF67" s="41"/>
      <c r="IG67" s="41"/>
      <c r="IH67" s="41"/>
      <c r="II67" s="41"/>
      <c r="IJ67" s="41">
        <v>8540380</v>
      </c>
      <c r="IK67" s="41"/>
      <c r="IL67" s="41"/>
      <c r="IM67" s="41"/>
      <c r="IN67" s="41"/>
      <c r="IO67" s="41"/>
      <c r="IP67" s="41"/>
      <c r="IQ67" s="41"/>
      <c r="IR67" s="41"/>
      <c r="IS67" s="41"/>
      <c r="IT67" s="41"/>
      <c r="IU67" s="41"/>
      <c r="IV67" s="41"/>
      <c r="IW67" s="41"/>
      <c r="IX67" s="41" t="s">
        <v>114</v>
      </c>
      <c r="IY67" s="41">
        <v>10857735</v>
      </c>
      <c r="IZ67" s="41"/>
      <c r="JA67" s="41"/>
      <c r="JB67" s="41"/>
      <c r="JC67" s="41"/>
      <c r="JD67" s="41"/>
      <c r="JE67" s="41" t="s">
        <v>114</v>
      </c>
      <c r="JF67" s="41"/>
      <c r="JG67" s="41"/>
      <c r="JH67" s="41"/>
      <c r="JI67" s="41"/>
      <c r="JJ67" s="41"/>
      <c r="JK67" s="41"/>
      <c r="JL67" s="41"/>
      <c r="JM67" s="41"/>
      <c r="JN67" s="41">
        <v>15100</v>
      </c>
      <c r="JO67" s="41"/>
      <c r="JP67" s="41" t="s">
        <v>4</v>
      </c>
      <c r="JQ67" s="41"/>
      <c r="JR67" s="41"/>
      <c r="JS67" s="41"/>
      <c r="JT67" s="41"/>
      <c r="JU67" s="41"/>
      <c r="JV67" s="41"/>
      <c r="JW67" s="41"/>
      <c r="JX67" s="41"/>
      <c r="JY67" s="41"/>
      <c r="JZ67" s="41"/>
      <c r="KA67" s="41"/>
      <c r="KB67" s="41"/>
      <c r="KC67" s="41"/>
      <c r="KD67" s="41"/>
    </row>
    <row r="68" spans="1:290">
      <c r="A68" s="9" t="s">
        <v>122</v>
      </c>
      <c r="B68" s="17" t="s">
        <v>17</v>
      </c>
      <c r="C68" s="19">
        <v>0</v>
      </c>
      <c r="D68" s="19"/>
      <c r="E68" s="19">
        <v>86802186</v>
      </c>
      <c r="F68" s="19">
        <v>1568230</v>
      </c>
      <c r="G68" s="19">
        <v>0</v>
      </c>
      <c r="H68" s="19"/>
      <c r="I68" s="19"/>
      <c r="J68" s="19" t="s">
        <v>4</v>
      </c>
      <c r="K68" s="19"/>
      <c r="L68" s="19" t="s">
        <v>130</v>
      </c>
      <c r="M68" s="19" t="s">
        <v>96</v>
      </c>
      <c r="N68" s="19">
        <v>135351150</v>
      </c>
      <c r="O68" s="19"/>
      <c r="P68" s="19">
        <v>85275750</v>
      </c>
      <c r="Q68" s="19"/>
      <c r="R68" s="19"/>
      <c r="S68" s="19"/>
      <c r="T68" s="19" t="s">
        <v>96</v>
      </c>
      <c r="U68" s="19"/>
      <c r="V68" s="19" t="s">
        <v>128</v>
      </c>
      <c r="W68" s="19"/>
      <c r="X68" s="19">
        <v>57800000</v>
      </c>
      <c r="Y68" s="19">
        <v>19491984</v>
      </c>
      <c r="Z68" s="19">
        <v>107929270</v>
      </c>
      <c r="AA68" s="19"/>
      <c r="AB68" s="19">
        <v>10350000</v>
      </c>
      <c r="AC68" s="19">
        <v>3810000</v>
      </c>
      <c r="AD68" s="19"/>
      <c r="AE68" s="19"/>
      <c r="AF68" s="19"/>
      <c r="AG68" s="19"/>
      <c r="AH68" s="19">
        <v>276041642</v>
      </c>
      <c r="AI68" s="19"/>
      <c r="AJ68" s="19"/>
      <c r="AK68" s="19" t="s">
        <v>89</v>
      </c>
      <c r="AL68" s="19">
        <v>10889090</v>
      </c>
      <c r="AM68" s="19" t="s">
        <v>4</v>
      </c>
      <c r="AN68" s="19">
        <v>59388782</v>
      </c>
      <c r="AO68" s="19">
        <v>299879577</v>
      </c>
      <c r="AP68" s="19"/>
      <c r="AQ68" s="19" t="s">
        <v>96</v>
      </c>
      <c r="AR68" s="19"/>
      <c r="AS68" s="19"/>
      <c r="AT68" s="19"/>
      <c r="AU68" s="19"/>
      <c r="AV68" s="19">
        <v>102475108</v>
      </c>
      <c r="AW68" s="19"/>
      <c r="AX68" s="19" t="s">
        <v>4</v>
      </c>
      <c r="AY68" s="19">
        <v>4729534</v>
      </c>
      <c r="AZ68" s="19"/>
      <c r="BA68" s="19"/>
      <c r="BB68" s="19"/>
      <c r="BC68" s="19" t="s">
        <v>4</v>
      </c>
      <c r="BD68" s="19" t="s">
        <v>128</v>
      </c>
      <c r="BE68" s="19"/>
      <c r="BF68" s="19">
        <v>20000000</v>
      </c>
      <c r="BG68" s="19"/>
      <c r="BH68" s="19"/>
      <c r="BI68" s="19"/>
      <c r="BJ68" s="19"/>
      <c r="BK68" s="19"/>
      <c r="BL68" s="19"/>
      <c r="BM68" s="19"/>
      <c r="BN68" s="19"/>
      <c r="BO68" s="19"/>
      <c r="BP68" s="19" t="s">
        <v>96</v>
      </c>
      <c r="BQ68" s="19" t="s">
        <v>4</v>
      </c>
      <c r="BR68" s="19"/>
      <c r="BS68" s="19"/>
      <c r="BT68" s="19"/>
      <c r="BU68" s="19">
        <v>61097320</v>
      </c>
      <c r="BV68" s="19"/>
      <c r="BW68" s="19"/>
      <c r="BX68" s="19">
        <v>6440000</v>
      </c>
      <c r="BY68" s="19"/>
      <c r="BZ68" s="19"/>
      <c r="CA68" s="19"/>
      <c r="CB68" s="19"/>
      <c r="CC68" s="19"/>
      <c r="CD68" s="19">
        <v>777631398</v>
      </c>
      <c r="CE68" s="19"/>
      <c r="CF68" s="19">
        <v>7680000</v>
      </c>
      <c r="CG68" s="19"/>
      <c r="CH68" s="19"/>
      <c r="CI68" s="19" t="s">
        <v>128</v>
      </c>
      <c r="CJ68" s="19" t="s">
        <v>89</v>
      </c>
      <c r="CK68" s="19"/>
      <c r="CL68" s="19">
        <v>25665850</v>
      </c>
      <c r="CM68" s="19">
        <v>325075460</v>
      </c>
      <c r="CN68" s="19"/>
      <c r="CO68" s="19">
        <v>1500000</v>
      </c>
      <c r="CP68" s="19"/>
      <c r="CQ68" s="19" t="s">
        <v>96</v>
      </c>
      <c r="CR68" s="19"/>
      <c r="CS68" s="19"/>
      <c r="CT68" s="19"/>
      <c r="CU68" s="19"/>
      <c r="CV68" s="19"/>
      <c r="CW68" s="19"/>
      <c r="CX68" s="19"/>
      <c r="CY68" s="19"/>
      <c r="CZ68" s="19">
        <v>39333600</v>
      </c>
      <c r="DA68" s="19"/>
      <c r="DB68" s="19"/>
      <c r="DC68" s="19"/>
      <c r="DD68" s="19"/>
      <c r="DE68" s="19" t="s">
        <v>89</v>
      </c>
      <c r="DF68" s="19"/>
      <c r="DG68" s="19"/>
      <c r="DH68" s="19"/>
      <c r="DI68" s="19" t="s">
        <v>128</v>
      </c>
      <c r="DJ68" s="19"/>
      <c r="DK68" s="19"/>
      <c r="DL68" s="19">
        <v>186294798</v>
      </c>
      <c r="DM68" s="19"/>
      <c r="DN68" s="19">
        <v>15000000</v>
      </c>
      <c r="DO68" s="19">
        <v>4648690</v>
      </c>
      <c r="DP68" s="19">
        <v>151501610</v>
      </c>
      <c r="DQ68" s="19"/>
      <c r="DR68" s="19"/>
      <c r="DS68" s="19"/>
      <c r="DT68" s="19"/>
      <c r="DU68" s="19"/>
      <c r="DV68" s="19">
        <f>430191977</f>
        <v>430191977</v>
      </c>
      <c r="DW68" s="19"/>
      <c r="DX68" s="19"/>
      <c r="DY68" s="19"/>
      <c r="DZ68" s="19"/>
      <c r="EA68" s="19"/>
      <c r="EB68" s="19"/>
      <c r="EC68" s="19"/>
      <c r="ED68" s="19"/>
      <c r="EE68" s="19"/>
      <c r="EF68" s="19"/>
      <c r="EG68" s="19"/>
      <c r="EH68" s="19"/>
      <c r="EI68" s="19">
        <v>18046084</v>
      </c>
      <c r="EJ68" s="19"/>
      <c r="EK68" s="19"/>
      <c r="EL68" s="19"/>
      <c r="EM68" s="19"/>
      <c r="EN68" s="19"/>
      <c r="EO68" s="19"/>
      <c r="EP68" s="19">
        <v>170213280</v>
      </c>
      <c r="EQ68" s="19"/>
      <c r="ER68" s="19"/>
      <c r="ES68" s="19"/>
      <c r="ET68" s="19"/>
      <c r="EU68" s="19">
        <v>12000000</v>
      </c>
      <c r="EV68" s="19">
        <v>41891016</v>
      </c>
      <c r="EW68" s="19"/>
      <c r="EX68" s="19"/>
      <c r="EY68" s="19">
        <v>524525247</v>
      </c>
      <c r="EZ68" s="19">
        <v>11756620</v>
      </c>
      <c r="FA68" s="19"/>
      <c r="FB68" s="19"/>
      <c r="FC68" s="19"/>
      <c r="FD68" s="19"/>
      <c r="FE68" s="19"/>
      <c r="FF68" s="19"/>
      <c r="FG68" s="19">
        <f>331953762+16885100</f>
        <v>348838862</v>
      </c>
      <c r="FH68" s="19"/>
      <c r="FI68" s="19">
        <v>143131326</v>
      </c>
      <c r="FJ68" s="19"/>
      <c r="FK68" s="19">
        <v>164949035</v>
      </c>
      <c r="FL68" s="19">
        <v>131805279</v>
      </c>
      <c r="FM68" s="19"/>
      <c r="FN68" s="19"/>
      <c r="FO68" s="19"/>
      <c r="FP68" s="19">
        <v>103229450</v>
      </c>
      <c r="FQ68" s="19"/>
      <c r="FR68" s="19"/>
      <c r="FS68" s="19"/>
      <c r="FT68" s="19">
        <v>370881562</v>
      </c>
      <c r="FU68" s="19"/>
      <c r="FV68" s="19"/>
      <c r="FW68" s="19"/>
      <c r="FX68" s="19">
        <v>156305000</v>
      </c>
      <c r="FY68" s="19"/>
      <c r="FZ68" s="19"/>
      <c r="GA68" s="19"/>
      <c r="GB68" s="19"/>
      <c r="GC68" s="19">
        <v>56830000</v>
      </c>
      <c r="GD68" s="19" t="s">
        <v>96</v>
      </c>
      <c r="GE68" s="19"/>
      <c r="GF68" s="19"/>
      <c r="GG68" s="19">
        <v>833825875</v>
      </c>
      <c r="GH68" s="19"/>
      <c r="GI68" s="19"/>
      <c r="GJ68" s="19"/>
      <c r="GK68" s="19"/>
      <c r="GL68" s="19"/>
      <c r="GM68" s="19"/>
      <c r="GN68" s="19">
        <v>47607950</v>
      </c>
      <c r="GO68" s="19"/>
      <c r="GP68" s="19"/>
      <c r="GQ68" s="19">
        <v>122203518</v>
      </c>
      <c r="GR68" s="19"/>
      <c r="GS68" s="19"/>
      <c r="GT68" s="19"/>
      <c r="GU68" s="19"/>
      <c r="GV68" s="19"/>
      <c r="GW68" s="19"/>
      <c r="GX68" s="19"/>
      <c r="GY68" s="19"/>
      <c r="GZ68" s="19"/>
      <c r="HA68" s="19"/>
      <c r="HB68" s="37"/>
      <c r="HC68" s="19"/>
      <c r="HD68" s="19"/>
      <c r="HE68" s="19"/>
      <c r="HF68" s="19"/>
      <c r="HG68" s="19">
        <v>4550000</v>
      </c>
      <c r="HH68" s="19"/>
      <c r="HI68" s="19">
        <v>6000000</v>
      </c>
      <c r="HJ68" s="19"/>
      <c r="HK68" s="19"/>
      <c r="HL68" s="19"/>
      <c r="HM68" s="19"/>
      <c r="HN68" s="19"/>
      <c r="HO68" s="19">
        <v>1140000</v>
      </c>
      <c r="HP68" s="19"/>
      <c r="HQ68" s="41">
        <v>53621100</v>
      </c>
      <c r="HR68" s="41">
        <v>104166000</v>
      </c>
      <c r="HS68" s="41"/>
      <c r="HT68" s="41"/>
      <c r="HU68" s="41"/>
      <c r="HV68" s="41"/>
      <c r="HW68" s="41"/>
      <c r="HX68" s="41"/>
      <c r="HY68" s="41" t="s">
        <v>114</v>
      </c>
      <c r="HZ68" s="41"/>
      <c r="IA68" s="41"/>
      <c r="IB68" s="41">
        <v>99185676</v>
      </c>
      <c r="IC68" s="41"/>
      <c r="ID68" s="41"/>
      <c r="IE68" s="41" t="s">
        <v>4</v>
      </c>
      <c r="IF68" s="41"/>
      <c r="IG68" s="41"/>
      <c r="IH68" s="41">
        <v>127289230</v>
      </c>
      <c r="II68" s="41"/>
      <c r="IJ68" s="41">
        <v>183704040</v>
      </c>
      <c r="IK68" s="41"/>
      <c r="IL68" s="41"/>
      <c r="IM68" s="41"/>
      <c r="IN68" s="41"/>
      <c r="IO68" s="41"/>
      <c r="IP68" s="41">
        <v>484036880</v>
      </c>
      <c r="IQ68" s="41"/>
      <c r="IR68" s="41"/>
      <c r="IS68" s="41"/>
      <c r="IT68" s="41"/>
      <c r="IU68" s="41">
        <v>5800000</v>
      </c>
      <c r="IV68" s="41"/>
      <c r="IW68" s="41">
        <v>85458120</v>
      </c>
      <c r="IX68" s="41" t="s">
        <v>114</v>
      </c>
      <c r="IY68" s="41">
        <v>38506000</v>
      </c>
      <c r="IZ68" s="41">
        <v>53910000</v>
      </c>
      <c r="JA68" s="41">
        <v>32657387</v>
      </c>
      <c r="JB68" s="41"/>
      <c r="JC68" s="41">
        <v>126688880</v>
      </c>
      <c r="JD68" s="41"/>
      <c r="JE68" s="41" t="s">
        <v>114</v>
      </c>
      <c r="JF68" s="41"/>
      <c r="JG68" s="41">
        <v>100017400</v>
      </c>
      <c r="JH68" s="41"/>
      <c r="JI68" s="41"/>
      <c r="JJ68" s="41"/>
      <c r="JK68" s="41"/>
      <c r="JL68" s="41"/>
      <c r="JM68" s="41"/>
      <c r="JN68" s="41"/>
      <c r="JO68" s="41">
        <v>77880000</v>
      </c>
      <c r="JP68" s="41" t="s">
        <v>4</v>
      </c>
      <c r="JQ68" s="41"/>
      <c r="JR68" s="41">
        <v>1571660</v>
      </c>
      <c r="JS68" s="41">
        <v>254254980</v>
      </c>
      <c r="JT68" s="41"/>
      <c r="JU68" s="41"/>
      <c r="JV68" s="41"/>
      <c r="JW68" s="41"/>
      <c r="JX68" s="41"/>
      <c r="JY68" s="41">
        <v>10243182</v>
      </c>
      <c r="JZ68" s="41"/>
      <c r="KA68" s="41"/>
      <c r="KB68" s="41"/>
      <c r="KC68" s="41"/>
      <c r="KD68" s="41"/>
    </row>
    <row r="69" spans="1:290">
      <c r="A69" s="9" t="s">
        <v>122</v>
      </c>
      <c r="B69" s="18" t="s">
        <v>41</v>
      </c>
      <c r="C69" s="19">
        <v>0</v>
      </c>
      <c r="D69" s="19">
        <v>11120368</v>
      </c>
      <c r="E69" s="19">
        <v>0</v>
      </c>
      <c r="F69" s="19">
        <v>2303649</v>
      </c>
      <c r="G69" s="19">
        <v>19300000</v>
      </c>
      <c r="H69" s="19"/>
      <c r="I69" s="19"/>
      <c r="J69" s="19" t="s">
        <v>4</v>
      </c>
      <c r="K69" s="19"/>
      <c r="L69" s="19" t="s">
        <v>130</v>
      </c>
      <c r="M69" s="19" t="s">
        <v>96</v>
      </c>
      <c r="N69" s="19">
        <v>2099000</v>
      </c>
      <c r="O69" s="19"/>
      <c r="P69" s="19"/>
      <c r="Q69" s="19">
        <v>41487699</v>
      </c>
      <c r="R69" s="19">
        <v>56254484</v>
      </c>
      <c r="S69" s="19">
        <v>62225177</v>
      </c>
      <c r="T69" s="19" t="s">
        <v>96</v>
      </c>
      <c r="U69" s="19"/>
      <c r="V69" s="19" t="s">
        <v>128</v>
      </c>
      <c r="W69" s="19"/>
      <c r="X69" s="19">
        <v>25446259</v>
      </c>
      <c r="Z69" s="19"/>
      <c r="AA69" s="19">
        <v>23071829</v>
      </c>
      <c r="AB69" s="19"/>
      <c r="AC69" s="19">
        <v>3241192</v>
      </c>
      <c r="AD69" s="19"/>
      <c r="AE69" s="19">
        <v>14924381</v>
      </c>
      <c r="AF69" s="19"/>
      <c r="AG69" s="19">
        <v>2558619</v>
      </c>
      <c r="AH69" s="19">
        <v>823944</v>
      </c>
      <c r="AI69" s="19">
        <v>14194670</v>
      </c>
      <c r="AJ69" s="19">
        <v>5003000</v>
      </c>
      <c r="AK69" s="19" t="s">
        <v>89</v>
      </c>
      <c r="AL69" s="19"/>
      <c r="AM69" s="19" t="s">
        <v>4</v>
      </c>
      <c r="AN69" s="19"/>
      <c r="AO69" s="19">
        <v>6664</v>
      </c>
      <c r="AP69" s="19">
        <v>2600000</v>
      </c>
      <c r="AQ69" s="19" t="s">
        <v>96</v>
      </c>
      <c r="AR69" s="19"/>
      <c r="AS69" s="19"/>
      <c r="AT69" s="19"/>
      <c r="AU69" s="19"/>
      <c r="AV69" s="19"/>
      <c r="AW69" s="19"/>
      <c r="AX69" s="19" t="s">
        <v>4</v>
      </c>
      <c r="AY69" s="19">
        <v>3890125</v>
      </c>
      <c r="AZ69" s="19"/>
      <c r="BA69" s="19">
        <v>285116884</v>
      </c>
      <c r="BB69" s="19"/>
      <c r="BC69" s="19" t="s">
        <v>4</v>
      </c>
      <c r="BD69" s="19" t="s">
        <v>128</v>
      </c>
      <c r="BE69" s="19"/>
      <c r="BF69" s="19"/>
      <c r="BG69" s="19">
        <v>15297854</v>
      </c>
      <c r="BH69" s="19"/>
      <c r="BI69" s="19">
        <v>229094</v>
      </c>
      <c r="BJ69" s="19">
        <v>14071997</v>
      </c>
      <c r="BK69" s="19">
        <v>3664788</v>
      </c>
      <c r="BL69" s="19"/>
      <c r="BM69" s="19"/>
      <c r="BN69" s="19">
        <v>692500</v>
      </c>
      <c r="BO69" s="19">
        <v>748507</v>
      </c>
      <c r="BP69" s="19" t="s">
        <v>96</v>
      </c>
      <c r="BQ69" s="19" t="s">
        <v>4</v>
      </c>
      <c r="BR69" s="19">
        <v>570260</v>
      </c>
      <c r="BS69" s="19">
        <v>1372</v>
      </c>
      <c r="BT69" s="19">
        <v>9667109</v>
      </c>
      <c r="BU69" s="19">
        <v>155956</v>
      </c>
      <c r="BV69" s="19"/>
      <c r="BW69" s="19"/>
      <c r="BX69" s="19"/>
      <c r="BY69" s="19"/>
      <c r="BZ69" s="19"/>
      <c r="CA69" s="19"/>
      <c r="CB69" s="19">
        <v>1272727</v>
      </c>
      <c r="CC69" s="19"/>
      <c r="CD69" s="19"/>
      <c r="CE69" s="19">
        <v>69386110</v>
      </c>
      <c r="CF69" s="19">
        <v>9309723</v>
      </c>
      <c r="CG69" s="19">
        <v>55204040</v>
      </c>
      <c r="CH69" s="19">
        <v>10800000</v>
      </c>
      <c r="CI69" s="19" t="s">
        <v>128</v>
      </c>
      <c r="CJ69" s="19" t="s">
        <v>89</v>
      </c>
      <c r="CK69" s="19">
        <v>450693357</v>
      </c>
      <c r="CL69" s="19"/>
      <c r="CM69" s="19"/>
      <c r="CN69" s="19"/>
      <c r="CO69" s="19"/>
      <c r="CP69" s="19">
        <v>3850000</v>
      </c>
      <c r="CQ69" s="19" t="s">
        <v>96</v>
      </c>
      <c r="CR69" s="19">
        <v>646680</v>
      </c>
      <c r="CS69" s="19"/>
      <c r="CT69" s="19"/>
      <c r="CU69" s="19">
        <v>56498028</v>
      </c>
      <c r="CV69" s="19">
        <v>5732630</v>
      </c>
      <c r="CW69" s="19">
        <v>126900</v>
      </c>
      <c r="CX69" s="19">
        <v>16179973</v>
      </c>
      <c r="CY69" s="19">
        <v>15262105</v>
      </c>
      <c r="CZ69" s="19">
        <v>2933076</v>
      </c>
      <c r="DA69" s="19"/>
      <c r="DB69" s="19"/>
      <c r="DC69" s="19"/>
      <c r="DD69" s="19">
        <v>15000000</v>
      </c>
      <c r="DE69" s="19" t="s">
        <v>89</v>
      </c>
      <c r="DF69" s="19"/>
      <c r="DG69" s="19"/>
      <c r="DH69" s="19">
        <v>485823</v>
      </c>
      <c r="DI69" s="19" t="s">
        <v>128</v>
      </c>
      <c r="DJ69" s="19"/>
      <c r="DK69" s="19">
        <v>1772901</v>
      </c>
      <c r="DL69" s="19"/>
      <c r="DM69" s="19"/>
      <c r="DN69" s="19"/>
      <c r="DO69" s="19"/>
      <c r="DP69" s="19">
        <v>27598165</v>
      </c>
      <c r="DQ69" s="19"/>
      <c r="DR69" s="19"/>
      <c r="DS69" s="19">
        <v>18000</v>
      </c>
      <c r="DT69" s="19"/>
      <c r="DU69" s="19"/>
      <c r="DV69" s="19"/>
      <c r="DW69" s="19"/>
      <c r="DX69" s="19"/>
      <c r="DY69" s="19"/>
      <c r="DZ69" s="19">
        <v>560000</v>
      </c>
      <c r="EA69" s="19"/>
      <c r="EB69" s="19"/>
      <c r="EC69" s="19"/>
      <c r="ED69" s="19"/>
      <c r="EE69" s="19"/>
      <c r="EF69" s="19">
        <v>5054628</v>
      </c>
      <c r="EG69" s="19">
        <v>14800727</v>
      </c>
      <c r="EH69" s="19">
        <v>24035149</v>
      </c>
      <c r="EI69" s="19"/>
      <c r="EJ69" s="19">
        <v>125568787</v>
      </c>
      <c r="EK69" s="19"/>
      <c r="EL69" s="19"/>
      <c r="EM69" s="19"/>
      <c r="EN69" s="19"/>
      <c r="EO69" s="19">
        <v>66438772</v>
      </c>
      <c r="EP69" s="19"/>
      <c r="EQ69" s="19"/>
      <c r="ER69" s="19">
        <v>226529776</v>
      </c>
      <c r="ES69" s="19">
        <v>4286360</v>
      </c>
      <c r="ET69" s="19"/>
      <c r="EU69" s="19">
        <v>72955003</v>
      </c>
      <c r="EV69" s="19">
        <v>1755</v>
      </c>
      <c r="EW69" s="19"/>
      <c r="EX69" s="19"/>
      <c r="EY69" s="19">
        <v>678440</v>
      </c>
      <c r="EZ69" s="19">
        <v>1068592</v>
      </c>
      <c r="FA69" s="19"/>
      <c r="FB69" s="19"/>
      <c r="FC69" s="19"/>
      <c r="FD69" s="19">
        <v>381622</v>
      </c>
      <c r="FE69" s="19"/>
      <c r="FF69" s="19"/>
      <c r="FG69" s="19"/>
      <c r="FH69" s="19"/>
      <c r="FI69" s="19"/>
      <c r="FJ69" s="19"/>
      <c r="FK69" s="19">
        <v>67538083</v>
      </c>
      <c r="FL69" s="19"/>
      <c r="FM69" s="19"/>
      <c r="FN69" s="19"/>
      <c r="FO69" s="19"/>
      <c r="FP69" s="19"/>
      <c r="FQ69" s="19"/>
      <c r="FR69" s="19"/>
      <c r="FS69" s="19"/>
      <c r="FT69" s="19">
        <v>73622446</v>
      </c>
      <c r="FU69" s="19"/>
      <c r="FV69" s="19"/>
      <c r="FW69" s="19"/>
      <c r="FX69" s="19"/>
      <c r="FY69" s="19"/>
      <c r="FZ69" s="19">
        <v>39746301</v>
      </c>
      <c r="GA69" s="19"/>
      <c r="GB69" s="19"/>
      <c r="GC69" s="19"/>
      <c r="GD69" s="19" t="s">
        <v>96</v>
      </c>
      <c r="GE69" s="19"/>
      <c r="GF69" s="19"/>
      <c r="GG69" s="19"/>
      <c r="GH69" s="19">
        <v>5000000</v>
      </c>
      <c r="GI69" s="19"/>
      <c r="GJ69" s="19">
        <v>60000000</v>
      </c>
      <c r="GK69" s="19"/>
      <c r="GL69" s="19"/>
      <c r="GM69" s="19"/>
      <c r="GN69" s="19"/>
      <c r="GO69" s="19">
        <v>9038353</v>
      </c>
      <c r="GP69" s="19">
        <v>19299867</v>
      </c>
      <c r="GQ69" s="19"/>
      <c r="GR69" s="19"/>
      <c r="GS69" s="19"/>
      <c r="GT69" s="19"/>
      <c r="GU69" s="19">
        <v>105138809</v>
      </c>
      <c r="GV69" s="19">
        <v>1400000</v>
      </c>
      <c r="GW69" s="19"/>
      <c r="GX69" s="19">
        <v>238230</v>
      </c>
      <c r="GY69" s="19">
        <v>1822455</v>
      </c>
      <c r="GZ69" s="19"/>
      <c r="HA69" s="19"/>
      <c r="HB69" s="37">
        <v>30598003</v>
      </c>
      <c r="HC69" s="19"/>
      <c r="HD69" s="19"/>
      <c r="HE69" s="19"/>
      <c r="HF69" s="19">
        <v>4475750</v>
      </c>
      <c r="HG69" s="19"/>
      <c r="HH69" s="19"/>
      <c r="HI69" s="19"/>
      <c r="HJ69" s="19"/>
      <c r="HK69" s="19">
        <v>676158</v>
      </c>
      <c r="HL69" s="19"/>
      <c r="HM69" s="19"/>
      <c r="HN69" s="19">
        <v>3869659</v>
      </c>
      <c r="HO69" s="19"/>
      <c r="HP69" s="19"/>
      <c r="HQ69" s="41"/>
      <c r="HR69" s="41">
        <v>114135015</v>
      </c>
      <c r="HS69" s="41"/>
      <c r="HT69" s="41"/>
      <c r="HU69" s="41"/>
      <c r="HV69" s="41"/>
      <c r="HW69" s="41">
        <v>17588192</v>
      </c>
      <c r="HX69" s="41">
        <v>259917</v>
      </c>
      <c r="HY69" s="41" t="s">
        <v>114</v>
      </c>
      <c r="HZ69" s="41">
        <v>5465</v>
      </c>
      <c r="IA69" s="41">
        <v>934000</v>
      </c>
      <c r="IB69" s="41"/>
      <c r="IC69" s="41"/>
      <c r="ID69" s="41"/>
      <c r="IE69" s="41" t="s">
        <v>4</v>
      </c>
      <c r="IF69" s="41">
        <v>76577620</v>
      </c>
      <c r="IG69" s="41"/>
      <c r="IH69" s="41"/>
      <c r="II69" s="41"/>
      <c r="IJ69" s="41"/>
      <c r="IK69" s="41"/>
      <c r="IL69" s="41"/>
      <c r="IM69" s="41">
        <v>264902</v>
      </c>
      <c r="IN69" s="41"/>
      <c r="IO69" s="41">
        <v>653183</v>
      </c>
      <c r="IP69" s="41"/>
      <c r="IQ69" s="41"/>
      <c r="IR69" s="41">
        <v>169950000</v>
      </c>
      <c r="IS69" s="41"/>
      <c r="IT69" s="41"/>
      <c r="IU69" s="41"/>
      <c r="IV69" s="41"/>
      <c r="IW69" s="41"/>
      <c r="IX69" s="41" t="s">
        <v>114</v>
      </c>
      <c r="IY69" s="41">
        <v>69631793</v>
      </c>
      <c r="IZ69" s="41">
        <v>7920000</v>
      </c>
      <c r="JA69" s="41"/>
      <c r="JB69" s="41"/>
      <c r="JC69" s="41">
        <v>590472</v>
      </c>
      <c r="JD69" s="41"/>
      <c r="JE69" s="41" t="s">
        <v>114</v>
      </c>
      <c r="JF69" s="41"/>
      <c r="JG69" s="41"/>
      <c r="JH69" s="41"/>
      <c r="JI69" s="41"/>
      <c r="JJ69" s="41"/>
      <c r="JK69" s="41">
        <v>434315</v>
      </c>
      <c r="JL69" s="41"/>
      <c r="JM69" s="41">
        <v>29000000</v>
      </c>
      <c r="JN69" s="41">
        <v>306536491</v>
      </c>
      <c r="JO69" s="41"/>
      <c r="JP69" s="41" t="s">
        <v>4</v>
      </c>
      <c r="JQ69" s="41"/>
      <c r="JR69" s="41">
        <v>388819</v>
      </c>
      <c r="JS69" s="41">
        <v>345748</v>
      </c>
      <c r="JT69" s="41"/>
      <c r="JU69" s="41"/>
      <c r="JV69" s="41"/>
      <c r="JW69" s="41">
        <v>8927751</v>
      </c>
      <c r="JX69" s="41"/>
      <c r="JY69" s="41"/>
      <c r="JZ69" s="41"/>
      <c r="KA69" s="41">
        <v>10383725</v>
      </c>
      <c r="KB69" s="41"/>
      <c r="KC69" s="41">
        <v>10700435</v>
      </c>
      <c r="KD69" s="41">
        <v>67721519</v>
      </c>
    </row>
    <row r="70" spans="1:290">
      <c r="A70" s="9" t="s">
        <v>122</v>
      </c>
      <c r="B70" s="10" t="s">
        <v>10</v>
      </c>
      <c r="C70" s="19">
        <v>3450136</v>
      </c>
      <c r="D70" s="19">
        <v>31628</v>
      </c>
      <c r="E70" s="19">
        <v>23215738</v>
      </c>
      <c r="F70" s="19">
        <v>46936473</v>
      </c>
      <c r="G70" s="19">
        <v>14179069</v>
      </c>
      <c r="H70" s="19">
        <v>174716000</v>
      </c>
      <c r="I70" s="19">
        <v>244069677</v>
      </c>
      <c r="J70" s="19" t="s">
        <v>4</v>
      </c>
      <c r="K70" s="19">
        <v>9909022</v>
      </c>
      <c r="L70" s="19" t="s">
        <v>130</v>
      </c>
      <c r="M70" s="19" t="s">
        <v>96</v>
      </c>
      <c r="N70" s="19">
        <v>3086670</v>
      </c>
      <c r="O70" s="19">
        <v>95874592</v>
      </c>
      <c r="P70" s="19">
        <v>1569977</v>
      </c>
      <c r="Q70" s="19">
        <v>2129309</v>
      </c>
      <c r="R70" s="19">
        <v>62360648</v>
      </c>
      <c r="S70" s="19">
        <v>412683277</v>
      </c>
      <c r="T70" s="19" t="s">
        <v>96</v>
      </c>
      <c r="U70" s="19">
        <v>12165041</v>
      </c>
      <c r="V70" s="19" t="s">
        <v>128</v>
      </c>
      <c r="W70" s="19">
        <v>19807277</v>
      </c>
      <c r="X70" s="19">
        <v>197036747</v>
      </c>
      <c r="Y70" s="19">
        <v>863438</v>
      </c>
      <c r="Z70" s="19">
        <v>49976810</v>
      </c>
      <c r="AA70" s="19">
        <v>107518915</v>
      </c>
      <c r="AB70" s="19">
        <v>21442266</v>
      </c>
      <c r="AC70" s="19">
        <v>28086625</v>
      </c>
      <c r="AD70" s="19">
        <v>63288785</v>
      </c>
      <c r="AE70" s="19">
        <v>78484730</v>
      </c>
      <c r="AF70" s="19">
        <v>17912398</v>
      </c>
      <c r="AG70" s="19">
        <v>2461844</v>
      </c>
      <c r="AH70" s="19">
        <v>25740563</v>
      </c>
      <c r="AI70" s="19">
        <v>18009006</v>
      </c>
      <c r="AJ70" s="19">
        <v>47185386</v>
      </c>
      <c r="AK70" s="19" t="s">
        <v>89</v>
      </c>
      <c r="AL70" s="19">
        <v>82837626</v>
      </c>
      <c r="AM70" s="19" t="s">
        <v>4</v>
      </c>
      <c r="AN70" s="19">
        <v>17687449</v>
      </c>
      <c r="AO70" s="19">
        <v>12804938</v>
      </c>
      <c r="AP70" s="19">
        <v>32765432</v>
      </c>
      <c r="AQ70" s="19" t="s">
        <v>96</v>
      </c>
      <c r="AR70" s="19">
        <v>17151684</v>
      </c>
      <c r="AS70" s="19">
        <v>32512248</v>
      </c>
      <c r="AT70" s="19">
        <v>92707021</v>
      </c>
      <c r="AU70" s="19">
        <v>23562590</v>
      </c>
      <c r="AV70" s="19">
        <v>8000000</v>
      </c>
      <c r="AW70" s="19">
        <v>18943306</v>
      </c>
      <c r="AX70" s="19" t="s">
        <v>4</v>
      </c>
      <c r="AY70" s="19">
        <v>42421462</v>
      </c>
      <c r="AZ70" s="19">
        <v>5816322</v>
      </c>
      <c r="BA70" s="19">
        <v>70092376</v>
      </c>
      <c r="BB70" s="19">
        <v>450000</v>
      </c>
      <c r="BC70" s="19" t="s">
        <v>4</v>
      </c>
      <c r="BD70" s="19" t="s">
        <v>128</v>
      </c>
      <c r="BE70" s="19">
        <v>103335782</v>
      </c>
      <c r="BF70" s="19">
        <v>39348018</v>
      </c>
      <c r="BG70" s="19">
        <v>34825513</v>
      </c>
      <c r="BH70" s="19">
        <v>46876188</v>
      </c>
      <c r="BI70" s="19">
        <v>4029526</v>
      </c>
      <c r="BJ70" s="19">
        <v>5781584</v>
      </c>
      <c r="BK70" s="19">
        <v>28391877</v>
      </c>
      <c r="BL70" s="19">
        <v>160122</v>
      </c>
      <c r="BM70" s="19">
        <v>15823908</v>
      </c>
      <c r="BN70" s="19">
        <v>3396131</v>
      </c>
      <c r="BO70" s="19">
        <v>6973064</v>
      </c>
      <c r="BP70" s="19" t="s">
        <v>96</v>
      </c>
      <c r="BQ70" s="19" t="s">
        <v>4</v>
      </c>
      <c r="BR70" s="19">
        <v>3128940</v>
      </c>
      <c r="BS70" s="19">
        <v>552547</v>
      </c>
      <c r="BT70" s="19">
        <v>1884656</v>
      </c>
      <c r="BU70" s="19">
        <v>10057625</v>
      </c>
      <c r="BV70" s="19">
        <v>4431381</v>
      </c>
      <c r="BW70" s="19">
        <v>42600000</v>
      </c>
      <c r="BX70" s="19">
        <v>17142768</v>
      </c>
      <c r="BY70" s="19">
        <v>153401315</v>
      </c>
      <c r="BZ70" s="19">
        <v>111657234</v>
      </c>
      <c r="CA70" s="19">
        <v>16726276</v>
      </c>
      <c r="CB70" s="19">
        <v>5186652</v>
      </c>
      <c r="CC70" s="19">
        <v>3153579</v>
      </c>
      <c r="CD70" s="19">
        <v>5099693</v>
      </c>
      <c r="CE70" s="19">
        <v>3796357</v>
      </c>
      <c r="CF70" s="19">
        <v>49142610</v>
      </c>
      <c r="CG70" s="19">
        <v>55251970</v>
      </c>
      <c r="CH70" s="19">
        <v>5039970</v>
      </c>
      <c r="CI70" s="19" t="s">
        <v>128</v>
      </c>
      <c r="CJ70" s="19" t="s">
        <v>89</v>
      </c>
      <c r="CK70" s="19">
        <v>175263088</v>
      </c>
      <c r="CL70" s="19">
        <v>50423510</v>
      </c>
      <c r="CM70" s="19">
        <v>75201261</v>
      </c>
      <c r="CN70" s="19">
        <v>1645625</v>
      </c>
      <c r="CO70" s="19">
        <v>1137395</v>
      </c>
      <c r="CP70" s="19">
        <v>49070695</v>
      </c>
      <c r="CQ70" s="19" t="s">
        <v>96</v>
      </c>
      <c r="CR70" s="19">
        <v>24006509</v>
      </c>
      <c r="CS70" s="19">
        <v>15600744</v>
      </c>
      <c r="CT70" s="19">
        <v>3893775</v>
      </c>
      <c r="CU70" s="19">
        <v>15384400</v>
      </c>
      <c r="CV70" s="19">
        <v>3221133</v>
      </c>
      <c r="CW70" s="19">
        <v>37552356</v>
      </c>
      <c r="CX70" s="19">
        <v>2461844</v>
      </c>
      <c r="CY70" s="19">
        <v>378818578</v>
      </c>
      <c r="CZ70" s="19">
        <v>6915808</v>
      </c>
      <c r="DA70" s="19">
        <v>3780000</v>
      </c>
      <c r="DB70" s="19">
        <v>13911249</v>
      </c>
      <c r="DC70" s="19">
        <v>262102</v>
      </c>
      <c r="DD70" s="19">
        <v>9761901</v>
      </c>
      <c r="DE70" s="19" t="s">
        <v>89</v>
      </c>
      <c r="DF70" s="19">
        <v>854851</v>
      </c>
      <c r="DG70" s="19">
        <v>7583789</v>
      </c>
      <c r="DH70" s="19">
        <v>3536072</v>
      </c>
      <c r="DI70" s="19" t="s">
        <v>128</v>
      </c>
      <c r="DJ70" s="19">
        <v>1030205</v>
      </c>
      <c r="DK70" s="19">
        <v>134923127</v>
      </c>
      <c r="DL70" s="19">
        <v>11464577</v>
      </c>
      <c r="DM70" s="19">
        <v>71680309</v>
      </c>
      <c r="DN70" s="19">
        <v>7366378</v>
      </c>
      <c r="DO70" s="19">
        <v>2292533</v>
      </c>
      <c r="DP70" s="19">
        <v>18537991</v>
      </c>
      <c r="DQ70" s="19">
        <v>10978416</v>
      </c>
      <c r="DR70" s="19">
        <v>149424072</v>
      </c>
      <c r="DS70" s="19">
        <v>6430315</v>
      </c>
      <c r="DT70" s="19">
        <v>35159235</v>
      </c>
      <c r="DU70" s="19">
        <v>1032392</v>
      </c>
      <c r="DV70" s="19">
        <v>40125</v>
      </c>
      <c r="DW70" s="19">
        <v>109376217</v>
      </c>
      <c r="DX70" s="19">
        <v>26767511</v>
      </c>
      <c r="DY70" s="19">
        <v>19111496</v>
      </c>
      <c r="DZ70" s="19">
        <v>13391995</v>
      </c>
      <c r="EA70" s="19">
        <v>1124019</v>
      </c>
      <c r="EB70" s="19">
        <v>337648148</v>
      </c>
      <c r="EC70" s="19">
        <v>7976132</v>
      </c>
      <c r="ED70" s="19">
        <v>8</v>
      </c>
      <c r="EE70" s="19">
        <v>11887975</v>
      </c>
      <c r="EF70" s="19">
        <v>289185629</v>
      </c>
      <c r="EG70" s="19">
        <v>50349894</v>
      </c>
      <c r="EH70" s="19">
        <v>83911467</v>
      </c>
      <c r="EI70" s="19">
        <v>25768206</v>
      </c>
      <c r="EJ70" s="19">
        <v>3382824</v>
      </c>
      <c r="EK70" s="19">
        <v>1363097</v>
      </c>
      <c r="EL70" s="19">
        <v>6269880</v>
      </c>
      <c r="EM70" s="19">
        <v>4796012</v>
      </c>
      <c r="EN70" s="19">
        <v>5745582</v>
      </c>
      <c r="EO70" s="19">
        <v>76284415</v>
      </c>
      <c r="EP70" s="19">
        <v>0</v>
      </c>
      <c r="EQ70" s="19">
        <v>10608144</v>
      </c>
      <c r="ER70" s="19">
        <v>58349017</v>
      </c>
      <c r="ES70" s="19">
        <v>56682367</v>
      </c>
      <c r="ET70" s="19">
        <v>44484154</v>
      </c>
      <c r="EU70" s="19">
        <v>225352</v>
      </c>
      <c r="EV70" s="19">
        <v>40325883</v>
      </c>
      <c r="EW70" s="19">
        <v>5445317</v>
      </c>
      <c r="EX70" s="19">
        <v>21652605</v>
      </c>
      <c r="EY70" s="19">
        <v>76841776</v>
      </c>
      <c r="EZ70" s="19">
        <v>10958268</v>
      </c>
      <c r="FA70" s="19">
        <v>10710689</v>
      </c>
      <c r="FB70" s="19">
        <v>10187692</v>
      </c>
      <c r="FC70" s="19">
        <v>12316167</v>
      </c>
      <c r="FD70" s="19">
        <v>3105674</v>
      </c>
      <c r="FE70" s="19">
        <v>415111613</v>
      </c>
      <c r="FF70" s="19">
        <v>1565150</v>
      </c>
      <c r="FG70" s="19">
        <f>FG71+FG74+FG75</f>
        <v>17553443</v>
      </c>
      <c r="FH70" s="19">
        <v>3191313</v>
      </c>
      <c r="FI70" s="19">
        <v>19020051</v>
      </c>
      <c r="FJ70" s="19">
        <v>0</v>
      </c>
      <c r="FK70" s="19">
        <v>178701319</v>
      </c>
      <c r="FL70" s="19">
        <v>4008739</v>
      </c>
      <c r="FM70" s="19">
        <v>8654751</v>
      </c>
      <c r="FN70" s="19">
        <v>5503983</v>
      </c>
      <c r="FO70" s="19">
        <v>193976</v>
      </c>
      <c r="FP70" s="19">
        <v>3304596</v>
      </c>
      <c r="FQ70" s="19">
        <v>1461712</v>
      </c>
      <c r="FR70" s="19">
        <v>5130514</v>
      </c>
      <c r="FS70" s="19">
        <v>991331</v>
      </c>
      <c r="FT70" s="19">
        <v>12722334</v>
      </c>
      <c r="FU70" s="19">
        <v>1870</v>
      </c>
      <c r="FV70" s="19">
        <v>28579845</v>
      </c>
      <c r="FW70" s="19">
        <v>3301236</v>
      </c>
      <c r="FX70" s="19">
        <v>78222293</v>
      </c>
      <c r="FY70" s="19">
        <v>184592698</v>
      </c>
      <c r="FZ70" s="19">
        <v>23934926</v>
      </c>
      <c r="GA70" s="19">
        <v>1035</v>
      </c>
      <c r="GB70" s="19">
        <v>801678</v>
      </c>
      <c r="GC70" s="19">
        <v>10981373</v>
      </c>
      <c r="GD70" s="19" t="s">
        <v>96</v>
      </c>
      <c r="GE70" s="19">
        <v>5861795</v>
      </c>
      <c r="GF70" s="19">
        <v>271762</v>
      </c>
      <c r="GG70" s="19">
        <v>10964761</v>
      </c>
      <c r="GH70" s="19">
        <v>14299434</v>
      </c>
      <c r="GI70" s="19">
        <v>4522934</v>
      </c>
      <c r="GJ70" s="19">
        <v>37533576</v>
      </c>
      <c r="GK70" s="19">
        <v>5039792</v>
      </c>
      <c r="GL70" s="19">
        <v>936292</v>
      </c>
      <c r="GM70" s="19">
        <v>1340125</v>
      </c>
      <c r="GN70" s="19">
        <v>40257803</v>
      </c>
      <c r="GO70" s="19">
        <v>41538440</v>
      </c>
      <c r="GP70" s="19">
        <v>114098713</v>
      </c>
      <c r="GQ70" s="19">
        <v>284824</v>
      </c>
      <c r="GR70" s="19">
        <v>15389864</v>
      </c>
      <c r="GS70" s="19">
        <v>73343031</v>
      </c>
      <c r="GT70" s="19">
        <v>15319209</v>
      </c>
      <c r="GU70" s="19">
        <v>631063</v>
      </c>
      <c r="GV70" s="19">
        <v>18887029</v>
      </c>
      <c r="GW70" s="19">
        <v>41094744</v>
      </c>
      <c r="GX70" s="19">
        <v>37355980</v>
      </c>
      <c r="GY70" s="19">
        <v>1385516</v>
      </c>
      <c r="GZ70" s="19">
        <v>25847245</v>
      </c>
      <c r="HA70" s="19">
        <v>15332012</v>
      </c>
      <c r="HB70" s="37">
        <v>30724050</v>
      </c>
      <c r="HC70" s="19">
        <v>14006685</v>
      </c>
      <c r="HD70" s="19">
        <v>875747</v>
      </c>
      <c r="HE70" s="19">
        <v>12844226</v>
      </c>
      <c r="HF70" s="19">
        <v>4838000</v>
      </c>
      <c r="HG70" s="19">
        <v>11024760</v>
      </c>
      <c r="HH70" s="19">
        <v>61579</v>
      </c>
      <c r="HI70" s="19">
        <v>16679469</v>
      </c>
      <c r="HJ70" s="19">
        <v>3526910</v>
      </c>
      <c r="HK70" s="19">
        <v>30505668</v>
      </c>
      <c r="HL70" s="19">
        <v>288079</v>
      </c>
      <c r="HM70" s="19">
        <v>4466929</v>
      </c>
      <c r="HN70" s="19">
        <v>1678209</v>
      </c>
      <c r="HO70" s="19">
        <v>41062640</v>
      </c>
      <c r="HP70" s="19">
        <v>7607486</v>
      </c>
      <c r="HQ70" s="41">
        <v>2014460</v>
      </c>
      <c r="HR70" s="41">
        <v>6537670</v>
      </c>
      <c r="HS70" s="41">
        <v>2191207</v>
      </c>
      <c r="HT70" s="41">
        <v>96606</v>
      </c>
      <c r="HU70" s="41">
        <v>6827393</v>
      </c>
      <c r="HV70" s="41">
        <v>9208743</v>
      </c>
      <c r="HW70" s="41">
        <v>172931366</v>
      </c>
      <c r="HX70" s="41">
        <v>26225337</v>
      </c>
      <c r="HY70" s="41" t="s">
        <v>114</v>
      </c>
      <c r="HZ70" s="41">
        <v>360092378</v>
      </c>
      <c r="IA70" s="41">
        <v>409300</v>
      </c>
      <c r="IB70" s="41">
        <v>8037894</v>
      </c>
      <c r="IC70" s="41">
        <v>12472979</v>
      </c>
      <c r="ID70" s="41">
        <v>1026380</v>
      </c>
      <c r="IE70" s="41" t="s">
        <v>4</v>
      </c>
      <c r="IF70" s="41">
        <v>2932295</v>
      </c>
      <c r="IG70" s="41">
        <v>1074333</v>
      </c>
      <c r="IH70" s="41">
        <v>9263385</v>
      </c>
      <c r="II70" s="41">
        <v>5461017</v>
      </c>
      <c r="IJ70" s="41">
        <v>6181955</v>
      </c>
      <c r="IK70" s="41">
        <v>1713432</v>
      </c>
      <c r="IL70" s="41">
        <v>224096</v>
      </c>
      <c r="IM70" s="41">
        <v>366979</v>
      </c>
      <c r="IN70" s="41">
        <v>72920</v>
      </c>
      <c r="IO70" s="41">
        <v>6569836</v>
      </c>
      <c r="IP70" s="41">
        <v>0</v>
      </c>
      <c r="IQ70" s="41">
        <v>2661368</v>
      </c>
      <c r="IR70" s="41">
        <v>31742723</v>
      </c>
      <c r="IS70" s="41">
        <v>180580571</v>
      </c>
      <c r="IT70" s="41">
        <v>6997628</v>
      </c>
      <c r="IU70" s="41">
        <v>5276193</v>
      </c>
      <c r="IV70" s="41">
        <v>10205844</v>
      </c>
      <c r="IW70" s="41">
        <v>3968128</v>
      </c>
      <c r="IX70" s="41" t="s">
        <v>114</v>
      </c>
      <c r="IY70" s="41">
        <v>0</v>
      </c>
      <c r="IZ70" s="41">
        <v>78178096</v>
      </c>
      <c r="JA70" s="41">
        <v>1564488</v>
      </c>
      <c r="JB70" s="41">
        <v>49028</v>
      </c>
      <c r="JC70" s="41">
        <v>849634</v>
      </c>
      <c r="JD70" s="41">
        <v>6358983</v>
      </c>
      <c r="JE70" s="41" t="s">
        <v>114</v>
      </c>
      <c r="JF70" s="41">
        <v>7258141</v>
      </c>
      <c r="JG70" s="41">
        <v>55163219</v>
      </c>
      <c r="JH70" s="41">
        <v>510009</v>
      </c>
      <c r="JI70" s="41">
        <v>366415</v>
      </c>
      <c r="JJ70" s="41">
        <v>54261015</v>
      </c>
      <c r="JK70" s="41">
        <v>30108886</v>
      </c>
      <c r="JL70" s="41">
        <v>1120776</v>
      </c>
      <c r="JM70" s="41">
        <v>213525</v>
      </c>
      <c r="JN70" s="41">
        <v>68515141</v>
      </c>
      <c r="JO70" s="41">
        <v>109336285</v>
      </c>
      <c r="JP70" s="41" t="s">
        <v>4</v>
      </c>
      <c r="JQ70" s="41">
        <v>6558871</v>
      </c>
      <c r="JR70" s="41">
        <v>0</v>
      </c>
      <c r="JS70" s="41">
        <v>8838928</v>
      </c>
      <c r="JT70" s="41">
        <v>0</v>
      </c>
      <c r="JU70" s="41">
        <v>951126</v>
      </c>
      <c r="JV70" s="41">
        <v>12675130</v>
      </c>
      <c r="JW70" s="41">
        <v>43011375</v>
      </c>
      <c r="JX70" s="41">
        <v>1774218</v>
      </c>
      <c r="JY70" s="41">
        <v>18235035</v>
      </c>
      <c r="JZ70" s="41">
        <v>5156441</v>
      </c>
      <c r="KA70" s="41">
        <v>11871498</v>
      </c>
      <c r="KB70" s="41">
        <v>589994</v>
      </c>
      <c r="KC70" s="41">
        <v>3467906</v>
      </c>
      <c r="KD70" s="41">
        <v>50465146</v>
      </c>
    </row>
    <row r="71" spans="1:290">
      <c r="A71" s="9" t="s">
        <v>122</v>
      </c>
      <c r="B71" s="15" t="s">
        <v>60</v>
      </c>
      <c r="C71" s="19">
        <v>0</v>
      </c>
      <c r="D71" s="19">
        <v>0</v>
      </c>
      <c r="E71" s="19">
        <v>7268212</v>
      </c>
      <c r="F71" s="19">
        <v>14378201</v>
      </c>
      <c r="G71" s="19">
        <v>10569069</v>
      </c>
      <c r="H71" s="19"/>
      <c r="I71" s="19">
        <v>86474031</v>
      </c>
      <c r="J71" s="19" t="s">
        <v>4</v>
      </c>
      <c r="K71" s="19">
        <v>2590594</v>
      </c>
      <c r="L71" s="19" t="s">
        <v>130</v>
      </c>
      <c r="M71" s="19" t="s">
        <v>96</v>
      </c>
      <c r="N71" s="19">
        <v>399553</v>
      </c>
      <c r="O71" s="19">
        <v>40734030</v>
      </c>
      <c r="P71" s="19"/>
      <c r="Q71" s="19">
        <v>1322249</v>
      </c>
      <c r="R71" s="19">
        <v>7425387</v>
      </c>
      <c r="S71" s="19">
        <v>101170614</v>
      </c>
      <c r="T71" s="19" t="s">
        <v>96</v>
      </c>
      <c r="U71" s="19">
        <v>10540629</v>
      </c>
      <c r="V71" s="19" t="s">
        <v>128</v>
      </c>
      <c r="W71" s="19">
        <v>19260875</v>
      </c>
      <c r="X71" s="19">
        <v>90231775</v>
      </c>
      <c r="Y71" s="19"/>
      <c r="Z71" s="19">
        <v>49931688</v>
      </c>
      <c r="AA71" s="19">
        <v>94105423</v>
      </c>
      <c r="AB71" s="19"/>
      <c r="AC71" s="19">
        <v>24225264</v>
      </c>
      <c r="AD71" s="19">
        <v>41285256</v>
      </c>
      <c r="AE71" s="19">
        <v>77984717</v>
      </c>
      <c r="AF71" s="19">
        <v>17912398</v>
      </c>
      <c r="AG71" s="19"/>
      <c r="AH71" s="19">
        <v>4058110</v>
      </c>
      <c r="AI71" s="19">
        <v>15842431</v>
      </c>
      <c r="AJ71" s="19">
        <v>8569197</v>
      </c>
      <c r="AK71" s="19" t="s">
        <v>89</v>
      </c>
      <c r="AL71" s="19">
        <v>60566671</v>
      </c>
      <c r="AM71" s="19" t="s">
        <v>4</v>
      </c>
      <c r="AN71" s="19">
        <v>15102401</v>
      </c>
      <c r="AO71" s="19">
        <v>12753894</v>
      </c>
      <c r="AP71" s="19"/>
      <c r="AQ71" s="19" t="s">
        <v>96</v>
      </c>
      <c r="AR71" s="19">
        <v>6719721</v>
      </c>
      <c r="AS71" s="19">
        <v>32294150</v>
      </c>
      <c r="AT71" s="19">
        <v>71435398</v>
      </c>
      <c r="AU71" s="19">
        <v>21180798</v>
      </c>
      <c r="AV71" s="19">
        <v>8000000</v>
      </c>
      <c r="AW71" s="19">
        <v>11359710</v>
      </c>
      <c r="AX71" s="19" t="s">
        <v>4</v>
      </c>
      <c r="AY71" s="19">
        <v>11950097</v>
      </c>
      <c r="AZ71" s="19">
        <v>4310957</v>
      </c>
      <c r="BA71" s="19">
        <v>35170997</v>
      </c>
      <c r="BB71" s="19"/>
      <c r="BC71" s="19" t="s">
        <v>4</v>
      </c>
      <c r="BD71" s="19" t="s">
        <v>128</v>
      </c>
      <c r="BE71" s="19">
        <v>92424690</v>
      </c>
      <c r="BF71" s="19">
        <v>37254525</v>
      </c>
      <c r="BG71" s="19">
        <v>19213521</v>
      </c>
      <c r="BH71" s="19">
        <v>29483860</v>
      </c>
      <c r="BI71" s="19"/>
      <c r="BJ71" s="19">
        <v>4875384</v>
      </c>
      <c r="BK71" s="19">
        <v>27784774</v>
      </c>
      <c r="BL71" s="19"/>
      <c r="BM71" s="19">
        <v>11823340</v>
      </c>
      <c r="BN71" s="19">
        <v>18410</v>
      </c>
      <c r="BO71" s="19">
        <v>6173008</v>
      </c>
      <c r="BP71" s="19" t="s">
        <v>96</v>
      </c>
      <c r="BQ71" s="19" t="s">
        <v>4</v>
      </c>
      <c r="BR71" s="19">
        <v>1709400</v>
      </c>
      <c r="BS71" s="19">
        <v>380492</v>
      </c>
      <c r="BT71" s="19">
        <v>1736887</v>
      </c>
      <c r="BU71" s="19">
        <v>8784082</v>
      </c>
      <c r="BV71" s="19">
        <v>3931368</v>
      </c>
      <c r="BW71" s="19"/>
      <c r="BX71" s="19">
        <v>688242</v>
      </c>
      <c r="BY71" s="19">
        <v>29122497</v>
      </c>
      <c r="BZ71" s="19"/>
      <c r="CA71" s="19">
        <v>16488030</v>
      </c>
      <c r="CB71" s="19">
        <v>3106652</v>
      </c>
      <c r="CC71" s="19"/>
      <c r="CD71" s="19"/>
      <c r="CE71" s="19">
        <v>1796357</v>
      </c>
      <c r="CF71" s="19">
        <v>48002204</v>
      </c>
      <c r="CG71" s="19"/>
      <c r="CH71" s="19"/>
      <c r="CI71" s="19" t="s">
        <v>128</v>
      </c>
      <c r="CJ71" s="19" t="s">
        <v>89</v>
      </c>
      <c r="CK71" s="19">
        <v>128100516</v>
      </c>
      <c r="CL71" s="19">
        <v>15710824</v>
      </c>
      <c r="CM71" s="19">
        <v>6211261</v>
      </c>
      <c r="CN71" s="19">
        <v>115722</v>
      </c>
      <c r="CO71" s="19"/>
      <c r="CP71" s="19">
        <v>39313644</v>
      </c>
      <c r="CQ71" s="19" t="s">
        <v>96</v>
      </c>
      <c r="CR71" s="19">
        <v>166234</v>
      </c>
      <c r="CS71" s="19">
        <v>9598744</v>
      </c>
      <c r="CT71" s="19">
        <v>3829237</v>
      </c>
      <c r="CU71" s="19"/>
      <c r="CV71" s="19">
        <v>3206362</v>
      </c>
      <c r="CW71" s="19"/>
      <c r="CX71" s="19"/>
      <c r="CY71" s="19">
        <v>39972127</v>
      </c>
      <c r="CZ71" s="19">
        <v>2920684</v>
      </c>
      <c r="DA71" s="19"/>
      <c r="DB71" s="19">
        <v>12103749</v>
      </c>
      <c r="DC71" s="19">
        <v>66436</v>
      </c>
      <c r="DD71" s="19">
        <v>4744701</v>
      </c>
      <c r="DE71" s="19" t="s">
        <v>89</v>
      </c>
      <c r="DF71" s="19">
        <v>632073</v>
      </c>
      <c r="DG71" s="19">
        <v>1122964</v>
      </c>
      <c r="DH71" s="19">
        <v>3536052</v>
      </c>
      <c r="DI71" s="19" t="s">
        <v>128</v>
      </c>
      <c r="DJ71" s="19"/>
      <c r="DK71" s="19">
        <v>61202920</v>
      </c>
      <c r="DL71" s="19">
        <v>6984177</v>
      </c>
      <c r="DM71" s="19">
        <v>24181026</v>
      </c>
      <c r="DN71" s="19">
        <v>7366376</v>
      </c>
      <c r="DO71" s="19">
        <v>1402531</v>
      </c>
      <c r="DP71" s="19">
        <v>18502214</v>
      </c>
      <c r="DQ71" s="19">
        <v>10978416</v>
      </c>
      <c r="DR71" s="19">
        <v>38890314</v>
      </c>
      <c r="DS71" s="19">
        <v>5718295</v>
      </c>
      <c r="DT71" s="19">
        <v>12391071</v>
      </c>
      <c r="DU71" s="19">
        <v>1032392</v>
      </c>
      <c r="DV71" s="19"/>
      <c r="DW71" s="19">
        <v>4221691</v>
      </c>
      <c r="DX71" s="19">
        <v>5495444</v>
      </c>
      <c r="DY71" s="19">
        <v>12467886</v>
      </c>
      <c r="DZ71" s="19">
        <v>11489622</v>
      </c>
      <c r="EA71" s="19">
        <v>1124019</v>
      </c>
      <c r="EB71" s="19">
        <v>48310188</v>
      </c>
      <c r="EC71" s="19">
        <v>4134846</v>
      </c>
      <c r="ED71" s="19"/>
      <c r="EE71" s="19">
        <v>6130118</v>
      </c>
      <c r="EF71" s="19">
        <v>77377229</v>
      </c>
      <c r="EG71" s="19">
        <v>35385820</v>
      </c>
      <c r="EH71" s="19">
        <v>58945538</v>
      </c>
      <c r="EI71" s="19">
        <v>13421722</v>
      </c>
      <c r="EJ71" s="19"/>
      <c r="EK71" s="19">
        <v>1275542</v>
      </c>
      <c r="EL71" s="19">
        <v>4387150</v>
      </c>
      <c r="EM71" s="19"/>
      <c r="EN71" s="19">
        <v>3345582</v>
      </c>
      <c r="EO71" s="19">
        <v>17086666</v>
      </c>
      <c r="EP71" s="19"/>
      <c r="EQ71" s="19">
        <v>10608144</v>
      </c>
      <c r="ER71" s="19">
        <v>49480557</v>
      </c>
      <c r="ES71" s="19">
        <v>49901491</v>
      </c>
      <c r="ET71" s="19">
        <v>328229</v>
      </c>
      <c r="EU71" s="19"/>
      <c r="EV71" s="19">
        <v>3759101</v>
      </c>
      <c r="EW71" s="19">
        <v>5297397</v>
      </c>
      <c r="EX71" s="19">
        <v>20810366</v>
      </c>
      <c r="EY71" s="19">
        <v>67256649</v>
      </c>
      <c r="EZ71" s="19">
        <v>6153506</v>
      </c>
      <c r="FA71" s="19">
        <v>10244419</v>
      </c>
      <c r="FB71" s="19">
        <v>7643904</v>
      </c>
      <c r="FC71" s="19">
        <v>11990667</v>
      </c>
      <c r="FD71" s="19">
        <v>2584118</v>
      </c>
      <c r="FE71" s="19">
        <v>72040335</v>
      </c>
      <c r="FF71" s="19"/>
      <c r="FG71" s="19">
        <v>14538556</v>
      </c>
      <c r="FH71" s="19">
        <v>2954299</v>
      </c>
      <c r="FI71" s="19">
        <v>501223</v>
      </c>
      <c r="FJ71" s="19"/>
      <c r="FK71" s="19">
        <v>9177873</v>
      </c>
      <c r="FL71" s="19">
        <v>4008739</v>
      </c>
      <c r="FM71" s="19">
        <v>8654751</v>
      </c>
      <c r="FN71" s="19">
        <v>5503368</v>
      </c>
      <c r="FO71" s="19">
        <v>193827</v>
      </c>
      <c r="FP71" s="19">
        <v>3190738</v>
      </c>
      <c r="FQ71" s="19">
        <v>1433902</v>
      </c>
      <c r="FR71" s="19">
        <v>3756494</v>
      </c>
      <c r="FS71" s="19">
        <v>986240</v>
      </c>
      <c r="FT71" s="19">
        <v>7622668</v>
      </c>
      <c r="FU71" s="19"/>
      <c r="FV71" s="19">
        <v>28579845</v>
      </c>
      <c r="FW71" s="19">
        <v>2686478</v>
      </c>
      <c r="FX71" s="19">
        <v>5623764</v>
      </c>
      <c r="FY71" s="19">
        <v>21350817</v>
      </c>
      <c r="FZ71" s="19">
        <v>13677439</v>
      </c>
      <c r="GA71" s="19"/>
      <c r="GB71" s="19">
        <v>728000</v>
      </c>
      <c r="GC71" s="19">
        <v>10899982</v>
      </c>
      <c r="GD71" s="19" t="s">
        <v>96</v>
      </c>
      <c r="GE71" s="19">
        <v>5711263</v>
      </c>
      <c r="GF71" s="19">
        <v>256396</v>
      </c>
      <c r="GG71" s="19">
        <v>4277942</v>
      </c>
      <c r="GH71" s="19">
        <v>11292600</v>
      </c>
      <c r="GI71" s="19">
        <v>4026639</v>
      </c>
      <c r="GJ71" s="19"/>
      <c r="GK71" s="19">
        <v>369011</v>
      </c>
      <c r="GL71" s="19">
        <v>588897</v>
      </c>
      <c r="GM71" s="19">
        <v>1340125</v>
      </c>
      <c r="GN71" s="19">
        <v>40110321</v>
      </c>
      <c r="GO71" s="19">
        <v>34431170</v>
      </c>
      <c r="GP71" s="19">
        <v>100482810</v>
      </c>
      <c r="GQ71" s="19"/>
      <c r="GR71" s="19">
        <v>9124569</v>
      </c>
      <c r="GS71" s="19">
        <v>73342790</v>
      </c>
      <c r="GT71" s="19">
        <v>14336418</v>
      </c>
      <c r="GU71" s="19">
        <v>588443</v>
      </c>
      <c r="GV71" s="19">
        <v>2383035</v>
      </c>
      <c r="GW71" s="19">
        <v>23091695</v>
      </c>
      <c r="GX71" s="19">
        <v>17845874</v>
      </c>
      <c r="GY71" s="19"/>
      <c r="GZ71" s="19">
        <v>5282057</v>
      </c>
      <c r="HA71" s="19">
        <v>15330759</v>
      </c>
      <c r="HB71" s="37"/>
      <c r="HC71" s="19">
        <v>14006685</v>
      </c>
      <c r="HD71" s="19">
        <v>120163</v>
      </c>
      <c r="HE71" s="19">
        <v>12411321</v>
      </c>
      <c r="HF71" s="19">
        <v>589786</v>
      </c>
      <c r="HG71" s="19"/>
      <c r="HH71" s="19"/>
      <c r="HI71" s="19">
        <v>16670005</v>
      </c>
      <c r="HJ71" s="19">
        <v>3213010</v>
      </c>
      <c r="HK71" s="19">
        <v>25368987</v>
      </c>
      <c r="HL71" s="19"/>
      <c r="HM71" s="19">
        <v>4466929</v>
      </c>
      <c r="HN71" s="19">
        <v>666054</v>
      </c>
      <c r="HO71" s="19">
        <v>1975285</v>
      </c>
      <c r="HP71" s="19">
        <v>3856663</v>
      </c>
      <c r="HQ71" s="41"/>
      <c r="HR71" s="41">
        <v>2768999</v>
      </c>
      <c r="HS71" s="41">
        <v>579452</v>
      </c>
      <c r="HT71" s="41"/>
      <c r="HU71" s="41">
        <v>6827100</v>
      </c>
      <c r="HV71" s="41">
        <v>2291453</v>
      </c>
      <c r="HW71" s="41">
        <v>119493778</v>
      </c>
      <c r="HX71" s="41">
        <v>14339208</v>
      </c>
      <c r="HY71" s="41" t="s">
        <v>114</v>
      </c>
      <c r="HZ71" s="41">
        <v>88959324</v>
      </c>
      <c r="IA71" s="41"/>
      <c r="IB71" s="41">
        <v>2976832</v>
      </c>
      <c r="IC71" s="41">
        <v>11559593</v>
      </c>
      <c r="ID71" s="41">
        <v>322512</v>
      </c>
      <c r="IE71" s="41" t="s">
        <v>4</v>
      </c>
      <c r="IF71" s="41"/>
      <c r="IG71" s="41">
        <v>315000</v>
      </c>
      <c r="IH71" s="41">
        <v>1871331</v>
      </c>
      <c r="II71" s="41">
        <v>4930943</v>
      </c>
      <c r="IJ71" s="41">
        <v>4129565</v>
      </c>
      <c r="IK71" s="41">
        <v>1713432</v>
      </c>
      <c r="IL71" s="41">
        <v>224093</v>
      </c>
      <c r="IM71" s="41"/>
      <c r="IN71" s="41"/>
      <c r="IO71" s="41">
        <v>5645944</v>
      </c>
      <c r="IP71" s="41"/>
      <c r="IQ71" s="41">
        <v>2587064</v>
      </c>
      <c r="IR71" s="41">
        <v>8290606</v>
      </c>
      <c r="IS71" s="41">
        <v>127343709</v>
      </c>
      <c r="IT71" s="41">
        <v>2719496</v>
      </c>
      <c r="IU71" s="41">
        <v>5180076</v>
      </c>
      <c r="IV71" s="41"/>
      <c r="IW71" s="41">
        <v>2613338</v>
      </c>
      <c r="IX71" s="41" t="s">
        <v>114</v>
      </c>
      <c r="IY71" s="41"/>
      <c r="IZ71" s="41">
        <v>71481010</v>
      </c>
      <c r="JA71" s="41">
        <v>1044479</v>
      </c>
      <c r="JB71" s="41"/>
      <c r="JC71" s="41">
        <v>849454</v>
      </c>
      <c r="JD71" s="41">
        <v>358940</v>
      </c>
      <c r="JE71" s="41" t="s">
        <v>114</v>
      </c>
      <c r="JF71" s="41">
        <v>1236845</v>
      </c>
      <c r="JG71" s="41">
        <v>51236687</v>
      </c>
      <c r="JH71" s="41"/>
      <c r="JI71" s="41"/>
      <c r="JJ71" s="41">
        <v>41662059</v>
      </c>
      <c r="JK71" s="41">
        <v>8079518</v>
      </c>
      <c r="JL71" s="41">
        <v>291140</v>
      </c>
      <c r="JM71" s="41"/>
      <c r="JN71" s="41"/>
      <c r="JO71" s="41">
        <v>4672250</v>
      </c>
      <c r="JP71" s="41" t="s">
        <v>4</v>
      </c>
      <c r="JQ71" s="41">
        <v>6238073</v>
      </c>
      <c r="JR71" s="41"/>
      <c r="JS71" s="41">
        <v>4440971</v>
      </c>
      <c r="JT71" s="41"/>
      <c r="JU71" s="41">
        <v>351107</v>
      </c>
      <c r="JV71" s="41">
        <v>6924130</v>
      </c>
      <c r="JW71" s="41">
        <v>35811375</v>
      </c>
      <c r="JX71" s="41">
        <v>1526869</v>
      </c>
      <c r="JY71" s="41">
        <v>18216373</v>
      </c>
      <c r="JZ71" s="41">
        <v>4601177</v>
      </c>
      <c r="KA71" s="41">
        <v>6596240</v>
      </c>
      <c r="KB71" s="41"/>
      <c r="KC71" s="41"/>
      <c r="KD71" s="41">
        <v>18977008</v>
      </c>
    </row>
    <row r="72" spans="1:290">
      <c r="A72" s="9" t="s">
        <v>122</v>
      </c>
      <c r="B72" s="15" t="s">
        <v>29</v>
      </c>
      <c r="C72" s="19">
        <v>2195000</v>
      </c>
      <c r="D72" s="19">
        <v>0</v>
      </c>
      <c r="E72" s="19">
        <v>16410500</v>
      </c>
      <c r="F72" s="19">
        <v>32500000</v>
      </c>
      <c r="G72" s="19">
        <v>3610000</v>
      </c>
      <c r="H72" s="19"/>
      <c r="I72" s="19">
        <v>108375886</v>
      </c>
      <c r="J72" s="19" t="s">
        <v>4</v>
      </c>
      <c r="K72" s="19"/>
      <c r="L72" s="19" t="s">
        <v>130</v>
      </c>
      <c r="M72" s="19" t="s">
        <v>96</v>
      </c>
      <c r="N72" s="19">
        <v>495000</v>
      </c>
      <c r="O72" s="19">
        <v>963840</v>
      </c>
      <c r="P72" s="19"/>
      <c r="Q72" s="19"/>
      <c r="R72" s="19"/>
      <c r="S72" s="19">
        <v>311512660</v>
      </c>
      <c r="T72" s="19" t="s">
        <v>96</v>
      </c>
      <c r="U72" s="19">
        <v>1000000</v>
      </c>
      <c r="V72" s="19" t="s">
        <v>128</v>
      </c>
      <c r="W72" s="19"/>
      <c r="X72" s="19">
        <v>99900000</v>
      </c>
      <c r="Y72" s="19"/>
      <c r="Z72" s="19"/>
      <c r="AA72" s="19">
        <v>4417500</v>
      </c>
      <c r="AB72" s="19">
        <v>21200000</v>
      </c>
      <c r="AC72" s="19">
        <v>3480000</v>
      </c>
      <c r="AD72" s="19">
        <v>19645279</v>
      </c>
      <c r="AE72" s="19"/>
      <c r="AF72" s="19"/>
      <c r="AG72" s="19"/>
      <c r="AH72" s="19">
        <v>20422825</v>
      </c>
      <c r="AI72" s="19">
        <v>1600000</v>
      </c>
      <c r="AJ72" s="19">
        <v>8075564</v>
      </c>
      <c r="AK72" s="19" t="s">
        <v>89</v>
      </c>
      <c r="AL72" s="19">
        <v>21425511</v>
      </c>
      <c r="AM72" s="19" t="s">
        <v>4</v>
      </c>
      <c r="AN72" s="19">
        <v>2580000</v>
      </c>
      <c r="AO72" s="19"/>
      <c r="AP72" s="19">
        <v>7342274</v>
      </c>
      <c r="AQ72" s="19" t="s">
        <v>96</v>
      </c>
      <c r="AR72" s="19">
        <v>360000</v>
      </c>
      <c r="AS72" s="19">
        <v>200000</v>
      </c>
      <c r="AT72" s="19">
        <v>21000000</v>
      </c>
      <c r="AU72" s="19">
        <v>1300000</v>
      </c>
      <c r="AV72" s="19"/>
      <c r="AW72" s="19">
        <v>120000</v>
      </c>
      <c r="AX72" s="19" t="s">
        <v>4</v>
      </c>
      <c r="AY72" s="19"/>
      <c r="AZ72" s="19">
        <v>1188600</v>
      </c>
      <c r="BA72" s="19">
        <v>2400169</v>
      </c>
      <c r="BB72" s="19">
        <v>450000</v>
      </c>
      <c r="BC72" s="19" t="s">
        <v>4</v>
      </c>
      <c r="BD72" s="19" t="s">
        <v>128</v>
      </c>
      <c r="BE72" s="19">
        <v>10145000</v>
      </c>
      <c r="BF72" s="19">
        <v>2000000</v>
      </c>
      <c r="BG72" s="19">
        <v>5744037</v>
      </c>
      <c r="BH72" s="19">
        <v>16589700</v>
      </c>
      <c r="BI72" s="19">
        <v>4000000</v>
      </c>
      <c r="BJ72" s="19">
        <v>760000</v>
      </c>
      <c r="BK72" s="19"/>
      <c r="BL72" s="19"/>
      <c r="BM72" s="19">
        <v>4000000</v>
      </c>
      <c r="BN72" s="19">
        <v>3190000</v>
      </c>
      <c r="BO72" s="19">
        <v>800000</v>
      </c>
      <c r="BP72" s="19" t="s">
        <v>96</v>
      </c>
      <c r="BQ72" s="19" t="s">
        <v>4</v>
      </c>
      <c r="BR72" s="19">
        <v>1094200</v>
      </c>
      <c r="BS72" s="19"/>
      <c r="BT72" s="19"/>
      <c r="BU72" s="19">
        <v>21294</v>
      </c>
      <c r="BV72" s="19">
        <v>500000</v>
      </c>
      <c r="BW72" s="19">
        <v>42600000</v>
      </c>
      <c r="BX72" s="19">
        <v>300000</v>
      </c>
      <c r="BY72" s="19">
        <v>122181235</v>
      </c>
      <c r="BZ72" s="19">
        <v>111601980</v>
      </c>
      <c r="CA72" s="19"/>
      <c r="CB72" s="19">
        <v>1680000</v>
      </c>
      <c r="CC72" s="19"/>
      <c r="CD72" s="19">
        <v>4500000</v>
      </c>
      <c r="CE72" s="19">
        <v>2000000</v>
      </c>
      <c r="CF72" s="19">
        <v>100000</v>
      </c>
      <c r="CG72" s="19">
        <v>550000</v>
      </c>
      <c r="CH72" s="19">
        <v>5022000</v>
      </c>
      <c r="CI72" s="19" t="s">
        <v>128</v>
      </c>
      <c r="CJ72" s="19" t="s">
        <v>89</v>
      </c>
      <c r="CK72" s="19">
        <v>3000000</v>
      </c>
      <c r="CL72" s="19">
        <v>34468000</v>
      </c>
      <c r="CM72" s="19">
        <v>20190000</v>
      </c>
      <c r="CN72" s="19">
        <v>1000000</v>
      </c>
      <c r="CO72" s="19"/>
      <c r="CP72" s="19">
        <v>50000</v>
      </c>
      <c r="CQ72" s="19" t="s">
        <v>96</v>
      </c>
      <c r="CR72" s="19">
        <v>23491680</v>
      </c>
      <c r="CS72" s="19">
        <v>6002000</v>
      </c>
      <c r="CT72" s="19"/>
      <c r="CU72" s="19"/>
      <c r="CV72" s="19"/>
      <c r="CW72" s="19">
        <v>1350000</v>
      </c>
      <c r="CX72" s="19"/>
      <c r="CY72" s="19">
        <v>35319351</v>
      </c>
      <c r="CZ72" s="19">
        <v>3576680</v>
      </c>
      <c r="DA72" s="19">
        <v>3780000</v>
      </c>
      <c r="DB72" s="19">
        <v>1800000</v>
      </c>
      <c r="DC72" s="19"/>
      <c r="DD72" s="19"/>
      <c r="DE72" s="19" t="s">
        <v>89</v>
      </c>
      <c r="DF72" s="19">
        <v>200000</v>
      </c>
      <c r="DG72" s="19">
        <v>2525800</v>
      </c>
      <c r="DH72" s="19"/>
      <c r="DI72" s="19" t="s">
        <v>128</v>
      </c>
      <c r="DJ72" s="19">
        <v>1008000</v>
      </c>
      <c r="DK72" s="19">
        <v>2030000</v>
      </c>
      <c r="DL72" s="19">
        <v>3920332</v>
      </c>
      <c r="DM72" s="19">
        <v>23150000</v>
      </c>
      <c r="DN72" s="19"/>
      <c r="DO72" s="19">
        <v>890000</v>
      </c>
      <c r="DP72" s="19"/>
      <c r="DQ72" s="19"/>
      <c r="DR72" s="19">
        <v>100604506</v>
      </c>
      <c r="DS72" s="19"/>
      <c r="DT72" s="19">
        <v>22714500</v>
      </c>
      <c r="DU72" s="19"/>
      <c r="DV72" s="19"/>
      <c r="DW72" s="19">
        <v>720000</v>
      </c>
      <c r="DX72" s="19">
        <v>70000</v>
      </c>
      <c r="DY72" s="19">
        <v>5264610</v>
      </c>
      <c r="DZ72" s="19"/>
      <c r="EA72" s="19"/>
      <c r="EB72" s="19">
        <v>100000</v>
      </c>
      <c r="EC72" s="19">
        <v>3583700</v>
      </c>
      <c r="ED72" s="19"/>
      <c r="EE72" s="19">
        <v>2200000</v>
      </c>
      <c r="EF72" s="19">
        <v>14879200</v>
      </c>
      <c r="EG72" s="19">
        <v>5576000</v>
      </c>
      <c r="EH72" s="19"/>
      <c r="EI72" s="19">
        <v>360000</v>
      </c>
      <c r="EJ72" s="19">
        <v>3000000</v>
      </c>
      <c r="EK72" s="19"/>
      <c r="EL72" s="19">
        <v>1830000</v>
      </c>
      <c r="EM72" s="19">
        <v>4750000</v>
      </c>
      <c r="EN72" s="19">
        <v>2400000</v>
      </c>
      <c r="EO72" s="19">
        <v>56760731</v>
      </c>
      <c r="EP72" s="19"/>
      <c r="EQ72" s="19"/>
      <c r="ER72" s="19">
        <v>4736980</v>
      </c>
      <c r="ES72" s="19">
        <v>6621366</v>
      </c>
      <c r="ET72" s="19">
        <v>30212700</v>
      </c>
      <c r="EU72" s="19"/>
      <c r="EV72" s="19">
        <v>32268473</v>
      </c>
      <c r="EW72" s="19"/>
      <c r="EX72" s="19"/>
      <c r="EY72" s="19">
        <v>8700000</v>
      </c>
      <c r="EZ72" s="19"/>
      <c r="FA72" s="19">
        <v>150000</v>
      </c>
      <c r="FB72" s="19">
        <v>2540000</v>
      </c>
      <c r="FC72" s="19">
        <v>100000</v>
      </c>
      <c r="FD72" s="19"/>
      <c r="FE72" s="19">
        <v>342917914</v>
      </c>
      <c r="FF72" s="19">
        <v>1565100</v>
      </c>
      <c r="FG72" s="19"/>
      <c r="FH72" s="19"/>
      <c r="FI72" s="19">
        <v>18000000</v>
      </c>
      <c r="FJ72" s="19"/>
      <c r="FK72" s="19">
        <v>520000</v>
      </c>
      <c r="FL72" s="19"/>
      <c r="FM72" s="19"/>
      <c r="FN72" s="19"/>
      <c r="FO72" s="19"/>
      <c r="FP72" s="19"/>
      <c r="FQ72" s="19"/>
      <c r="FR72" s="19">
        <v>1300000</v>
      </c>
      <c r="FS72" s="19"/>
      <c r="FT72" s="19">
        <v>722727</v>
      </c>
      <c r="FU72" s="19"/>
      <c r="FV72" s="19"/>
      <c r="FW72" s="19">
        <v>600000</v>
      </c>
      <c r="FX72" s="19">
        <v>85000</v>
      </c>
      <c r="FY72" s="19"/>
      <c r="FZ72" s="19"/>
      <c r="GA72" s="19"/>
      <c r="GB72" s="19"/>
      <c r="GC72" s="19"/>
      <c r="GD72" s="19" t="s">
        <v>96</v>
      </c>
      <c r="GE72" s="19"/>
      <c r="GF72" s="19"/>
      <c r="GG72" s="19">
        <v>5294000</v>
      </c>
      <c r="GH72" s="19"/>
      <c r="GI72" s="19">
        <v>426132</v>
      </c>
      <c r="GJ72" s="19"/>
      <c r="GK72" s="19">
        <v>4518658</v>
      </c>
      <c r="GL72" s="19"/>
      <c r="GM72" s="19"/>
      <c r="GN72" s="19"/>
      <c r="GO72" s="19"/>
      <c r="GP72" s="19">
        <v>9400000</v>
      </c>
      <c r="GQ72" s="19"/>
      <c r="GR72" s="19">
        <v>5000000</v>
      </c>
      <c r="GS72" s="19"/>
      <c r="GT72" s="19">
        <v>337792</v>
      </c>
      <c r="GU72" s="19"/>
      <c r="GV72" s="19">
        <v>15780000</v>
      </c>
      <c r="GW72" s="19">
        <v>3200000</v>
      </c>
      <c r="GX72" s="19">
        <v>19481200</v>
      </c>
      <c r="GY72" s="19"/>
      <c r="GZ72" s="19">
        <v>15306000</v>
      </c>
      <c r="HA72" s="19"/>
      <c r="HB72" s="37"/>
      <c r="HC72" s="19"/>
      <c r="HD72" s="19"/>
      <c r="HE72" s="19">
        <v>423345</v>
      </c>
      <c r="HF72" s="19">
        <v>4000000</v>
      </c>
      <c r="HG72" s="19">
        <v>50000</v>
      </c>
      <c r="HH72" s="19"/>
      <c r="HI72" s="19"/>
      <c r="HJ72" s="19">
        <v>200000</v>
      </c>
      <c r="HK72" s="19">
        <v>3870000</v>
      </c>
      <c r="HL72" s="19"/>
      <c r="HM72" s="19"/>
      <c r="HN72" s="19"/>
      <c r="HO72" s="19">
        <v>38940000</v>
      </c>
      <c r="HP72" s="19"/>
      <c r="HQ72" s="41"/>
      <c r="HR72" s="41"/>
      <c r="HS72" s="41">
        <v>300000</v>
      </c>
      <c r="HT72" s="41"/>
      <c r="HU72" s="41"/>
      <c r="HV72" s="41">
        <v>750000</v>
      </c>
      <c r="HW72" s="41"/>
      <c r="HX72" s="41">
        <v>11640000</v>
      </c>
      <c r="HY72" s="41" t="s">
        <v>114</v>
      </c>
      <c r="HZ72" s="41">
        <v>23279500</v>
      </c>
      <c r="IA72" s="41">
        <v>300000</v>
      </c>
      <c r="IB72" s="41">
        <v>5035600</v>
      </c>
      <c r="IC72" s="41">
        <v>500000</v>
      </c>
      <c r="ID72" s="41">
        <v>600000</v>
      </c>
      <c r="IE72" s="41" t="s">
        <v>4</v>
      </c>
      <c r="IF72" s="41"/>
      <c r="IG72" s="41">
        <v>460000</v>
      </c>
      <c r="IH72" s="41"/>
      <c r="II72" s="41">
        <v>468045</v>
      </c>
      <c r="IJ72" s="41">
        <v>1652060</v>
      </c>
      <c r="IK72" s="41"/>
      <c r="IL72" s="41"/>
      <c r="IM72" s="41"/>
      <c r="IN72" s="41"/>
      <c r="IO72" s="41">
        <v>300000</v>
      </c>
      <c r="IP72" s="41"/>
      <c r="IQ72" s="41"/>
      <c r="IR72" s="41">
        <v>7000000</v>
      </c>
      <c r="IS72" s="41">
        <v>11400000</v>
      </c>
      <c r="IT72" s="41">
        <v>1633500</v>
      </c>
      <c r="IU72" s="41"/>
      <c r="IV72" s="41"/>
      <c r="IW72" s="41"/>
      <c r="IX72" s="41" t="s">
        <v>114</v>
      </c>
      <c r="IY72" s="41"/>
      <c r="IZ72" s="41">
        <v>3910000</v>
      </c>
      <c r="JA72" s="41">
        <v>520000</v>
      </c>
      <c r="JB72" s="41"/>
      <c r="JC72" s="41"/>
      <c r="JD72" s="41">
        <v>6000000</v>
      </c>
      <c r="JE72" s="41" t="s">
        <v>114</v>
      </c>
      <c r="JF72" s="41">
        <v>6021000</v>
      </c>
      <c r="JG72" s="41"/>
      <c r="JH72" s="41">
        <v>510000</v>
      </c>
      <c r="JI72" s="41"/>
      <c r="JJ72" s="41">
        <v>12586000</v>
      </c>
      <c r="JK72" s="41">
        <v>20910000</v>
      </c>
      <c r="JL72" s="41">
        <v>800000</v>
      </c>
      <c r="JM72" s="41"/>
      <c r="JN72" s="41"/>
      <c r="JO72" s="41">
        <v>6585000</v>
      </c>
      <c r="JP72" s="41" t="s">
        <v>4</v>
      </c>
      <c r="JQ72" s="41"/>
      <c r="JR72" s="41"/>
      <c r="JS72" s="41">
        <v>1700000</v>
      </c>
      <c r="JT72" s="41"/>
      <c r="JU72" s="41"/>
      <c r="JV72" s="41">
        <v>4000000</v>
      </c>
      <c r="JW72" s="41">
        <v>7200000</v>
      </c>
      <c r="JX72" s="41"/>
      <c r="JY72" s="41"/>
      <c r="JZ72" s="41">
        <v>100000</v>
      </c>
      <c r="KA72" s="41">
        <v>50000</v>
      </c>
      <c r="KB72" s="41"/>
      <c r="KC72" s="41">
        <v>1000000</v>
      </c>
      <c r="KD72" s="41"/>
    </row>
    <row r="73" spans="1:290">
      <c r="A73" s="9" t="s">
        <v>122</v>
      </c>
      <c r="B73" s="15" t="s">
        <v>57</v>
      </c>
      <c r="C73" s="19">
        <v>0</v>
      </c>
      <c r="D73" s="19">
        <v>0</v>
      </c>
      <c r="E73" s="19">
        <v>0</v>
      </c>
      <c r="F73" s="19">
        <v>58272</v>
      </c>
      <c r="G73" s="19">
        <v>0</v>
      </c>
      <c r="H73" s="19"/>
      <c r="I73" s="19">
        <v>49183502</v>
      </c>
      <c r="J73" s="19" t="s">
        <v>4</v>
      </c>
      <c r="K73" s="19">
        <v>6704020</v>
      </c>
      <c r="L73" s="19" t="s">
        <v>130</v>
      </c>
      <c r="M73" s="19" t="s">
        <v>96</v>
      </c>
      <c r="N73" s="19"/>
      <c r="O73" s="19"/>
      <c r="P73" s="19"/>
      <c r="Q73" s="19"/>
      <c r="R73" s="19">
        <v>42222481</v>
      </c>
      <c r="S73" s="19"/>
      <c r="T73" s="19" t="s">
        <v>96</v>
      </c>
      <c r="U73" s="19">
        <v>2258</v>
      </c>
      <c r="V73" s="19" t="s">
        <v>128</v>
      </c>
      <c r="W73" s="19">
        <v>401800</v>
      </c>
      <c r="X73" s="19"/>
      <c r="Y73" s="19"/>
      <c r="Z73" s="19"/>
      <c r="AA73" s="19">
        <v>8947208</v>
      </c>
      <c r="AB73" s="19"/>
      <c r="AC73" s="19"/>
      <c r="AD73" s="19"/>
      <c r="AE73" s="19"/>
      <c r="AF73" s="19"/>
      <c r="AG73" s="19">
        <v>49242</v>
      </c>
      <c r="AH73" s="19"/>
      <c r="AI73" s="19"/>
      <c r="AJ73" s="19">
        <v>29290312</v>
      </c>
      <c r="AK73" s="19" t="s">
        <v>89</v>
      </c>
      <c r="AL73" s="19"/>
      <c r="AM73" s="19" t="s">
        <v>4</v>
      </c>
      <c r="AN73" s="19"/>
      <c r="AO73" s="19"/>
      <c r="AP73" s="19">
        <v>25000000</v>
      </c>
      <c r="AQ73" s="19" t="s">
        <v>96</v>
      </c>
      <c r="AR73" s="19">
        <v>10000000</v>
      </c>
      <c r="AS73" s="19"/>
      <c r="AT73" s="19"/>
      <c r="AU73" s="19"/>
      <c r="AV73" s="19"/>
      <c r="AW73" s="19">
        <v>6500000</v>
      </c>
      <c r="AX73" s="19" t="s">
        <v>4</v>
      </c>
      <c r="AY73" s="19"/>
      <c r="AZ73" s="19"/>
      <c r="BA73" s="19"/>
      <c r="BB73" s="19"/>
      <c r="BC73" s="19" t="s">
        <v>4</v>
      </c>
      <c r="BD73" s="19" t="s">
        <v>128</v>
      </c>
      <c r="BE73" s="19"/>
      <c r="BF73" s="19"/>
      <c r="BG73" s="19">
        <v>747319</v>
      </c>
      <c r="BH73" s="19"/>
      <c r="BI73" s="19"/>
      <c r="BJ73" s="19"/>
      <c r="BK73" s="19"/>
      <c r="BL73" s="19"/>
      <c r="BM73" s="19"/>
      <c r="BN73" s="19"/>
      <c r="BO73" s="19"/>
      <c r="BP73" s="19" t="s">
        <v>96</v>
      </c>
      <c r="BQ73" s="19" t="s">
        <v>4</v>
      </c>
      <c r="BR73" s="19"/>
      <c r="BS73" s="19"/>
      <c r="BT73" s="19"/>
      <c r="BU73" s="19"/>
      <c r="BV73" s="19"/>
      <c r="BW73" s="19"/>
      <c r="BX73" s="19"/>
      <c r="BY73" s="19"/>
      <c r="BZ73" s="19"/>
      <c r="CA73" s="19"/>
      <c r="CB73" s="19"/>
      <c r="CC73" s="19"/>
      <c r="CD73" s="19"/>
      <c r="CE73" s="19"/>
      <c r="CF73" s="19"/>
      <c r="CG73" s="19">
        <v>181514</v>
      </c>
      <c r="CH73" s="19"/>
      <c r="CI73" s="19" t="s">
        <v>128</v>
      </c>
      <c r="CJ73" s="19" t="s">
        <v>89</v>
      </c>
      <c r="CK73" s="19">
        <v>30222842</v>
      </c>
      <c r="CL73" s="19"/>
      <c r="CM73" s="19"/>
      <c r="CN73" s="19"/>
      <c r="CO73" s="19"/>
      <c r="CP73" s="19">
        <v>8798091</v>
      </c>
      <c r="CQ73" s="19" t="s">
        <v>96</v>
      </c>
      <c r="CR73" s="19"/>
      <c r="CS73" s="19"/>
      <c r="CT73" s="19"/>
      <c r="CU73" s="19"/>
      <c r="CV73" s="19"/>
      <c r="CW73" s="19">
        <v>11993086</v>
      </c>
      <c r="CX73" s="19">
        <v>49242</v>
      </c>
      <c r="CY73" s="19">
        <v>6063</v>
      </c>
      <c r="CZ73" s="19">
        <v>118444</v>
      </c>
      <c r="DA73" s="19"/>
      <c r="DB73" s="19"/>
      <c r="DC73" s="19"/>
      <c r="DD73" s="19"/>
      <c r="DE73" s="19" t="s">
        <v>89</v>
      </c>
      <c r="DF73" s="19"/>
      <c r="DG73" s="19"/>
      <c r="DH73" s="19"/>
      <c r="DI73" s="19" t="s">
        <v>128</v>
      </c>
      <c r="DJ73" s="19"/>
      <c r="DK73" s="19">
        <v>56175010</v>
      </c>
      <c r="DL73" s="19"/>
      <c r="DM73" s="19"/>
      <c r="DN73" s="19"/>
      <c r="DO73" s="19"/>
      <c r="DP73" s="19"/>
      <c r="DQ73" s="19"/>
      <c r="DR73" s="19"/>
      <c r="DS73" s="19"/>
      <c r="DT73" s="19"/>
      <c r="DU73" s="19"/>
      <c r="DV73" s="19"/>
      <c r="DW73" s="19"/>
      <c r="DX73" s="19"/>
      <c r="DY73" s="19"/>
      <c r="DZ73" s="19">
        <v>1501567</v>
      </c>
      <c r="EA73" s="19"/>
      <c r="EB73" s="19"/>
      <c r="EC73" s="19"/>
      <c r="ED73" s="19"/>
      <c r="EE73" s="19">
        <v>3556534</v>
      </c>
      <c r="EF73" s="19"/>
      <c r="EG73" s="19"/>
      <c r="EH73" s="19"/>
      <c r="EI73" s="19"/>
      <c r="EJ73" s="19"/>
      <c r="EK73" s="19"/>
      <c r="EL73" s="19"/>
      <c r="EM73" s="19"/>
      <c r="EN73" s="19"/>
      <c r="EO73" s="19"/>
      <c r="EP73" s="19"/>
      <c r="EQ73" s="19"/>
      <c r="ER73" s="19"/>
      <c r="ES73" s="19"/>
      <c r="ET73" s="19"/>
      <c r="EU73" s="19"/>
      <c r="EV73" s="19"/>
      <c r="EW73" s="19"/>
      <c r="EX73" s="19"/>
      <c r="EY73" s="19"/>
      <c r="EZ73" s="19"/>
      <c r="FA73" s="19"/>
      <c r="FB73" s="19"/>
      <c r="FC73" s="19"/>
      <c r="FD73" s="19"/>
      <c r="FE73" s="19"/>
      <c r="FF73" s="19"/>
      <c r="FG73" s="19"/>
      <c r="FH73" s="19"/>
      <c r="FI73" s="19"/>
      <c r="FJ73" s="19"/>
      <c r="FK73" s="19"/>
      <c r="FL73" s="19"/>
      <c r="FM73" s="19"/>
      <c r="FN73" s="19"/>
      <c r="FO73" s="19"/>
      <c r="FP73" s="19"/>
      <c r="FQ73" s="19"/>
      <c r="FR73" s="19"/>
      <c r="FS73" s="19"/>
      <c r="FT73" s="19"/>
      <c r="FU73" s="19"/>
      <c r="FV73" s="19"/>
      <c r="FW73" s="19"/>
      <c r="FX73" s="19"/>
      <c r="FY73" s="19"/>
      <c r="FZ73" s="19">
        <v>3927475</v>
      </c>
      <c r="GA73" s="19"/>
      <c r="GB73" s="19"/>
      <c r="GC73" s="19"/>
      <c r="GD73" s="19" t="s">
        <v>96</v>
      </c>
      <c r="GE73" s="19"/>
      <c r="GF73" s="19"/>
      <c r="GG73" s="19"/>
      <c r="GH73" s="19"/>
      <c r="GI73" s="19"/>
      <c r="GJ73" s="19"/>
      <c r="GK73" s="19"/>
      <c r="GL73" s="19">
        <v>345574</v>
      </c>
      <c r="GM73" s="19"/>
      <c r="GN73" s="19"/>
      <c r="GO73" s="19"/>
      <c r="GP73" s="19"/>
      <c r="GQ73" s="19"/>
      <c r="GR73" s="19"/>
      <c r="GS73" s="19"/>
      <c r="GT73" s="19"/>
      <c r="GU73" s="19"/>
      <c r="GV73" s="19"/>
      <c r="GW73" s="19">
        <v>14690000</v>
      </c>
      <c r="GX73" s="19"/>
      <c r="GY73" s="19"/>
      <c r="GZ73" s="19"/>
      <c r="HA73" s="19"/>
      <c r="HB73" s="37"/>
      <c r="HC73" s="19"/>
      <c r="HD73" s="19"/>
      <c r="HE73" s="19"/>
      <c r="HF73" s="19"/>
      <c r="HG73" s="19">
        <v>10364932</v>
      </c>
      <c r="HH73" s="19"/>
      <c r="HI73" s="19"/>
      <c r="HJ73" s="19"/>
      <c r="HK73" s="19"/>
      <c r="HL73" s="19"/>
      <c r="HM73" s="19"/>
      <c r="HN73" s="19"/>
      <c r="HO73" s="19"/>
      <c r="HP73" s="19"/>
      <c r="HQ73" s="41"/>
      <c r="HR73" s="41"/>
      <c r="HS73" s="41">
        <v>1039837</v>
      </c>
      <c r="HT73" s="41"/>
      <c r="HU73" s="41"/>
      <c r="HV73" s="41"/>
      <c r="HW73" s="41">
        <v>3173281</v>
      </c>
      <c r="HX73" s="41">
        <v>10051</v>
      </c>
      <c r="HY73" s="41" t="s">
        <v>114</v>
      </c>
      <c r="HZ73" s="41"/>
      <c r="IA73" s="41"/>
      <c r="IB73" s="41"/>
      <c r="IC73" s="41"/>
      <c r="ID73" s="41"/>
      <c r="IE73" s="41" t="s">
        <v>4</v>
      </c>
      <c r="IF73" s="41"/>
      <c r="IG73" s="41"/>
      <c r="IH73" s="41">
        <v>3180706</v>
      </c>
      <c r="II73" s="41"/>
      <c r="IJ73" s="41"/>
      <c r="IK73" s="41"/>
      <c r="IL73" s="41"/>
      <c r="IM73" s="41"/>
      <c r="IN73" s="41"/>
      <c r="IO73" s="41"/>
      <c r="IP73" s="41"/>
      <c r="IQ73" s="41"/>
      <c r="IR73" s="41">
        <v>1066516</v>
      </c>
      <c r="IS73" s="41">
        <v>10774016</v>
      </c>
      <c r="IT73" s="41">
        <v>2482581</v>
      </c>
      <c r="IU73" s="41"/>
      <c r="IV73" s="41"/>
      <c r="IW73" s="41"/>
      <c r="IX73" s="41" t="s">
        <v>114</v>
      </c>
      <c r="IY73" s="41"/>
      <c r="IZ73" s="41"/>
      <c r="JA73" s="41"/>
      <c r="JB73" s="41"/>
      <c r="JC73" s="41"/>
      <c r="JD73" s="41"/>
      <c r="JE73" s="41" t="s">
        <v>114</v>
      </c>
      <c r="JF73" s="41"/>
      <c r="JG73" s="41"/>
      <c r="JH73" s="41"/>
      <c r="JI73" s="41"/>
      <c r="JJ73" s="41"/>
      <c r="JK73" s="41"/>
      <c r="JL73" s="41"/>
      <c r="JM73" s="41"/>
      <c r="JN73" s="41"/>
      <c r="JO73" s="41"/>
      <c r="JP73" s="41" t="s">
        <v>4</v>
      </c>
      <c r="JQ73" s="41"/>
      <c r="JR73" s="41"/>
      <c r="JS73" s="41"/>
      <c r="JT73" s="41"/>
      <c r="JU73" s="41">
        <v>600000</v>
      </c>
      <c r="JV73" s="41"/>
      <c r="JW73" s="41"/>
      <c r="JX73" s="41"/>
      <c r="JY73" s="41"/>
      <c r="JZ73" s="41">
        <v>455264</v>
      </c>
      <c r="KA73" s="41">
        <v>50042</v>
      </c>
      <c r="KB73" s="41"/>
      <c r="KC73" s="41"/>
      <c r="KD73" s="41">
        <v>1000</v>
      </c>
    </row>
    <row r="74" spans="1:290">
      <c r="A74" s="9" t="s">
        <v>122</v>
      </c>
      <c r="B74" s="15" t="s">
        <v>9</v>
      </c>
      <c r="C74" s="19">
        <v>1255136</v>
      </c>
      <c r="D74" s="19">
        <v>31628</v>
      </c>
      <c r="E74" s="19">
        <v>-462974</v>
      </c>
      <c r="F74" s="19">
        <v>0</v>
      </c>
      <c r="G74" s="19">
        <v>0</v>
      </c>
      <c r="H74" s="19"/>
      <c r="I74" s="19">
        <v>36258</v>
      </c>
      <c r="J74" s="19" t="s">
        <v>4</v>
      </c>
      <c r="K74" s="19">
        <v>595516</v>
      </c>
      <c r="L74" s="19" t="s">
        <v>130</v>
      </c>
      <c r="M74" s="19" t="s">
        <v>96</v>
      </c>
      <c r="N74" s="19">
        <v>2192117</v>
      </c>
      <c r="O74" s="19">
        <v>476113</v>
      </c>
      <c r="P74" s="19">
        <v>658725</v>
      </c>
      <c r="Q74" s="19">
        <v>616190</v>
      </c>
      <c r="R74" s="19">
        <v>1612780</v>
      </c>
      <c r="S74" s="19">
        <v>3</v>
      </c>
      <c r="T74" s="19" t="s">
        <v>96</v>
      </c>
      <c r="U74" s="19">
        <v>9939</v>
      </c>
      <c r="V74" s="19" t="s">
        <v>128</v>
      </c>
      <c r="W74" s="19">
        <v>144602</v>
      </c>
      <c r="X74" s="19">
        <v>6904972</v>
      </c>
      <c r="Y74" s="19">
        <v>863438</v>
      </c>
      <c r="Z74" s="19">
        <v>45122</v>
      </c>
      <c r="AA74" s="19">
        <v>48784</v>
      </c>
      <c r="AB74" s="19">
        <v>99602</v>
      </c>
      <c r="AC74" s="19">
        <v>381361</v>
      </c>
      <c r="AD74" s="19">
        <v>2358250</v>
      </c>
      <c r="AE74" s="19"/>
      <c r="AF74" s="19"/>
      <c r="AG74" s="19">
        <v>2394365</v>
      </c>
      <c r="AH74" s="19">
        <v>1259302</v>
      </c>
      <c r="AI74" s="19">
        <v>566575</v>
      </c>
      <c r="AJ74" s="19">
        <v>1250313</v>
      </c>
      <c r="AK74" s="19" t="s">
        <v>89</v>
      </c>
      <c r="AL74" s="19">
        <v>502071</v>
      </c>
      <c r="AM74" s="19" t="s">
        <v>4</v>
      </c>
      <c r="AN74" s="19">
        <v>5048</v>
      </c>
      <c r="AO74" s="19">
        <v>51044</v>
      </c>
      <c r="AP74" s="19">
        <v>423158</v>
      </c>
      <c r="AQ74" s="19" t="s">
        <v>96</v>
      </c>
      <c r="AR74" s="19">
        <v>71963</v>
      </c>
      <c r="AS74" s="19">
        <v>18098</v>
      </c>
      <c r="AT74" s="19">
        <v>271623</v>
      </c>
      <c r="AU74" s="19">
        <v>1081792</v>
      </c>
      <c r="AV74" s="19"/>
      <c r="AW74" s="19">
        <v>667086</v>
      </c>
      <c r="AX74" s="19" t="s">
        <v>4</v>
      </c>
      <c r="AY74" s="19">
        <v>8471365</v>
      </c>
      <c r="AZ74" s="19">
        <v>316765</v>
      </c>
      <c r="BA74" s="19">
        <v>1911087</v>
      </c>
      <c r="BB74" s="19"/>
      <c r="BC74" s="19" t="s">
        <v>4</v>
      </c>
      <c r="BD74" s="19" t="s">
        <v>128</v>
      </c>
      <c r="BE74" s="19">
        <v>766092</v>
      </c>
      <c r="BF74" s="19">
        <v>93493</v>
      </c>
      <c r="BG74" s="19">
        <v>9006974</v>
      </c>
      <c r="BH74" s="19">
        <v>212925</v>
      </c>
      <c r="BI74" s="19">
        <v>29526</v>
      </c>
      <c r="BJ74" s="19">
        <v>146200</v>
      </c>
      <c r="BK74" s="19">
        <v>607103</v>
      </c>
      <c r="BL74" s="19">
        <v>160122</v>
      </c>
      <c r="BM74" s="19">
        <v>568</v>
      </c>
      <c r="BN74" s="19">
        <v>87721</v>
      </c>
      <c r="BO74" s="19">
        <v>56</v>
      </c>
      <c r="BP74" s="19" t="s">
        <v>96</v>
      </c>
      <c r="BQ74" s="19" t="s">
        <v>4</v>
      </c>
      <c r="BR74" s="19">
        <v>325340</v>
      </c>
      <c r="BS74" s="19">
        <v>172055</v>
      </c>
      <c r="BT74" s="19">
        <v>117999</v>
      </c>
      <c r="BU74" s="19">
        <v>760721</v>
      </c>
      <c r="BV74" s="19">
        <v>13</v>
      </c>
      <c r="BW74" s="19"/>
      <c r="BX74" s="19">
        <v>191</v>
      </c>
      <c r="BY74" s="19">
        <v>2097583</v>
      </c>
      <c r="BZ74" s="19">
        <v>55254</v>
      </c>
      <c r="CA74" s="19">
        <v>238246</v>
      </c>
      <c r="CB74" s="19">
        <v>400000</v>
      </c>
      <c r="CC74" s="19">
        <v>500</v>
      </c>
      <c r="CD74" s="19">
        <v>599693</v>
      </c>
      <c r="CE74" s="19"/>
      <c r="CF74" s="19">
        <v>126094</v>
      </c>
      <c r="CG74" s="19">
        <v>1035000</v>
      </c>
      <c r="CH74" s="19">
        <v>17970</v>
      </c>
      <c r="CI74" s="19" t="s">
        <v>128</v>
      </c>
      <c r="CJ74" s="19" t="s">
        <v>89</v>
      </c>
      <c r="CK74" s="19">
        <v>13939730</v>
      </c>
      <c r="CL74" s="19">
        <v>244686</v>
      </c>
      <c r="CM74" s="19">
        <v>820000</v>
      </c>
      <c r="CN74" s="19">
        <v>310573</v>
      </c>
      <c r="CO74" s="19">
        <v>3650</v>
      </c>
      <c r="CP74" s="19">
        <v>908960</v>
      </c>
      <c r="CQ74" s="19" t="s">
        <v>96</v>
      </c>
      <c r="CR74" s="19">
        <v>339528</v>
      </c>
      <c r="CS74" s="19"/>
      <c r="CT74" s="19">
        <v>64538</v>
      </c>
      <c r="CU74" s="19"/>
      <c r="CV74" s="19">
        <v>14771</v>
      </c>
      <c r="CW74" s="19">
        <v>274270</v>
      </c>
      <c r="CX74" s="19">
        <v>2394365</v>
      </c>
      <c r="CY74" s="19">
        <v>486407</v>
      </c>
      <c r="CZ74" s="19">
        <v>300000</v>
      </c>
      <c r="DA74" s="19"/>
      <c r="DB74" s="19">
        <v>7500</v>
      </c>
      <c r="DC74" s="19">
        <v>195666</v>
      </c>
      <c r="DD74" s="19">
        <v>5017200</v>
      </c>
      <c r="DE74" s="19" t="s">
        <v>89</v>
      </c>
      <c r="DF74" s="19">
        <v>22778</v>
      </c>
      <c r="DG74" s="19">
        <v>3935025</v>
      </c>
      <c r="DH74" s="19">
        <v>20</v>
      </c>
      <c r="DI74" s="19" t="s">
        <v>128</v>
      </c>
      <c r="DJ74" s="19">
        <v>22205</v>
      </c>
      <c r="DK74" s="19">
        <v>2342110</v>
      </c>
      <c r="DL74" s="19">
        <v>560068</v>
      </c>
      <c r="DM74" s="19">
        <v>1309283</v>
      </c>
      <c r="DN74" s="19">
        <v>2</v>
      </c>
      <c r="DO74" s="19">
        <v>2</v>
      </c>
      <c r="DP74" s="19">
        <v>35777</v>
      </c>
      <c r="DQ74" s="19"/>
      <c r="DR74" s="19">
        <v>9929252</v>
      </c>
      <c r="DS74" s="19">
        <v>712020</v>
      </c>
      <c r="DT74" s="19">
        <v>53664</v>
      </c>
      <c r="DU74" s="19"/>
      <c r="DV74" s="19">
        <v>40125</v>
      </c>
      <c r="DW74" s="19">
        <v>181885</v>
      </c>
      <c r="DX74" s="19">
        <v>2197535</v>
      </c>
      <c r="DY74" s="19">
        <v>1379000</v>
      </c>
      <c r="DZ74" s="19">
        <v>400806</v>
      </c>
      <c r="EA74" s="19"/>
      <c r="EB74" s="19">
        <v>18983888</v>
      </c>
      <c r="EC74" s="19">
        <v>257586</v>
      </c>
      <c r="ED74" s="19">
        <v>8</v>
      </c>
      <c r="EE74" s="19">
        <v>1323</v>
      </c>
      <c r="EF74" s="19">
        <v>196897406</v>
      </c>
      <c r="EG74" s="19">
        <v>1204088</v>
      </c>
      <c r="EH74" s="19">
        <v>24965929</v>
      </c>
      <c r="EI74" s="19">
        <v>11436584</v>
      </c>
      <c r="EJ74" s="19">
        <v>382824</v>
      </c>
      <c r="EK74" s="19">
        <v>87555</v>
      </c>
      <c r="EL74" s="19">
        <v>52730</v>
      </c>
      <c r="EM74" s="19">
        <v>46012</v>
      </c>
      <c r="EN74" s="19"/>
      <c r="EO74" s="19">
        <v>2437018</v>
      </c>
      <c r="EP74" s="19"/>
      <c r="EQ74" s="19"/>
      <c r="ER74" s="19">
        <v>4131480</v>
      </c>
      <c r="ES74" s="19">
        <v>51417</v>
      </c>
      <c r="ET74" s="19">
        <v>13943225</v>
      </c>
      <c r="EU74" s="19">
        <v>225352</v>
      </c>
      <c r="EV74" s="19">
        <v>54450</v>
      </c>
      <c r="EW74" s="19">
        <v>147920</v>
      </c>
      <c r="EX74" s="19">
        <v>842239</v>
      </c>
      <c r="EY74" s="19">
        <v>885127</v>
      </c>
      <c r="EZ74" s="19">
        <v>4804762</v>
      </c>
      <c r="FA74" s="19">
        <v>316270</v>
      </c>
      <c r="FB74" s="19">
        <v>3788</v>
      </c>
      <c r="FC74" s="19">
        <v>225500</v>
      </c>
      <c r="FD74" s="19">
        <v>16591</v>
      </c>
      <c r="FE74" s="19">
        <v>153364</v>
      </c>
      <c r="FF74" s="19">
        <v>50</v>
      </c>
      <c r="FG74" s="19">
        <v>1079484</v>
      </c>
      <c r="FH74" s="19">
        <v>237014</v>
      </c>
      <c r="FI74" s="19">
        <v>518828</v>
      </c>
      <c r="FJ74" s="19"/>
      <c r="FK74" s="19">
        <v>5664895</v>
      </c>
      <c r="FL74" s="19"/>
      <c r="FM74" s="19"/>
      <c r="FN74" s="19">
        <v>615</v>
      </c>
      <c r="FO74" s="19">
        <v>149</v>
      </c>
      <c r="FP74" s="19">
        <v>113858</v>
      </c>
      <c r="FQ74" s="19">
        <v>27810</v>
      </c>
      <c r="FR74" s="19">
        <v>74020</v>
      </c>
      <c r="FS74" s="19">
        <v>5091</v>
      </c>
      <c r="FT74" s="19">
        <v>22</v>
      </c>
      <c r="FU74" s="19">
        <v>1870</v>
      </c>
      <c r="FV74" s="19"/>
      <c r="FW74" s="19">
        <v>14758</v>
      </c>
      <c r="FX74" s="19">
        <v>257529</v>
      </c>
      <c r="FY74" s="19">
        <v>44910195</v>
      </c>
      <c r="FZ74" s="19"/>
      <c r="GA74" s="19">
        <v>1035</v>
      </c>
      <c r="GB74" s="19">
        <v>73678</v>
      </c>
      <c r="GC74" s="19">
        <v>81391</v>
      </c>
      <c r="GD74" s="19" t="s">
        <v>96</v>
      </c>
      <c r="GE74" s="19">
        <v>150532</v>
      </c>
      <c r="GF74" s="19">
        <v>15366</v>
      </c>
      <c r="GG74" s="19">
        <v>1392819</v>
      </c>
      <c r="GH74" s="19">
        <v>3006834</v>
      </c>
      <c r="GI74" s="19">
        <v>70163</v>
      </c>
      <c r="GJ74" s="19"/>
      <c r="GK74" s="19">
        <v>141893</v>
      </c>
      <c r="GL74" s="19">
        <v>1821</v>
      </c>
      <c r="GM74" s="19"/>
      <c r="GN74" s="19">
        <v>147482</v>
      </c>
      <c r="GO74" s="19">
        <v>2019144</v>
      </c>
      <c r="GP74" s="19">
        <v>3974141</v>
      </c>
      <c r="GQ74" s="19">
        <v>271422</v>
      </c>
      <c r="GR74" s="19">
        <v>1265295</v>
      </c>
      <c r="GS74" s="19">
        <v>241</v>
      </c>
      <c r="GT74" s="19">
        <v>644999</v>
      </c>
      <c r="GU74" s="19">
        <v>42620</v>
      </c>
      <c r="GV74" s="19">
        <v>723994</v>
      </c>
      <c r="GW74" s="19">
        <v>113049</v>
      </c>
      <c r="GX74" s="19">
        <v>28906</v>
      </c>
      <c r="GY74" s="19">
        <v>1006083</v>
      </c>
      <c r="GZ74" s="19">
        <v>5259188</v>
      </c>
      <c r="HA74" s="19">
        <v>1253</v>
      </c>
      <c r="HB74" s="37">
        <v>126047</v>
      </c>
      <c r="HC74" s="19"/>
      <c r="HD74" s="19">
        <v>1</v>
      </c>
      <c r="HE74" s="19">
        <v>9560</v>
      </c>
      <c r="HF74" s="19">
        <v>248214</v>
      </c>
      <c r="HG74" s="19">
        <v>609828</v>
      </c>
      <c r="HH74" s="19">
        <v>61579</v>
      </c>
      <c r="HI74" s="19">
        <v>9464</v>
      </c>
      <c r="HJ74" s="19">
        <v>113900</v>
      </c>
      <c r="HK74" s="19">
        <v>12095</v>
      </c>
      <c r="HL74" s="19">
        <v>288079</v>
      </c>
      <c r="HM74" s="19"/>
      <c r="HN74" s="19">
        <v>12155</v>
      </c>
      <c r="HO74" s="19">
        <v>147355</v>
      </c>
      <c r="HP74" s="19">
        <v>250823</v>
      </c>
      <c r="HQ74" s="41">
        <v>2014460</v>
      </c>
      <c r="HR74" s="41">
        <v>3768671</v>
      </c>
      <c r="HS74" s="41">
        <v>271918</v>
      </c>
      <c r="HT74" s="41">
        <v>10851</v>
      </c>
      <c r="HU74" s="41">
        <v>293</v>
      </c>
      <c r="HV74" s="41">
        <v>105600</v>
      </c>
      <c r="HW74" s="41">
        <v>3896081</v>
      </c>
      <c r="HX74" s="41">
        <v>94081</v>
      </c>
      <c r="HY74" s="41" t="s">
        <v>114</v>
      </c>
      <c r="HZ74" s="41">
        <v>799574</v>
      </c>
      <c r="IA74" s="41">
        <v>109300</v>
      </c>
      <c r="IB74" s="41">
        <v>25462</v>
      </c>
      <c r="IC74" s="41">
        <v>413386</v>
      </c>
      <c r="ID74" s="41">
        <v>103868</v>
      </c>
      <c r="IE74" s="41" t="s">
        <v>4</v>
      </c>
      <c r="IF74" s="41">
        <v>932295</v>
      </c>
      <c r="IG74" s="41">
        <v>299333</v>
      </c>
      <c r="IH74" s="41">
        <v>180</v>
      </c>
      <c r="II74" s="41">
        <v>62029</v>
      </c>
      <c r="IJ74" s="41">
        <v>400330</v>
      </c>
      <c r="IK74" s="41"/>
      <c r="IL74" s="41">
        <v>3</v>
      </c>
      <c r="IM74" s="41">
        <v>490</v>
      </c>
      <c r="IN74" s="41">
        <v>72920</v>
      </c>
      <c r="IO74" s="41">
        <v>397746</v>
      </c>
      <c r="IP74" s="41"/>
      <c r="IQ74" s="41">
        <v>74304</v>
      </c>
      <c r="IR74" s="41">
        <v>15385601</v>
      </c>
      <c r="IS74" s="41">
        <v>31062846</v>
      </c>
      <c r="IT74" s="41">
        <v>162051</v>
      </c>
      <c r="IU74" s="41">
        <v>96117</v>
      </c>
      <c r="IV74" s="41">
        <v>1030</v>
      </c>
      <c r="IW74" s="41">
        <v>1354790</v>
      </c>
      <c r="IX74" s="41" t="s">
        <v>114</v>
      </c>
      <c r="IY74" s="41"/>
      <c r="IZ74" s="41">
        <v>2787086</v>
      </c>
      <c r="JA74" s="41">
        <v>9</v>
      </c>
      <c r="JB74" s="41">
        <v>49028</v>
      </c>
      <c r="JC74" s="41">
        <v>180</v>
      </c>
      <c r="JD74" s="41">
        <v>43</v>
      </c>
      <c r="JE74" s="41" t="s">
        <v>114</v>
      </c>
      <c r="JF74" s="41">
        <v>296</v>
      </c>
      <c r="JG74" s="41">
        <v>1734282</v>
      </c>
      <c r="JH74" s="41">
        <v>9</v>
      </c>
      <c r="JI74" s="41">
        <v>366415</v>
      </c>
      <c r="JJ74" s="41">
        <v>12956</v>
      </c>
      <c r="JK74" s="41">
        <v>1119368</v>
      </c>
      <c r="JL74" s="41">
        <v>29636</v>
      </c>
      <c r="JM74" s="41">
        <v>213525</v>
      </c>
      <c r="JN74" s="41">
        <v>30000</v>
      </c>
      <c r="JO74" s="41">
        <v>656311</v>
      </c>
      <c r="JP74" s="41" t="s">
        <v>4</v>
      </c>
      <c r="JQ74" s="41">
        <v>320798</v>
      </c>
      <c r="JR74" s="41"/>
      <c r="JS74" s="41">
        <v>286332</v>
      </c>
      <c r="JT74" s="41"/>
      <c r="JU74" s="41">
        <v>19</v>
      </c>
      <c r="JV74" s="41"/>
      <c r="JW74" s="41"/>
      <c r="JX74" s="41">
        <v>247349</v>
      </c>
      <c r="JY74" s="41">
        <v>18662</v>
      </c>
      <c r="JZ74" s="41"/>
      <c r="KA74" s="41">
        <v>31</v>
      </c>
      <c r="KB74" s="41">
        <v>589994</v>
      </c>
      <c r="KC74" s="41">
        <v>600006</v>
      </c>
      <c r="KD74" s="41"/>
    </row>
    <row r="75" spans="1:290">
      <c r="A75" s="9" t="s">
        <v>122</v>
      </c>
      <c r="B75" s="15" t="s">
        <v>43</v>
      </c>
      <c r="C75" s="19">
        <v>0</v>
      </c>
      <c r="D75" s="19">
        <v>0</v>
      </c>
      <c r="E75" s="19"/>
      <c r="F75" s="19">
        <v>0</v>
      </c>
      <c r="G75" s="19">
        <v>0</v>
      </c>
      <c r="H75" s="19"/>
      <c r="I75" s="19"/>
      <c r="J75" s="19" t="s">
        <v>4</v>
      </c>
      <c r="K75" s="19">
        <v>18892</v>
      </c>
      <c r="L75" s="19" t="s">
        <v>130</v>
      </c>
      <c r="M75" s="19" t="s">
        <v>96</v>
      </c>
      <c r="N75" s="19"/>
      <c r="O75" s="19">
        <v>53700609</v>
      </c>
      <c r="P75" s="19">
        <v>911252</v>
      </c>
      <c r="Q75" s="19">
        <v>190870</v>
      </c>
      <c r="R75" s="19">
        <v>11100000</v>
      </c>
      <c r="S75" s="19"/>
      <c r="T75" s="19" t="s">
        <v>96</v>
      </c>
      <c r="U75" s="19">
        <v>612215</v>
      </c>
      <c r="V75" s="19" t="s">
        <v>128</v>
      </c>
      <c r="W75" s="19"/>
      <c r="X75" s="19"/>
      <c r="Y75" s="19"/>
      <c r="Z75" s="19"/>
      <c r="AA75" s="19"/>
      <c r="AB75" s="19">
        <v>142664</v>
      </c>
      <c r="AC75" s="19"/>
      <c r="AD75" s="19"/>
      <c r="AE75" s="19">
        <v>500013</v>
      </c>
      <c r="AF75" s="19"/>
      <c r="AG75" s="19">
        <v>18237</v>
      </c>
      <c r="AH75" s="19">
        <v>326</v>
      </c>
      <c r="AI75" s="19"/>
      <c r="AJ75" s="19"/>
      <c r="AK75" s="19" t="s">
        <v>89</v>
      </c>
      <c r="AL75" s="19">
        <v>343373</v>
      </c>
      <c r="AM75" s="19" t="s">
        <v>4</v>
      </c>
      <c r="AN75" s="19"/>
      <c r="AO75" s="19"/>
      <c r="AP75" s="19"/>
      <c r="AQ75" s="19" t="s">
        <v>96</v>
      </c>
      <c r="AR75" s="19"/>
      <c r="AS75" s="19"/>
      <c r="AT75" s="19"/>
      <c r="AU75" s="19"/>
      <c r="AV75" s="19"/>
      <c r="AW75" s="19">
        <v>296510</v>
      </c>
      <c r="AX75" s="19" t="s">
        <v>4</v>
      </c>
      <c r="AY75" s="19">
        <v>22000000</v>
      </c>
      <c r="AZ75" s="19"/>
      <c r="BA75" s="19">
        <v>30610123</v>
      </c>
      <c r="BB75" s="19"/>
      <c r="BC75" s="19" t="s">
        <v>4</v>
      </c>
      <c r="BD75" s="19" t="s">
        <v>128</v>
      </c>
      <c r="BE75" s="19"/>
      <c r="BF75" s="19"/>
      <c r="BG75" s="19">
        <v>113662</v>
      </c>
      <c r="BH75" s="19">
        <v>589703</v>
      </c>
      <c r="BI75" s="19"/>
      <c r="BJ75" s="19"/>
      <c r="BK75" s="19"/>
      <c r="BL75" s="19"/>
      <c r="BM75" s="19"/>
      <c r="BN75" s="19">
        <v>100000</v>
      </c>
      <c r="BO75" s="19"/>
      <c r="BP75" s="19" t="s">
        <v>96</v>
      </c>
      <c r="BQ75" s="19" t="s">
        <v>4</v>
      </c>
      <c r="BR75" s="19"/>
      <c r="BS75" s="19"/>
      <c r="BT75" s="19">
        <v>29770</v>
      </c>
      <c r="BU75" s="19">
        <v>491528</v>
      </c>
      <c r="BV75" s="19"/>
      <c r="BW75" s="19"/>
      <c r="BX75" s="19">
        <v>16154335</v>
      </c>
      <c r="BY75" s="19"/>
      <c r="BZ75" s="19"/>
      <c r="CA75" s="19"/>
      <c r="CB75" s="19"/>
      <c r="CC75" s="19">
        <v>3153079</v>
      </c>
      <c r="CD75" s="19"/>
      <c r="CE75" s="19"/>
      <c r="CF75" s="19">
        <v>914312</v>
      </c>
      <c r="CG75" s="19">
        <v>53485456</v>
      </c>
      <c r="CH75" s="19"/>
      <c r="CI75" s="19" t="s">
        <v>128</v>
      </c>
      <c r="CJ75" s="19" t="s">
        <v>89</v>
      </c>
      <c r="CK75" s="19"/>
      <c r="CL75" s="19"/>
      <c r="CM75" s="19">
        <v>47980000</v>
      </c>
      <c r="CN75" s="19">
        <v>219330</v>
      </c>
      <c r="CO75" s="19">
        <v>1133745</v>
      </c>
      <c r="CP75" s="19"/>
      <c r="CQ75" s="19" t="s">
        <v>96</v>
      </c>
      <c r="CR75" s="19">
        <v>9067</v>
      </c>
      <c r="CS75" s="19"/>
      <c r="CT75" s="19"/>
      <c r="CU75" s="19">
        <v>15384400</v>
      </c>
      <c r="CV75" s="19"/>
      <c r="CW75" s="19">
        <v>23935000</v>
      </c>
      <c r="CX75" s="19">
        <v>18237</v>
      </c>
      <c r="CY75" s="19">
        <v>303034630</v>
      </c>
      <c r="CZ75" s="19"/>
      <c r="DA75" s="19"/>
      <c r="DB75" s="19"/>
      <c r="DC75" s="19"/>
      <c r="DD75" s="19"/>
      <c r="DE75" s="19" t="s">
        <v>89</v>
      </c>
      <c r="DF75" s="19"/>
      <c r="DG75" s="19"/>
      <c r="DH75" s="19"/>
      <c r="DI75" s="19" t="s">
        <v>128</v>
      </c>
      <c r="DJ75" s="19"/>
      <c r="DK75" s="19">
        <v>13173087</v>
      </c>
      <c r="DL75" s="19"/>
      <c r="DM75" s="19">
        <v>23040000</v>
      </c>
      <c r="DN75" s="19"/>
      <c r="DO75" s="19"/>
      <c r="DP75" s="19"/>
      <c r="DQ75" s="19"/>
      <c r="DR75" s="19"/>
      <c r="DS75" s="19"/>
      <c r="DT75" s="19"/>
      <c r="DU75" s="19"/>
      <c r="DV75" s="19"/>
      <c r="DW75" s="19">
        <v>104252641</v>
      </c>
      <c r="DX75" s="19">
        <v>19004532</v>
      </c>
      <c r="DY75" s="19"/>
      <c r="DZ75" s="19"/>
      <c r="EA75" s="19"/>
      <c r="EB75" s="19">
        <v>270254072</v>
      </c>
      <c r="EC75" s="19"/>
      <c r="ED75" s="19"/>
      <c r="EE75" s="19"/>
      <c r="EF75" s="19">
        <v>31794</v>
      </c>
      <c r="EG75" s="19">
        <v>8183986</v>
      </c>
      <c r="EH75" s="19"/>
      <c r="EI75" s="19">
        <v>549900</v>
      </c>
      <c r="EJ75" s="19"/>
      <c r="EK75" s="19"/>
      <c r="EL75" s="19"/>
      <c r="EM75" s="19"/>
      <c r="EN75" s="19"/>
      <c r="EO75" s="19"/>
      <c r="EP75" s="19"/>
      <c r="EQ75" s="19"/>
      <c r="ER75" s="19"/>
      <c r="ES75" s="19">
        <v>108093</v>
      </c>
      <c r="ET75" s="19"/>
      <c r="EU75" s="19"/>
      <c r="EV75" s="19">
        <v>4243859</v>
      </c>
      <c r="EW75" s="19"/>
      <c r="EX75" s="19"/>
      <c r="EY75" s="19"/>
      <c r="EZ75" s="19"/>
      <c r="FA75" s="19"/>
      <c r="FB75" s="19"/>
      <c r="FC75" s="19"/>
      <c r="FD75" s="19">
        <v>504965</v>
      </c>
      <c r="FE75" s="19"/>
      <c r="FF75" s="19"/>
      <c r="FG75" s="19">
        <f>902316+1033087</f>
        <v>1935403</v>
      </c>
      <c r="FH75" s="19"/>
      <c r="FI75" s="19"/>
      <c r="FJ75" s="19"/>
      <c r="FK75" s="19">
        <v>163338551</v>
      </c>
      <c r="FL75" s="19"/>
      <c r="FM75" s="19"/>
      <c r="FN75" s="19"/>
      <c r="FO75" s="19"/>
      <c r="FP75" s="19"/>
      <c r="FQ75" s="19"/>
      <c r="FR75" s="19"/>
      <c r="FS75" s="19"/>
      <c r="FT75" s="19">
        <v>4376917</v>
      </c>
      <c r="FU75" s="19"/>
      <c r="FV75" s="19"/>
      <c r="FW75" s="19"/>
      <c r="FX75" s="19">
        <v>72256000</v>
      </c>
      <c r="FY75" s="19">
        <v>118331686</v>
      </c>
      <c r="FZ75" s="19">
        <v>6330012</v>
      </c>
      <c r="GA75" s="19"/>
      <c r="GB75" s="19"/>
      <c r="GC75" s="19"/>
      <c r="GD75" s="19" t="s">
        <v>96</v>
      </c>
      <c r="GE75" s="19"/>
      <c r="GF75" s="19"/>
      <c r="GG75" s="19"/>
      <c r="GH75" s="19"/>
      <c r="GI75" s="19"/>
      <c r="GJ75" s="19">
        <v>37533576</v>
      </c>
      <c r="GK75" s="19">
        <v>10230</v>
      </c>
      <c r="GL75" s="19"/>
      <c r="GM75" s="19"/>
      <c r="GN75" s="19"/>
      <c r="GO75" s="19">
        <v>5088126</v>
      </c>
      <c r="GP75" s="19">
        <v>241762</v>
      </c>
      <c r="GQ75" s="19">
        <v>13402</v>
      </c>
      <c r="GR75" s="19"/>
      <c r="GS75" s="19"/>
      <c r="GT75" s="19"/>
      <c r="GU75" s="19"/>
      <c r="GV75" s="19"/>
      <c r="GW75" s="19"/>
      <c r="GX75" s="19"/>
      <c r="GY75" s="19">
        <v>379433</v>
      </c>
      <c r="GZ75" s="19"/>
      <c r="HA75" s="19"/>
      <c r="HB75" s="37">
        <v>30598003</v>
      </c>
      <c r="HC75" s="19"/>
      <c r="HD75" s="19">
        <v>755583</v>
      </c>
      <c r="HE75" s="19"/>
      <c r="HF75" s="19"/>
      <c r="HG75" s="19"/>
      <c r="HH75" s="19"/>
      <c r="HI75" s="19"/>
      <c r="HJ75" s="19"/>
      <c r="HK75" s="19">
        <v>1254586</v>
      </c>
      <c r="HL75" s="19"/>
      <c r="HM75" s="19"/>
      <c r="HN75" s="19">
        <v>1000000</v>
      </c>
      <c r="HO75" s="19"/>
      <c r="HP75" s="19">
        <v>3500000</v>
      </c>
      <c r="HQ75" s="41"/>
      <c r="HR75" s="41"/>
      <c r="HS75" s="41"/>
      <c r="HT75" s="41">
        <v>85755</v>
      </c>
      <c r="HU75" s="41"/>
      <c r="HV75" s="41">
        <v>6061690</v>
      </c>
      <c r="HW75" s="41">
        <v>46368226</v>
      </c>
      <c r="HX75" s="41">
        <v>141997</v>
      </c>
      <c r="HY75" s="41" t="s">
        <v>114</v>
      </c>
      <c r="HZ75" s="41">
        <v>247053980</v>
      </c>
      <c r="IA75" s="41"/>
      <c r="IB75" s="41"/>
      <c r="IC75" s="41"/>
      <c r="ID75" s="41"/>
      <c r="IE75" s="41" t="s">
        <v>4</v>
      </c>
      <c r="IF75" s="41">
        <v>2000000</v>
      </c>
      <c r="IG75" s="41"/>
      <c r="IH75" s="41">
        <v>4211168</v>
      </c>
      <c r="II75" s="41"/>
      <c r="IJ75" s="41"/>
      <c r="IK75" s="41"/>
      <c r="IL75" s="41"/>
      <c r="IM75" s="41">
        <v>366489</v>
      </c>
      <c r="IN75" s="41"/>
      <c r="IO75" s="41">
        <v>226146</v>
      </c>
      <c r="IP75" s="41"/>
      <c r="IQ75" s="41"/>
      <c r="IR75" s="41"/>
      <c r="IS75" s="41"/>
      <c r="IT75" s="41"/>
      <c r="IU75" s="41"/>
      <c r="IV75" s="41">
        <v>10204814</v>
      </c>
      <c r="IW75" s="41"/>
      <c r="IX75" s="41" t="s">
        <v>114</v>
      </c>
      <c r="IY75" s="41"/>
      <c r="IZ75" s="41"/>
      <c r="JA75" s="41"/>
      <c r="JB75" s="41"/>
      <c r="JC75" s="41"/>
      <c r="JD75" s="41"/>
      <c r="JE75" s="41" t="s">
        <v>114</v>
      </c>
      <c r="JF75" s="41"/>
      <c r="JG75" s="41">
        <v>2192250</v>
      </c>
      <c r="JH75" s="41"/>
      <c r="JI75" s="41"/>
      <c r="JJ75" s="41"/>
      <c r="JK75" s="41"/>
      <c r="JL75" s="41"/>
      <c r="JM75" s="41"/>
      <c r="JN75" s="41">
        <v>68485141</v>
      </c>
      <c r="JO75" s="41">
        <v>97422724</v>
      </c>
      <c r="JP75" s="41" t="s">
        <v>4</v>
      </c>
      <c r="JQ75" s="41"/>
      <c r="JR75" s="41"/>
      <c r="JS75" s="41">
        <v>2411625</v>
      </c>
      <c r="JT75" s="41"/>
      <c r="JU75" s="41"/>
      <c r="JV75" s="41">
        <v>1751000</v>
      </c>
      <c r="JW75" s="41"/>
      <c r="JX75" s="41"/>
      <c r="JY75" s="41"/>
      <c r="JZ75" s="41"/>
      <c r="KA75" s="41">
        <v>5175185</v>
      </c>
      <c r="KB75" s="41"/>
      <c r="KC75" s="41">
        <v>1867900</v>
      </c>
      <c r="KD75" s="41">
        <v>31487138</v>
      </c>
    </row>
    <row r="76" spans="1:290">
      <c r="A76" s="9" t="s">
        <v>122</v>
      </c>
      <c r="B76" s="10" t="s">
        <v>65</v>
      </c>
      <c r="C76" s="19">
        <v>139787881</v>
      </c>
      <c r="D76" s="19">
        <v>241765642</v>
      </c>
      <c r="E76" s="19">
        <v>83926048</v>
      </c>
      <c r="F76" s="19">
        <v>93841467</v>
      </c>
      <c r="G76" s="19">
        <v>220769</v>
      </c>
      <c r="H76" s="19">
        <v>44370000</v>
      </c>
      <c r="I76" s="19">
        <v>266562315</v>
      </c>
      <c r="J76" s="19" t="s">
        <v>4</v>
      </c>
      <c r="K76" s="19">
        <v>49380369</v>
      </c>
      <c r="L76" s="19" t="s">
        <v>130</v>
      </c>
      <c r="M76" s="19" t="s">
        <v>96</v>
      </c>
      <c r="N76" s="19">
        <v>-180750139</v>
      </c>
      <c r="O76" s="19">
        <v>59134355</v>
      </c>
      <c r="P76" s="19">
        <v>-99859268</v>
      </c>
      <c r="Q76" s="19">
        <v>-45336259</v>
      </c>
      <c r="R76" s="19">
        <v>-59870187</v>
      </c>
      <c r="S76" s="19">
        <v>964850713</v>
      </c>
      <c r="T76" s="19" t="s">
        <v>96</v>
      </c>
      <c r="U76" s="19">
        <v>-36692694</v>
      </c>
      <c r="V76" s="19" t="s">
        <v>128</v>
      </c>
      <c r="W76" s="19">
        <v>-63445356</v>
      </c>
      <c r="X76" s="19">
        <v>217294876</v>
      </c>
      <c r="Y76" s="19">
        <v>589059</v>
      </c>
      <c r="Z76" s="19">
        <v>21425939</v>
      </c>
      <c r="AA76" s="19">
        <v>136380176</v>
      </c>
      <c r="AB76" s="19">
        <v>16345815</v>
      </c>
      <c r="AC76" s="19">
        <v>45553488</v>
      </c>
      <c r="AD76" s="19">
        <v>16569667</v>
      </c>
      <c r="AE76" s="19">
        <v>7583219</v>
      </c>
      <c r="AF76" s="19">
        <v>30704497</v>
      </c>
      <c r="AG76" s="19">
        <v>-1668577967</v>
      </c>
      <c r="AH76" s="19">
        <v>113772936</v>
      </c>
      <c r="AI76" s="19">
        <v>-99086842</v>
      </c>
      <c r="AJ76" s="19">
        <v>30828056</v>
      </c>
      <c r="AK76" s="19" t="s">
        <v>89</v>
      </c>
      <c r="AL76" s="19">
        <v>75532817</v>
      </c>
      <c r="AM76" s="19" t="s">
        <v>4</v>
      </c>
      <c r="AN76" s="19">
        <v>73137618</v>
      </c>
      <c r="AO76" s="19">
        <v>-642270872</v>
      </c>
      <c r="AP76" s="19">
        <v>-364027588</v>
      </c>
      <c r="AQ76" s="19" t="s">
        <v>96</v>
      </c>
      <c r="AR76" s="19">
        <v>-44676514</v>
      </c>
      <c r="AS76" s="19">
        <v>-92648069</v>
      </c>
      <c r="AT76" s="19">
        <v>19339050</v>
      </c>
      <c r="AU76" s="19">
        <v>142621819</v>
      </c>
      <c r="AV76" s="19">
        <v>138035552</v>
      </c>
      <c r="AW76" s="19">
        <v>62526199</v>
      </c>
      <c r="AX76" s="19" t="s">
        <v>4</v>
      </c>
      <c r="AY76" s="19">
        <v>-29540724</v>
      </c>
      <c r="AZ76" s="19">
        <v>-3940189</v>
      </c>
      <c r="BA76" s="19">
        <v>420586</v>
      </c>
      <c r="BB76" s="19">
        <v>-22582631</v>
      </c>
      <c r="BC76" s="19" t="s">
        <v>4</v>
      </c>
      <c r="BD76" s="19" t="s">
        <v>128</v>
      </c>
      <c r="BE76" s="19">
        <v>80245694</v>
      </c>
      <c r="BF76" s="19">
        <v>10160231</v>
      </c>
      <c r="BG76" s="19">
        <v>-66219491</v>
      </c>
      <c r="BH76" s="19">
        <v>24530987</v>
      </c>
      <c r="BI76" s="19">
        <v>5714737</v>
      </c>
      <c r="BJ76" s="19">
        <v>15320503</v>
      </c>
      <c r="BK76" s="19">
        <v>9020238</v>
      </c>
      <c r="BL76" s="19">
        <v>-79067053</v>
      </c>
      <c r="BM76" s="19">
        <v>-49062745</v>
      </c>
      <c r="BN76" s="19">
        <v>72464059</v>
      </c>
      <c r="BO76" s="19">
        <v>522944</v>
      </c>
      <c r="BP76" s="19" t="s">
        <v>96</v>
      </c>
      <c r="BQ76" s="19" t="s">
        <v>4</v>
      </c>
      <c r="BR76" s="19">
        <v>767293170</v>
      </c>
      <c r="BS76" s="19">
        <v>20603905</v>
      </c>
      <c r="BT76" s="19">
        <v>-38305879</v>
      </c>
      <c r="BU76" s="19">
        <v>4197426</v>
      </c>
      <c r="BV76" s="19">
        <v>4703399</v>
      </c>
      <c r="BW76" s="19">
        <v>34956296</v>
      </c>
      <c r="BX76" s="19">
        <v>11072378</v>
      </c>
      <c r="BY76" s="19">
        <v>180099356</v>
      </c>
      <c r="BZ76" s="19">
        <v>395786474</v>
      </c>
      <c r="CA76" s="19">
        <v>1150215</v>
      </c>
      <c r="CB76" s="19">
        <v>7913014</v>
      </c>
      <c r="CC76" s="19">
        <v>7940567</v>
      </c>
      <c r="CD76" s="19">
        <v>184547945</v>
      </c>
      <c r="CE76" s="19">
        <v>3804166</v>
      </c>
      <c r="CF76" s="19">
        <v>-233944431</v>
      </c>
      <c r="CG76" s="19">
        <v>-20555457</v>
      </c>
      <c r="CH76" s="19">
        <v>221413480</v>
      </c>
      <c r="CI76" s="19" t="s">
        <v>128</v>
      </c>
      <c r="CJ76" s="19" t="s">
        <v>89</v>
      </c>
      <c r="CK76" s="19">
        <v>26914014</v>
      </c>
      <c r="CL76" s="19">
        <v>20960278</v>
      </c>
      <c r="CM76" s="19">
        <v>770545352</v>
      </c>
      <c r="CN76" s="19">
        <v>31090419</v>
      </c>
      <c r="CO76" s="19">
        <v>1028120</v>
      </c>
      <c r="CP76" s="19">
        <v>115022294</v>
      </c>
      <c r="CQ76" s="19" t="s">
        <v>96</v>
      </c>
      <c r="CR76" s="19">
        <v>94385209</v>
      </c>
      <c r="CS76" s="19">
        <v>165069417</v>
      </c>
      <c r="CT76" s="19">
        <v>-1919667145</v>
      </c>
      <c r="CU76" s="19">
        <v>183601999</v>
      </c>
      <c r="CV76" s="19">
        <v>18271605</v>
      </c>
      <c r="CW76" s="19">
        <v>181510525</v>
      </c>
      <c r="CX76" s="19">
        <v>-1668577967</v>
      </c>
      <c r="CY76" s="19">
        <v>560563557</v>
      </c>
      <c r="CZ76" s="19">
        <v>25537728</v>
      </c>
      <c r="DA76" s="19">
        <v>84252604</v>
      </c>
      <c r="DB76" s="19">
        <v>105580206</v>
      </c>
      <c r="DC76" s="19">
        <v>-3538335</v>
      </c>
      <c r="DD76" s="19">
        <v>1685018</v>
      </c>
      <c r="DE76" s="19" t="s">
        <v>89</v>
      </c>
      <c r="DF76" s="19">
        <v>6998093</v>
      </c>
      <c r="DG76" s="19">
        <v>10941297</v>
      </c>
      <c r="DH76" s="19">
        <v>2274295</v>
      </c>
      <c r="DI76" s="19" t="s">
        <v>128</v>
      </c>
      <c r="DJ76" s="19">
        <v>34147340</v>
      </c>
      <c r="DK76" s="19">
        <v>457556368</v>
      </c>
      <c r="DL76" s="19">
        <v>52251169</v>
      </c>
      <c r="DM76" s="19">
        <v>11328510</v>
      </c>
      <c r="DN76" s="19">
        <v>-50910300</v>
      </c>
      <c r="DO76" s="19">
        <v>-2111023</v>
      </c>
      <c r="DP76" s="19">
        <v>348393237</v>
      </c>
      <c r="DQ76" s="19">
        <v>837088</v>
      </c>
      <c r="DR76" s="19">
        <v>-258062335</v>
      </c>
      <c r="DS76" s="19">
        <v>162020310</v>
      </c>
      <c r="DT76" s="19">
        <v>208274053</v>
      </c>
      <c r="DU76" s="19">
        <v>24052547</v>
      </c>
      <c r="DV76" s="19">
        <v>324022078</v>
      </c>
      <c r="DW76" s="19">
        <v>68659150</v>
      </c>
      <c r="DX76" s="19">
        <v>918965929</v>
      </c>
      <c r="DY76" s="19">
        <v>43938919</v>
      </c>
      <c r="DZ76" s="19">
        <v>44918873</v>
      </c>
      <c r="EA76" s="19">
        <v>58589540</v>
      </c>
      <c r="EB76" s="19">
        <v>288160531</v>
      </c>
      <c r="EC76" s="19">
        <v>-46310074</v>
      </c>
      <c r="ED76" s="19">
        <v>49252097</v>
      </c>
      <c r="EE76" s="19">
        <v>44538589</v>
      </c>
      <c r="EF76" s="19">
        <v>11827297</v>
      </c>
      <c r="EG76" s="19">
        <v>-3312366392</v>
      </c>
      <c r="EH76" s="19">
        <v>-29484055</v>
      </c>
      <c r="EI76" s="19">
        <v>-186612781</v>
      </c>
      <c r="EJ76" s="19">
        <v>-15259038</v>
      </c>
      <c r="EK76" s="19">
        <v>-200879177</v>
      </c>
      <c r="EL76" s="19">
        <v>-95198274</v>
      </c>
      <c r="EM76" s="19">
        <v>222218690</v>
      </c>
      <c r="EN76" s="19">
        <v>466231960</v>
      </c>
      <c r="EO76" s="19">
        <v>55899563</v>
      </c>
      <c r="EP76" s="19">
        <v>-106843037</v>
      </c>
      <c r="EQ76" s="19">
        <v>432783007</v>
      </c>
      <c r="ER76" s="19">
        <v>63066300</v>
      </c>
      <c r="ES76" s="19">
        <v>9639004</v>
      </c>
      <c r="ET76" s="19">
        <v>-171559914</v>
      </c>
      <c r="EU76" s="19">
        <v>141637060</v>
      </c>
      <c r="EV76" s="19">
        <v>37475636</v>
      </c>
      <c r="EW76" s="19">
        <v>2843756</v>
      </c>
      <c r="EX76" s="19">
        <v>227462577</v>
      </c>
      <c r="EY76" s="19">
        <v>622537531</v>
      </c>
      <c r="EZ76" s="19">
        <v>-15926343</v>
      </c>
      <c r="FA76" s="19">
        <v>43637476</v>
      </c>
      <c r="FB76" s="19">
        <v>1256733</v>
      </c>
      <c r="FC76" s="19">
        <v>3237245</v>
      </c>
      <c r="FD76" s="19">
        <v>16313822</v>
      </c>
      <c r="FE76" s="19">
        <v>350010005</v>
      </c>
      <c r="FF76" s="19">
        <v>15785601</v>
      </c>
      <c r="FG76" s="19">
        <v>107599298</v>
      </c>
      <c r="FH76" s="19">
        <v>61405745</v>
      </c>
      <c r="FI76" s="19">
        <v>-35911049</v>
      </c>
      <c r="FJ76" s="19">
        <v>49859626</v>
      </c>
      <c r="FK76" s="19">
        <v>6384126</v>
      </c>
      <c r="FL76" s="19">
        <v>-200234244</v>
      </c>
      <c r="FM76" s="19">
        <v>-63791449</v>
      </c>
      <c r="FN76" s="19">
        <v>-441465753</v>
      </c>
      <c r="FO76" s="19">
        <v>7843999</v>
      </c>
      <c r="FP76" s="19">
        <v>26229748</v>
      </c>
      <c r="FQ76" s="19">
        <v>-29828207</v>
      </c>
      <c r="FR76" s="19">
        <v>-17216092</v>
      </c>
      <c r="FS76" s="19">
        <v>-2723399</v>
      </c>
      <c r="FT76" s="19">
        <v>573869392</v>
      </c>
      <c r="FU76" s="19">
        <v>3123842</v>
      </c>
      <c r="FV76" s="19">
        <v>271345023</v>
      </c>
      <c r="FW76" s="19">
        <v>92920</v>
      </c>
      <c r="FX76" s="19">
        <v>-259055126</v>
      </c>
      <c r="FY76" s="19">
        <v>-1063915426</v>
      </c>
      <c r="FZ76" s="19">
        <v>-277442987</v>
      </c>
      <c r="GA76" s="19">
        <v>64957548</v>
      </c>
      <c r="GB76" s="19">
        <v>-106799120</v>
      </c>
      <c r="GC76" s="19">
        <v>44247964</v>
      </c>
      <c r="GD76" s="19" t="s">
        <v>96</v>
      </c>
      <c r="GE76" s="19">
        <v>-131458701</v>
      </c>
      <c r="GF76" s="19">
        <v>8787527</v>
      </c>
      <c r="GG76" s="19">
        <v>-291108809</v>
      </c>
      <c r="GH76" s="19">
        <v>-249823269</v>
      </c>
      <c r="GI76" s="19">
        <v>6150078</v>
      </c>
      <c r="GJ76" s="19">
        <v>-11616624</v>
      </c>
      <c r="GK76" s="19">
        <v>-87663411</v>
      </c>
      <c r="GL76" s="19">
        <v>3931415</v>
      </c>
      <c r="GM76" s="19">
        <v>-23730834</v>
      </c>
      <c r="GN76" s="19">
        <v>10022504</v>
      </c>
      <c r="GO76" s="19">
        <v>-811043418</v>
      </c>
      <c r="GP76" s="19">
        <v>184572925</v>
      </c>
      <c r="GQ76" s="19">
        <v>42177292</v>
      </c>
      <c r="GR76" s="19">
        <v>354521709</v>
      </c>
      <c r="GS76" s="19">
        <v>-4008965</v>
      </c>
      <c r="GT76" s="19">
        <v>-283642577</v>
      </c>
      <c r="GU76" s="19">
        <v>-33697318</v>
      </c>
      <c r="GV76" s="19">
        <v>470215545</v>
      </c>
      <c r="GW76" s="19">
        <v>-1314178081</v>
      </c>
      <c r="GX76" s="19">
        <v>47830141</v>
      </c>
      <c r="GY76" s="19">
        <v>-879856912</v>
      </c>
      <c r="GZ76" s="19">
        <v>299639756</v>
      </c>
      <c r="HA76" s="19">
        <v>-820653663</v>
      </c>
      <c r="HB76" s="37">
        <v>-6256454</v>
      </c>
      <c r="HC76" s="19">
        <v>-340631674</v>
      </c>
      <c r="HD76" s="19">
        <v>80931942</v>
      </c>
      <c r="HE76" s="19">
        <v>-318555285</v>
      </c>
      <c r="HF76" s="19">
        <v>200369982</v>
      </c>
      <c r="HG76" s="19">
        <v>41865961</v>
      </c>
      <c r="HH76" s="19">
        <v>23190609</v>
      </c>
      <c r="HI76" s="19">
        <v>-404226374</v>
      </c>
      <c r="HJ76" s="19">
        <v>65375227</v>
      </c>
      <c r="HK76" s="19">
        <v>-492712802</v>
      </c>
      <c r="HL76" s="19">
        <v>438310604</v>
      </c>
      <c r="HM76" s="19">
        <v>9852610</v>
      </c>
      <c r="HN76" s="19">
        <v>-78115948</v>
      </c>
      <c r="HO76" s="19">
        <v>170096027</v>
      </c>
      <c r="HP76" s="19">
        <v>-67561291</v>
      </c>
      <c r="HQ76" s="41">
        <v>-24422566</v>
      </c>
      <c r="HR76" s="41">
        <v>21242080</v>
      </c>
      <c r="HS76" s="41">
        <v>153259926</v>
      </c>
      <c r="HT76" s="41">
        <v>43454728</v>
      </c>
      <c r="HU76" s="41">
        <v>-1618725265</v>
      </c>
      <c r="HV76" s="41">
        <v>-6809229</v>
      </c>
      <c r="HW76" s="41">
        <v>-24825722543</v>
      </c>
      <c r="HX76" s="41">
        <v>102454764</v>
      </c>
      <c r="HY76" s="41" t="s">
        <v>114</v>
      </c>
      <c r="HZ76" s="41">
        <v>427460389</v>
      </c>
      <c r="IA76" s="41">
        <v>18173306</v>
      </c>
      <c r="IB76" s="41">
        <v>-28108209</v>
      </c>
      <c r="IC76" s="41">
        <v>40107757</v>
      </c>
      <c r="ID76" s="41">
        <v>41556388</v>
      </c>
      <c r="IE76" s="41" t="s">
        <v>4</v>
      </c>
      <c r="IF76" s="41">
        <v>-9676501</v>
      </c>
      <c r="IG76" s="41">
        <v>-16745120</v>
      </c>
      <c r="IH76" s="41">
        <v>36196830</v>
      </c>
      <c r="II76" s="41">
        <v>13622637</v>
      </c>
      <c r="IJ76" s="41">
        <v>25065056</v>
      </c>
      <c r="IK76" s="41">
        <v>13826024</v>
      </c>
      <c r="IL76" s="41">
        <v>15875315</v>
      </c>
      <c r="IM76" s="41">
        <v>2895758</v>
      </c>
      <c r="IN76" s="41">
        <v>26413869</v>
      </c>
      <c r="IO76" s="41">
        <v>-63477418</v>
      </c>
      <c r="IP76" s="41">
        <v>42302220</v>
      </c>
      <c r="IQ76" s="41">
        <v>450621224</v>
      </c>
      <c r="IR76" s="41">
        <v>158646201</v>
      </c>
      <c r="IS76" s="41">
        <v>277722717</v>
      </c>
      <c r="IT76" s="41">
        <v>78912866</v>
      </c>
      <c r="IU76" s="41">
        <v>-197833639</v>
      </c>
      <c r="IV76" s="41">
        <v>41398698</v>
      </c>
      <c r="IW76" s="41">
        <v>8731427</v>
      </c>
      <c r="IX76" s="41" t="s">
        <v>114</v>
      </c>
      <c r="IY76" s="41">
        <v>3701780</v>
      </c>
      <c r="IZ76" s="41">
        <v>67001012</v>
      </c>
      <c r="JA76" s="41">
        <v>-45503964</v>
      </c>
      <c r="JB76" s="41">
        <v>-14997775</v>
      </c>
      <c r="JC76" s="41">
        <v>851109</v>
      </c>
      <c r="JD76" s="41">
        <v>49324497</v>
      </c>
      <c r="JE76" s="41" t="s">
        <v>114</v>
      </c>
      <c r="JF76" s="41">
        <v>57928479</v>
      </c>
      <c r="JG76" s="41">
        <v>-488948389</v>
      </c>
      <c r="JH76" s="41">
        <v>40158256</v>
      </c>
      <c r="JI76" s="41">
        <v>20343730</v>
      </c>
      <c r="JJ76" s="41">
        <v>126835969</v>
      </c>
      <c r="JK76" s="41">
        <v>16178967</v>
      </c>
      <c r="JL76" s="41">
        <v>211172013</v>
      </c>
      <c r="JM76" s="41">
        <v>4524750</v>
      </c>
      <c r="JN76" s="41">
        <v>0</v>
      </c>
      <c r="JO76" s="41">
        <v>4122291</v>
      </c>
      <c r="JP76" s="41" t="s">
        <v>4</v>
      </c>
      <c r="JQ76" s="41">
        <v>-98144563</v>
      </c>
      <c r="JR76" s="41">
        <v>115396844</v>
      </c>
      <c r="JS76" s="41">
        <v>66732194</v>
      </c>
      <c r="JT76" s="41">
        <v>42754892</v>
      </c>
      <c r="JU76" s="41">
        <v>34083576</v>
      </c>
      <c r="JV76" s="41">
        <v>3007718</v>
      </c>
      <c r="JW76" s="41">
        <v>106294333</v>
      </c>
      <c r="JX76" s="41">
        <v>-103887883</v>
      </c>
      <c r="JY76" s="41">
        <v>12382728</v>
      </c>
      <c r="JZ76" s="41">
        <v>23395252</v>
      </c>
      <c r="KA76" s="41">
        <v>30663795</v>
      </c>
      <c r="KB76" s="41">
        <v>6505658</v>
      </c>
      <c r="KC76" s="41">
        <v>111884643</v>
      </c>
      <c r="KD76" s="41">
        <v>-328412884</v>
      </c>
    </row>
    <row r="77" spans="1:290">
      <c r="A77" s="9" t="s">
        <v>122</v>
      </c>
      <c r="B77" s="10" t="s">
        <v>101</v>
      </c>
      <c r="C77" s="19">
        <v>6793220</v>
      </c>
      <c r="D77" s="19">
        <v>0</v>
      </c>
      <c r="E77" s="19">
        <v>16108037</v>
      </c>
      <c r="F77" s="19">
        <v>8814460</v>
      </c>
      <c r="G77" s="19">
        <v>0</v>
      </c>
      <c r="H77" s="19">
        <v>0</v>
      </c>
      <c r="I77" s="19"/>
      <c r="J77" s="19" t="s">
        <v>4</v>
      </c>
      <c r="K77" s="19"/>
      <c r="L77" s="19" t="s">
        <v>130</v>
      </c>
      <c r="M77" s="19" t="s">
        <v>96</v>
      </c>
      <c r="N77" s="19">
        <v>0</v>
      </c>
      <c r="O77" s="19">
        <v>6202110</v>
      </c>
      <c r="P77" s="19">
        <v>25559330</v>
      </c>
      <c r="Q77" s="19"/>
      <c r="R77" s="19"/>
      <c r="S77" s="19">
        <v>78462956</v>
      </c>
      <c r="T77" s="19" t="s">
        <v>96</v>
      </c>
      <c r="U77" s="19">
        <v>-10417454</v>
      </c>
      <c r="V77" s="19" t="s">
        <v>128</v>
      </c>
      <c r="W77" s="19"/>
      <c r="X77" s="19">
        <v>11294840</v>
      </c>
      <c r="Y77" s="19"/>
      <c r="Z77" s="19"/>
      <c r="AA77" s="19">
        <v>10431000</v>
      </c>
      <c r="AB77" s="19">
        <v>2966810</v>
      </c>
      <c r="AC77" s="19"/>
      <c r="AD77" s="19">
        <v>597765</v>
      </c>
      <c r="AE77" s="19"/>
      <c r="AF77" s="19"/>
      <c r="AG77" s="19"/>
      <c r="AH77" s="19">
        <v>12606029</v>
      </c>
      <c r="AI77" s="19"/>
      <c r="AJ77" s="19">
        <v>4305150</v>
      </c>
      <c r="AK77" s="19" t="s">
        <v>89</v>
      </c>
      <c r="AL77" s="19">
        <v>37590</v>
      </c>
      <c r="AM77" s="19" t="s">
        <v>4</v>
      </c>
      <c r="AN77" s="19">
        <v>4197947</v>
      </c>
      <c r="AO77" s="19"/>
      <c r="AP77" s="19"/>
      <c r="AQ77" s="19" t="s">
        <v>96</v>
      </c>
      <c r="AR77" s="19">
        <v>669120</v>
      </c>
      <c r="AS77" s="19"/>
      <c r="AT77" s="19">
        <v>3273780</v>
      </c>
      <c r="AU77" s="19"/>
      <c r="AV77" s="19">
        <v>15255410</v>
      </c>
      <c r="AW77" s="19">
        <v>140010</v>
      </c>
      <c r="AX77" s="19" t="s">
        <v>4</v>
      </c>
      <c r="AY77" s="19">
        <v>1988789</v>
      </c>
      <c r="AZ77" s="19"/>
      <c r="BA77" s="19"/>
      <c r="BB77" s="19"/>
      <c r="BC77" s="19" t="s">
        <v>4</v>
      </c>
      <c r="BD77" s="19" t="s">
        <v>128</v>
      </c>
      <c r="BE77" s="19">
        <v>4699550</v>
      </c>
      <c r="BF77" s="19"/>
      <c r="BG77" s="19"/>
      <c r="BH77" s="19"/>
      <c r="BI77" s="19">
        <v>1490600</v>
      </c>
      <c r="BJ77" s="19">
        <v>868470</v>
      </c>
      <c r="BK77" s="19"/>
      <c r="BL77" s="19"/>
      <c r="BM77" s="19">
        <v>9349550</v>
      </c>
      <c r="BN77" s="19"/>
      <c r="BO77" s="19"/>
      <c r="BP77" s="19" t="s">
        <v>96</v>
      </c>
      <c r="BQ77" s="19" t="s">
        <v>4</v>
      </c>
      <c r="BR77" s="19">
        <v>40045930</v>
      </c>
      <c r="BS77" s="19"/>
      <c r="BT77" s="19"/>
      <c r="BU77" s="19"/>
      <c r="BV77" s="19">
        <v>411314</v>
      </c>
      <c r="BW77" s="19"/>
      <c r="BX77" s="19"/>
      <c r="BY77" s="19"/>
      <c r="BZ77" s="19">
        <v>21242335</v>
      </c>
      <c r="CA77" s="19">
        <v>126523</v>
      </c>
      <c r="CB77" s="19">
        <v>888760</v>
      </c>
      <c r="CC77" s="19"/>
      <c r="CD77" s="19"/>
      <c r="CE77" s="19"/>
      <c r="CF77" s="19"/>
      <c r="CG77" s="19"/>
      <c r="CH77" s="19">
        <v>7059090</v>
      </c>
      <c r="CI77" s="19" t="s">
        <v>128</v>
      </c>
      <c r="CJ77" s="19" t="s">
        <v>89</v>
      </c>
      <c r="CK77" s="19">
        <v>2852620</v>
      </c>
      <c r="CL77" s="19">
        <v>43850</v>
      </c>
      <c r="CM77" s="19"/>
      <c r="CN77" s="19">
        <v>2144510</v>
      </c>
      <c r="CO77" s="19"/>
      <c r="CP77" s="19"/>
      <c r="CQ77" s="19" t="s">
        <v>96</v>
      </c>
      <c r="CR77" s="19">
        <v>15050518</v>
      </c>
      <c r="CS77" s="19"/>
      <c r="CT77" s="19"/>
      <c r="CU77" s="19"/>
      <c r="CV77" s="19"/>
      <c r="CW77" s="19">
        <v>2530539</v>
      </c>
      <c r="CX77" s="19"/>
      <c r="CY77" s="19">
        <v>66092294</v>
      </c>
      <c r="CZ77" s="19">
        <v>1802987</v>
      </c>
      <c r="DA77" s="19"/>
      <c r="DB77" s="19">
        <v>8138810</v>
      </c>
      <c r="DC77" s="19"/>
      <c r="DD77" s="19"/>
      <c r="DE77" s="19" t="s">
        <v>89</v>
      </c>
      <c r="DF77" s="19"/>
      <c r="DG77" s="19">
        <v>1098317</v>
      </c>
      <c r="DH77" s="19"/>
      <c r="DI77" s="19" t="s">
        <v>128</v>
      </c>
      <c r="DJ77" s="19">
        <v>1100751</v>
      </c>
      <c r="DK77" s="19">
        <v>4757860</v>
      </c>
      <c r="DL77" s="19">
        <v>104060</v>
      </c>
      <c r="DM77" s="19">
        <v>3027190</v>
      </c>
      <c r="DN77" s="19"/>
      <c r="DO77" s="19"/>
      <c r="DP77" s="19">
        <v>48816280</v>
      </c>
      <c r="DQ77" s="19"/>
      <c r="DR77" s="19">
        <v>3291192</v>
      </c>
      <c r="DS77" s="19"/>
      <c r="DT77" s="19">
        <v>2579700</v>
      </c>
      <c r="DU77" s="19"/>
      <c r="DV77" s="19">
        <v>0</v>
      </c>
      <c r="DW77" s="19">
        <v>3292770</v>
      </c>
      <c r="DX77" s="19">
        <v>57580521</v>
      </c>
      <c r="DY77" s="19"/>
      <c r="DZ77" s="19">
        <v>1794120</v>
      </c>
      <c r="EA77" s="19"/>
      <c r="EB77" s="19"/>
      <c r="EC77" s="19"/>
      <c r="ED77" s="19">
        <v>87190</v>
      </c>
      <c r="EE77" s="19"/>
      <c r="EF77" s="19">
        <v>1643592</v>
      </c>
      <c r="EG77" s="19"/>
      <c r="EH77" s="19"/>
      <c r="EI77" s="19"/>
      <c r="EJ77" s="19"/>
      <c r="EK77" s="19"/>
      <c r="EL77" s="19"/>
      <c r="EM77" s="19"/>
      <c r="EN77" s="19">
        <v>59711172</v>
      </c>
      <c r="EO77" s="19">
        <v>2117510</v>
      </c>
      <c r="EP77" s="19"/>
      <c r="EQ77" s="19"/>
      <c r="ER77" s="19"/>
      <c r="ES77" s="19"/>
      <c r="ET77" s="19"/>
      <c r="EU77" s="19"/>
      <c r="EV77" s="19">
        <v>4793251</v>
      </c>
      <c r="EW77" s="19"/>
      <c r="EX77" s="19">
        <v>7774722</v>
      </c>
      <c r="EY77" s="19">
        <v>68479128</v>
      </c>
      <c r="EZ77" s="19"/>
      <c r="FA77" s="19"/>
      <c r="FB77" s="19"/>
      <c r="FC77" s="19"/>
      <c r="FD77" s="19">
        <v>2392580</v>
      </c>
      <c r="FE77" s="19"/>
      <c r="FF77" s="19"/>
      <c r="FG77" s="19">
        <v>16050560</v>
      </c>
      <c r="FH77" s="19"/>
      <c r="FI77" s="19"/>
      <c r="FJ77" s="19">
        <v>1500250</v>
      </c>
      <c r="FK77" s="19">
        <v>6328</v>
      </c>
      <c r="FL77" s="19"/>
      <c r="FM77" s="19"/>
      <c r="FN77" s="19"/>
      <c r="FO77" s="19"/>
      <c r="FP77" s="19"/>
      <c r="FQ77" s="19"/>
      <c r="FR77" s="19"/>
      <c r="FS77" s="19"/>
      <c r="FT77" s="19">
        <v>49515710</v>
      </c>
      <c r="FU77" s="19"/>
      <c r="FV77" s="19"/>
      <c r="FW77" s="19"/>
      <c r="FX77" s="19"/>
      <c r="FY77" s="19"/>
      <c r="FZ77" s="19"/>
      <c r="GA77" s="19">
        <v>5586776</v>
      </c>
      <c r="GB77" s="19"/>
      <c r="GC77" s="19">
        <v>2866330</v>
      </c>
      <c r="GD77" s="19" t="s">
        <v>96</v>
      </c>
      <c r="GE77" s="19"/>
      <c r="GF77" s="19">
        <v>802847</v>
      </c>
      <c r="GG77" s="19"/>
      <c r="GH77" s="19">
        <v>79440</v>
      </c>
      <c r="GI77" s="19"/>
      <c r="GJ77" s="19"/>
      <c r="GK77" s="19"/>
      <c r="GL77" s="19">
        <v>355456</v>
      </c>
      <c r="GM77" s="19"/>
      <c r="GN77" s="19"/>
      <c r="GO77" s="19"/>
      <c r="GP77" s="19">
        <v>26574593</v>
      </c>
      <c r="GQ77" s="19">
        <v>4291865</v>
      </c>
      <c r="GR77" s="19">
        <v>21196231</v>
      </c>
      <c r="GS77" s="19">
        <v>24390</v>
      </c>
      <c r="GT77" s="19"/>
      <c r="GU77" s="19"/>
      <c r="GV77" s="19">
        <v>53016982</v>
      </c>
      <c r="GW77" s="19"/>
      <c r="GX77" s="19">
        <v>642040</v>
      </c>
      <c r="GY77" s="19"/>
      <c r="GZ77" s="19">
        <v>7843108</v>
      </c>
      <c r="HA77" s="19"/>
      <c r="HB77" s="37"/>
      <c r="HC77" s="19"/>
      <c r="HD77" s="19"/>
      <c r="HE77" s="19"/>
      <c r="HF77" s="19">
        <v>9291696</v>
      </c>
      <c r="HG77" s="19">
        <v>2155880</v>
      </c>
      <c r="HH77" s="19"/>
      <c r="HI77" s="19"/>
      <c r="HJ77" s="19">
        <v>657510</v>
      </c>
      <c r="HK77" s="19"/>
      <c r="HL77" s="19"/>
      <c r="HM77" s="19">
        <v>689683</v>
      </c>
      <c r="HN77" s="19"/>
      <c r="HO77" s="19">
        <v>5929440</v>
      </c>
      <c r="HP77" s="19"/>
      <c r="HQ77" s="41"/>
      <c r="HR77" s="41"/>
      <c r="HS77" s="41"/>
      <c r="HT77" s="41"/>
      <c r="HU77" s="41"/>
      <c r="HV77" s="41"/>
      <c r="HW77" s="41">
        <v>-5609170</v>
      </c>
      <c r="HX77" s="41">
        <v>8308016</v>
      </c>
      <c r="HY77" s="41" t="s">
        <v>114</v>
      </c>
      <c r="HZ77" s="41">
        <v>19557622</v>
      </c>
      <c r="IA77" s="41"/>
      <c r="IB77" s="41"/>
      <c r="IC77" s="41"/>
      <c r="ID77" s="41"/>
      <c r="IE77" s="41" t="s">
        <v>4</v>
      </c>
      <c r="IF77" s="41"/>
      <c r="IG77" s="41"/>
      <c r="IH77" s="41">
        <v>3320800</v>
      </c>
      <c r="II77" s="41"/>
      <c r="IJ77" s="41"/>
      <c r="IK77" s="41"/>
      <c r="IL77" s="41"/>
      <c r="IM77" s="41">
        <v>260610</v>
      </c>
      <c r="IN77" s="41">
        <v>2118903</v>
      </c>
      <c r="IO77" s="41"/>
      <c r="IP77" s="41">
        <v>4230222</v>
      </c>
      <c r="IQ77" s="41"/>
      <c r="IR77" s="41">
        <v>6888100</v>
      </c>
      <c r="IS77" s="41">
        <v>48543345</v>
      </c>
      <c r="IT77" s="41">
        <v>1540</v>
      </c>
      <c r="IU77" s="41"/>
      <c r="IV77" s="41"/>
      <c r="IW77" s="41">
        <v>750880</v>
      </c>
      <c r="IX77" s="41" t="s">
        <v>114</v>
      </c>
      <c r="IY77" s="41"/>
      <c r="IZ77" s="41">
        <v>2116990</v>
      </c>
      <c r="JA77" s="41"/>
      <c r="JB77" s="41"/>
      <c r="JC77" s="41">
        <v>685680</v>
      </c>
      <c r="JD77" s="41"/>
      <c r="JE77" s="41" t="s">
        <v>114</v>
      </c>
      <c r="JF77" s="41">
        <v>6349240</v>
      </c>
      <c r="JG77" s="41"/>
      <c r="JH77" s="41">
        <v>1206360</v>
      </c>
      <c r="JI77" s="41">
        <v>1894027</v>
      </c>
      <c r="JJ77" s="41">
        <v>7648532</v>
      </c>
      <c r="JK77" s="41">
        <v>1134725</v>
      </c>
      <c r="JL77" s="41">
        <v>23768707</v>
      </c>
      <c r="JM77" s="41"/>
      <c r="JN77" s="41"/>
      <c r="JO77" s="41">
        <v>316780</v>
      </c>
      <c r="JP77" s="41" t="s">
        <v>4</v>
      </c>
      <c r="JQ77" s="41"/>
      <c r="JR77" s="41">
        <v>713200</v>
      </c>
      <c r="JS77" s="41"/>
      <c r="JT77" s="41">
        <v>1330747</v>
      </c>
      <c r="JU77" s="41">
        <v>1326140</v>
      </c>
      <c r="JV77" s="41">
        <v>708330</v>
      </c>
      <c r="JW77" s="41">
        <v>1001410</v>
      </c>
      <c r="JX77" s="41"/>
      <c r="JY77" s="41">
        <v>34770</v>
      </c>
      <c r="JZ77" s="41"/>
      <c r="KA77" s="41">
        <v>3377788</v>
      </c>
      <c r="KB77" s="41"/>
      <c r="KC77" s="41">
        <v>12307300</v>
      </c>
      <c r="KD77" s="41"/>
    </row>
    <row r="78" spans="1:290">
      <c r="A78" s="9" t="s">
        <v>122</v>
      </c>
      <c r="B78" s="10" t="s">
        <v>149</v>
      </c>
      <c r="C78" s="19">
        <v>132994661</v>
      </c>
      <c r="D78" s="19">
        <v>241765642</v>
      </c>
      <c r="E78" s="19">
        <v>67818011</v>
      </c>
      <c r="F78" s="19">
        <v>85027007</v>
      </c>
      <c r="G78" s="19">
        <v>220769</v>
      </c>
      <c r="H78" s="19">
        <v>44370000</v>
      </c>
      <c r="I78" s="19">
        <v>266562315</v>
      </c>
      <c r="J78" s="19" t="s">
        <v>4</v>
      </c>
      <c r="K78" s="19">
        <v>49380369</v>
      </c>
      <c r="L78" s="19" t="s">
        <v>130</v>
      </c>
      <c r="M78" s="19" t="s">
        <v>96</v>
      </c>
      <c r="N78" s="19">
        <v>-180750139</v>
      </c>
      <c r="O78" s="19">
        <v>52932245</v>
      </c>
      <c r="P78" s="19">
        <v>-125418598</v>
      </c>
      <c r="Q78" s="19">
        <v>-45336259</v>
      </c>
      <c r="R78" s="19">
        <v>-59870187</v>
      </c>
      <c r="S78" s="19">
        <v>886387757</v>
      </c>
      <c r="T78" s="19" t="s">
        <v>96</v>
      </c>
      <c r="U78" s="19">
        <v>-26275240</v>
      </c>
      <c r="V78" s="19" t="s">
        <v>128</v>
      </c>
      <c r="W78" s="19">
        <v>-63445356</v>
      </c>
      <c r="X78" s="19">
        <v>206000036</v>
      </c>
      <c r="Y78" s="19">
        <v>589059</v>
      </c>
      <c r="Z78" s="19">
        <v>21425939</v>
      </c>
      <c r="AA78" s="19">
        <v>125949176</v>
      </c>
      <c r="AB78" s="19">
        <v>13379005</v>
      </c>
      <c r="AC78" s="19">
        <v>45553488</v>
      </c>
      <c r="AD78" s="19">
        <v>15971902</v>
      </c>
      <c r="AE78" s="19">
        <v>7583219</v>
      </c>
      <c r="AF78" s="19">
        <v>30704497</v>
      </c>
      <c r="AG78" s="19">
        <v>-1668577967</v>
      </c>
      <c r="AH78" s="19">
        <v>101166907</v>
      </c>
      <c r="AI78" s="19">
        <v>-99086842</v>
      </c>
      <c r="AJ78" s="19">
        <v>26522906</v>
      </c>
      <c r="AK78" s="19" t="s">
        <v>89</v>
      </c>
      <c r="AL78" s="19">
        <v>75495227</v>
      </c>
      <c r="AM78" s="19" t="s">
        <v>4</v>
      </c>
      <c r="AN78" s="19">
        <v>68939671</v>
      </c>
      <c r="AO78" s="19">
        <v>-642270872</v>
      </c>
      <c r="AP78" s="19">
        <v>-364027588</v>
      </c>
      <c r="AQ78" s="19" t="s">
        <v>96</v>
      </c>
      <c r="AR78" s="19">
        <v>-45345634</v>
      </c>
      <c r="AS78" s="19">
        <v>-92648069</v>
      </c>
      <c r="AT78" s="19">
        <v>16065270</v>
      </c>
      <c r="AU78" s="19">
        <v>142621819</v>
      </c>
      <c r="AV78" s="19">
        <v>122780142</v>
      </c>
      <c r="AW78" s="19">
        <v>62386189</v>
      </c>
      <c r="AX78" s="19" t="s">
        <v>4</v>
      </c>
      <c r="AY78" s="19">
        <v>-31529513</v>
      </c>
      <c r="AZ78" s="19">
        <v>-3940189</v>
      </c>
      <c r="BA78" s="19">
        <v>420586</v>
      </c>
      <c r="BB78" s="19">
        <v>-22582631</v>
      </c>
      <c r="BC78" s="19" t="s">
        <v>4</v>
      </c>
      <c r="BD78" s="19" t="s">
        <v>128</v>
      </c>
      <c r="BE78" s="19">
        <v>75546144</v>
      </c>
      <c r="BF78" s="19">
        <v>10160231</v>
      </c>
      <c r="BG78" s="19">
        <v>-66219491</v>
      </c>
      <c r="BH78" s="19">
        <v>24530987</v>
      </c>
      <c r="BI78" s="19">
        <v>4224137</v>
      </c>
      <c r="BJ78" s="19">
        <v>14452033</v>
      </c>
      <c r="BK78" s="19">
        <v>9020238</v>
      </c>
      <c r="BL78" s="19">
        <v>-79067053</v>
      </c>
      <c r="BM78" s="19">
        <v>-58412295</v>
      </c>
      <c r="BN78" s="19">
        <v>72464059</v>
      </c>
      <c r="BO78" s="19">
        <v>522944</v>
      </c>
      <c r="BP78" s="19" t="s">
        <v>96</v>
      </c>
      <c r="BQ78" s="19" t="s">
        <v>4</v>
      </c>
      <c r="BR78" s="19">
        <v>727247240</v>
      </c>
      <c r="BS78" s="19">
        <v>20603905</v>
      </c>
      <c r="BT78" s="19">
        <v>-38305879</v>
      </c>
      <c r="BU78" s="19">
        <v>4197426</v>
      </c>
      <c r="BV78" s="19">
        <v>4292085</v>
      </c>
      <c r="BW78" s="19">
        <v>34956296</v>
      </c>
      <c r="BX78" s="19">
        <v>11072378</v>
      </c>
      <c r="BY78" s="19">
        <v>180099356</v>
      </c>
      <c r="BZ78" s="19">
        <v>374544139</v>
      </c>
      <c r="CA78" s="19">
        <v>1023692</v>
      </c>
      <c r="CB78" s="19">
        <v>7024254</v>
      </c>
      <c r="CC78" s="19">
        <v>7940567</v>
      </c>
      <c r="CD78" s="19">
        <v>184547945</v>
      </c>
      <c r="CE78" s="19">
        <v>3804166</v>
      </c>
      <c r="CF78" s="19">
        <v>-233944431</v>
      </c>
      <c r="CG78" s="19">
        <v>-20555457</v>
      </c>
      <c r="CH78" s="19">
        <v>214354390</v>
      </c>
      <c r="CI78" s="19" t="s">
        <v>128</v>
      </c>
      <c r="CJ78" s="19" t="s">
        <v>89</v>
      </c>
      <c r="CK78" s="19">
        <v>24061394</v>
      </c>
      <c r="CL78" s="19">
        <v>20916428</v>
      </c>
      <c r="CM78" s="19">
        <v>770545352</v>
      </c>
      <c r="CN78" s="19">
        <v>28945909</v>
      </c>
      <c r="CO78" s="19">
        <v>1028120</v>
      </c>
      <c r="CP78" s="19">
        <v>115022294</v>
      </c>
      <c r="CQ78" s="19" t="s">
        <v>96</v>
      </c>
      <c r="CR78" s="19">
        <v>79334691</v>
      </c>
      <c r="CS78" s="19">
        <v>165069417</v>
      </c>
      <c r="CT78" s="19">
        <v>-1919667145</v>
      </c>
      <c r="CU78" s="19">
        <v>183601999</v>
      </c>
      <c r="CV78" s="19">
        <v>18271605</v>
      </c>
      <c r="CW78" s="19">
        <v>178979986</v>
      </c>
      <c r="CX78" s="19">
        <v>-1668577967</v>
      </c>
      <c r="CY78" s="19">
        <v>494471263</v>
      </c>
      <c r="CZ78" s="19">
        <v>23734741</v>
      </c>
      <c r="DA78" s="19">
        <v>84252604</v>
      </c>
      <c r="DB78" s="19">
        <v>97441396</v>
      </c>
      <c r="DC78" s="19">
        <v>-3538335</v>
      </c>
      <c r="DD78" s="19">
        <v>1685018</v>
      </c>
      <c r="DE78" s="19" t="s">
        <v>89</v>
      </c>
      <c r="DF78" s="19">
        <v>6998093</v>
      </c>
      <c r="DG78" s="19">
        <v>9842980</v>
      </c>
      <c r="DH78" s="19">
        <v>2274295</v>
      </c>
      <c r="DI78" s="19" t="s">
        <v>128</v>
      </c>
      <c r="DJ78" s="19">
        <v>33046589</v>
      </c>
      <c r="DK78" s="19">
        <v>452798508</v>
      </c>
      <c r="DL78" s="19">
        <v>52147109</v>
      </c>
      <c r="DM78" s="19">
        <v>8301320</v>
      </c>
      <c r="DN78" s="19">
        <v>-50910300</v>
      </c>
      <c r="DO78" s="19">
        <v>-2111023</v>
      </c>
      <c r="DP78" s="19">
        <v>299576957</v>
      </c>
      <c r="DQ78" s="19">
        <v>837088</v>
      </c>
      <c r="DR78" s="19">
        <v>-261353527</v>
      </c>
      <c r="DS78" s="19">
        <v>162020310</v>
      </c>
      <c r="DT78" s="19">
        <v>205694353</v>
      </c>
      <c r="DU78" s="19">
        <v>24052547</v>
      </c>
      <c r="DV78" s="19">
        <v>324022078</v>
      </c>
      <c r="DW78" s="19">
        <v>65366380</v>
      </c>
      <c r="DX78" s="19">
        <v>861385408</v>
      </c>
      <c r="DY78" s="19">
        <v>43938919</v>
      </c>
      <c r="DZ78" s="19">
        <v>43124753</v>
      </c>
      <c r="EA78" s="19">
        <v>58589540</v>
      </c>
      <c r="EB78" s="19">
        <v>288160531</v>
      </c>
      <c r="EC78" s="19">
        <v>-46310074</v>
      </c>
      <c r="ED78" s="19">
        <v>49164907</v>
      </c>
      <c r="EE78" s="19">
        <v>44538589</v>
      </c>
      <c r="EF78" s="19">
        <v>10183705</v>
      </c>
      <c r="EG78" s="19">
        <v>-3312366392</v>
      </c>
      <c r="EH78" s="19">
        <v>-29484055</v>
      </c>
      <c r="EI78" s="19">
        <v>-186612781</v>
      </c>
      <c r="EJ78" s="19">
        <v>-15259038</v>
      </c>
      <c r="EK78" s="19">
        <v>-200879177</v>
      </c>
      <c r="EL78" s="19">
        <v>-95198274</v>
      </c>
      <c r="EM78" s="19">
        <v>222218690</v>
      </c>
      <c r="EN78" s="19">
        <v>406520788</v>
      </c>
      <c r="EO78" s="19">
        <v>53782053</v>
      </c>
      <c r="EP78" s="19">
        <v>-106843037</v>
      </c>
      <c r="EQ78" s="19">
        <v>432783007</v>
      </c>
      <c r="ER78" s="19">
        <v>63066300</v>
      </c>
      <c r="ES78" s="19">
        <v>9639004</v>
      </c>
      <c r="ET78" s="19">
        <v>-171559914</v>
      </c>
      <c r="EU78" s="19">
        <v>141637060</v>
      </c>
      <c r="EV78" s="19">
        <v>32682385</v>
      </c>
      <c r="EW78" s="19">
        <v>2843756</v>
      </c>
      <c r="EX78" s="19">
        <v>219687855</v>
      </c>
      <c r="EY78" s="19">
        <v>554058403</v>
      </c>
      <c r="EZ78" s="19">
        <v>-15926343</v>
      </c>
      <c r="FA78" s="19">
        <v>43637476</v>
      </c>
      <c r="FB78" s="19">
        <v>1256733</v>
      </c>
      <c r="FC78" s="19">
        <v>3237245</v>
      </c>
      <c r="FD78" s="19">
        <v>13921242</v>
      </c>
      <c r="FE78" s="19">
        <v>350010005</v>
      </c>
      <c r="FF78" s="19">
        <v>15785601</v>
      </c>
      <c r="FG78" s="19">
        <v>97548738</v>
      </c>
      <c r="FH78" s="19">
        <v>61405745</v>
      </c>
      <c r="FI78" s="19">
        <v>-35911049</v>
      </c>
      <c r="FJ78" s="19">
        <v>48359376</v>
      </c>
      <c r="FK78" s="19">
        <v>6377798</v>
      </c>
      <c r="FL78" s="19">
        <v>-200234244</v>
      </c>
      <c r="FM78" s="19">
        <v>-63791449</v>
      </c>
      <c r="FN78" s="19">
        <v>-441465753</v>
      </c>
      <c r="FO78" s="19">
        <v>7843999</v>
      </c>
      <c r="FP78" s="19">
        <v>26229748</v>
      </c>
      <c r="FQ78" s="19">
        <v>-29828207</v>
      </c>
      <c r="FR78" s="19">
        <v>-17216092</v>
      </c>
      <c r="FS78" s="19">
        <v>-2723399</v>
      </c>
      <c r="FT78" s="19">
        <v>524353682</v>
      </c>
      <c r="FU78" s="19">
        <v>3123842</v>
      </c>
      <c r="FV78" s="19">
        <v>271345023</v>
      </c>
      <c r="FW78" s="19">
        <v>92920</v>
      </c>
      <c r="FX78" s="19">
        <v>-259055126</v>
      </c>
      <c r="FY78" s="19">
        <v>-1063915426</v>
      </c>
      <c r="FZ78" s="19">
        <v>-277442987</v>
      </c>
      <c r="GA78" s="19">
        <v>59370772</v>
      </c>
      <c r="GB78" s="19">
        <v>-106799120</v>
      </c>
      <c r="GC78" s="19">
        <v>41381634</v>
      </c>
      <c r="GD78" s="19" t="s">
        <v>96</v>
      </c>
      <c r="GE78" s="19">
        <v>-131458701</v>
      </c>
      <c r="GF78" s="19">
        <v>7984680</v>
      </c>
      <c r="GG78" s="19">
        <v>-291108809</v>
      </c>
      <c r="GH78" s="19">
        <v>-249902709</v>
      </c>
      <c r="GI78" s="19">
        <v>6150078</v>
      </c>
      <c r="GJ78" s="19">
        <v>-11616624</v>
      </c>
      <c r="GK78" s="19">
        <v>-87663411</v>
      </c>
      <c r="GL78" s="19">
        <v>3575959</v>
      </c>
      <c r="GM78" s="19">
        <v>-23730834</v>
      </c>
      <c r="GN78" s="19">
        <v>10022504</v>
      </c>
      <c r="GO78" s="19">
        <v>-811043418</v>
      </c>
      <c r="GP78" s="19">
        <v>157998332</v>
      </c>
      <c r="GQ78" s="19">
        <v>37885427</v>
      </c>
      <c r="GR78" s="19">
        <v>333325478</v>
      </c>
      <c r="GS78" s="19">
        <v>-4033355</v>
      </c>
      <c r="GT78" s="19">
        <v>-283642577</v>
      </c>
      <c r="GU78" s="19">
        <v>-33697318</v>
      </c>
      <c r="GV78" s="19">
        <v>417198563</v>
      </c>
      <c r="GW78" s="19">
        <v>-1314178081</v>
      </c>
      <c r="GX78" s="19">
        <v>47188101</v>
      </c>
      <c r="GY78" s="19">
        <v>-879856912</v>
      </c>
      <c r="GZ78" s="19">
        <v>291796648</v>
      </c>
      <c r="HA78" s="19">
        <v>-820653663</v>
      </c>
      <c r="HB78" s="37">
        <v>-6256454</v>
      </c>
      <c r="HC78" s="19">
        <v>-340631674</v>
      </c>
      <c r="HD78" s="19">
        <v>80931942</v>
      </c>
      <c r="HE78" s="19">
        <v>-318555285</v>
      </c>
      <c r="HF78" s="19">
        <v>191078286</v>
      </c>
      <c r="HG78" s="19">
        <v>39710081</v>
      </c>
      <c r="HH78" s="19">
        <v>23190609</v>
      </c>
      <c r="HI78" s="19">
        <v>-404226374</v>
      </c>
      <c r="HJ78" s="19">
        <v>64717717</v>
      </c>
      <c r="HK78" s="19">
        <v>-492712802</v>
      </c>
      <c r="HL78" s="19">
        <v>438310604</v>
      </c>
      <c r="HM78" s="19">
        <v>9162927</v>
      </c>
      <c r="HN78" s="19">
        <v>-78115948</v>
      </c>
      <c r="HO78" s="19">
        <v>164166587</v>
      </c>
      <c r="HP78" s="19">
        <v>-67561291</v>
      </c>
      <c r="HQ78" s="41">
        <v>-24422566</v>
      </c>
      <c r="HR78" s="41">
        <v>21242080</v>
      </c>
      <c r="HS78" s="41">
        <v>153259926</v>
      </c>
      <c r="HT78" s="41">
        <v>43454728</v>
      </c>
      <c r="HU78" s="41">
        <v>-1618725265</v>
      </c>
      <c r="HV78" s="41">
        <v>-6809229</v>
      </c>
      <c r="HW78" s="41">
        <v>-24820113373</v>
      </c>
      <c r="HX78" s="41">
        <v>94146748</v>
      </c>
      <c r="HY78" s="41" t="s">
        <v>114</v>
      </c>
      <c r="HZ78" s="41">
        <v>407902767</v>
      </c>
      <c r="IA78" s="41">
        <v>18173306</v>
      </c>
      <c r="IB78" s="41">
        <v>-28108209</v>
      </c>
      <c r="IC78" s="41">
        <v>40107757</v>
      </c>
      <c r="ID78" s="41">
        <v>41556388</v>
      </c>
      <c r="IE78" s="41" t="s">
        <v>4</v>
      </c>
      <c r="IF78" s="41">
        <v>-9676501</v>
      </c>
      <c r="IG78" s="41">
        <v>-16745120</v>
      </c>
      <c r="IH78" s="41">
        <v>32876030</v>
      </c>
      <c r="II78" s="41">
        <v>13622637</v>
      </c>
      <c r="IJ78" s="41">
        <v>25065056</v>
      </c>
      <c r="IK78" s="41">
        <v>13826024</v>
      </c>
      <c r="IL78" s="41">
        <v>15875315</v>
      </c>
      <c r="IM78" s="41">
        <v>2635148</v>
      </c>
      <c r="IN78" s="41">
        <v>24294966</v>
      </c>
      <c r="IO78" s="41">
        <v>-63477418</v>
      </c>
      <c r="IP78" s="41">
        <v>38071998</v>
      </c>
      <c r="IQ78" s="41">
        <v>450621224</v>
      </c>
      <c r="IR78" s="41">
        <v>151758101</v>
      </c>
      <c r="IS78" s="41">
        <v>229179372</v>
      </c>
      <c r="IT78" s="41">
        <v>78911326</v>
      </c>
      <c r="IU78" s="41">
        <v>-197833639</v>
      </c>
      <c r="IV78" s="41">
        <v>41398698</v>
      </c>
      <c r="IW78" s="41">
        <v>7980547</v>
      </c>
      <c r="IX78" s="41" t="s">
        <v>114</v>
      </c>
      <c r="IY78" s="41">
        <v>3701780</v>
      </c>
      <c r="IZ78" s="41">
        <v>64884022</v>
      </c>
      <c r="JA78" s="41">
        <v>-45503964</v>
      </c>
      <c r="JB78" s="41">
        <v>-14997775</v>
      </c>
      <c r="JC78" s="41">
        <v>165429</v>
      </c>
      <c r="JD78" s="41">
        <v>49324497</v>
      </c>
      <c r="JE78" s="41" t="s">
        <v>114</v>
      </c>
      <c r="JF78" s="41">
        <v>51579239</v>
      </c>
      <c r="JG78" s="41">
        <v>-488948389</v>
      </c>
      <c r="JH78" s="41">
        <v>38951896</v>
      </c>
      <c r="JI78" s="41">
        <v>18449703</v>
      </c>
      <c r="JJ78" s="41">
        <v>119187437</v>
      </c>
      <c r="JK78" s="41">
        <v>15044242</v>
      </c>
      <c r="JL78" s="41">
        <v>187403306</v>
      </c>
      <c r="JM78" s="41"/>
      <c r="JN78" s="41"/>
      <c r="JO78" s="41"/>
      <c r="JP78" s="41" t="s">
        <v>4</v>
      </c>
      <c r="JQ78" s="41">
        <v>-98144563</v>
      </c>
      <c r="JR78" s="41">
        <v>114683644</v>
      </c>
      <c r="JS78" s="41">
        <v>66732194</v>
      </c>
      <c r="JT78" s="41">
        <v>41424145</v>
      </c>
      <c r="JU78" s="41">
        <v>32757436</v>
      </c>
      <c r="JV78" s="41">
        <v>2299388</v>
      </c>
      <c r="JW78" s="41"/>
      <c r="JX78" s="41"/>
      <c r="JY78" s="41"/>
      <c r="JZ78" s="41">
        <v>23395252</v>
      </c>
      <c r="KA78" s="41">
        <v>27286007</v>
      </c>
      <c r="KB78" s="41">
        <v>6505658</v>
      </c>
      <c r="KC78" s="41">
        <v>99577343</v>
      </c>
      <c r="KD78" s="41">
        <v>-328412884</v>
      </c>
    </row>
  </sheetData>
  <phoneticPr fontId="14" type="noConversion"/>
  <pageMargins left="0.69972223043441772" right="0.69972223043441772" top="0.75" bottom="0.75" header="0.30000001192092896" footer="0.30000001192092896"/>
  <pageSetup paperSize="9" orientation="portrait"/>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Sheet9"/>
  <dimension ref="A1:IT78"/>
  <sheetViews>
    <sheetView tabSelected="1" zoomScale="70" zoomScaleNormal="70" zoomScaleSheetLayoutView="80" workbookViewId="0">
      <pane xSplit="2" topLeftCell="IK1" activePane="topRight" state="frozen"/>
      <selection pane="topRight" activeCell="IV27" sqref="IV27"/>
    </sheetView>
  </sheetViews>
  <sheetFormatPr defaultColWidth="8.796875" defaultRowHeight="17.399999999999999"/>
  <cols>
    <col min="2" max="2" width="28" customWidth="1"/>
    <col min="3" max="224" width="15.69921875" customWidth="1"/>
    <col min="225" max="254" width="14.69921875" customWidth="1"/>
  </cols>
  <sheetData>
    <row r="1" spans="1:254">
      <c r="A1" s="35"/>
      <c r="B1" s="6" t="s">
        <v>111</v>
      </c>
      <c r="C1" s="20">
        <v>1510001</v>
      </c>
      <c r="D1" s="20">
        <v>1510002</v>
      </c>
      <c r="E1" s="20">
        <v>1510003</v>
      </c>
      <c r="F1" s="20">
        <v>1510004</v>
      </c>
      <c r="G1" s="20">
        <v>1510005</v>
      </c>
      <c r="H1" s="20">
        <v>1510006</v>
      </c>
      <c r="I1" s="20">
        <v>1510007</v>
      </c>
      <c r="J1" s="20">
        <v>1510008</v>
      </c>
      <c r="K1" s="20">
        <v>1510009</v>
      </c>
      <c r="L1" s="20">
        <v>1510010</v>
      </c>
      <c r="M1" s="20">
        <v>1510011</v>
      </c>
      <c r="N1" s="20">
        <v>1510012</v>
      </c>
      <c r="O1" s="20">
        <v>1510013</v>
      </c>
      <c r="P1" s="20">
        <v>1510014</v>
      </c>
      <c r="Q1" s="20">
        <v>1510015</v>
      </c>
      <c r="R1" s="20">
        <v>1510016</v>
      </c>
      <c r="S1" s="20">
        <v>1510017</v>
      </c>
      <c r="T1" s="20">
        <v>1510018</v>
      </c>
      <c r="U1" s="20">
        <v>1510019</v>
      </c>
      <c r="V1" s="20">
        <v>1510020</v>
      </c>
      <c r="W1" s="20">
        <v>1510021</v>
      </c>
      <c r="X1" s="20">
        <v>1510022</v>
      </c>
      <c r="Y1" s="20">
        <v>1510023</v>
      </c>
      <c r="Z1" s="20">
        <v>1510024</v>
      </c>
      <c r="AA1" s="20">
        <v>1510025</v>
      </c>
      <c r="AB1" s="20">
        <v>1510026</v>
      </c>
      <c r="AC1" s="20">
        <v>1510027</v>
      </c>
      <c r="AD1" s="20">
        <v>1510028</v>
      </c>
      <c r="AE1" s="20">
        <v>1510029</v>
      </c>
      <c r="AF1" s="20">
        <v>1510030</v>
      </c>
      <c r="AG1" s="20">
        <v>1510031</v>
      </c>
      <c r="AH1" s="20">
        <v>1510032</v>
      </c>
      <c r="AI1" s="20">
        <v>1510033</v>
      </c>
      <c r="AJ1" s="20">
        <v>1510034</v>
      </c>
      <c r="AK1" s="20">
        <v>1510035</v>
      </c>
      <c r="AL1" s="20">
        <v>1510036</v>
      </c>
      <c r="AM1" s="20">
        <v>1510037</v>
      </c>
      <c r="AN1" s="20">
        <v>1510038</v>
      </c>
      <c r="AO1" s="20">
        <v>1510039</v>
      </c>
      <c r="AP1" s="20">
        <v>1510040</v>
      </c>
      <c r="AQ1" s="20">
        <v>1510041</v>
      </c>
      <c r="AR1" s="20">
        <v>1510042</v>
      </c>
      <c r="AS1" s="20">
        <v>1510043</v>
      </c>
      <c r="AT1" s="20">
        <v>1510044</v>
      </c>
      <c r="AU1" s="20">
        <v>1510045</v>
      </c>
      <c r="AV1" s="20">
        <v>1510046</v>
      </c>
      <c r="AW1" s="20">
        <v>1510047</v>
      </c>
      <c r="AX1" s="20">
        <v>1510048</v>
      </c>
      <c r="AY1" s="20">
        <v>1510049</v>
      </c>
      <c r="AZ1" s="20">
        <v>1510050</v>
      </c>
      <c r="BA1" s="20">
        <v>1510051</v>
      </c>
      <c r="BB1" s="20">
        <v>1510052</v>
      </c>
      <c r="BC1" s="20">
        <v>1604053</v>
      </c>
      <c r="BD1" s="20">
        <v>1604054</v>
      </c>
      <c r="BE1" s="20">
        <v>1604055</v>
      </c>
      <c r="BF1" s="20">
        <v>1604056</v>
      </c>
      <c r="BG1" s="20">
        <v>1604057</v>
      </c>
      <c r="BH1" s="20">
        <v>1604058</v>
      </c>
      <c r="BI1" s="20">
        <v>1604059</v>
      </c>
      <c r="BJ1" s="20">
        <v>1604060</v>
      </c>
      <c r="BK1" s="20">
        <v>1604061</v>
      </c>
      <c r="BL1" s="20">
        <v>1608062</v>
      </c>
      <c r="BM1" s="20">
        <v>1608063</v>
      </c>
      <c r="BN1" s="20">
        <v>1608064</v>
      </c>
      <c r="BO1" s="20">
        <v>1608065</v>
      </c>
      <c r="BP1" s="20">
        <v>1608066</v>
      </c>
      <c r="BQ1" s="20">
        <v>1608067</v>
      </c>
      <c r="BR1" s="20">
        <v>1608068</v>
      </c>
      <c r="BS1" s="20">
        <v>1608069</v>
      </c>
      <c r="BT1" s="20">
        <v>1608070</v>
      </c>
      <c r="BU1" s="20">
        <v>1608071</v>
      </c>
      <c r="BV1" s="20">
        <v>1608072</v>
      </c>
      <c r="BW1" s="20">
        <v>1608073</v>
      </c>
      <c r="BX1" s="20">
        <v>1608074</v>
      </c>
      <c r="BY1" s="20">
        <v>1608075</v>
      </c>
      <c r="BZ1" s="20">
        <v>1608076</v>
      </c>
      <c r="CA1" s="20">
        <v>1608077</v>
      </c>
      <c r="CB1" s="20">
        <v>1608078</v>
      </c>
      <c r="CC1" s="20">
        <v>1608079</v>
      </c>
      <c r="CD1" s="20">
        <v>1608080</v>
      </c>
      <c r="CE1" s="20">
        <v>1608081</v>
      </c>
      <c r="CF1" s="20">
        <v>1608082</v>
      </c>
      <c r="CG1" s="20">
        <v>1608083</v>
      </c>
      <c r="CH1" s="20">
        <v>1608084</v>
      </c>
      <c r="CI1" s="20">
        <v>1608085</v>
      </c>
      <c r="CJ1" s="20">
        <v>1608086</v>
      </c>
      <c r="CK1" s="20">
        <v>1608087</v>
      </c>
      <c r="CL1" s="20">
        <v>1608088</v>
      </c>
      <c r="CM1" s="20">
        <v>1608089</v>
      </c>
      <c r="CN1" s="20">
        <v>1608090</v>
      </c>
      <c r="CO1" s="20">
        <v>1608091</v>
      </c>
      <c r="CP1" s="20">
        <v>1608092</v>
      </c>
      <c r="CQ1" s="20">
        <v>1608093</v>
      </c>
      <c r="CR1" s="20">
        <v>1608094</v>
      </c>
      <c r="CS1" s="20">
        <v>1612095</v>
      </c>
      <c r="CT1" s="20">
        <v>1612096</v>
      </c>
      <c r="CU1" s="20">
        <v>1612097</v>
      </c>
      <c r="CV1" s="20">
        <v>1612098</v>
      </c>
      <c r="CW1" s="20">
        <v>1612099</v>
      </c>
      <c r="CX1" s="20">
        <v>1612100</v>
      </c>
      <c r="CY1" s="20">
        <v>1612101</v>
      </c>
      <c r="CZ1" s="20">
        <v>1708102</v>
      </c>
      <c r="DA1" s="20">
        <v>1708103</v>
      </c>
      <c r="DB1" s="20">
        <v>1708104</v>
      </c>
      <c r="DC1" s="20">
        <v>1708105</v>
      </c>
      <c r="DD1" s="20">
        <v>1708106</v>
      </c>
      <c r="DE1" s="20">
        <v>1708107</v>
      </c>
      <c r="DF1" s="20">
        <v>1708108</v>
      </c>
      <c r="DG1" s="20">
        <v>1708109</v>
      </c>
      <c r="DH1" s="20">
        <v>1708110</v>
      </c>
      <c r="DI1" s="20">
        <v>1708111</v>
      </c>
      <c r="DJ1" s="20">
        <v>1708112</v>
      </c>
      <c r="DK1" s="20">
        <v>1708113</v>
      </c>
      <c r="DL1" s="20">
        <v>1708114</v>
      </c>
      <c r="DM1" s="20">
        <v>1708115</v>
      </c>
      <c r="DN1" s="20">
        <v>1708116</v>
      </c>
      <c r="DO1" s="20">
        <v>1708117</v>
      </c>
      <c r="DP1" s="20">
        <v>1708118</v>
      </c>
      <c r="DQ1" s="20">
        <v>1708119</v>
      </c>
      <c r="DR1" s="20">
        <v>1708120</v>
      </c>
      <c r="DS1" s="20">
        <v>1708121</v>
      </c>
      <c r="DT1" s="20">
        <v>1708122</v>
      </c>
      <c r="DU1" s="20">
        <v>1708123</v>
      </c>
      <c r="DV1" s="20">
        <v>1708124</v>
      </c>
      <c r="DW1" s="20">
        <v>1708125</v>
      </c>
      <c r="DX1" s="20">
        <v>1708126</v>
      </c>
      <c r="DY1" s="20">
        <v>1708127</v>
      </c>
      <c r="DZ1" s="20">
        <v>1708128</v>
      </c>
      <c r="EA1" s="20">
        <v>1708129</v>
      </c>
      <c r="EB1" s="20">
        <v>1708130</v>
      </c>
      <c r="EC1" s="20">
        <v>1808131</v>
      </c>
      <c r="ED1" s="20">
        <v>1808132</v>
      </c>
      <c r="EE1" s="20">
        <v>1808133</v>
      </c>
      <c r="EF1" s="20">
        <v>1808134</v>
      </c>
      <c r="EG1" s="20">
        <v>1808135</v>
      </c>
      <c r="EH1" s="20">
        <v>1808136</v>
      </c>
      <c r="EI1" s="20">
        <v>1808137</v>
      </c>
      <c r="EJ1" s="20">
        <v>1808138</v>
      </c>
      <c r="EK1" s="20">
        <v>1808139</v>
      </c>
      <c r="EL1" s="20">
        <v>1808140</v>
      </c>
      <c r="EM1" s="20">
        <v>1808141</v>
      </c>
      <c r="EN1" s="20">
        <v>1808142</v>
      </c>
      <c r="EO1" s="20">
        <v>1808143</v>
      </c>
      <c r="EP1" s="20">
        <v>1808144</v>
      </c>
      <c r="EQ1" s="20">
        <v>1808145</v>
      </c>
      <c r="ER1" s="20">
        <v>1808146</v>
      </c>
      <c r="ES1" s="20">
        <v>1808147</v>
      </c>
      <c r="ET1" s="20">
        <v>1808148</v>
      </c>
      <c r="EU1" s="20">
        <v>1808149</v>
      </c>
      <c r="EV1" s="20">
        <v>1808150</v>
      </c>
      <c r="EW1" s="20">
        <v>1808151</v>
      </c>
      <c r="EX1" s="20">
        <v>1808152</v>
      </c>
      <c r="EY1" s="20">
        <v>1808153</v>
      </c>
      <c r="EZ1" s="20">
        <v>1808154</v>
      </c>
      <c r="FA1" s="20">
        <v>1808155</v>
      </c>
      <c r="FB1" s="20">
        <v>1808156</v>
      </c>
      <c r="FC1" s="20">
        <v>1808157</v>
      </c>
      <c r="FD1" s="20">
        <v>1808158</v>
      </c>
      <c r="FE1" s="20">
        <v>1808159</v>
      </c>
      <c r="FF1" s="20">
        <v>1808160</v>
      </c>
      <c r="FG1" s="20">
        <v>1808161</v>
      </c>
      <c r="FH1" s="20">
        <v>1808162</v>
      </c>
      <c r="FI1" s="20">
        <v>1808163</v>
      </c>
      <c r="FJ1" s="20">
        <v>1808164</v>
      </c>
      <c r="FK1" s="20">
        <v>1808165</v>
      </c>
      <c r="FL1" s="20">
        <v>1810166</v>
      </c>
      <c r="FM1" s="20">
        <v>1810167</v>
      </c>
      <c r="FN1" s="20">
        <v>1810168</v>
      </c>
      <c r="FO1" s="20">
        <v>1810169</v>
      </c>
      <c r="FP1" s="20">
        <v>1810170</v>
      </c>
      <c r="FQ1" s="20">
        <v>1810171</v>
      </c>
      <c r="FR1" s="20">
        <v>1810172</v>
      </c>
      <c r="FS1" s="20">
        <v>1810173</v>
      </c>
      <c r="FT1" s="20">
        <v>1810174</v>
      </c>
      <c r="FU1" s="20">
        <v>1810175</v>
      </c>
      <c r="FV1" s="20">
        <v>1810176</v>
      </c>
      <c r="FW1" s="20">
        <v>1810177</v>
      </c>
      <c r="FX1" s="20">
        <v>1810178</v>
      </c>
      <c r="FY1" s="20">
        <v>1810179</v>
      </c>
      <c r="FZ1" s="20">
        <v>1810180</v>
      </c>
      <c r="GA1" s="20">
        <v>1810181</v>
      </c>
      <c r="GB1" s="20">
        <v>1810182</v>
      </c>
      <c r="GC1" s="20">
        <v>1810183</v>
      </c>
      <c r="GD1" s="20">
        <v>1810184</v>
      </c>
      <c r="GE1" s="20">
        <v>1810185</v>
      </c>
      <c r="GF1" s="20">
        <v>1810186</v>
      </c>
      <c r="GG1" s="20">
        <v>1810187</v>
      </c>
      <c r="GH1" s="20">
        <v>1810188</v>
      </c>
      <c r="GI1" s="20">
        <v>1909189</v>
      </c>
      <c r="GJ1" s="20">
        <v>1909190</v>
      </c>
      <c r="GK1" s="20">
        <v>1909191</v>
      </c>
      <c r="GL1" s="20">
        <v>1909192</v>
      </c>
      <c r="GM1" s="20">
        <v>1909193</v>
      </c>
      <c r="GN1" s="20">
        <v>1909194</v>
      </c>
      <c r="GO1" s="20">
        <v>1909195</v>
      </c>
      <c r="GP1" s="20">
        <v>1909196</v>
      </c>
      <c r="GQ1" s="20">
        <v>1909197</v>
      </c>
      <c r="GR1" s="20">
        <v>1909198</v>
      </c>
      <c r="GS1" s="20">
        <v>1909199</v>
      </c>
      <c r="GT1" s="20">
        <v>1909200</v>
      </c>
      <c r="GU1" s="20">
        <v>1909201</v>
      </c>
      <c r="GV1" s="20">
        <v>1909202</v>
      </c>
      <c r="GW1" s="20">
        <v>1909203</v>
      </c>
      <c r="GX1" s="20">
        <v>1909204</v>
      </c>
      <c r="GY1" s="20">
        <v>1909205</v>
      </c>
      <c r="GZ1" s="20">
        <v>1909206</v>
      </c>
      <c r="HA1" s="20">
        <v>1909207</v>
      </c>
      <c r="HB1" s="39">
        <v>1909208</v>
      </c>
      <c r="HC1" s="20">
        <v>1909209</v>
      </c>
      <c r="HD1" s="20">
        <v>1909210</v>
      </c>
      <c r="HE1" s="20">
        <v>1909211</v>
      </c>
      <c r="HF1" s="20">
        <v>1909212</v>
      </c>
      <c r="HG1" s="20">
        <v>1909213</v>
      </c>
      <c r="HH1" s="20">
        <v>1909214</v>
      </c>
      <c r="HI1" s="20">
        <v>1909215</v>
      </c>
      <c r="HJ1" s="20">
        <v>1909216</v>
      </c>
      <c r="HK1" s="20">
        <v>1909217</v>
      </c>
      <c r="HL1" s="20">
        <v>1909218</v>
      </c>
      <c r="HM1" s="20">
        <v>1909219</v>
      </c>
      <c r="HN1" s="20">
        <v>1909220</v>
      </c>
      <c r="HO1" s="20">
        <v>1909221</v>
      </c>
      <c r="HP1" s="20">
        <v>1909222</v>
      </c>
      <c r="HQ1" s="20">
        <v>2010223</v>
      </c>
      <c r="HR1" s="20">
        <v>2010224</v>
      </c>
      <c r="HS1" s="20">
        <v>2010225</v>
      </c>
      <c r="HT1" s="20">
        <v>2010226</v>
      </c>
      <c r="HU1" s="20">
        <v>2010227</v>
      </c>
      <c r="HV1" s="20">
        <v>2010228</v>
      </c>
      <c r="HW1" s="20">
        <v>2010229</v>
      </c>
      <c r="HX1" s="20">
        <v>2010230</v>
      </c>
      <c r="HY1" s="20">
        <v>2010231</v>
      </c>
      <c r="HZ1" s="20">
        <v>2010232</v>
      </c>
      <c r="IA1" s="20">
        <v>2010233</v>
      </c>
      <c r="IB1" s="20">
        <v>2010234</v>
      </c>
      <c r="IC1" s="20">
        <v>2010235</v>
      </c>
      <c r="ID1" s="20">
        <v>2010236</v>
      </c>
      <c r="IE1" s="20">
        <v>2010237</v>
      </c>
      <c r="IF1" s="20">
        <v>2010238</v>
      </c>
      <c r="IG1" s="20">
        <v>2010239</v>
      </c>
      <c r="IH1" s="20">
        <v>2010240</v>
      </c>
      <c r="II1" s="20">
        <v>2010241</v>
      </c>
      <c r="IJ1" s="20">
        <v>2010242</v>
      </c>
      <c r="IK1" s="20">
        <v>2010243</v>
      </c>
      <c r="IL1" s="20">
        <v>2010244</v>
      </c>
      <c r="IM1" s="20">
        <v>2010245</v>
      </c>
      <c r="IN1" s="20">
        <v>2010246</v>
      </c>
      <c r="IO1" s="20">
        <v>2010247</v>
      </c>
      <c r="IP1" s="20">
        <v>2010248</v>
      </c>
      <c r="IQ1" s="20">
        <v>2010249</v>
      </c>
      <c r="IR1" s="20">
        <v>2010250</v>
      </c>
      <c r="IS1" s="20">
        <v>2010251</v>
      </c>
      <c r="IT1" s="20">
        <v>2010252</v>
      </c>
    </row>
    <row r="2" spans="1:254">
      <c r="A2" s="7" t="s">
        <v>94</v>
      </c>
      <c r="B2" s="8" t="s">
        <v>112</v>
      </c>
      <c r="C2" s="19">
        <v>541307136</v>
      </c>
      <c r="D2" s="19">
        <v>2191185303</v>
      </c>
      <c r="E2" s="19">
        <v>868387471</v>
      </c>
      <c r="F2" s="19">
        <v>1661478304</v>
      </c>
      <c r="G2" s="19">
        <v>346906941</v>
      </c>
      <c r="H2" s="19">
        <v>2128452600</v>
      </c>
      <c r="I2" s="19">
        <v>4489024295</v>
      </c>
      <c r="J2" s="19" t="s">
        <v>4</v>
      </c>
      <c r="K2" s="19">
        <v>943411755</v>
      </c>
      <c r="L2" s="19" t="s">
        <v>96</v>
      </c>
      <c r="M2" s="19" t="s">
        <v>96</v>
      </c>
      <c r="N2" s="19">
        <v>322729401</v>
      </c>
      <c r="O2" s="19">
        <v>7784943175</v>
      </c>
      <c r="P2" s="19">
        <v>4108247777</v>
      </c>
      <c r="Q2" s="19">
        <v>158364661</v>
      </c>
      <c r="R2" s="19">
        <v>365207556</v>
      </c>
      <c r="S2" s="19">
        <v>13778001775</v>
      </c>
      <c r="T2" s="19" t="s">
        <v>96</v>
      </c>
      <c r="U2" s="19">
        <v>3560790230</v>
      </c>
      <c r="V2" s="19" t="s">
        <v>172</v>
      </c>
      <c r="W2" s="19">
        <v>808038691</v>
      </c>
      <c r="X2" s="19">
        <v>6826659702</v>
      </c>
      <c r="Y2" s="19">
        <v>466017109</v>
      </c>
      <c r="Z2" s="19">
        <v>7212143435</v>
      </c>
      <c r="AA2" s="19">
        <v>5273066103</v>
      </c>
      <c r="AB2" s="19">
        <v>172538618</v>
      </c>
      <c r="AC2" s="19">
        <v>1567784272</v>
      </c>
      <c r="AD2" s="19">
        <v>6216791445</v>
      </c>
      <c r="AE2" s="19">
        <v>6211974068</v>
      </c>
      <c r="AF2" s="19">
        <v>585827992</v>
      </c>
      <c r="AG2" s="19">
        <v>743991457</v>
      </c>
      <c r="AH2" s="19">
        <v>1727787706</v>
      </c>
      <c r="AI2" s="19">
        <v>581026025</v>
      </c>
      <c r="AJ2" s="19">
        <v>975643920</v>
      </c>
      <c r="AK2" s="19">
        <v>2278422317</v>
      </c>
      <c r="AL2" s="19">
        <v>727401190</v>
      </c>
      <c r="AM2" s="19" t="s">
        <v>4</v>
      </c>
      <c r="AN2" s="19">
        <v>1927988821</v>
      </c>
      <c r="AO2" s="19">
        <v>1120152301</v>
      </c>
      <c r="AP2" s="19">
        <v>587862053</v>
      </c>
      <c r="AQ2" s="19" t="s">
        <v>96</v>
      </c>
      <c r="AR2" s="19">
        <v>1680875278</v>
      </c>
      <c r="AS2" s="19">
        <v>1502340443</v>
      </c>
      <c r="AT2" s="19">
        <v>2877253785</v>
      </c>
      <c r="AU2" s="19">
        <v>9749468632</v>
      </c>
      <c r="AV2" s="19">
        <v>405462189</v>
      </c>
      <c r="AW2" s="19">
        <v>681956364</v>
      </c>
      <c r="AX2" s="19" t="s">
        <v>4</v>
      </c>
      <c r="AY2" s="19">
        <v>647218210</v>
      </c>
      <c r="AZ2" s="19">
        <v>604184688</v>
      </c>
      <c r="BA2" s="19">
        <v>2980164334</v>
      </c>
      <c r="BB2" s="19">
        <v>30332753</v>
      </c>
      <c r="BC2" s="19" t="s">
        <v>4</v>
      </c>
      <c r="BD2" s="19" t="s">
        <v>128</v>
      </c>
      <c r="BE2" s="19">
        <v>1578153940</v>
      </c>
      <c r="BF2" s="19">
        <v>2350077313</v>
      </c>
      <c r="BG2" s="19">
        <v>1124965434</v>
      </c>
      <c r="BH2" s="19">
        <v>1060023542</v>
      </c>
      <c r="BI2" s="19">
        <v>661734883</v>
      </c>
      <c r="BJ2" s="19">
        <v>955940533</v>
      </c>
      <c r="BK2" s="19">
        <v>2448451030</v>
      </c>
      <c r="BL2" s="19">
        <v>503655582</v>
      </c>
      <c r="BM2" s="19">
        <v>1630012238</v>
      </c>
      <c r="BN2" s="19">
        <v>249839968</v>
      </c>
      <c r="BO2" s="19">
        <v>380778486</v>
      </c>
      <c r="BP2" s="19" t="s">
        <v>96</v>
      </c>
      <c r="BQ2" s="19" t="s">
        <v>4</v>
      </c>
      <c r="BR2" s="19">
        <v>5336144755</v>
      </c>
      <c r="BS2" s="19">
        <v>76250377</v>
      </c>
      <c r="BT2" s="19">
        <v>30614916</v>
      </c>
      <c r="BU2" s="19">
        <v>1208982374</v>
      </c>
      <c r="BV2" s="19">
        <v>552751546</v>
      </c>
      <c r="BW2" s="19">
        <v>19068030</v>
      </c>
      <c r="BX2" s="19">
        <v>249498164</v>
      </c>
      <c r="BY2" s="19">
        <v>835913141</v>
      </c>
      <c r="BZ2" s="19">
        <v>2194172468</v>
      </c>
      <c r="CA2" s="19">
        <v>1860552903</v>
      </c>
      <c r="CB2" s="19">
        <v>1690323832</v>
      </c>
      <c r="CC2" s="19">
        <v>126499284</v>
      </c>
      <c r="CD2" s="19">
        <v>1101196801</v>
      </c>
      <c r="CE2" s="19">
        <v>307687346</v>
      </c>
      <c r="CF2" s="19">
        <v>276645782</v>
      </c>
      <c r="CG2" s="19">
        <v>220862771</v>
      </c>
      <c r="CH2" s="19">
        <v>367302477</v>
      </c>
      <c r="CI2" s="19" t="s">
        <v>128</v>
      </c>
      <c r="CJ2" s="19">
        <v>595836988</v>
      </c>
      <c r="CK2" s="19">
        <v>7120405068</v>
      </c>
      <c r="CL2" s="19">
        <v>762736217</v>
      </c>
      <c r="CM2" s="19">
        <v>3230255050</v>
      </c>
      <c r="CN2" s="19">
        <v>76854271</v>
      </c>
      <c r="CO2" s="19">
        <v>207280178</v>
      </c>
      <c r="CP2" s="19">
        <v>2220701349</v>
      </c>
      <c r="CQ2" s="19" t="s">
        <v>96</v>
      </c>
      <c r="CR2" s="19">
        <v>774251854</v>
      </c>
      <c r="CS2" s="19">
        <v>5043847225</v>
      </c>
      <c r="CT2" s="19">
        <v>11997394667</v>
      </c>
      <c r="CU2" s="19">
        <v>350955590</v>
      </c>
      <c r="CV2" s="19">
        <v>22741064</v>
      </c>
      <c r="CW2" s="19">
        <v>4369414128</v>
      </c>
      <c r="CX2" s="19">
        <v>3032370177</v>
      </c>
      <c r="CY2" s="19" t="s">
        <v>96</v>
      </c>
      <c r="CZ2" s="19">
        <v>2363634647</v>
      </c>
      <c r="DA2" s="19">
        <v>982948192</v>
      </c>
      <c r="DB2" s="19">
        <v>549435103</v>
      </c>
      <c r="DC2" s="19">
        <v>31431669</v>
      </c>
      <c r="DD2" s="19">
        <v>186944833</v>
      </c>
      <c r="DE2" s="19">
        <v>1393068602</v>
      </c>
      <c r="DF2" s="19">
        <v>66181463</v>
      </c>
      <c r="DG2" s="19">
        <v>865961238</v>
      </c>
      <c r="DH2" s="19">
        <v>659755707</v>
      </c>
      <c r="DI2" s="19">
        <v>7092250501</v>
      </c>
      <c r="DJ2" s="19">
        <v>193356954</v>
      </c>
      <c r="DK2" s="19">
        <v>12683228405</v>
      </c>
      <c r="DL2" s="19">
        <v>644727343</v>
      </c>
      <c r="DM2" s="19">
        <v>1961583559</v>
      </c>
      <c r="DN2" s="19">
        <v>811603560</v>
      </c>
      <c r="DO2" s="19">
        <v>103083410</v>
      </c>
      <c r="DP2" s="19">
        <v>3276196494</v>
      </c>
      <c r="DQ2" s="19">
        <v>474254283</v>
      </c>
      <c r="DR2" s="19">
        <v>5975567742</v>
      </c>
      <c r="DS2" s="19">
        <v>354534422</v>
      </c>
      <c r="DT2" s="19">
        <v>1941865139</v>
      </c>
      <c r="DU2" s="19">
        <v>248516411</v>
      </c>
      <c r="DV2" s="19">
        <v>1886723175</v>
      </c>
      <c r="DW2" s="19">
        <v>1466370284</v>
      </c>
      <c r="DX2" s="19">
        <v>9366333090</v>
      </c>
      <c r="DY2" s="19">
        <v>1133857921</v>
      </c>
      <c r="DZ2" s="19">
        <v>882565038</v>
      </c>
      <c r="EA2" s="19">
        <v>107420775</v>
      </c>
      <c r="EB2" s="19">
        <v>5069743375</v>
      </c>
      <c r="EC2" s="19">
        <v>417139820</v>
      </c>
      <c r="ED2" s="19">
        <v>141408162</v>
      </c>
      <c r="EE2" s="19">
        <v>357274917</v>
      </c>
      <c r="EF2" s="19">
        <v>3416570677</v>
      </c>
      <c r="EG2" s="19">
        <v>4973394689</v>
      </c>
      <c r="EH2" s="19">
        <v>6676741208</v>
      </c>
      <c r="EI2" s="19">
        <v>7893698420</v>
      </c>
      <c r="EJ2" s="19">
        <v>205056253</v>
      </c>
      <c r="EK2" s="19">
        <v>1546472551</v>
      </c>
      <c r="EL2" s="19">
        <v>3728257016</v>
      </c>
      <c r="EM2" s="19">
        <v>836808369</v>
      </c>
      <c r="EN2" s="19">
        <v>3279382375</v>
      </c>
      <c r="EO2" s="19">
        <v>493812933</v>
      </c>
      <c r="EP2" s="19">
        <v>553252975</v>
      </c>
      <c r="EQ2" s="19">
        <v>1350132265</v>
      </c>
      <c r="ER2" s="19">
        <v>2282737780</v>
      </c>
      <c r="ES2" s="19">
        <v>3507094227</v>
      </c>
      <c r="ET2" s="19">
        <v>4561770536</v>
      </c>
      <c r="EU2" s="19">
        <v>2411117341</v>
      </c>
      <c r="EV2" s="19">
        <v>256036854</v>
      </c>
      <c r="EW2" s="19">
        <v>367051128</v>
      </c>
      <c r="EX2" s="19">
        <v>3273477965</v>
      </c>
      <c r="EY2" s="19">
        <v>4743612896</v>
      </c>
      <c r="EZ2" s="19">
        <v>534661803</v>
      </c>
      <c r="FA2" s="19">
        <v>2344329976</v>
      </c>
      <c r="FB2" s="19">
        <v>257795847</v>
      </c>
      <c r="FC2" s="19">
        <v>1182811965</v>
      </c>
      <c r="FD2" s="19">
        <v>565287188</v>
      </c>
      <c r="FE2" s="19">
        <v>5679013884</v>
      </c>
      <c r="FF2" s="19">
        <v>191686633</v>
      </c>
      <c r="FG2" s="19">
        <v>1682987705</v>
      </c>
      <c r="FH2" s="19">
        <v>583941795</v>
      </c>
      <c r="FI2" s="19" t="s">
        <v>96</v>
      </c>
      <c r="FJ2" s="19">
        <v>252679991</v>
      </c>
      <c r="FK2" s="19">
        <v>645682205</v>
      </c>
      <c r="FL2" s="19">
        <v>303982164</v>
      </c>
      <c r="FM2" s="19">
        <v>345918762</v>
      </c>
      <c r="FN2" s="19">
        <v>1642957853</v>
      </c>
      <c r="FO2" s="19">
        <v>72489368</v>
      </c>
      <c r="FP2" s="19">
        <v>538414945</v>
      </c>
      <c r="FQ2" s="19">
        <v>150297005</v>
      </c>
      <c r="FR2" s="19">
        <v>245405445</v>
      </c>
      <c r="FS2" s="19">
        <v>497576458</v>
      </c>
      <c r="FT2" s="19">
        <v>5615739693</v>
      </c>
      <c r="FU2" s="19">
        <v>5558253</v>
      </c>
      <c r="FV2" s="19">
        <v>3652585063</v>
      </c>
      <c r="FW2" s="19">
        <v>281722425</v>
      </c>
      <c r="FX2" s="19">
        <v>17911180</v>
      </c>
      <c r="FY2" s="19">
        <v>1331028494</v>
      </c>
      <c r="FZ2" s="19">
        <v>810704856</v>
      </c>
      <c r="GA2" s="19">
        <v>234815821</v>
      </c>
      <c r="GB2" s="19">
        <v>217012935</v>
      </c>
      <c r="GC2" s="19">
        <v>272665527</v>
      </c>
      <c r="GD2" s="19" t="s">
        <v>96</v>
      </c>
      <c r="GE2" s="19">
        <v>568552528</v>
      </c>
      <c r="GF2" s="19">
        <v>461909813</v>
      </c>
      <c r="GG2" s="19">
        <v>3549399899</v>
      </c>
      <c r="GH2" s="19">
        <v>104287262</v>
      </c>
      <c r="GI2" s="19">
        <v>170971636</v>
      </c>
      <c r="GJ2" s="19">
        <v>125216227</v>
      </c>
      <c r="GK2" s="19">
        <v>182889642</v>
      </c>
      <c r="GL2" s="19" t="s">
        <v>96</v>
      </c>
      <c r="GM2" s="19">
        <v>118359401</v>
      </c>
      <c r="GN2" s="19">
        <v>1471617572</v>
      </c>
      <c r="GO2" s="19">
        <v>1500196292</v>
      </c>
      <c r="GP2" s="19">
        <v>5091990489</v>
      </c>
      <c r="GQ2" s="19">
        <v>411882471</v>
      </c>
      <c r="GR2" s="19">
        <v>1684608155</v>
      </c>
      <c r="GS2" s="19">
        <v>701015923</v>
      </c>
      <c r="GT2" s="19">
        <v>288362785</v>
      </c>
      <c r="GU2" s="19">
        <v>236204660</v>
      </c>
      <c r="GV2" s="19">
        <v>2148285646</v>
      </c>
      <c r="GW2" s="19">
        <v>15189152768</v>
      </c>
      <c r="GX2" s="19">
        <v>1112653055</v>
      </c>
      <c r="GY2" s="19">
        <v>944760259</v>
      </c>
      <c r="GZ2" s="19">
        <v>4835510134</v>
      </c>
      <c r="HA2" s="19">
        <v>713433244</v>
      </c>
      <c r="HB2" s="19">
        <v>373308492</v>
      </c>
      <c r="HC2" s="19">
        <v>858694458</v>
      </c>
      <c r="HD2" s="19">
        <v>491477024</v>
      </c>
      <c r="HE2" s="19">
        <v>329408702</v>
      </c>
      <c r="HF2" s="19">
        <v>1245891024</v>
      </c>
      <c r="HG2" s="19">
        <v>177236458</v>
      </c>
      <c r="HH2" s="19">
        <v>124281478</v>
      </c>
      <c r="HI2" s="19">
        <v>2095699289</v>
      </c>
      <c r="HJ2" s="19">
        <v>913772371</v>
      </c>
      <c r="HK2" s="19">
        <v>1429022334</v>
      </c>
      <c r="HL2" s="19">
        <v>906680944</v>
      </c>
      <c r="HM2" s="19">
        <v>481304348</v>
      </c>
      <c r="HN2" s="19">
        <v>645735103</v>
      </c>
      <c r="HO2" s="19">
        <v>1606451683</v>
      </c>
      <c r="HP2" s="19">
        <v>433618218</v>
      </c>
      <c r="HQ2" s="19">
        <v>175086381</v>
      </c>
      <c r="HR2" s="19">
        <v>4056075026</v>
      </c>
      <c r="HS2" s="19">
        <v>643548455</v>
      </c>
      <c r="HT2" s="19">
        <v>266298435</v>
      </c>
      <c r="HU2" s="19">
        <v>2513809467</v>
      </c>
      <c r="HV2" s="19">
        <v>135840871</v>
      </c>
      <c r="HW2" s="19">
        <v>29802081696</v>
      </c>
      <c r="HX2" s="19">
        <v>3533843936</v>
      </c>
      <c r="HY2" s="19" t="s">
        <v>172</v>
      </c>
      <c r="HZ2" s="19">
        <v>7433285012</v>
      </c>
      <c r="IA2" s="19">
        <v>741539286</v>
      </c>
      <c r="IB2" s="19">
        <v>4053277843</v>
      </c>
      <c r="IC2" s="19">
        <v>865490522</v>
      </c>
      <c r="ID2" s="19">
        <v>26899413</v>
      </c>
      <c r="IE2" s="19" t="s">
        <v>96</v>
      </c>
      <c r="IF2" s="19">
        <v>133539000</v>
      </c>
      <c r="IG2" s="19">
        <v>103347224</v>
      </c>
      <c r="IH2" s="19">
        <v>607364041</v>
      </c>
      <c r="II2" s="19">
        <v>329889979</v>
      </c>
      <c r="IJ2" s="19">
        <v>449070416</v>
      </c>
      <c r="IK2" s="19">
        <v>571999430</v>
      </c>
      <c r="IL2" s="19">
        <v>259045424</v>
      </c>
      <c r="IM2" s="19">
        <v>673748326</v>
      </c>
      <c r="IN2" s="19">
        <v>407449256</v>
      </c>
      <c r="IO2" s="19">
        <v>595672392</v>
      </c>
      <c r="IP2" s="19">
        <v>336377253</v>
      </c>
      <c r="IQ2" s="19">
        <v>1122965524</v>
      </c>
      <c r="IR2" s="19">
        <v>1336497264</v>
      </c>
      <c r="IS2" s="19">
        <v>6030217247</v>
      </c>
      <c r="IT2" s="19">
        <v>1464353265</v>
      </c>
    </row>
    <row r="3" spans="1:254">
      <c r="A3" s="7" t="s">
        <v>94</v>
      </c>
      <c r="B3" s="8" t="s">
        <v>84</v>
      </c>
      <c r="C3" s="19">
        <v>435804044</v>
      </c>
      <c r="D3" s="19">
        <v>1217558889</v>
      </c>
      <c r="E3" s="19">
        <v>389803137</v>
      </c>
      <c r="F3" s="19">
        <v>377537612</v>
      </c>
      <c r="G3" s="19">
        <v>322347774</v>
      </c>
      <c r="H3" s="19">
        <v>1181955228</v>
      </c>
      <c r="I3" s="19">
        <v>1187497161</v>
      </c>
      <c r="J3" s="19" t="s">
        <v>4</v>
      </c>
      <c r="K3" s="19">
        <v>702610623</v>
      </c>
      <c r="L3" s="19" t="s">
        <v>96</v>
      </c>
      <c r="M3" s="19" t="s">
        <v>96</v>
      </c>
      <c r="N3" s="19">
        <v>191689121</v>
      </c>
      <c r="O3" s="19">
        <v>1899888809</v>
      </c>
      <c r="P3" s="19">
        <v>1654598035</v>
      </c>
      <c r="Q3" s="19">
        <v>126452717</v>
      </c>
      <c r="R3" s="19">
        <v>171365656</v>
      </c>
      <c r="S3" s="19">
        <v>3294031036</v>
      </c>
      <c r="T3" s="19" t="s">
        <v>96</v>
      </c>
      <c r="U3" s="19">
        <v>2689209941</v>
      </c>
      <c r="V3" s="19" t="s">
        <v>172</v>
      </c>
      <c r="W3" s="19">
        <v>177584029</v>
      </c>
      <c r="X3" s="19">
        <v>1980288779</v>
      </c>
      <c r="Y3" s="19">
        <v>206475579</v>
      </c>
      <c r="Z3" s="19">
        <v>162134018</v>
      </c>
      <c r="AA3" s="19">
        <v>2567255199</v>
      </c>
      <c r="AB3" s="19">
        <v>109609168</v>
      </c>
      <c r="AC3" s="19">
        <v>349706464</v>
      </c>
      <c r="AD3" s="19">
        <v>730216367</v>
      </c>
      <c r="AE3" s="19">
        <v>1158051363</v>
      </c>
      <c r="AF3" s="19">
        <v>98448862</v>
      </c>
      <c r="AG3" s="19">
        <v>249566818</v>
      </c>
      <c r="AH3" s="19">
        <v>1424945052</v>
      </c>
      <c r="AI3" s="19">
        <v>155262586</v>
      </c>
      <c r="AJ3" s="19">
        <v>786198268</v>
      </c>
      <c r="AK3" s="19">
        <v>1923423755</v>
      </c>
      <c r="AL3" s="19">
        <v>453874138</v>
      </c>
      <c r="AM3" s="19" t="s">
        <v>4</v>
      </c>
      <c r="AN3" s="19">
        <v>175147888</v>
      </c>
      <c r="AO3" s="19">
        <v>921550094</v>
      </c>
      <c r="AP3" s="19">
        <v>581023521</v>
      </c>
      <c r="AQ3" s="19" t="s">
        <v>96</v>
      </c>
      <c r="AR3" s="19">
        <v>1087161064</v>
      </c>
      <c r="AS3" s="19">
        <v>1394044710</v>
      </c>
      <c r="AT3" s="19">
        <v>991885452</v>
      </c>
      <c r="AU3" s="19">
        <v>6618180522</v>
      </c>
      <c r="AV3" s="19">
        <v>174358664</v>
      </c>
      <c r="AW3" s="19">
        <v>76427353</v>
      </c>
      <c r="AX3" s="19" t="s">
        <v>4</v>
      </c>
      <c r="AY3" s="19">
        <v>149375236</v>
      </c>
      <c r="AZ3" s="19">
        <v>267286435</v>
      </c>
      <c r="BA3" s="19">
        <v>1721311063</v>
      </c>
      <c r="BB3" s="19">
        <v>17302088</v>
      </c>
      <c r="BC3" s="19" t="s">
        <v>4</v>
      </c>
      <c r="BD3" s="19" t="s">
        <v>128</v>
      </c>
      <c r="BE3" s="19">
        <v>298801264</v>
      </c>
      <c r="BF3" s="19">
        <v>1381415120</v>
      </c>
      <c r="BG3" s="19">
        <v>1057072665</v>
      </c>
      <c r="BH3" s="19">
        <v>317721279</v>
      </c>
      <c r="BI3" s="19">
        <v>586150116</v>
      </c>
      <c r="BJ3" s="19">
        <v>827497301</v>
      </c>
      <c r="BK3" s="19">
        <v>1951218415</v>
      </c>
      <c r="BL3" s="19">
        <v>266008822</v>
      </c>
      <c r="BM3" s="19">
        <v>769112874</v>
      </c>
      <c r="BN3" s="19">
        <v>84384774</v>
      </c>
      <c r="BO3" s="19">
        <v>318977386</v>
      </c>
      <c r="BP3" s="19" t="s">
        <v>96</v>
      </c>
      <c r="BQ3" s="19" t="s">
        <v>4</v>
      </c>
      <c r="BR3" s="19">
        <v>3210656553</v>
      </c>
      <c r="BS3" s="19">
        <v>39076777</v>
      </c>
      <c r="BT3" s="19">
        <v>19784373</v>
      </c>
      <c r="BU3" s="19">
        <v>548281540</v>
      </c>
      <c r="BV3" s="19">
        <v>552735546</v>
      </c>
      <c r="BW3" s="19">
        <v>13038471</v>
      </c>
      <c r="BX3" s="19">
        <v>196794379</v>
      </c>
      <c r="BY3" s="19">
        <v>669195395</v>
      </c>
      <c r="BZ3" s="19">
        <v>1164819448</v>
      </c>
      <c r="CA3" s="19">
        <v>1175150545</v>
      </c>
      <c r="CB3" s="19">
        <v>174106744</v>
      </c>
      <c r="CC3" s="19">
        <v>123449284</v>
      </c>
      <c r="CD3" s="19">
        <v>1091970894</v>
      </c>
      <c r="CE3" s="19">
        <v>216941346</v>
      </c>
      <c r="CF3" s="19">
        <v>267067464</v>
      </c>
      <c r="CG3" s="19">
        <v>86852092</v>
      </c>
      <c r="CH3" s="19">
        <v>295300288</v>
      </c>
      <c r="CI3" s="19" t="s">
        <v>128</v>
      </c>
      <c r="CJ3" s="19">
        <v>525226680</v>
      </c>
      <c r="CK3" s="19">
        <v>606158737</v>
      </c>
      <c r="CL3" s="19">
        <v>141426562</v>
      </c>
      <c r="CM3" s="19">
        <v>1709076213</v>
      </c>
      <c r="CN3" s="19">
        <v>60304769</v>
      </c>
      <c r="CO3" s="19">
        <v>146303062</v>
      </c>
      <c r="CP3" s="19">
        <v>1725089918</v>
      </c>
      <c r="CQ3" s="19" t="s">
        <v>96</v>
      </c>
      <c r="CR3" s="19">
        <v>645161450</v>
      </c>
      <c r="CS3" s="19">
        <v>3518813510</v>
      </c>
      <c r="CT3" s="19">
        <v>8526613868</v>
      </c>
      <c r="CU3" s="19">
        <v>177972164</v>
      </c>
      <c r="CV3" s="19">
        <v>22741064</v>
      </c>
      <c r="CW3" s="19">
        <v>1196279224</v>
      </c>
      <c r="CX3" s="19">
        <v>2707805612</v>
      </c>
      <c r="CY3" s="19" t="s">
        <v>96</v>
      </c>
      <c r="CZ3" s="19">
        <v>1360052457</v>
      </c>
      <c r="DA3" s="19">
        <v>792690338</v>
      </c>
      <c r="DB3" s="19">
        <v>499880993</v>
      </c>
      <c r="DC3" s="19">
        <v>25682886</v>
      </c>
      <c r="DD3" s="19">
        <v>48013323</v>
      </c>
      <c r="DE3" s="19">
        <v>621242715</v>
      </c>
      <c r="DF3" s="19">
        <v>41843467</v>
      </c>
      <c r="DG3" s="19">
        <v>106284707</v>
      </c>
      <c r="DH3" s="19">
        <v>575128781</v>
      </c>
      <c r="DI3" s="19">
        <v>1470454365</v>
      </c>
      <c r="DJ3" s="19">
        <v>189698250</v>
      </c>
      <c r="DK3" s="19">
        <v>4007701270</v>
      </c>
      <c r="DL3" s="19">
        <v>571310280</v>
      </c>
      <c r="DM3" s="19">
        <v>1264410221</v>
      </c>
      <c r="DN3" s="19">
        <v>293085551</v>
      </c>
      <c r="DO3" s="19">
        <v>24933821</v>
      </c>
      <c r="DP3" s="19">
        <v>2192558193</v>
      </c>
      <c r="DQ3" s="19">
        <v>453967185</v>
      </c>
      <c r="DR3" s="19">
        <v>858830125</v>
      </c>
      <c r="DS3" s="19">
        <v>305285793</v>
      </c>
      <c r="DT3" s="19">
        <v>822202012</v>
      </c>
      <c r="DU3" s="19">
        <v>201834338</v>
      </c>
      <c r="DV3" s="19">
        <v>1697401925</v>
      </c>
      <c r="DW3" s="19">
        <v>534162606</v>
      </c>
      <c r="DX3" s="19">
        <v>7858163069</v>
      </c>
      <c r="DY3" s="19">
        <v>452525830</v>
      </c>
      <c r="DZ3" s="19">
        <v>782075207</v>
      </c>
      <c r="EA3" s="19">
        <v>48257201</v>
      </c>
      <c r="EB3" s="19">
        <v>1397695055</v>
      </c>
      <c r="EC3" s="19">
        <v>408369163</v>
      </c>
      <c r="ED3" s="19">
        <v>102422124</v>
      </c>
      <c r="EE3" s="19">
        <v>184896964</v>
      </c>
      <c r="EF3" s="19">
        <v>375650148</v>
      </c>
      <c r="EG3" s="19">
        <v>2494792064</v>
      </c>
      <c r="EH3" s="19">
        <v>69204930</v>
      </c>
      <c r="EI3" s="19">
        <v>5851426184</v>
      </c>
      <c r="EJ3" s="19">
        <v>197553803</v>
      </c>
      <c r="EK3" s="19">
        <v>1185894361</v>
      </c>
      <c r="EL3" s="19">
        <v>3293081667</v>
      </c>
      <c r="EM3" s="19">
        <v>522393685</v>
      </c>
      <c r="EN3" s="19">
        <v>2654887191</v>
      </c>
      <c r="EO3" s="19">
        <v>333483862</v>
      </c>
      <c r="EP3" s="19">
        <v>190718597</v>
      </c>
      <c r="EQ3" s="19">
        <v>1340132265</v>
      </c>
      <c r="ER3" s="19">
        <v>1256175204</v>
      </c>
      <c r="ES3" s="19">
        <v>883003544</v>
      </c>
      <c r="ET3" s="19">
        <v>2807977440</v>
      </c>
      <c r="EU3" s="19">
        <v>1908618271</v>
      </c>
      <c r="EV3" s="19">
        <v>250214531</v>
      </c>
      <c r="EW3" s="19">
        <v>248735690</v>
      </c>
      <c r="EX3" s="19">
        <v>774899471</v>
      </c>
      <c r="EY3" s="19">
        <v>963833833</v>
      </c>
      <c r="EZ3" s="19">
        <v>177534589</v>
      </c>
      <c r="FA3" s="19">
        <v>206140205</v>
      </c>
      <c r="FB3" s="19">
        <v>16841956</v>
      </c>
      <c r="FC3" s="19">
        <v>288151329</v>
      </c>
      <c r="FD3" s="19">
        <v>491278634</v>
      </c>
      <c r="FE3" s="19">
        <v>4742095543</v>
      </c>
      <c r="FF3" s="19">
        <v>147738434</v>
      </c>
      <c r="FG3" s="19">
        <v>1549512493</v>
      </c>
      <c r="FH3" s="19">
        <v>304158451</v>
      </c>
      <c r="FI3" s="19" t="s">
        <v>96</v>
      </c>
      <c r="FJ3" s="19">
        <v>232678683</v>
      </c>
      <c r="FK3" s="19">
        <v>273372650</v>
      </c>
      <c r="FL3" s="19">
        <v>187598621</v>
      </c>
      <c r="FM3" s="19">
        <v>195891696</v>
      </c>
      <c r="FN3" s="19">
        <v>153554520</v>
      </c>
      <c r="FO3" s="19">
        <v>72489368</v>
      </c>
      <c r="FP3" s="19">
        <v>294171426</v>
      </c>
      <c r="FQ3" s="19">
        <v>111313519</v>
      </c>
      <c r="FR3" s="19">
        <v>156732256</v>
      </c>
      <c r="FS3" s="19">
        <v>450378278</v>
      </c>
      <c r="FT3" s="19">
        <v>3644184850</v>
      </c>
      <c r="FU3" s="19">
        <v>5558253</v>
      </c>
      <c r="FV3" s="19">
        <v>930476667</v>
      </c>
      <c r="FW3" s="19">
        <v>260372741</v>
      </c>
      <c r="FX3" s="19">
        <v>15876136</v>
      </c>
      <c r="FY3" s="19">
        <v>973872218</v>
      </c>
      <c r="FZ3" s="19">
        <v>426313048</v>
      </c>
      <c r="GA3" s="19">
        <v>151597952</v>
      </c>
      <c r="GB3" s="19">
        <v>48839583</v>
      </c>
      <c r="GC3" s="19">
        <v>212078972</v>
      </c>
      <c r="GD3" s="19" t="s">
        <v>96</v>
      </c>
      <c r="GE3" s="19">
        <v>176696329</v>
      </c>
      <c r="GF3" s="19">
        <v>297605120</v>
      </c>
      <c r="GG3" s="19">
        <v>1319673014</v>
      </c>
      <c r="GH3" s="19">
        <v>93847262</v>
      </c>
      <c r="GI3" s="19">
        <v>167221173</v>
      </c>
      <c r="GJ3" s="19">
        <v>110075917</v>
      </c>
      <c r="GK3" s="19">
        <v>115290117</v>
      </c>
      <c r="GL3" s="19" t="s">
        <v>96</v>
      </c>
      <c r="GM3" s="19">
        <v>48646574</v>
      </c>
      <c r="GN3" s="19">
        <v>171984156</v>
      </c>
      <c r="GO3" s="19">
        <v>393930469</v>
      </c>
      <c r="GP3" s="19">
        <v>2537301529</v>
      </c>
      <c r="GQ3" s="19">
        <v>394195826</v>
      </c>
      <c r="GR3" s="19">
        <v>768975491</v>
      </c>
      <c r="GS3" s="19">
        <v>152869135</v>
      </c>
      <c r="GT3" s="19">
        <v>49894059</v>
      </c>
      <c r="GU3" s="19">
        <v>86204660</v>
      </c>
      <c r="GV3" s="19">
        <v>600098924</v>
      </c>
      <c r="GW3" s="19">
        <v>12078747093</v>
      </c>
      <c r="GX3" s="19">
        <v>517836260</v>
      </c>
      <c r="GY3" s="19">
        <v>524204601</v>
      </c>
      <c r="GZ3" s="19">
        <v>537733124</v>
      </c>
      <c r="HA3" s="19">
        <v>296515657</v>
      </c>
      <c r="HB3" s="19">
        <v>360578398</v>
      </c>
      <c r="HC3" s="19">
        <v>456028063</v>
      </c>
      <c r="HD3" s="19">
        <v>395087845</v>
      </c>
      <c r="HE3" s="19">
        <v>289593361</v>
      </c>
      <c r="HF3" s="19">
        <v>856980326</v>
      </c>
      <c r="HG3" s="19">
        <v>156608230</v>
      </c>
      <c r="HH3" s="19">
        <v>0</v>
      </c>
      <c r="HI3" s="19">
        <v>952161688</v>
      </c>
      <c r="HJ3" s="19">
        <v>527096179</v>
      </c>
      <c r="HK3" s="19">
        <v>884848106</v>
      </c>
      <c r="HL3" s="19">
        <v>811502292</v>
      </c>
      <c r="HM3" s="19">
        <v>316308770</v>
      </c>
      <c r="HN3" s="19">
        <v>319120064</v>
      </c>
      <c r="HO3" s="19">
        <v>762250604</v>
      </c>
      <c r="HP3" s="19">
        <v>144635723</v>
      </c>
      <c r="HQ3" s="19">
        <v>93945047</v>
      </c>
      <c r="HR3" s="19">
        <v>3649131381</v>
      </c>
      <c r="HS3" s="19">
        <v>521983467</v>
      </c>
      <c r="HT3" s="19">
        <v>255697260</v>
      </c>
      <c r="HU3" s="19">
        <v>1968535005</v>
      </c>
      <c r="HV3" s="19">
        <v>101220514</v>
      </c>
      <c r="HW3" s="19">
        <v>29272995753</v>
      </c>
      <c r="HX3" s="19">
        <v>1098586000</v>
      </c>
      <c r="HY3" s="19" t="s">
        <v>172</v>
      </c>
      <c r="HZ3" s="19">
        <v>2154445202</v>
      </c>
      <c r="IA3" s="19">
        <v>714539007</v>
      </c>
      <c r="IB3" s="19">
        <v>942003924</v>
      </c>
      <c r="IC3" s="19">
        <v>151092037</v>
      </c>
      <c r="ID3" s="19">
        <v>22069799</v>
      </c>
      <c r="IE3" s="19" t="s">
        <v>96</v>
      </c>
      <c r="IF3" s="19">
        <v>96790893</v>
      </c>
      <c r="IG3" s="19">
        <v>98668262</v>
      </c>
      <c r="IH3" s="19">
        <v>560765434</v>
      </c>
      <c r="II3" s="19">
        <v>182432979</v>
      </c>
      <c r="IJ3" s="19">
        <v>153099707</v>
      </c>
      <c r="IK3" s="19">
        <v>528596335</v>
      </c>
      <c r="IL3" s="19">
        <v>200374586</v>
      </c>
      <c r="IM3" s="19">
        <v>468593173</v>
      </c>
      <c r="IN3" s="19">
        <v>114749846</v>
      </c>
      <c r="IO3" s="19">
        <v>523560953</v>
      </c>
      <c r="IP3" s="19">
        <v>202408082</v>
      </c>
      <c r="IQ3" s="19">
        <v>1115397612</v>
      </c>
      <c r="IR3" s="19">
        <v>1207035971</v>
      </c>
      <c r="IS3" s="19">
        <v>173083046</v>
      </c>
      <c r="IT3" s="19">
        <v>380992871</v>
      </c>
    </row>
    <row r="4" spans="1:254">
      <c r="A4" s="7" t="s">
        <v>94</v>
      </c>
      <c r="B4" s="11" t="s">
        <v>23</v>
      </c>
      <c r="C4" s="19">
        <v>435804044</v>
      </c>
      <c r="D4" s="19">
        <v>1155981339</v>
      </c>
      <c r="E4" s="19">
        <v>337621137</v>
      </c>
      <c r="F4" s="19">
        <v>334398602</v>
      </c>
      <c r="G4" s="19">
        <v>132397774</v>
      </c>
      <c r="H4" s="19">
        <v>1181955228</v>
      </c>
      <c r="I4" s="19">
        <v>1187497161</v>
      </c>
      <c r="J4" s="19" t="s">
        <v>4</v>
      </c>
      <c r="K4" s="19">
        <v>544067906</v>
      </c>
      <c r="L4" s="19" t="s">
        <v>96</v>
      </c>
      <c r="M4" s="19" t="s">
        <v>96</v>
      </c>
      <c r="N4" s="19">
        <v>173987921</v>
      </c>
      <c r="O4" s="19">
        <v>1810933180</v>
      </c>
      <c r="P4" s="19">
        <v>1565748363</v>
      </c>
      <c r="Q4" s="19">
        <v>51792717</v>
      </c>
      <c r="R4" s="19">
        <v>171365656</v>
      </c>
      <c r="S4" s="19">
        <v>2795758086</v>
      </c>
      <c r="T4" s="19" t="s">
        <v>96</v>
      </c>
      <c r="U4" s="19">
        <v>2661580738</v>
      </c>
      <c r="V4" s="19" t="s">
        <v>172</v>
      </c>
      <c r="W4" s="19">
        <v>148863709</v>
      </c>
      <c r="X4" s="19">
        <v>1980288779</v>
      </c>
      <c r="Y4" s="19">
        <v>206475579</v>
      </c>
      <c r="Z4" s="19">
        <v>147238198</v>
      </c>
      <c r="AA4" s="19">
        <v>2151144939</v>
      </c>
      <c r="AB4" s="19">
        <v>109609168</v>
      </c>
      <c r="AC4" s="19">
        <v>348500014</v>
      </c>
      <c r="AD4" s="19">
        <v>580622217</v>
      </c>
      <c r="AE4" s="19">
        <v>943051363</v>
      </c>
      <c r="AF4" s="19">
        <v>98448862</v>
      </c>
      <c r="AG4" s="19">
        <v>249566818</v>
      </c>
      <c r="AH4" s="19">
        <v>1318343492</v>
      </c>
      <c r="AI4" s="19">
        <v>79693586</v>
      </c>
      <c r="AJ4" s="19">
        <v>248259768</v>
      </c>
      <c r="AK4" s="19">
        <v>1898411654</v>
      </c>
      <c r="AL4" s="19">
        <v>453874138</v>
      </c>
      <c r="AM4" s="19" t="s">
        <v>4</v>
      </c>
      <c r="AN4" s="19">
        <v>160136888</v>
      </c>
      <c r="AO4" s="19">
        <v>895929475</v>
      </c>
      <c r="AP4" s="19">
        <v>580638135</v>
      </c>
      <c r="AQ4" s="19" t="s">
        <v>96</v>
      </c>
      <c r="AR4" s="19">
        <v>844212664</v>
      </c>
      <c r="AS4" s="19">
        <v>1394044710</v>
      </c>
      <c r="AT4" s="19">
        <v>122993637</v>
      </c>
      <c r="AU4" s="19">
        <v>6618180522</v>
      </c>
      <c r="AV4" s="19">
        <v>174358664</v>
      </c>
      <c r="AW4" s="19">
        <v>76427353</v>
      </c>
      <c r="AX4" s="19" t="s">
        <v>4</v>
      </c>
      <c r="AY4" s="19">
        <v>133940926</v>
      </c>
      <c r="AZ4" s="19">
        <v>267286435</v>
      </c>
      <c r="BA4" s="19">
        <v>1194848860</v>
      </c>
      <c r="BB4" s="19">
        <v>17302088</v>
      </c>
      <c r="BC4" s="19" t="s">
        <v>4</v>
      </c>
      <c r="BD4" s="19" t="s">
        <v>128</v>
      </c>
      <c r="BE4" s="19">
        <v>220651264</v>
      </c>
      <c r="BF4" s="19">
        <v>867030040</v>
      </c>
      <c r="BG4" s="19">
        <v>782035863</v>
      </c>
      <c r="BH4" s="19">
        <v>280317027</v>
      </c>
      <c r="BI4" s="19">
        <v>435378050</v>
      </c>
      <c r="BJ4" s="19">
        <v>625318886</v>
      </c>
      <c r="BK4" s="19">
        <v>1605943545</v>
      </c>
      <c r="BL4" s="19">
        <v>266008822</v>
      </c>
      <c r="BM4" s="19">
        <v>765847634</v>
      </c>
      <c r="BN4" s="19">
        <v>84384774</v>
      </c>
      <c r="BO4" s="19">
        <v>60128376</v>
      </c>
      <c r="BP4" s="19" t="s">
        <v>96</v>
      </c>
      <c r="BQ4" s="19" t="s">
        <v>4</v>
      </c>
      <c r="BR4" s="19">
        <v>3210656553</v>
      </c>
      <c r="BS4" s="19">
        <v>39076777</v>
      </c>
      <c r="BT4" s="19">
        <v>9048443</v>
      </c>
      <c r="BU4" s="19">
        <v>108477367</v>
      </c>
      <c r="BV4" s="19">
        <v>552735546</v>
      </c>
      <c r="BW4" s="19">
        <v>13038471</v>
      </c>
      <c r="BX4" s="19">
        <v>196794379</v>
      </c>
      <c r="BY4" s="19">
        <v>529176379</v>
      </c>
      <c r="BZ4" s="19">
        <v>936641950</v>
      </c>
      <c r="CA4" s="19">
        <v>1175150545</v>
      </c>
      <c r="CB4" s="19">
        <v>39620634</v>
      </c>
      <c r="CC4" s="19">
        <v>114262484</v>
      </c>
      <c r="CD4" s="19">
        <v>1051276321</v>
      </c>
      <c r="CE4" s="19">
        <v>203050246</v>
      </c>
      <c r="CF4" s="19">
        <v>44539226</v>
      </c>
      <c r="CG4" s="19">
        <v>86852092</v>
      </c>
      <c r="CH4" s="19">
        <v>236271768</v>
      </c>
      <c r="CI4" s="19" t="s">
        <v>128</v>
      </c>
      <c r="CJ4" s="19">
        <v>51526780</v>
      </c>
      <c r="CK4" s="19">
        <v>350320611</v>
      </c>
      <c r="CL4" s="19">
        <v>99368449</v>
      </c>
      <c r="CM4" s="19">
        <v>1709076213</v>
      </c>
      <c r="CN4" s="19">
        <v>60304769</v>
      </c>
      <c r="CO4" s="19">
        <v>146303062</v>
      </c>
      <c r="CP4" s="19">
        <v>576010650</v>
      </c>
      <c r="CQ4" s="19" t="s">
        <v>96</v>
      </c>
      <c r="CR4" s="19">
        <v>623805390</v>
      </c>
      <c r="CS4" s="19">
        <v>3518813510</v>
      </c>
      <c r="CT4" s="19">
        <v>8526613868</v>
      </c>
      <c r="CU4" s="19">
        <v>177972164</v>
      </c>
      <c r="CV4" s="19">
        <v>22741064</v>
      </c>
      <c r="CW4" s="19">
        <v>1155378848</v>
      </c>
      <c r="CX4" s="19">
        <v>2707805612</v>
      </c>
      <c r="CY4" s="19" t="s">
        <v>96</v>
      </c>
      <c r="CZ4" s="19">
        <v>1360052457</v>
      </c>
      <c r="DA4" s="19">
        <v>792690338</v>
      </c>
      <c r="DB4" s="19">
        <v>498961439</v>
      </c>
      <c r="DC4" s="19">
        <v>25682886</v>
      </c>
      <c r="DD4" s="19">
        <v>47209583</v>
      </c>
      <c r="DE4" s="19">
        <v>621242715</v>
      </c>
      <c r="DF4" s="19">
        <v>32224115</v>
      </c>
      <c r="DG4" s="19">
        <v>106284707</v>
      </c>
      <c r="DH4" s="19">
        <v>561480491</v>
      </c>
      <c r="DI4" s="19">
        <v>1225039365</v>
      </c>
      <c r="DJ4" s="19">
        <v>189698250</v>
      </c>
      <c r="DK4" s="19">
        <v>2779838244</v>
      </c>
      <c r="DL4" s="19">
        <v>553406480</v>
      </c>
      <c r="DM4" s="19">
        <v>491828069</v>
      </c>
      <c r="DN4" s="19">
        <v>220991340</v>
      </c>
      <c r="DO4" s="19">
        <v>24933821</v>
      </c>
      <c r="DP4" s="19">
        <v>2161144983</v>
      </c>
      <c r="DQ4" s="19">
        <v>310796674</v>
      </c>
      <c r="DR4" s="19">
        <v>624330037</v>
      </c>
      <c r="DS4" s="19">
        <v>305285793</v>
      </c>
      <c r="DT4" s="19">
        <v>812422012</v>
      </c>
      <c r="DU4" s="19">
        <v>201834338</v>
      </c>
      <c r="DV4" s="19">
        <v>1697401925</v>
      </c>
      <c r="DW4" s="19">
        <v>521796142</v>
      </c>
      <c r="DX4" s="19">
        <v>7858163069</v>
      </c>
      <c r="DY4" s="19">
        <v>94959620</v>
      </c>
      <c r="DZ4" s="19">
        <v>581652969</v>
      </c>
      <c r="EA4" s="19">
        <v>48257201</v>
      </c>
      <c r="EB4" s="19">
        <v>1139460879</v>
      </c>
      <c r="EC4" s="19">
        <v>168888668</v>
      </c>
      <c r="ED4" s="19">
        <v>102422124</v>
      </c>
      <c r="EE4" s="19">
        <v>184896964</v>
      </c>
      <c r="EF4" s="19">
        <v>269461919</v>
      </c>
      <c r="EG4" s="19">
        <v>1300881950</v>
      </c>
      <c r="EH4" s="19">
        <v>69204930</v>
      </c>
      <c r="EI4" s="19">
        <v>5847494820</v>
      </c>
      <c r="EJ4" s="19">
        <v>197553803</v>
      </c>
      <c r="EK4" s="19">
        <v>1185894361</v>
      </c>
      <c r="EL4" s="19">
        <v>3067596522</v>
      </c>
      <c r="EM4" s="19">
        <v>475643125</v>
      </c>
      <c r="EN4" s="19">
        <v>2654887191</v>
      </c>
      <c r="EO4" s="19">
        <v>331614502</v>
      </c>
      <c r="EP4" s="19">
        <v>91549500</v>
      </c>
      <c r="EQ4" s="19">
        <v>1340132265</v>
      </c>
      <c r="ER4" s="19">
        <v>1229126583</v>
      </c>
      <c r="ES4" s="19">
        <v>472044036</v>
      </c>
      <c r="ET4" s="19">
        <v>2807977440</v>
      </c>
      <c r="EU4" s="19">
        <v>1908618271</v>
      </c>
      <c r="EV4" s="19">
        <v>133979939</v>
      </c>
      <c r="EW4" s="19">
        <v>37872470</v>
      </c>
      <c r="EX4" s="19">
        <v>719992845</v>
      </c>
      <c r="EY4" s="19">
        <v>963833833</v>
      </c>
      <c r="EZ4" s="19">
        <v>167097158</v>
      </c>
      <c r="FA4" s="19">
        <v>166923399</v>
      </c>
      <c r="FB4" s="19">
        <v>11661432</v>
      </c>
      <c r="FC4" s="19">
        <v>160684784</v>
      </c>
      <c r="FD4" s="19">
        <v>460478634</v>
      </c>
      <c r="FE4" s="19">
        <v>4700074311</v>
      </c>
      <c r="FF4" s="19">
        <v>147738434</v>
      </c>
      <c r="FG4" s="19">
        <v>1431276253</v>
      </c>
      <c r="FH4" s="19">
        <v>304158451</v>
      </c>
      <c r="FI4" s="19" t="s">
        <v>96</v>
      </c>
      <c r="FJ4" s="19">
        <v>232678683</v>
      </c>
      <c r="FK4" s="19">
        <v>221072650</v>
      </c>
      <c r="FL4" s="19">
        <v>150529861</v>
      </c>
      <c r="FM4" s="19">
        <v>171191061</v>
      </c>
      <c r="FN4" s="19">
        <v>86845835</v>
      </c>
      <c r="FO4" s="19">
        <v>72489368</v>
      </c>
      <c r="FP4" s="19">
        <v>294171426</v>
      </c>
      <c r="FQ4" s="19">
        <v>111313519</v>
      </c>
      <c r="FR4" s="19">
        <v>46800496</v>
      </c>
      <c r="FS4" s="19">
        <v>245770006</v>
      </c>
      <c r="FT4" s="19">
        <v>2346104649</v>
      </c>
      <c r="FU4" s="19">
        <v>5558253</v>
      </c>
      <c r="FV4" s="19">
        <v>930476667</v>
      </c>
      <c r="FW4" s="19">
        <v>21953670</v>
      </c>
      <c r="FX4" s="19">
        <v>15876136</v>
      </c>
      <c r="FY4" s="19">
        <v>942434800</v>
      </c>
      <c r="FZ4" s="19">
        <v>426313048</v>
      </c>
      <c r="GA4" s="19">
        <v>151597952</v>
      </c>
      <c r="GB4" s="19">
        <v>32044109</v>
      </c>
      <c r="GC4" s="19">
        <v>212078972</v>
      </c>
      <c r="GD4" s="19" t="s">
        <v>96</v>
      </c>
      <c r="GE4" s="19">
        <v>149319908</v>
      </c>
      <c r="GF4" s="19">
        <v>248189824</v>
      </c>
      <c r="GG4" s="19">
        <v>1069435356</v>
      </c>
      <c r="GH4" s="19">
        <v>86504462</v>
      </c>
      <c r="GI4" s="19">
        <v>49291871</v>
      </c>
      <c r="GJ4" s="19">
        <v>110075917</v>
      </c>
      <c r="GK4" s="19">
        <v>79660558</v>
      </c>
      <c r="GL4" s="19" t="s">
        <v>96</v>
      </c>
      <c r="GM4" s="19">
        <v>48646574</v>
      </c>
      <c r="GN4" s="19">
        <v>171984156</v>
      </c>
      <c r="GO4" s="19">
        <v>107230469</v>
      </c>
      <c r="GP4" s="19">
        <v>1383358502</v>
      </c>
      <c r="GQ4" s="19">
        <v>298752261</v>
      </c>
      <c r="GR4" s="19">
        <v>279973593</v>
      </c>
      <c r="GS4" s="19">
        <v>152869135</v>
      </c>
      <c r="GT4" s="19">
        <v>40054184</v>
      </c>
      <c r="GU4" s="19">
        <v>86204660</v>
      </c>
      <c r="GV4" s="19">
        <v>600098924</v>
      </c>
      <c r="GW4" s="19">
        <v>12078747093</v>
      </c>
      <c r="GX4" s="19">
        <v>198359070</v>
      </c>
      <c r="GY4" s="19">
        <v>471409401</v>
      </c>
      <c r="GZ4" s="19">
        <v>383133124</v>
      </c>
      <c r="HA4" s="19">
        <v>219204614</v>
      </c>
      <c r="HB4" s="19">
        <v>360578398</v>
      </c>
      <c r="HC4" s="19">
        <v>283342457</v>
      </c>
      <c r="HD4" s="19">
        <v>307960480</v>
      </c>
      <c r="HE4" s="19">
        <v>147336785</v>
      </c>
      <c r="HF4" s="19">
        <v>856980326</v>
      </c>
      <c r="HG4" s="19">
        <v>145473530</v>
      </c>
      <c r="HH4" s="19">
        <v>0</v>
      </c>
      <c r="HI4" s="19">
        <v>952161688</v>
      </c>
      <c r="HJ4" s="19">
        <v>527096179</v>
      </c>
      <c r="HK4" s="19">
        <v>506470737</v>
      </c>
      <c r="HL4" s="19">
        <v>724832592</v>
      </c>
      <c r="HM4" s="19">
        <v>315284770</v>
      </c>
      <c r="HN4" s="19">
        <v>319120064</v>
      </c>
      <c r="HO4" s="19">
        <v>753024104</v>
      </c>
      <c r="HP4" s="19">
        <v>41125723</v>
      </c>
      <c r="HQ4" s="19">
        <v>93945047</v>
      </c>
      <c r="HR4" s="19">
        <v>3649131381</v>
      </c>
      <c r="HS4" s="19">
        <v>458996467</v>
      </c>
      <c r="HT4" s="19">
        <v>179027660</v>
      </c>
      <c r="HU4" s="19">
        <v>1966014345</v>
      </c>
      <c r="HV4" s="19">
        <v>92256314</v>
      </c>
      <c r="HW4" s="19">
        <v>29272995753</v>
      </c>
      <c r="HX4" s="19">
        <v>693778600</v>
      </c>
      <c r="HY4" s="19" t="s">
        <v>172</v>
      </c>
      <c r="HZ4" s="19">
        <v>2111667702</v>
      </c>
      <c r="IA4" s="19">
        <v>714539007</v>
      </c>
      <c r="IB4" s="19">
        <v>926790704</v>
      </c>
      <c r="IC4" s="19">
        <v>151092037</v>
      </c>
      <c r="ID4" s="19">
        <v>17105244</v>
      </c>
      <c r="IE4" s="19" t="s">
        <v>96</v>
      </c>
      <c r="IF4" s="19">
        <v>91776293</v>
      </c>
      <c r="IG4" s="19">
        <v>24562262</v>
      </c>
      <c r="IH4" s="19">
        <v>401088024</v>
      </c>
      <c r="II4" s="19">
        <v>76245089</v>
      </c>
      <c r="IJ4" s="19">
        <v>153099707</v>
      </c>
      <c r="IK4" s="19">
        <v>234193345</v>
      </c>
      <c r="IL4" s="19">
        <v>180381241</v>
      </c>
      <c r="IM4" s="19">
        <v>468593173</v>
      </c>
      <c r="IN4" s="19">
        <v>114749846</v>
      </c>
      <c r="IO4" s="19">
        <v>380672953</v>
      </c>
      <c r="IP4" s="19">
        <v>202408082</v>
      </c>
      <c r="IQ4" s="19">
        <v>1115397612</v>
      </c>
      <c r="IR4" s="19">
        <v>1001315884</v>
      </c>
      <c r="IS4" s="19">
        <v>173083046</v>
      </c>
      <c r="IT4" s="19">
        <v>379247361</v>
      </c>
    </row>
    <row r="5" spans="1:254">
      <c r="A5" s="7" t="s">
        <v>94</v>
      </c>
      <c r="B5" s="12" t="s">
        <v>61</v>
      </c>
      <c r="C5" s="19">
        <v>143498584</v>
      </c>
      <c r="D5" s="19">
        <v>174237526</v>
      </c>
      <c r="E5" s="19">
        <v>283436834</v>
      </c>
      <c r="F5" s="19">
        <v>128667899</v>
      </c>
      <c r="G5" s="19">
        <v>106952406</v>
      </c>
      <c r="H5" s="19">
        <v>209032934</v>
      </c>
      <c r="I5" s="19">
        <v>95992175</v>
      </c>
      <c r="J5" s="19" t="s">
        <v>4</v>
      </c>
      <c r="K5" s="19">
        <v>241930860</v>
      </c>
      <c r="L5" s="19" t="s">
        <v>96</v>
      </c>
      <c r="M5" s="19" t="s">
        <v>96</v>
      </c>
      <c r="N5" s="19">
        <v>97808881</v>
      </c>
      <c r="O5" s="19">
        <v>1081031231</v>
      </c>
      <c r="P5" s="19">
        <v>1138311937</v>
      </c>
      <c r="Q5" s="19">
        <v>6181697</v>
      </c>
      <c r="R5" s="19">
        <v>121274319</v>
      </c>
      <c r="S5" s="19">
        <v>1142796291</v>
      </c>
      <c r="T5" s="19" t="s">
        <v>96</v>
      </c>
      <c r="U5" s="19">
        <v>2494309958</v>
      </c>
      <c r="V5" s="19" t="s">
        <v>172</v>
      </c>
      <c r="W5" s="19">
        <v>142482855</v>
      </c>
      <c r="X5" s="19">
        <v>573668436</v>
      </c>
      <c r="Y5" s="19">
        <v>183305618</v>
      </c>
      <c r="Z5" s="19">
        <v>27044188</v>
      </c>
      <c r="AA5" s="19">
        <v>428626664</v>
      </c>
      <c r="AB5" s="19">
        <v>54449943</v>
      </c>
      <c r="AC5" s="19">
        <v>338395418</v>
      </c>
      <c r="AD5" s="19">
        <v>400119319</v>
      </c>
      <c r="AE5" s="19">
        <v>410436500</v>
      </c>
      <c r="AF5" s="19">
        <v>97038002</v>
      </c>
      <c r="AG5" s="19">
        <v>9082188</v>
      </c>
      <c r="AH5" s="19">
        <v>105116104</v>
      </c>
      <c r="AI5" s="19">
        <v>21785574</v>
      </c>
      <c r="AJ5" s="19">
        <v>154237588</v>
      </c>
      <c r="AK5" s="19">
        <v>99824316</v>
      </c>
      <c r="AL5" s="19">
        <v>368561273</v>
      </c>
      <c r="AM5" s="19" t="s">
        <v>4</v>
      </c>
      <c r="AN5" s="19">
        <v>135598645</v>
      </c>
      <c r="AO5" s="19">
        <v>637795746</v>
      </c>
      <c r="AP5" s="19">
        <v>442775735</v>
      </c>
      <c r="AQ5" s="19" t="s">
        <v>96</v>
      </c>
      <c r="AR5" s="19">
        <v>629840056</v>
      </c>
      <c r="AS5" s="19">
        <v>92288219</v>
      </c>
      <c r="AT5" s="19">
        <v>66278840</v>
      </c>
      <c r="AU5" s="19">
        <v>65060743</v>
      </c>
      <c r="AV5" s="19">
        <v>46698304</v>
      </c>
      <c r="AW5" s="19">
        <v>16229257</v>
      </c>
      <c r="AX5" s="19" t="s">
        <v>4</v>
      </c>
      <c r="AY5" s="19">
        <v>115447945</v>
      </c>
      <c r="AZ5" s="19">
        <v>152508064</v>
      </c>
      <c r="BA5" s="19">
        <v>370354389</v>
      </c>
      <c r="BB5" s="19">
        <v>17302088</v>
      </c>
      <c r="BC5" s="19" t="s">
        <v>4</v>
      </c>
      <c r="BD5" s="19" t="s">
        <v>128</v>
      </c>
      <c r="BE5" s="19">
        <v>131589231</v>
      </c>
      <c r="BF5" s="19">
        <v>364695921</v>
      </c>
      <c r="BG5" s="19">
        <v>667151233</v>
      </c>
      <c r="BH5" s="19">
        <v>203085724</v>
      </c>
      <c r="BI5" s="19">
        <v>399058001</v>
      </c>
      <c r="BJ5" s="19">
        <v>92744214</v>
      </c>
      <c r="BK5" s="19">
        <v>813430910</v>
      </c>
      <c r="BL5" s="19">
        <v>216339899</v>
      </c>
      <c r="BM5" s="19">
        <v>582208667</v>
      </c>
      <c r="BN5" s="19">
        <v>81746094</v>
      </c>
      <c r="BO5" s="19">
        <v>54246915</v>
      </c>
      <c r="BP5" s="19" t="s">
        <v>96</v>
      </c>
      <c r="BQ5" s="19" t="s">
        <v>4</v>
      </c>
      <c r="BR5" s="19">
        <v>2547595800</v>
      </c>
      <c r="BS5" s="19">
        <v>37971917</v>
      </c>
      <c r="BT5" s="19">
        <v>3798180</v>
      </c>
      <c r="BU5" s="19">
        <v>11551166</v>
      </c>
      <c r="BV5" s="19">
        <v>69036583</v>
      </c>
      <c r="BW5" s="19">
        <v>11892361</v>
      </c>
      <c r="BX5" s="19">
        <v>182240414</v>
      </c>
      <c r="BY5" s="19">
        <v>139937929</v>
      </c>
      <c r="BZ5" s="19">
        <v>328669802</v>
      </c>
      <c r="CA5" s="19">
        <v>756539371</v>
      </c>
      <c r="CB5" s="19">
        <v>18441870</v>
      </c>
      <c r="CC5" s="19">
        <v>112586274</v>
      </c>
      <c r="CD5" s="19">
        <v>1028505341</v>
      </c>
      <c r="CE5" s="19">
        <v>3425806</v>
      </c>
      <c r="CF5" s="19">
        <v>15372134</v>
      </c>
      <c r="CG5" s="19">
        <v>85879248</v>
      </c>
      <c r="CH5" s="19">
        <v>200100676</v>
      </c>
      <c r="CI5" s="19" t="s">
        <v>128</v>
      </c>
      <c r="CJ5" s="19">
        <v>1946122</v>
      </c>
      <c r="CK5" s="19">
        <v>16409312</v>
      </c>
      <c r="CL5" s="19">
        <v>20170248</v>
      </c>
      <c r="CM5" s="19">
        <v>346921053</v>
      </c>
      <c r="CN5" s="19">
        <v>21217930</v>
      </c>
      <c r="CO5" s="19">
        <v>135768338</v>
      </c>
      <c r="CP5" s="19">
        <v>3715071</v>
      </c>
      <c r="CQ5" s="19" t="s">
        <v>96</v>
      </c>
      <c r="CR5" s="19">
        <v>403152836</v>
      </c>
      <c r="CS5" s="19">
        <v>1040831401</v>
      </c>
      <c r="CT5" s="19">
        <v>3304484828</v>
      </c>
      <c r="CU5" s="19">
        <v>177972164</v>
      </c>
      <c r="CV5" s="19">
        <v>7476286</v>
      </c>
      <c r="CW5" s="19">
        <v>958435619</v>
      </c>
      <c r="CX5" s="19">
        <v>613209818</v>
      </c>
      <c r="CY5" s="19" t="s">
        <v>96</v>
      </c>
      <c r="CZ5" s="19">
        <v>991298105</v>
      </c>
      <c r="DA5" s="19">
        <v>438937039</v>
      </c>
      <c r="DB5" s="19">
        <v>200008262</v>
      </c>
      <c r="DC5" s="19">
        <v>16292069</v>
      </c>
      <c r="DD5" s="19">
        <v>39036560</v>
      </c>
      <c r="DE5" s="19">
        <v>620575923</v>
      </c>
      <c r="DF5" s="19">
        <v>9586247</v>
      </c>
      <c r="DG5" s="19">
        <v>3424058</v>
      </c>
      <c r="DH5" s="19">
        <v>292054268</v>
      </c>
      <c r="DI5" s="19">
        <v>496148448</v>
      </c>
      <c r="DJ5" s="19">
        <v>165698250</v>
      </c>
      <c r="DK5" s="19">
        <v>861577155</v>
      </c>
      <c r="DL5" s="19">
        <v>376417406</v>
      </c>
      <c r="DM5" s="19">
        <v>47959225</v>
      </c>
      <c r="DN5" s="19">
        <v>101849230</v>
      </c>
      <c r="DO5" s="19">
        <v>23218040</v>
      </c>
      <c r="DP5" s="19">
        <v>1665525803</v>
      </c>
      <c r="DQ5" s="19">
        <v>21626493</v>
      </c>
      <c r="DR5" s="19">
        <v>421867647</v>
      </c>
      <c r="DS5" s="19">
        <v>94258996</v>
      </c>
      <c r="DT5" s="19">
        <v>686462639</v>
      </c>
      <c r="DU5" s="19">
        <v>158334338</v>
      </c>
      <c r="DV5" s="19">
        <v>1682600706</v>
      </c>
      <c r="DW5" s="19">
        <v>398092628</v>
      </c>
      <c r="DX5" s="19">
        <v>6922194839</v>
      </c>
      <c r="DY5" s="19">
        <v>49724958</v>
      </c>
      <c r="DZ5" s="19">
        <v>275923661</v>
      </c>
      <c r="EA5" s="19">
        <v>3044781</v>
      </c>
      <c r="EB5" s="19">
        <v>592782931</v>
      </c>
      <c r="EC5" s="19">
        <v>127536085</v>
      </c>
      <c r="ED5" s="19">
        <v>102051832</v>
      </c>
      <c r="EE5" s="19">
        <v>50327752</v>
      </c>
      <c r="EF5" s="19">
        <v>52466700</v>
      </c>
      <c r="EG5" s="19">
        <v>1021799857</v>
      </c>
      <c r="EH5" s="19">
        <v>43261818</v>
      </c>
      <c r="EI5" s="19">
        <v>4625709805</v>
      </c>
      <c r="EJ5" s="19">
        <v>197472393</v>
      </c>
      <c r="EK5" s="19">
        <v>1121943371</v>
      </c>
      <c r="EL5" s="19">
        <v>2631662774</v>
      </c>
      <c r="EM5" s="19">
        <v>389043569</v>
      </c>
      <c r="EN5" s="19">
        <v>2452735585</v>
      </c>
      <c r="EO5" s="19">
        <v>321597349</v>
      </c>
      <c r="EP5" s="19">
        <v>86387841</v>
      </c>
      <c r="EQ5" s="19">
        <v>1340132265</v>
      </c>
      <c r="ER5" s="19">
        <v>928346732</v>
      </c>
      <c r="ES5" s="19">
        <v>127443455</v>
      </c>
      <c r="ET5" s="19">
        <v>2365149512</v>
      </c>
      <c r="EU5" s="19">
        <v>1520612868</v>
      </c>
      <c r="EV5" s="19">
        <v>66142666</v>
      </c>
      <c r="EW5" s="19">
        <v>7995711</v>
      </c>
      <c r="EX5" s="19">
        <v>632697616</v>
      </c>
      <c r="EY5" s="19">
        <v>685707979</v>
      </c>
      <c r="EZ5" s="19">
        <v>139798104</v>
      </c>
      <c r="FA5" s="19">
        <v>82220002</v>
      </c>
      <c r="FB5" s="19">
        <v>6012128</v>
      </c>
      <c r="FC5" s="19">
        <v>40027308</v>
      </c>
      <c r="FD5" s="19">
        <v>139412818</v>
      </c>
      <c r="FE5" s="19">
        <v>3068525255</v>
      </c>
      <c r="FF5" s="19">
        <v>119550504</v>
      </c>
      <c r="FG5" s="19">
        <v>655289501</v>
      </c>
      <c r="FH5" s="19">
        <v>114557109</v>
      </c>
      <c r="FI5" s="19" t="s">
        <v>96</v>
      </c>
      <c r="FJ5" s="19">
        <v>119926676</v>
      </c>
      <c r="FK5" s="19">
        <v>74340053</v>
      </c>
      <c r="FL5" s="19">
        <v>150346945</v>
      </c>
      <c r="FM5" s="19">
        <v>164412373</v>
      </c>
      <c r="FN5" s="19">
        <v>22477109</v>
      </c>
      <c r="FO5" s="19">
        <v>25445481</v>
      </c>
      <c r="FP5" s="19">
        <v>291748214</v>
      </c>
      <c r="FQ5" s="19">
        <v>109765039</v>
      </c>
      <c r="FR5" s="19">
        <v>21209924</v>
      </c>
      <c r="FS5" s="19">
        <v>210078909</v>
      </c>
      <c r="FT5" s="19">
        <v>110264520</v>
      </c>
      <c r="FU5" s="19">
        <v>5558253</v>
      </c>
      <c r="FV5" s="19">
        <v>287613</v>
      </c>
      <c r="FW5" s="19">
        <v>3330694</v>
      </c>
      <c r="FX5" s="19">
        <v>14519459</v>
      </c>
      <c r="FY5" s="19">
        <v>566282422</v>
      </c>
      <c r="FZ5" s="19">
        <v>274097386</v>
      </c>
      <c r="GA5" s="19">
        <v>91770221</v>
      </c>
      <c r="GB5" s="19">
        <v>24130812</v>
      </c>
      <c r="GC5" s="19">
        <v>161150510</v>
      </c>
      <c r="GD5" s="19" t="s">
        <v>96</v>
      </c>
      <c r="GE5" s="19">
        <v>108242292</v>
      </c>
      <c r="GF5" s="19">
        <v>100108278</v>
      </c>
      <c r="GG5" s="19">
        <v>882491531</v>
      </c>
      <c r="GH5" s="19">
        <v>48185695</v>
      </c>
      <c r="GI5" s="19">
        <v>27346867</v>
      </c>
      <c r="GJ5" s="19">
        <v>110075917</v>
      </c>
      <c r="GK5" s="19">
        <v>43414012</v>
      </c>
      <c r="GL5" s="19" t="s">
        <v>96</v>
      </c>
      <c r="GM5" s="19">
        <v>47869376</v>
      </c>
      <c r="GN5" s="19">
        <v>96338600</v>
      </c>
      <c r="GO5" s="19">
        <v>13026887</v>
      </c>
      <c r="GP5" s="19">
        <v>448772561</v>
      </c>
      <c r="GQ5" s="19">
        <v>267778986</v>
      </c>
      <c r="GR5" s="19">
        <v>86593277</v>
      </c>
      <c r="GS5" s="19">
        <v>82314387</v>
      </c>
      <c r="GT5" s="19">
        <v>32769640</v>
      </c>
      <c r="GU5" s="19">
        <v>84991015</v>
      </c>
      <c r="GV5" s="19">
        <v>571005309</v>
      </c>
      <c r="GW5" s="19">
        <v>8795337029</v>
      </c>
      <c r="GX5" s="19">
        <v>102958096</v>
      </c>
      <c r="GY5" s="19">
        <v>404112974</v>
      </c>
      <c r="GZ5" s="19">
        <v>318568973</v>
      </c>
      <c r="HA5" s="19">
        <v>169125168</v>
      </c>
      <c r="HB5" s="19">
        <v>204420012</v>
      </c>
      <c r="HC5" s="19">
        <v>47841937</v>
      </c>
      <c r="HD5" s="19">
        <v>92927927</v>
      </c>
      <c r="HE5" s="19">
        <v>44883347</v>
      </c>
      <c r="HF5" s="19">
        <v>561416850</v>
      </c>
      <c r="HG5" s="19">
        <v>143068941</v>
      </c>
      <c r="HH5" s="19"/>
      <c r="HI5" s="19">
        <v>651301975</v>
      </c>
      <c r="HJ5" s="19">
        <v>424884389</v>
      </c>
      <c r="HK5" s="19">
        <v>442380269</v>
      </c>
      <c r="HL5" s="19">
        <v>696592956</v>
      </c>
      <c r="HM5" s="19">
        <v>177448307</v>
      </c>
      <c r="HN5" s="19">
        <v>311937340</v>
      </c>
      <c r="HO5" s="19">
        <v>352082437</v>
      </c>
      <c r="HP5" s="19">
        <v>39415667</v>
      </c>
      <c r="HQ5" s="19">
        <v>47810500</v>
      </c>
      <c r="HR5" s="19">
        <v>2197376292</v>
      </c>
      <c r="HS5" s="19">
        <v>421858727</v>
      </c>
      <c r="HT5" s="19">
        <v>16156284</v>
      </c>
      <c r="HU5" s="19">
        <v>1838125099</v>
      </c>
      <c r="HV5" s="19">
        <v>68333046</v>
      </c>
      <c r="HW5" s="19">
        <v>9088277816</v>
      </c>
      <c r="HX5" s="19">
        <v>209137357</v>
      </c>
      <c r="HY5" s="19" t="s">
        <v>172</v>
      </c>
      <c r="HZ5" s="19">
        <v>1199985511</v>
      </c>
      <c r="IA5" s="19">
        <v>155498377</v>
      </c>
      <c r="IB5" s="19">
        <v>383715382</v>
      </c>
      <c r="IC5" s="19">
        <v>146596894</v>
      </c>
      <c r="ID5" s="19">
        <v>10303930</v>
      </c>
      <c r="IE5" s="19" t="s">
        <v>96</v>
      </c>
      <c r="IF5" s="19">
        <v>91286293</v>
      </c>
      <c r="IG5" s="19">
        <v>21676445</v>
      </c>
      <c r="IH5" s="19">
        <v>289576759</v>
      </c>
      <c r="II5" s="19">
        <v>26254637</v>
      </c>
      <c r="IJ5" s="19">
        <v>145058982</v>
      </c>
      <c r="IK5" s="19">
        <v>194879464</v>
      </c>
      <c r="IL5" s="19">
        <v>88792090</v>
      </c>
      <c r="IM5" s="19">
        <v>458438458</v>
      </c>
      <c r="IN5" s="19">
        <v>106528343</v>
      </c>
      <c r="IO5" s="19">
        <v>299042177</v>
      </c>
      <c r="IP5" s="19">
        <v>69742255</v>
      </c>
      <c r="IQ5" s="19">
        <v>1081427387</v>
      </c>
      <c r="IR5" s="19">
        <v>782641299</v>
      </c>
      <c r="IS5" s="19">
        <v>123839332</v>
      </c>
      <c r="IT5" s="19">
        <v>341025937</v>
      </c>
    </row>
    <row r="6" spans="1:254">
      <c r="A6" s="7" t="s">
        <v>94</v>
      </c>
      <c r="B6" s="12" t="s">
        <v>75</v>
      </c>
      <c r="C6" s="19">
        <v>229294260</v>
      </c>
      <c r="D6" s="19">
        <v>0</v>
      </c>
      <c r="E6" s="19"/>
      <c r="F6" s="19">
        <v>201723693</v>
      </c>
      <c r="G6" s="19">
        <v>12500000</v>
      </c>
      <c r="H6" s="19"/>
      <c r="I6" s="19">
        <v>0</v>
      </c>
      <c r="J6" s="19" t="s">
        <v>4</v>
      </c>
      <c r="K6" s="19">
        <v>0</v>
      </c>
      <c r="L6" s="19" t="s">
        <v>96</v>
      </c>
      <c r="M6" s="19" t="s">
        <v>96</v>
      </c>
      <c r="N6" s="19">
        <v>60300000</v>
      </c>
      <c r="O6" s="19">
        <v>6100000</v>
      </c>
      <c r="P6" s="19">
        <v>385000</v>
      </c>
      <c r="Q6" s="19"/>
      <c r="R6" s="19"/>
      <c r="S6" s="19"/>
      <c r="T6" s="19" t="s">
        <v>96</v>
      </c>
      <c r="U6" s="19"/>
      <c r="V6" s="19" t="s">
        <v>172</v>
      </c>
      <c r="W6" s="19">
        <v>0</v>
      </c>
      <c r="X6" s="19">
        <v>289657558</v>
      </c>
      <c r="Y6" s="19">
        <v>5000000</v>
      </c>
      <c r="Z6" s="19"/>
      <c r="AA6" s="19"/>
      <c r="AB6" s="19"/>
      <c r="AC6" s="19">
        <v>385266</v>
      </c>
      <c r="AD6" s="19">
        <v>0</v>
      </c>
      <c r="AE6" s="19"/>
      <c r="AF6" s="19"/>
      <c r="AG6" s="19"/>
      <c r="AH6" s="19">
        <v>903049678</v>
      </c>
      <c r="AI6" s="19"/>
      <c r="AJ6" s="19">
        <v>0</v>
      </c>
      <c r="AK6" s="19"/>
      <c r="AL6" s="19"/>
      <c r="AM6" s="19" t="s">
        <v>4</v>
      </c>
      <c r="AN6" s="19"/>
      <c r="AO6" s="19"/>
      <c r="AP6" s="19">
        <v>3600000</v>
      </c>
      <c r="AQ6" s="19" t="s">
        <v>96</v>
      </c>
      <c r="AR6" s="19"/>
      <c r="AS6" s="19"/>
      <c r="AT6" s="19"/>
      <c r="AU6" s="19">
        <v>3977776</v>
      </c>
      <c r="AV6" s="19"/>
      <c r="AW6" s="19">
        <v>12247940</v>
      </c>
      <c r="AX6" s="19" t="s">
        <v>4</v>
      </c>
      <c r="AY6" s="19"/>
      <c r="AZ6" s="19"/>
      <c r="BA6" s="19"/>
      <c r="BB6" s="19"/>
      <c r="BC6" s="19" t="s">
        <v>4</v>
      </c>
      <c r="BD6" s="19" t="s">
        <v>128</v>
      </c>
      <c r="BE6" s="19">
        <v>500000</v>
      </c>
      <c r="BF6" s="19">
        <v>212385541</v>
      </c>
      <c r="BG6" s="19"/>
      <c r="BH6" s="19">
        <v>28000000</v>
      </c>
      <c r="BI6" s="19"/>
      <c r="BJ6" s="19"/>
      <c r="BK6" s="19"/>
      <c r="BL6" s="19">
        <v>26738947</v>
      </c>
      <c r="BM6" s="19"/>
      <c r="BN6" s="19"/>
      <c r="BO6" s="19"/>
      <c r="BP6" s="19" t="s">
        <v>96</v>
      </c>
      <c r="BQ6" s="19" t="s">
        <v>4</v>
      </c>
      <c r="BR6" s="19"/>
      <c r="BS6" s="19"/>
      <c r="BT6" s="19"/>
      <c r="BU6" s="19"/>
      <c r="BV6" s="19"/>
      <c r="BW6" s="19"/>
      <c r="BX6" s="19"/>
      <c r="BY6" s="19"/>
      <c r="BZ6" s="19">
        <v>341984271</v>
      </c>
      <c r="CA6" s="19"/>
      <c r="CB6" s="19"/>
      <c r="CC6" s="19"/>
      <c r="CD6" s="19"/>
      <c r="CE6" s="19"/>
      <c r="CF6" s="19"/>
      <c r="CG6" s="19"/>
      <c r="CH6" s="19"/>
      <c r="CI6" s="19" t="s">
        <v>128</v>
      </c>
      <c r="CJ6" s="19">
        <v>20000000</v>
      </c>
      <c r="CK6" s="19">
        <v>21500000</v>
      </c>
      <c r="CL6" s="19">
        <v>4821785</v>
      </c>
      <c r="CM6" s="19">
        <v>1083414545</v>
      </c>
      <c r="CN6" s="19">
        <v>12200100</v>
      </c>
      <c r="CO6" s="19"/>
      <c r="CP6" s="19">
        <v>18000000</v>
      </c>
      <c r="CQ6" s="19" t="s">
        <v>96</v>
      </c>
      <c r="CR6" s="19"/>
      <c r="CS6" s="19"/>
      <c r="CT6" s="19">
        <v>5036415570</v>
      </c>
      <c r="CU6" s="19"/>
      <c r="CV6" s="19"/>
      <c r="CW6" s="19">
        <v>2550255</v>
      </c>
      <c r="CX6" s="19">
        <v>1927986250</v>
      </c>
      <c r="CY6" s="19" t="s">
        <v>96</v>
      </c>
      <c r="CZ6" s="19"/>
      <c r="DA6" s="19"/>
      <c r="DB6" s="19"/>
      <c r="DC6" s="19"/>
      <c r="DD6" s="19"/>
      <c r="DE6" s="19"/>
      <c r="DF6" s="19"/>
      <c r="DG6" s="19"/>
      <c r="DH6" s="19"/>
      <c r="DI6" s="19"/>
      <c r="DJ6" s="19">
        <v>24000000</v>
      </c>
      <c r="DK6" s="19"/>
      <c r="DL6" s="19"/>
      <c r="DM6" s="19"/>
      <c r="DN6" s="19"/>
      <c r="DO6" s="19"/>
      <c r="DP6" s="19">
        <v>3388505</v>
      </c>
      <c r="DQ6" s="19"/>
      <c r="DR6" s="19"/>
      <c r="DS6" s="19">
        <v>36841500</v>
      </c>
      <c r="DT6" s="19"/>
      <c r="DU6" s="19"/>
      <c r="DV6" s="19"/>
      <c r="DW6" s="19"/>
      <c r="DX6" s="19"/>
      <c r="DY6" s="19"/>
      <c r="DZ6" s="19">
        <v>148433920</v>
      </c>
      <c r="EA6" s="19"/>
      <c r="EB6" s="19"/>
      <c r="EC6" s="19"/>
      <c r="ED6" s="19"/>
      <c r="EE6" s="19">
        <v>7200000</v>
      </c>
      <c r="EF6" s="19">
        <v>6782903</v>
      </c>
      <c r="EG6" s="19">
        <v>60000000</v>
      </c>
      <c r="EH6" s="19"/>
      <c r="EI6" s="19"/>
      <c r="EJ6" s="19"/>
      <c r="EK6" s="19"/>
      <c r="EL6" s="19"/>
      <c r="EM6" s="19"/>
      <c r="EN6" s="19"/>
      <c r="EO6" s="19"/>
      <c r="EP6" s="19"/>
      <c r="EQ6" s="19"/>
      <c r="ER6" s="19"/>
      <c r="ES6" s="19">
        <v>36500000</v>
      </c>
      <c r="ET6" s="19">
        <v>301601843</v>
      </c>
      <c r="EU6" s="19"/>
      <c r="EV6" s="19"/>
      <c r="EW6" s="19"/>
      <c r="EX6" s="19">
        <v>4000000</v>
      </c>
      <c r="EY6" s="19">
        <v>19000000</v>
      </c>
      <c r="EZ6" s="19"/>
      <c r="FA6" s="19"/>
      <c r="FB6" s="19"/>
      <c r="FC6" s="19"/>
      <c r="FD6" s="19"/>
      <c r="FE6" s="19">
        <v>95320000</v>
      </c>
      <c r="FF6" s="19"/>
      <c r="FG6" s="19">
        <v>206000000</v>
      </c>
      <c r="FH6" s="19"/>
      <c r="FI6" s="19" t="s">
        <v>96</v>
      </c>
      <c r="FJ6" s="19">
        <v>30343265</v>
      </c>
      <c r="FK6" s="19">
        <v>702840</v>
      </c>
      <c r="FL6" s="19"/>
      <c r="FM6" s="19"/>
      <c r="FN6" s="19"/>
      <c r="FO6" s="19"/>
      <c r="FP6" s="19"/>
      <c r="FQ6" s="19"/>
      <c r="FR6" s="19"/>
      <c r="FS6" s="19"/>
      <c r="FT6" s="19">
        <v>1330117303</v>
      </c>
      <c r="FU6" s="19"/>
      <c r="FV6" s="19"/>
      <c r="FW6" s="19"/>
      <c r="FX6" s="19"/>
      <c r="FY6" s="19"/>
      <c r="FZ6" s="19"/>
      <c r="GA6" s="19"/>
      <c r="GB6" s="19"/>
      <c r="GC6" s="19">
        <v>47661128</v>
      </c>
      <c r="GD6" s="19" t="s">
        <v>96</v>
      </c>
      <c r="GE6" s="19"/>
      <c r="GF6" s="19"/>
      <c r="GG6" s="19">
        <v>1282798</v>
      </c>
      <c r="GH6" s="19"/>
      <c r="GI6" s="19"/>
      <c r="GJ6" s="19"/>
      <c r="GK6" s="19"/>
      <c r="GL6" s="19" t="s">
        <v>96</v>
      </c>
      <c r="GM6" s="19"/>
      <c r="GN6" s="19"/>
      <c r="GO6" s="19"/>
      <c r="GP6" s="19">
        <v>7500000</v>
      </c>
      <c r="GQ6" s="19"/>
      <c r="GR6" s="19"/>
      <c r="GS6" s="19"/>
      <c r="GT6" s="19"/>
      <c r="GU6" s="19"/>
      <c r="GV6" s="19"/>
      <c r="GW6" s="19">
        <v>3000000000</v>
      </c>
      <c r="GX6" s="19"/>
      <c r="GY6" s="19"/>
      <c r="GZ6" s="19"/>
      <c r="HA6" s="19"/>
      <c r="HB6" s="19">
        <v>93191950</v>
      </c>
      <c r="HC6" s="19"/>
      <c r="HD6" s="19"/>
      <c r="HE6" s="19"/>
      <c r="HF6" s="19"/>
      <c r="HG6" s="19"/>
      <c r="HH6" s="19"/>
      <c r="HI6" s="19"/>
      <c r="HJ6" s="19"/>
      <c r="HK6" s="19"/>
      <c r="HL6" s="19"/>
      <c r="HM6" s="19">
        <v>36000000</v>
      </c>
      <c r="HN6" s="19"/>
      <c r="HO6" s="19">
        <v>84510030</v>
      </c>
      <c r="HP6" s="19"/>
      <c r="HQ6" s="19"/>
      <c r="HR6" s="19"/>
      <c r="HS6" s="19">
        <v>5000000</v>
      </c>
      <c r="HT6" s="19"/>
      <c r="HU6" s="19"/>
      <c r="HV6" s="19"/>
      <c r="HW6" s="19">
        <v>4569511220</v>
      </c>
      <c r="HX6" s="19"/>
      <c r="HY6" s="19" t="s">
        <v>172</v>
      </c>
      <c r="HZ6" s="19"/>
      <c r="IA6" s="19"/>
      <c r="IB6" s="19"/>
      <c r="IC6" s="19"/>
      <c r="ID6" s="19"/>
      <c r="IE6" s="19" t="s">
        <v>96</v>
      </c>
      <c r="IF6" s="19"/>
      <c r="IG6" s="19"/>
      <c r="IH6" s="19"/>
      <c r="II6" s="19"/>
      <c r="IJ6" s="19"/>
      <c r="IK6" s="19"/>
      <c r="IL6" s="19"/>
      <c r="IM6" s="19"/>
      <c r="IN6" s="19"/>
      <c r="IO6" s="19"/>
      <c r="IP6" s="19"/>
      <c r="IQ6" s="19"/>
      <c r="IR6" s="19"/>
      <c r="IS6" s="19"/>
      <c r="IT6" s="19">
        <v>24116226</v>
      </c>
    </row>
    <row r="7" spans="1:254">
      <c r="A7" s="7" t="s">
        <v>94</v>
      </c>
      <c r="B7" s="13" t="s">
        <v>51</v>
      </c>
      <c r="C7" s="19">
        <v>13070052</v>
      </c>
      <c r="D7" s="19">
        <v>975573900</v>
      </c>
      <c r="E7" s="19">
        <v>42105396</v>
      </c>
      <c r="F7" s="19">
        <v>0</v>
      </c>
      <c r="G7" s="19">
        <v>6572078</v>
      </c>
      <c r="H7" s="19"/>
      <c r="I7" s="19">
        <v>0</v>
      </c>
      <c r="J7" s="19" t="s">
        <v>4</v>
      </c>
      <c r="K7" s="19">
        <v>298201099</v>
      </c>
      <c r="L7" s="19" t="s">
        <v>96</v>
      </c>
      <c r="M7" s="19" t="s">
        <v>96</v>
      </c>
      <c r="N7" s="19">
        <v>13866160</v>
      </c>
      <c r="O7" s="19">
        <v>533393979</v>
      </c>
      <c r="P7" s="19"/>
      <c r="Q7" s="19">
        <v>0</v>
      </c>
      <c r="R7" s="19">
        <v>3111000</v>
      </c>
      <c r="S7" s="19">
        <v>367161126</v>
      </c>
      <c r="T7" s="19" t="s">
        <v>96</v>
      </c>
      <c r="U7" s="19">
        <v>133100595</v>
      </c>
      <c r="V7" s="19" t="s">
        <v>172</v>
      </c>
      <c r="W7" s="19">
        <v>4696287</v>
      </c>
      <c r="X7" s="19">
        <v>336028120</v>
      </c>
      <c r="Y7" s="19">
        <v>18073000</v>
      </c>
      <c r="Z7" s="19">
        <v>90194010</v>
      </c>
      <c r="AA7" s="19">
        <v>1701778377</v>
      </c>
      <c r="AB7" s="19"/>
      <c r="AC7" s="19"/>
      <c r="AD7" s="19">
        <v>157255233</v>
      </c>
      <c r="AE7" s="19">
        <v>37820663</v>
      </c>
      <c r="AF7" s="19"/>
      <c r="AG7" s="19">
        <v>8718646</v>
      </c>
      <c r="AH7" s="19">
        <v>184438379</v>
      </c>
      <c r="AI7" s="19">
        <v>25913365</v>
      </c>
      <c r="AJ7" s="19">
        <v>72722819</v>
      </c>
      <c r="AK7" s="19">
        <v>679482507</v>
      </c>
      <c r="AL7" s="19">
        <v>5569676</v>
      </c>
      <c r="AM7" s="19" t="s">
        <v>4</v>
      </c>
      <c r="AN7" s="19"/>
      <c r="AO7" s="19">
        <v>258133729</v>
      </c>
      <c r="AP7" s="19">
        <v>99668000</v>
      </c>
      <c r="AQ7" s="19" t="s">
        <v>96</v>
      </c>
      <c r="AR7" s="19">
        <v>4565984</v>
      </c>
      <c r="AS7" s="19">
        <v>598923590</v>
      </c>
      <c r="AT7" s="19">
        <v>17500000</v>
      </c>
      <c r="AU7" s="19">
        <v>32160000</v>
      </c>
      <c r="AV7" s="19">
        <v>34779492</v>
      </c>
      <c r="AW7" s="19">
        <v>35592260</v>
      </c>
      <c r="AX7" s="19" t="s">
        <v>4</v>
      </c>
      <c r="AY7" s="19">
        <v>9395839</v>
      </c>
      <c r="AZ7" s="19">
        <v>89513108</v>
      </c>
      <c r="BA7" s="19">
        <v>639852001</v>
      </c>
      <c r="BB7" s="19"/>
      <c r="BC7" s="19" t="s">
        <v>4</v>
      </c>
      <c r="BD7" s="19" t="s">
        <v>128</v>
      </c>
      <c r="BE7" s="19">
        <v>38962100</v>
      </c>
      <c r="BF7" s="19">
        <v>245285576</v>
      </c>
      <c r="BG7" s="19">
        <v>109934834</v>
      </c>
      <c r="BH7" s="19">
        <v>49226440</v>
      </c>
      <c r="BI7" s="19">
        <v>27614369</v>
      </c>
      <c r="BJ7" s="19">
        <v>366263699</v>
      </c>
      <c r="BK7" s="19">
        <v>724396635</v>
      </c>
      <c r="BL7" s="19">
        <v>22929976</v>
      </c>
      <c r="BM7" s="19">
        <v>13717985</v>
      </c>
      <c r="BN7" s="19"/>
      <c r="BO7" s="19">
        <v>4705309</v>
      </c>
      <c r="BP7" s="19" t="s">
        <v>96</v>
      </c>
      <c r="BQ7" s="19" t="s">
        <v>4</v>
      </c>
      <c r="BR7" s="19">
        <v>473095519</v>
      </c>
      <c r="BS7" s="19"/>
      <c r="BT7" s="19"/>
      <c r="BU7" s="19">
        <v>72134653</v>
      </c>
      <c r="BV7" s="19">
        <v>139752511</v>
      </c>
      <c r="BW7" s="19"/>
      <c r="BX7" s="19">
        <v>951158</v>
      </c>
      <c r="BY7" s="19">
        <v>349973852</v>
      </c>
      <c r="BZ7" s="19">
        <v>221887955</v>
      </c>
      <c r="CA7" s="19">
        <v>76811899</v>
      </c>
      <c r="CB7" s="19">
        <v>15544466</v>
      </c>
      <c r="CC7" s="19">
        <v>986000</v>
      </c>
      <c r="CD7" s="19">
        <v>16272900</v>
      </c>
      <c r="CE7" s="19">
        <v>199505140</v>
      </c>
      <c r="CF7" s="19">
        <v>20190608</v>
      </c>
      <c r="CG7" s="19"/>
      <c r="CH7" s="19">
        <v>17846411</v>
      </c>
      <c r="CI7" s="19" t="s">
        <v>128</v>
      </c>
      <c r="CJ7" s="19">
        <v>23486558</v>
      </c>
      <c r="CK7" s="19">
        <v>257831241</v>
      </c>
      <c r="CL7" s="19">
        <v>62275296</v>
      </c>
      <c r="CM7" s="19">
        <v>243370148</v>
      </c>
      <c r="CN7" s="19">
        <v>5424429</v>
      </c>
      <c r="CO7" s="19"/>
      <c r="CP7" s="19">
        <v>359351075</v>
      </c>
      <c r="CQ7" s="19" t="s">
        <v>96</v>
      </c>
      <c r="CR7" s="19"/>
      <c r="CS7" s="19">
        <v>2140348657</v>
      </c>
      <c r="CT7" s="19">
        <v>10441598</v>
      </c>
      <c r="CU7" s="19"/>
      <c r="CV7" s="19">
        <v>11982208</v>
      </c>
      <c r="CW7" s="19">
        <v>135986038</v>
      </c>
      <c r="CX7" s="19">
        <v>35543059</v>
      </c>
      <c r="CY7" s="19" t="s">
        <v>96</v>
      </c>
      <c r="CZ7" s="19">
        <v>368104010</v>
      </c>
      <c r="DA7" s="19"/>
      <c r="DB7" s="19">
        <v>298953177</v>
      </c>
      <c r="DC7" s="19">
        <v>1838425</v>
      </c>
      <c r="DD7" s="19">
        <v>550000</v>
      </c>
      <c r="DE7" s="19"/>
      <c r="DF7" s="19"/>
      <c r="DG7" s="19"/>
      <c r="DH7" s="19">
        <v>167335784</v>
      </c>
      <c r="DI7" s="19">
        <v>723005071</v>
      </c>
      <c r="DJ7" s="19"/>
      <c r="DK7" s="19">
        <v>1614693855</v>
      </c>
      <c r="DL7" s="19">
        <v>105551000</v>
      </c>
      <c r="DM7" s="19">
        <v>431031524</v>
      </c>
      <c r="DN7" s="19">
        <v>51096902</v>
      </c>
      <c r="DO7" s="19">
        <v>476500</v>
      </c>
      <c r="DP7" s="19">
        <v>146815010</v>
      </c>
      <c r="DQ7" s="19">
        <v>239930886</v>
      </c>
      <c r="DR7" s="19">
        <v>38849182</v>
      </c>
      <c r="DS7" s="19">
        <v>164288666</v>
      </c>
      <c r="DT7" s="19">
        <v>62409228</v>
      </c>
      <c r="DU7" s="19">
        <v>13500000</v>
      </c>
      <c r="DV7" s="19"/>
      <c r="DW7" s="19">
        <v>123703514</v>
      </c>
      <c r="DX7" s="19">
        <v>872456148</v>
      </c>
      <c r="DY7" s="19">
        <v>31930282</v>
      </c>
      <c r="DZ7" s="19">
        <v>113500000</v>
      </c>
      <c r="EA7" s="19">
        <v>40000000</v>
      </c>
      <c r="EB7" s="19">
        <v>3779919</v>
      </c>
      <c r="EC7" s="19">
        <v>27634113</v>
      </c>
      <c r="ED7" s="19"/>
      <c r="EE7" s="19">
        <v>1001990</v>
      </c>
      <c r="EF7" s="19">
        <v>207500362</v>
      </c>
      <c r="EG7" s="19">
        <v>68335354</v>
      </c>
      <c r="EH7" s="19">
        <v>17381639</v>
      </c>
      <c r="EI7" s="19">
        <v>1090307911</v>
      </c>
      <c r="EJ7" s="19"/>
      <c r="EK7" s="19">
        <v>55000000</v>
      </c>
      <c r="EL7" s="19">
        <v>304404719</v>
      </c>
      <c r="EM7" s="19">
        <v>83875105</v>
      </c>
      <c r="EN7" s="19">
        <v>172480661</v>
      </c>
      <c r="EO7" s="19"/>
      <c r="EP7" s="19"/>
      <c r="EQ7" s="19"/>
      <c r="ER7" s="19"/>
      <c r="ES7" s="19">
        <v>226337501</v>
      </c>
      <c r="ET7" s="19">
        <v>72294003</v>
      </c>
      <c r="EU7" s="19">
        <v>42115516</v>
      </c>
      <c r="EV7" s="19">
        <v>53503227</v>
      </c>
      <c r="EW7" s="19">
        <v>15887488</v>
      </c>
      <c r="EX7" s="19">
        <v>67238131</v>
      </c>
      <c r="EY7" s="19"/>
      <c r="EZ7" s="19">
        <v>5908544</v>
      </c>
      <c r="FA7" s="19">
        <v>64059108</v>
      </c>
      <c r="FB7" s="19">
        <v>1220910</v>
      </c>
      <c r="FC7" s="19">
        <v>111742656</v>
      </c>
      <c r="FD7" s="19">
        <v>315697034</v>
      </c>
      <c r="FE7" s="19">
        <v>1048436444</v>
      </c>
      <c r="FF7" s="19">
        <v>28187930</v>
      </c>
      <c r="FG7" s="19">
        <v>508438747</v>
      </c>
      <c r="FH7" s="19">
        <v>50303337</v>
      </c>
      <c r="FI7" s="19" t="s">
        <v>96</v>
      </c>
      <c r="FJ7" s="19">
        <v>77877000</v>
      </c>
      <c r="FK7" s="19">
        <v>81979080</v>
      </c>
      <c r="FL7" s="19">
        <v>172176</v>
      </c>
      <c r="FM7" s="19">
        <v>2277557</v>
      </c>
      <c r="FN7" s="19"/>
      <c r="FO7" s="19"/>
      <c r="FP7" s="19"/>
      <c r="FQ7" s="19"/>
      <c r="FR7" s="19">
        <v>4180170</v>
      </c>
      <c r="FS7" s="19">
        <v>23832714</v>
      </c>
      <c r="FT7" s="19">
        <v>332751111</v>
      </c>
      <c r="FU7" s="19"/>
      <c r="FV7" s="19">
        <v>850884801</v>
      </c>
      <c r="FW7" s="19">
        <v>18222976</v>
      </c>
      <c r="FX7" s="19">
        <v>970577</v>
      </c>
      <c r="FY7" s="19">
        <v>23254245</v>
      </c>
      <c r="FZ7" s="19">
        <v>75072373</v>
      </c>
      <c r="GA7" s="19">
        <v>51701216</v>
      </c>
      <c r="GB7" s="19">
        <v>4178128</v>
      </c>
      <c r="GC7" s="19"/>
      <c r="GD7" s="19" t="s">
        <v>96</v>
      </c>
      <c r="GE7" s="19">
        <v>39281399</v>
      </c>
      <c r="GF7" s="19">
        <v>96824964</v>
      </c>
      <c r="GG7" s="19">
        <v>87584210</v>
      </c>
      <c r="GH7" s="19">
        <v>21686490</v>
      </c>
      <c r="GI7" s="19">
        <v>980635</v>
      </c>
      <c r="GJ7" s="19"/>
      <c r="GK7" s="19">
        <v>14983940</v>
      </c>
      <c r="GL7" s="19" t="s">
        <v>96</v>
      </c>
      <c r="GM7" s="19"/>
      <c r="GN7" s="19">
        <v>39600000</v>
      </c>
      <c r="GO7" s="19">
        <v>25134100</v>
      </c>
      <c r="GP7" s="19">
        <v>768305081</v>
      </c>
      <c r="GQ7" s="19">
        <v>2000000</v>
      </c>
      <c r="GR7" s="19">
        <v>6694977</v>
      </c>
      <c r="GS7" s="19">
        <v>19419682</v>
      </c>
      <c r="GT7" s="19">
        <v>3684000</v>
      </c>
      <c r="GU7" s="19"/>
      <c r="GV7" s="19"/>
      <c r="GW7" s="19">
        <v>92426365</v>
      </c>
      <c r="GX7" s="19">
        <v>86760500</v>
      </c>
      <c r="GY7" s="19"/>
      <c r="GZ7" s="19">
        <v>30679304</v>
      </c>
      <c r="HA7" s="19">
        <v>20451150</v>
      </c>
      <c r="HB7" s="19">
        <v>11498600</v>
      </c>
      <c r="HC7" s="19">
        <v>8101589</v>
      </c>
      <c r="HD7" s="19">
        <v>31420619</v>
      </c>
      <c r="HE7" s="19">
        <v>28152781</v>
      </c>
      <c r="HF7" s="19">
        <v>287755866</v>
      </c>
      <c r="HG7" s="19">
        <v>0</v>
      </c>
      <c r="HH7" s="19"/>
      <c r="HI7" s="19">
        <v>265514040</v>
      </c>
      <c r="HJ7" s="19">
        <v>12005790</v>
      </c>
      <c r="HK7" s="19">
        <v>9750421</v>
      </c>
      <c r="HL7" s="19">
        <v>23924150</v>
      </c>
      <c r="HM7" s="19">
        <v>51836463</v>
      </c>
      <c r="HN7" s="19"/>
      <c r="HO7" s="19">
        <v>104290940</v>
      </c>
      <c r="HP7" s="19">
        <v>1710056</v>
      </c>
      <c r="HQ7" s="19"/>
      <c r="HR7" s="19">
        <v>1314419916</v>
      </c>
      <c r="HS7" s="19">
        <v>13948903</v>
      </c>
      <c r="HT7" s="19">
        <v>53884376</v>
      </c>
      <c r="HU7" s="19">
        <v>73993</v>
      </c>
      <c r="HV7" s="19">
        <v>14923268</v>
      </c>
      <c r="HW7" s="19">
        <v>14095936026</v>
      </c>
      <c r="HX7" s="19">
        <v>83992549</v>
      </c>
      <c r="HY7" s="19" t="s">
        <v>172</v>
      </c>
      <c r="HZ7" s="19">
        <v>680388446</v>
      </c>
      <c r="IA7" s="19"/>
      <c r="IB7" s="19">
        <v>490887641</v>
      </c>
      <c r="IC7" s="19"/>
      <c r="ID7" s="19">
        <v>5752719</v>
      </c>
      <c r="IE7" s="19" t="s">
        <v>96</v>
      </c>
      <c r="IF7" s="19">
        <v>490000</v>
      </c>
      <c r="IG7" s="19">
        <v>2523515</v>
      </c>
      <c r="IH7" s="19">
        <v>91972412</v>
      </c>
      <c r="II7" s="19">
        <v>1000000</v>
      </c>
      <c r="IJ7" s="19">
        <v>3042075</v>
      </c>
      <c r="IK7" s="19">
        <v>36625000</v>
      </c>
      <c r="IL7" s="19">
        <v>60544951</v>
      </c>
      <c r="IM7" s="19">
        <v>4998907</v>
      </c>
      <c r="IN7" s="19">
        <v>209193</v>
      </c>
      <c r="IO7" s="19">
        <v>70670674</v>
      </c>
      <c r="IP7" s="19"/>
      <c r="IQ7" s="19">
        <v>3117333</v>
      </c>
      <c r="IR7" s="19">
        <v>7127622</v>
      </c>
      <c r="IS7" s="19">
        <v>25632163</v>
      </c>
      <c r="IT7" s="19">
        <v>10714866</v>
      </c>
    </row>
    <row r="8" spans="1:254">
      <c r="A8" s="7" t="s">
        <v>94</v>
      </c>
      <c r="B8" s="13" t="s">
        <v>69</v>
      </c>
      <c r="C8" s="19">
        <v>15152254</v>
      </c>
      <c r="D8" s="19">
        <v>0</v>
      </c>
      <c r="E8" s="19"/>
      <c r="F8" s="19">
        <v>0</v>
      </c>
      <c r="G8" s="19"/>
      <c r="H8" s="19">
        <v>636991200</v>
      </c>
      <c r="I8" s="19">
        <v>30000000</v>
      </c>
      <c r="J8" s="19" t="s">
        <v>4</v>
      </c>
      <c r="K8" s="19">
        <v>0</v>
      </c>
      <c r="L8" s="19" t="s">
        <v>96</v>
      </c>
      <c r="M8" s="19" t="s">
        <v>96</v>
      </c>
      <c r="N8" s="19"/>
      <c r="O8" s="19"/>
      <c r="P8" s="19"/>
      <c r="Q8" s="19">
        <v>41000000</v>
      </c>
      <c r="R8" s="19">
        <v>45000000</v>
      </c>
      <c r="S8" s="19">
        <v>0</v>
      </c>
      <c r="T8" s="19" t="s">
        <v>96</v>
      </c>
      <c r="U8" s="19"/>
      <c r="V8" s="19" t="s">
        <v>172</v>
      </c>
      <c r="W8" s="19">
        <v>0</v>
      </c>
      <c r="X8" s="19"/>
      <c r="Y8" s="19"/>
      <c r="Z8" s="19">
        <v>30000000</v>
      </c>
      <c r="AA8" s="19"/>
      <c r="AB8" s="19"/>
      <c r="AC8" s="19"/>
      <c r="AD8" s="19"/>
      <c r="AE8" s="19">
        <v>270000000</v>
      </c>
      <c r="AF8" s="19"/>
      <c r="AG8" s="19">
        <v>208488650</v>
      </c>
      <c r="AH8" s="19"/>
      <c r="AI8" s="19"/>
      <c r="AJ8" s="19">
        <v>3005000</v>
      </c>
      <c r="AK8" s="19"/>
      <c r="AL8" s="19"/>
      <c r="AM8" s="19" t="s">
        <v>4</v>
      </c>
      <c r="AN8" s="19"/>
      <c r="AO8" s="19"/>
      <c r="AP8" s="19">
        <v>0</v>
      </c>
      <c r="AQ8" s="19" t="s">
        <v>96</v>
      </c>
      <c r="AR8" s="19"/>
      <c r="AS8" s="19">
        <v>10000000</v>
      </c>
      <c r="AT8" s="19">
        <v>5000000</v>
      </c>
      <c r="AU8" s="19">
        <v>6186040172</v>
      </c>
      <c r="AV8" s="19"/>
      <c r="AW8" s="19"/>
      <c r="AX8" s="19" t="s">
        <v>4</v>
      </c>
      <c r="AY8" s="19">
        <v>1614760</v>
      </c>
      <c r="AZ8" s="19"/>
      <c r="BA8" s="19">
        <v>172340962</v>
      </c>
      <c r="BB8" s="19"/>
      <c r="BC8" s="19" t="s">
        <v>4</v>
      </c>
      <c r="BD8" s="19" t="s">
        <v>128</v>
      </c>
      <c r="BE8" s="19">
        <v>10000000</v>
      </c>
      <c r="BF8" s="19"/>
      <c r="BG8" s="19"/>
      <c r="BH8" s="19"/>
      <c r="BI8" s="19"/>
      <c r="BJ8" s="19"/>
      <c r="BK8" s="19"/>
      <c r="BL8" s="19"/>
      <c r="BM8" s="19"/>
      <c r="BN8" s="19"/>
      <c r="BO8" s="19"/>
      <c r="BP8" s="19" t="s">
        <v>96</v>
      </c>
      <c r="BQ8" s="19" t="s">
        <v>4</v>
      </c>
      <c r="BR8" s="19">
        <v>9800000</v>
      </c>
      <c r="BS8" s="19"/>
      <c r="BT8" s="19"/>
      <c r="BU8" s="19"/>
      <c r="BV8" s="19"/>
      <c r="BW8" s="19"/>
      <c r="BX8" s="19"/>
      <c r="BY8" s="19"/>
      <c r="BZ8" s="19"/>
      <c r="CA8" s="19"/>
      <c r="CB8" s="19"/>
      <c r="CC8" s="19"/>
      <c r="CD8" s="19"/>
      <c r="CE8" s="19"/>
      <c r="CF8" s="19"/>
      <c r="CG8" s="19"/>
      <c r="CH8" s="19"/>
      <c r="CI8" s="19" t="s">
        <v>128</v>
      </c>
      <c r="CJ8" s="19"/>
      <c r="CK8" s="19"/>
      <c r="CL8" s="19">
        <v>10000000</v>
      </c>
      <c r="CM8" s="19"/>
      <c r="CN8" s="19"/>
      <c r="CO8" s="19"/>
      <c r="CP8" s="19">
        <v>123981774</v>
      </c>
      <c r="CQ8" s="19" t="s">
        <v>96</v>
      </c>
      <c r="CR8" s="19"/>
      <c r="CS8" s="19">
        <v>153751912</v>
      </c>
      <c r="CT8" s="19"/>
      <c r="CU8" s="19"/>
      <c r="CV8" s="19"/>
      <c r="CW8" s="19"/>
      <c r="CX8" s="19">
        <v>20920000</v>
      </c>
      <c r="CY8" s="19" t="s">
        <v>96</v>
      </c>
      <c r="CZ8" s="19"/>
      <c r="DA8" s="19">
        <v>84790000</v>
      </c>
      <c r="DB8" s="19"/>
      <c r="DC8" s="19"/>
      <c r="DD8" s="19"/>
      <c r="DE8" s="19"/>
      <c r="DF8" s="19"/>
      <c r="DG8" s="19"/>
      <c r="DH8" s="19">
        <v>71000000</v>
      </c>
      <c r="DI8" s="19"/>
      <c r="DJ8" s="19"/>
      <c r="DK8" s="19">
        <v>222911100</v>
      </c>
      <c r="DL8" s="19"/>
      <c r="DM8" s="19"/>
      <c r="DN8" s="19">
        <v>39780000</v>
      </c>
      <c r="DO8" s="19"/>
      <c r="DP8" s="19"/>
      <c r="DQ8" s="19"/>
      <c r="DR8" s="19">
        <v>14550806</v>
      </c>
      <c r="DS8" s="19"/>
      <c r="DT8" s="19">
        <v>40000000</v>
      </c>
      <c r="DU8" s="19">
        <v>30000000</v>
      </c>
      <c r="DV8" s="19">
        <v>6600000</v>
      </c>
      <c r="DW8" s="19"/>
      <c r="DX8" s="19"/>
      <c r="DY8" s="19"/>
      <c r="DZ8" s="19"/>
      <c r="EA8" s="19"/>
      <c r="EB8" s="19"/>
      <c r="EC8" s="19"/>
      <c r="ED8" s="19"/>
      <c r="EE8" s="19">
        <v>20000000</v>
      </c>
      <c r="EF8" s="19"/>
      <c r="EG8" s="19"/>
      <c r="EH8" s="19"/>
      <c r="EI8" s="19"/>
      <c r="EJ8" s="19"/>
      <c r="EK8" s="19">
        <v>0</v>
      </c>
      <c r="EL8" s="19">
        <v>100000000</v>
      </c>
      <c r="EM8" s="19">
        <v>0</v>
      </c>
      <c r="EN8" s="19">
        <v>756325</v>
      </c>
      <c r="EO8" s="19"/>
      <c r="EP8" s="19"/>
      <c r="EQ8" s="19"/>
      <c r="ER8" s="19"/>
      <c r="ES8" s="19"/>
      <c r="ET8" s="19"/>
      <c r="EU8" s="19"/>
      <c r="EV8" s="19"/>
      <c r="EW8" s="19"/>
      <c r="EX8" s="19"/>
      <c r="EY8" s="19"/>
      <c r="EZ8" s="19"/>
      <c r="FA8" s="19"/>
      <c r="FB8" s="19"/>
      <c r="FC8" s="19"/>
      <c r="FD8" s="19"/>
      <c r="FE8" s="19"/>
      <c r="FF8" s="19"/>
      <c r="FG8" s="19">
        <v>42655258</v>
      </c>
      <c r="FH8" s="19"/>
      <c r="FI8" s="19" t="s">
        <v>96</v>
      </c>
      <c r="FJ8" s="19"/>
      <c r="FK8" s="19"/>
      <c r="FL8" s="19"/>
      <c r="FM8" s="19"/>
      <c r="FN8" s="19"/>
      <c r="FO8" s="19">
        <v>46000000</v>
      </c>
      <c r="FP8" s="19"/>
      <c r="FQ8" s="19"/>
      <c r="FR8" s="19"/>
      <c r="FS8" s="19"/>
      <c r="FT8" s="19"/>
      <c r="FU8" s="19"/>
      <c r="FV8" s="19"/>
      <c r="FW8" s="19"/>
      <c r="FX8" s="19"/>
      <c r="FY8" s="19"/>
      <c r="FZ8" s="19"/>
      <c r="GA8" s="19"/>
      <c r="GB8" s="19"/>
      <c r="GC8" s="19">
        <v>0</v>
      </c>
      <c r="GD8" s="19" t="s">
        <v>96</v>
      </c>
      <c r="GE8" s="19"/>
      <c r="GF8" s="19">
        <v>37967640</v>
      </c>
      <c r="GG8" s="19"/>
      <c r="GH8" s="19"/>
      <c r="GI8" s="19"/>
      <c r="GJ8" s="19"/>
      <c r="GK8" s="19">
        <v>20981113</v>
      </c>
      <c r="GL8" s="19" t="s">
        <v>96</v>
      </c>
      <c r="GM8" s="19"/>
      <c r="GN8" s="19"/>
      <c r="GO8" s="19"/>
      <c r="GP8" s="19">
        <v>79186000</v>
      </c>
      <c r="GQ8" s="19"/>
      <c r="GR8" s="19"/>
      <c r="GS8" s="19">
        <v>12444414</v>
      </c>
      <c r="GT8" s="19"/>
      <c r="GU8" s="19"/>
      <c r="GV8" s="19">
        <v>10000000</v>
      </c>
      <c r="GW8" s="19">
        <v>16500000</v>
      </c>
      <c r="GX8" s="19"/>
      <c r="GY8" s="19"/>
      <c r="GZ8" s="19"/>
      <c r="HA8" s="19"/>
      <c r="HB8" s="19"/>
      <c r="HC8" s="19"/>
      <c r="HD8" s="19"/>
      <c r="HE8" s="19"/>
      <c r="HF8" s="19"/>
      <c r="HG8" s="19"/>
      <c r="HH8" s="19"/>
      <c r="HI8" s="19"/>
      <c r="HJ8" s="19"/>
      <c r="HK8" s="19"/>
      <c r="HL8" s="19"/>
      <c r="HM8" s="19"/>
      <c r="HN8" s="19"/>
      <c r="HO8" s="19"/>
      <c r="HP8" s="19"/>
      <c r="HQ8" s="19"/>
      <c r="HR8" s="19"/>
      <c r="HS8" s="19"/>
      <c r="HT8" s="19"/>
      <c r="HU8" s="19">
        <v>23884010</v>
      </c>
      <c r="HV8" s="19"/>
      <c r="HW8" s="19">
        <v>14346111</v>
      </c>
      <c r="HX8" s="19"/>
      <c r="HY8" s="19" t="s">
        <v>172</v>
      </c>
      <c r="HZ8" s="19">
        <v>0</v>
      </c>
      <c r="IA8" s="19">
        <v>450000000</v>
      </c>
      <c r="IB8" s="19">
        <v>2500000</v>
      </c>
      <c r="IC8" s="19"/>
      <c r="ID8" s="19"/>
      <c r="IE8" s="19" t="s">
        <v>96</v>
      </c>
      <c r="IF8" s="19"/>
      <c r="IG8" s="19"/>
      <c r="IH8" s="19"/>
      <c r="II8" s="19"/>
      <c r="IJ8" s="19"/>
      <c r="IK8" s="19"/>
      <c r="IL8" s="19"/>
      <c r="IM8" s="19"/>
      <c r="IN8" s="19"/>
      <c r="IO8" s="19"/>
      <c r="IP8" s="19"/>
      <c r="IQ8" s="19"/>
      <c r="IR8" s="19">
        <v>146731139</v>
      </c>
      <c r="IS8" s="19"/>
      <c r="IT8" s="19"/>
    </row>
    <row r="9" spans="1:254">
      <c r="A9" s="7" t="s">
        <v>94</v>
      </c>
      <c r="B9" s="13" t="s">
        <v>134</v>
      </c>
      <c r="C9" s="19">
        <v>1300000</v>
      </c>
      <c r="D9" s="19">
        <v>1345960</v>
      </c>
      <c r="E9" s="19">
        <v>2946558</v>
      </c>
      <c r="F9" s="19">
        <v>0</v>
      </c>
      <c r="G9" s="19">
        <v>23340</v>
      </c>
      <c r="H9" s="19"/>
      <c r="I9" s="19">
        <v>1053671878</v>
      </c>
      <c r="J9" s="19" t="s">
        <v>4</v>
      </c>
      <c r="K9" s="19">
        <v>917165</v>
      </c>
      <c r="L9" s="19" t="s">
        <v>96</v>
      </c>
      <c r="M9" s="19" t="s">
        <v>96</v>
      </c>
      <c r="N9" s="19">
        <v>307880</v>
      </c>
      <c r="O9" s="19"/>
      <c r="P9" s="19">
        <v>379715573</v>
      </c>
      <c r="Q9" s="19"/>
      <c r="R9" s="19">
        <v>124237</v>
      </c>
      <c r="S9" s="19">
        <v>0</v>
      </c>
      <c r="T9" s="19" t="s">
        <v>96</v>
      </c>
      <c r="U9" s="19"/>
      <c r="V9" s="19" t="s">
        <v>172</v>
      </c>
      <c r="W9" s="19">
        <v>545693</v>
      </c>
      <c r="X9" s="19"/>
      <c r="Y9" s="19"/>
      <c r="Z9" s="19"/>
      <c r="AA9" s="19"/>
      <c r="AB9" s="19">
        <v>4138211</v>
      </c>
      <c r="AC9" s="19">
        <v>70000</v>
      </c>
      <c r="AD9" s="19">
        <v>13710694</v>
      </c>
      <c r="AE9" s="19">
        <v>8369200</v>
      </c>
      <c r="AF9" s="19"/>
      <c r="AG9" s="19">
        <v>18521900</v>
      </c>
      <c r="AH9" s="19"/>
      <c r="AI9" s="19">
        <v>11220</v>
      </c>
      <c r="AJ9" s="19">
        <v>837648</v>
      </c>
      <c r="AK9" s="19">
        <v>44418788</v>
      </c>
      <c r="AL9" s="19">
        <v>62223741</v>
      </c>
      <c r="AM9" s="19" t="s">
        <v>4</v>
      </c>
      <c r="AN9" s="19">
        <v>16078700</v>
      </c>
      <c r="AO9" s="19"/>
      <c r="AP9" s="19">
        <v>33399400</v>
      </c>
      <c r="AQ9" s="19" t="s">
        <v>96</v>
      </c>
      <c r="AR9" s="19">
        <v>3469146</v>
      </c>
      <c r="AS9" s="19">
        <v>31460040</v>
      </c>
      <c r="AT9" s="19">
        <v>10969020</v>
      </c>
      <c r="AU9" s="19">
        <v>257926922</v>
      </c>
      <c r="AV9" s="19">
        <v>92877798</v>
      </c>
      <c r="AW9" s="19">
        <v>263680</v>
      </c>
      <c r="AX9" s="19" t="s">
        <v>4</v>
      </c>
      <c r="AY9" s="19">
        <v>0</v>
      </c>
      <c r="AZ9" s="19"/>
      <c r="BA9" s="19">
        <v>10703170</v>
      </c>
      <c r="BB9" s="19"/>
      <c r="BC9" s="19" t="s">
        <v>4</v>
      </c>
      <c r="BD9" s="19" t="s">
        <v>128</v>
      </c>
      <c r="BE9" s="19">
        <v>3899131</v>
      </c>
      <c r="BF9" s="19">
        <v>0</v>
      </c>
      <c r="BG9" s="19">
        <v>327273</v>
      </c>
      <c r="BH9" s="19"/>
      <c r="BI9" s="19">
        <v>7637930</v>
      </c>
      <c r="BJ9" s="19">
        <v>9041957</v>
      </c>
      <c r="BK9" s="19"/>
      <c r="BL9" s="19"/>
      <c r="BM9" s="19">
        <v>132560000</v>
      </c>
      <c r="BN9" s="19"/>
      <c r="BO9" s="19">
        <v>1176152</v>
      </c>
      <c r="BP9" s="19" t="s">
        <v>96</v>
      </c>
      <c r="BQ9" s="19" t="s">
        <v>4</v>
      </c>
      <c r="BR9" s="19"/>
      <c r="BS9" s="19"/>
      <c r="BT9" s="19">
        <v>5095843</v>
      </c>
      <c r="BU9" s="19">
        <v>3483359</v>
      </c>
      <c r="BV9" s="19"/>
      <c r="BW9" s="19">
        <v>70000</v>
      </c>
      <c r="BX9" s="19">
        <v>829210</v>
      </c>
      <c r="BY9" s="19">
        <v>3988949</v>
      </c>
      <c r="BZ9" s="19">
        <v>42072922</v>
      </c>
      <c r="CA9" s="19">
        <v>4459744</v>
      </c>
      <c r="CB9" s="19"/>
      <c r="CC9" s="19">
        <v>450000</v>
      </c>
      <c r="CD9" s="19">
        <v>6240740</v>
      </c>
      <c r="CE9" s="19"/>
      <c r="CF9" s="19">
        <v>1422284</v>
      </c>
      <c r="CG9" s="19">
        <v>824964</v>
      </c>
      <c r="CH9" s="19"/>
      <c r="CI9" s="19" t="s">
        <v>128</v>
      </c>
      <c r="CJ9" s="19"/>
      <c r="CK9" s="19">
        <v>49357600</v>
      </c>
      <c r="CL9" s="19">
        <v>1000000</v>
      </c>
      <c r="CM9" s="19"/>
      <c r="CN9" s="19">
        <v>807130</v>
      </c>
      <c r="CO9" s="19">
        <v>3593806</v>
      </c>
      <c r="CP9" s="19">
        <v>2095000</v>
      </c>
      <c r="CQ9" s="19" t="s">
        <v>96</v>
      </c>
      <c r="CR9" s="19">
        <v>176714946</v>
      </c>
      <c r="CS9" s="19">
        <v>0</v>
      </c>
      <c r="CT9" s="19">
        <v>125040428</v>
      </c>
      <c r="CU9" s="19"/>
      <c r="CV9" s="19">
        <v>2624088</v>
      </c>
      <c r="CW9" s="19">
        <v>13638947</v>
      </c>
      <c r="CX9" s="19">
        <v>87197835</v>
      </c>
      <c r="CY9" s="19" t="s">
        <v>96</v>
      </c>
      <c r="CZ9" s="19">
        <v>8942</v>
      </c>
      <c r="DA9" s="19">
        <v>268963299</v>
      </c>
      <c r="DB9" s="19"/>
      <c r="DC9" s="19"/>
      <c r="DD9" s="19"/>
      <c r="DE9" s="19"/>
      <c r="DF9" s="19"/>
      <c r="DG9" s="19">
        <v>558974</v>
      </c>
      <c r="DH9" s="19">
        <v>1115060</v>
      </c>
      <c r="DI9" s="19">
        <v>1585846</v>
      </c>
      <c r="DJ9" s="19"/>
      <c r="DK9" s="19">
        <v>26200000</v>
      </c>
      <c r="DL9" s="19">
        <v>913190</v>
      </c>
      <c r="DM9" s="19">
        <v>2872620</v>
      </c>
      <c r="DN9" s="19"/>
      <c r="DO9" s="19"/>
      <c r="DP9" s="19"/>
      <c r="DQ9" s="19">
        <v>579592</v>
      </c>
      <c r="DR9" s="19">
        <v>255647</v>
      </c>
      <c r="DS9" s="19">
        <v>3091216</v>
      </c>
      <c r="DT9" s="19">
        <v>19241257</v>
      </c>
      <c r="DU9" s="19"/>
      <c r="DV9" s="19">
        <v>7823944</v>
      </c>
      <c r="DW9" s="19"/>
      <c r="DX9" s="19">
        <v>37645812</v>
      </c>
      <c r="DY9" s="19">
        <v>12949077</v>
      </c>
      <c r="DZ9" s="19">
        <v>43795388</v>
      </c>
      <c r="EA9" s="19">
        <v>5212420</v>
      </c>
      <c r="EB9" s="19">
        <v>491475151</v>
      </c>
      <c r="EC9" s="19"/>
      <c r="ED9" s="19"/>
      <c r="EE9" s="19">
        <v>104229892</v>
      </c>
      <c r="EF9" s="19">
        <v>64220</v>
      </c>
      <c r="EG9" s="19"/>
      <c r="EH9" s="19">
        <v>3836334</v>
      </c>
      <c r="EI9" s="19">
        <v>53370975</v>
      </c>
      <c r="EJ9" s="19">
        <v>63310</v>
      </c>
      <c r="EK9" s="19">
        <v>4379991</v>
      </c>
      <c r="EL9" s="19">
        <v>29676529</v>
      </c>
      <c r="EM9" s="19">
        <v>1907435</v>
      </c>
      <c r="EN9" s="19"/>
      <c r="EO9" s="19">
        <v>5100893</v>
      </c>
      <c r="EP9" s="19"/>
      <c r="EQ9" s="19"/>
      <c r="ER9" s="19">
        <v>47335867</v>
      </c>
      <c r="ES9" s="19">
        <v>4323000</v>
      </c>
      <c r="ET9" s="19">
        <v>7048720</v>
      </c>
      <c r="EU9" s="19"/>
      <c r="EV9" s="19">
        <v>0</v>
      </c>
      <c r="EW9" s="19">
        <v>10335271</v>
      </c>
      <c r="EX9" s="19">
        <v>61780</v>
      </c>
      <c r="EY9" s="19">
        <v>220355950</v>
      </c>
      <c r="EZ9" s="19">
        <v>4059830</v>
      </c>
      <c r="FA9" s="19">
        <v>75775</v>
      </c>
      <c r="FB9" s="19">
        <v>2996798</v>
      </c>
      <c r="FC9" s="19"/>
      <c r="FD9" s="19">
        <v>3122399</v>
      </c>
      <c r="FE9" s="19">
        <v>296022305</v>
      </c>
      <c r="FF9" s="19"/>
      <c r="FG9" s="19">
        <v>5163309</v>
      </c>
      <c r="FH9" s="19">
        <v>2296850</v>
      </c>
      <c r="FI9" s="19" t="s">
        <v>96</v>
      </c>
      <c r="FJ9" s="19">
        <v>3412242</v>
      </c>
      <c r="FK9" s="19">
        <v>12102335</v>
      </c>
      <c r="FL9" s="19"/>
      <c r="FM9" s="19"/>
      <c r="FN9" s="19"/>
      <c r="FO9" s="19">
        <v>1043797</v>
      </c>
      <c r="FP9" s="19">
        <v>33000</v>
      </c>
      <c r="FQ9" s="19">
        <v>1319174</v>
      </c>
      <c r="FR9" s="19">
        <v>11076192</v>
      </c>
      <c r="FS9" s="19">
        <v>0</v>
      </c>
      <c r="FT9" s="19">
        <v>31073287</v>
      </c>
      <c r="FU9" s="19"/>
      <c r="FV9" s="19">
        <v>78376119</v>
      </c>
      <c r="FW9" s="19"/>
      <c r="FX9" s="19"/>
      <c r="FY9" s="19">
        <v>57523224</v>
      </c>
      <c r="FZ9" s="19">
        <v>14054760</v>
      </c>
      <c r="GA9" s="19"/>
      <c r="GB9" s="19">
        <v>3237199</v>
      </c>
      <c r="GC9" s="19">
        <v>1288950</v>
      </c>
      <c r="GD9" s="19" t="s">
        <v>96</v>
      </c>
      <c r="GE9" s="19">
        <v>1240627</v>
      </c>
      <c r="GF9" s="19">
        <v>550000</v>
      </c>
      <c r="GG9" s="19">
        <v>31738082</v>
      </c>
      <c r="GH9" s="19"/>
      <c r="GI9" s="19"/>
      <c r="GJ9" s="19"/>
      <c r="GK9" s="19"/>
      <c r="GL9" s="19" t="s">
        <v>96</v>
      </c>
      <c r="GM9" s="19">
        <v>126976</v>
      </c>
      <c r="GN9" s="19">
        <v>35412616</v>
      </c>
      <c r="GO9" s="19">
        <v>41194390</v>
      </c>
      <c r="GP9" s="19">
        <v>10742884</v>
      </c>
      <c r="GQ9" s="19">
        <v>0</v>
      </c>
      <c r="GR9" s="19">
        <v>98841355</v>
      </c>
      <c r="GS9" s="19">
        <v>13500000</v>
      </c>
      <c r="GT9" s="19">
        <v>1228412</v>
      </c>
      <c r="GU9" s="19">
        <v>487055</v>
      </c>
      <c r="GV9" s="19">
        <v>11404155</v>
      </c>
      <c r="GW9" s="19">
        <v>3045369</v>
      </c>
      <c r="GX9" s="19"/>
      <c r="GY9" s="19">
        <v>41461390</v>
      </c>
      <c r="GZ9" s="19">
        <v>1242317</v>
      </c>
      <c r="HA9" s="19">
        <v>26627873</v>
      </c>
      <c r="HB9" s="19">
        <v>51467836</v>
      </c>
      <c r="HC9" s="19">
        <v>5830698</v>
      </c>
      <c r="HD9" s="19">
        <v>13011792</v>
      </c>
      <c r="HE9" s="19">
        <v>105610</v>
      </c>
      <c r="HF9" s="19"/>
      <c r="HG9" s="19">
        <v>1060416</v>
      </c>
      <c r="HH9" s="19"/>
      <c r="HI9" s="19">
        <v>8201510</v>
      </c>
      <c r="HJ9" s="19">
        <v>40000000</v>
      </c>
      <c r="HK9" s="19">
        <v>14678902</v>
      </c>
      <c r="HL9" s="19">
        <v>1765250</v>
      </c>
      <c r="HM9" s="19">
        <v>50000000</v>
      </c>
      <c r="HN9" s="19">
        <v>7079768</v>
      </c>
      <c r="HO9" s="19">
        <v>205360</v>
      </c>
      <c r="HP9" s="19"/>
      <c r="HQ9" s="19">
        <v>26485711</v>
      </c>
      <c r="HR9" s="19">
        <v>376220</v>
      </c>
      <c r="HS9" s="19">
        <v>0</v>
      </c>
      <c r="HT9" s="19">
        <v>102920000</v>
      </c>
      <c r="HU9" s="19">
        <v>13782365</v>
      </c>
      <c r="HV9" s="19"/>
      <c r="HW9" s="19">
        <v>20945249</v>
      </c>
      <c r="HX9" s="19">
        <v>354531107</v>
      </c>
      <c r="HY9" s="19" t="s">
        <v>172</v>
      </c>
      <c r="HZ9" s="19">
        <v>46500000</v>
      </c>
      <c r="IA9" s="19">
        <v>731720</v>
      </c>
      <c r="IB9" s="19"/>
      <c r="IC9" s="19">
        <v>1807108</v>
      </c>
      <c r="ID9" s="19"/>
      <c r="IE9" s="19" t="s">
        <v>96</v>
      </c>
      <c r="IF9" s="19">
        <v>0</v>
      </c>
      <c r="IG9" s="19">
        <v>60530</v>
      </c>
      <c r="IH9" s="19">
        <v>16753131</v>
      </c>
      <c r="II9" s="19">
        <v>291344</v>
      </c>
      <c r="IJ9" s="19">
        <v>1898650</v>
      </c>
      <c r="IK9" s="19">
        <v>2688881</v>
      </c>
      <c r="IL9" s="19"/>
      <c r="IM9" s="19">
        <v>0</v>
      </c>
      <c r="IN9" s="19">
        <v>6180640</v>
      </c>
      <c r="IO9" s="19">
        <v>0</v>
      </c>
      <c r="IP9" s="19">
        <v>132665827</v>
      </c>
      <c r="IQ9" s="19"/>
      <c r="IR9" s="19">
        <v>2391502</v>
      </c>
      <c r="IS9" s="19"/>
      <c r="IT9" s="19"/>
    </row>
    <row r="10" spans="1:254">
      <c r="A10" s="7" t="s">
        <v>94</v>
      </c>
      <c r="B10" s="13" t="s">
        <v>135</v>
      </c>
      <c r="C10" s="19">
        <v>4901220</v>
      </c>
      <c r="D10" s="19">
        <v>4823953</v>
      </c>
      <c r="E10" s="19">
        <v>3750549</v>
      </c>
      <c r="F10" s="19">
        <v>4007010</v>
      </c>
      <c r="G10" s="19">
        <v>6349950</v>
      </c>
      <c r="H10" s="19"/>
      <c r="I10" s="19">
        <v>7833108</v>
      </c>
      <c r="J10" s="19" t="s">
        <v>4</v>
      </c>
      <c r="K10" s="19">
        <v>3018782</v>
      </c>
      <c r="L10" s="19" t="s">
        <v>96</v>
      </c>
      <c r="M10" s="19" t="s">
        <v>96</v>
      </c>
      <c r="N10" s="19">
        <v>1705000</v>
      </c>
      <c r="O10" s="19">
        <v>23713713</v>
      </c>
      <c r="P10" s="19">
        <v>12007730</v>
      </c>
      <c r="Q10" s="19">
        <v>4611020</v>
      </c>
      <c r="R10" s="19">
        <v>1856100</v>
      </c>
      <c r="S10" s="19">
        <v>1285800669</v>
      </c>
      <c r="T10" s="19" t="s">
        <v>96</v>
      </c>
      <c r="U10" s="19">
        <v>4045185</v>
      </c>
      <c r="V10" s="19" t="s">
        <v>172</v>
      </c>
      <c r="W10" s="19">
        <v>1138074</v>
      </c>
      <c r="X10" s="19">
        <v>780934665</v>
      </c>
      <c r="Y10" s="19">
        <v>96961</v>
      </c>
      <c r="Z10" s="19"/>
      <c r="AA10" s="19">
        <v>19708698</v>
      </c>
      <c r="AB10" s="19">
        <v>2021014</v>
      </c>
      <c r="AC10" s="19">
        <v>8605289</v>
      </c>
      <c r="AD10" s="19">
        <v>7081278</v>
      </c>
      <c r="AE10" s="19">
        <v>206875000</v>
      </c>
      <c r="AF10" s="19">
        <v>1100630</v>
      </c>
      <c r="AG10" s="19"/>
      <c r="AH10" s="19">
        <v>125739331</v>
      </c>
      <c r="AI10" s="19">
        <v>31983427</v>
      </c>
      <c r="AJ10" s="19">
        <v>17183194</v>
      </c>
      <c r="AK10" s="19">
        <v>238763554</v>
      </c>
      <c r="AL10" s="19">
        <v>17378148</v>
      </c>
      <c r="AM10" s="19" t="s">
        <v>4</v>
      </c>
      <c r="AN10" s="19">
        <v>8459543</v>
      </c>
      <c r="AO10" s="19"/>
      <c r="AP10" s="19">
        <v>1050000</v>
      </c>
      <c r="AQ10" s="19" t="s">
        <v>96</v>
      </c>
      <c r="AR10" s="19">
        <v>206337478</v>
      </c>
      <c r="AS10" s="19">
        <v>661372861</v>
      </c>
      <c r="AT10" s="19">
        <v>23131217</v>
      </c>
      <c r="AU10" s="19">
        <v>73014909</v>
      </c>
      <c r="AV10" s="19">
        <v>3070</v>
      </c>
      <c r="AW10" s="19">
        <v>12094216</v>
      </c>
      <c r="AX10" s="19" t="s">
        <v>4</v>
      </c>
      <c r="AY10" s="19">
        <v>7482382</v>
      </c>
      <c r="AZ10" s="19">
        <v>25265263</v>
      </c>
      <c r="BA10" s="19">
        <v>1598338</v>
      </c>
      <c r="BB10" s="19"/>
      <c r="BC10" s="19" t="s">
        <v>4</v>
      </c>
      <c r="BD10" s="19" t="s">
        <v>128</v>
      </c>
      <c r="BE10" s="19">
        <v>1967010</v>
      </c>
      <c r="BF10" s="19">
        <v>44663002</v>
      </c>
      <c r="BG10" s="19">
        <v>4622523</v>
      </c>
      <c r="BH10" s="19">
        <v>4863</v>
      </c>
      <c r="BI10" s="19">
        <v>1067750</v>
      </c>
      <c r="BJ10" s="19">
        <v>157269016</v>
      </c>
      <c r="BK10" s="19">
        <v>68116000</v>
      </c>
      <c r="BL10" s="19">
        <v>0</v>
      </c>
      <c r="BM10" s="19">
        <v>37360982</v>
      </c>
      <c r="BN10" s="19">
        <v>2638680</v>
      </c>
      <c r="BO10" s="19"/>
      <c r="BP10" s="19" t="s">
        <v>96</v>
      </c>
      <c r="BQ10" s="19" t="s">
        <v>4</v>
      </c>
      <c r="BR10" s="19"/>
      <c r="BS10" s="19">
        <v>1104860</v>
      </c>
      <c r="BT10" s="19">
        <v>154420</v>
      </c>
      <c r="BU10" s="19">
        <v>21308189</v>
      </c>
      <c r="BV10" s="19">
        <v>343946452</v>
      </c>
      <c r="BW10" s="19">
        <v>1076110</v>
      </c>
      <c r="BX10" s="19">
        <v>12773597</v>
      </c>
      <c r="BY10" s="19">
        <v>35275649</v>
      </c>
      <c r="BZ10" s="19">
        <v>2027000</v>
      </c>
      <c r="CA10" s="19">
        <v>157297781</v>
      </c>
      <c r="CB10" s="19">
        <v>5634298</v>
      </c>
      <c r="CC10" s="19">
        <v>205210</v>
      </c>
      <c r="CD10" s="19">
        <v>257340</v>
      </c>
      <c r="CE10" s="19"/>
      <c r="CF10" s="19">
        <v>7554200</v>
      </c>
      <c r="CG10" s="19"/>
      <c r="CH10" s="19">
        <v>18324681</v>
      </c>
      <c r="CI10" s="19" t="s">
        <v>128</v>
      </c>
      <c r="CJ10" s="19">
        <v>6094100</v>
      </c>
      <c r="CK10" s="19">
        <v>5222458</v>
      </c>
      <c r="CL10" s="19">
        <v>1101120</v>
      </c>
      <c r="CM10" s="19">
        <v>35370467</v>
      </c>
      <c r="CN10" s="19">
        <v>20655180</v>
      </c>
      <c r="CO10" s="19">
        <v>6940918</v>
      </c>
      <c r="CP10" s="19">
        <v>68867730</v>
      </c>
      <c r="CQ10" s="19" t="s">
        <v>96</v>
      </c>
      <c r="CR10" s="19">
        <v>43937608</v>
      </c>
      <c r="CS10" s="19">
        <v>183881540</v>
      </c>
      <c r="CT10" s="19">
        <v>50231444</v>
      </c>
      <c r="CU10" s="19"/>
      <c r="CV10" s="19">
        <v>658482</v>
      </c>
      <c r="CW10" s="19">
        <v>44767989</v>
      </c>
      <c r="CX10" s="19">
        <v>20112320</v>
      </c>
      <c r="CY10" s="19" t="s">
        <v>96</v>
      </c>
      <c r="CZ10" s="19">
        <v>641400</v>
      </c>
      <c r="DA10" s="19"/>
      <c r="DB10" s="19"/>
      <c r="DC10" s="19">
        <v>7552392</v>
      </c>
      <c r="DD10" s="19">
        <v>7091553</v>
      </c>
      <c r="DE10" s="19"/>
      <c r="DF10" s="19">
        <v>17222950</v>
      </c>
      <c r="DG10" s="19">
        <v>102301675</v>
      </c>
      <c r="DH10" s="19">
        <v>1063091</v>
      </c>
      <c r="DI10" s="19">
        <v>4300000</v>
      </c>
      <c r="DJ10" s="19"/>
      <c r="DK10" s="19">
        <v>54456134</v>
      </c>
      <c r="DL10" s="19">
        <v>70524884</v>
      </c>
      <c r="DM10" s="19">
        <v>9964700</v>
      </c>
      <c r="DN10" s="19">
        <v>14265208</v>
      </c>
      <c r="DO10" s="19">
        <v>1239281</v>
      </c>
      <c r="DP10" s="19">
        <v>345415665</v>
      </c>
      <c r="DQ10" s="19">
        <v>48659703</v>
      </c>
      <c r="DR10" s="19">
        <v>148806755</v>
      </c>
      <c r="DS10" s="19">
        <v>6805415</v>
      </c>
      <c r="DT10" s="19">
        <v>4308888</v>
      </c>
      <c r="DU10" s="19"/>
      <c r="DV10" s="19">
        <v>377275</v>
      </c>
      <c r="DW10" s="19"/>
      <c r="DX10" s="19">
        <v>25866270</v>
      </c>
      <c r="DY10" s="19">
        <v>355303</v>
      </c>
      <c r="DZ10" s="19"/>
      <c r="EA10" s="19"/>
      <c r="EB10" s="19">
        <v>11422878</v>
      </c>
      <c r="EC10" s="19">
        <v>8649090</v>
      </c>
      <c r="ED10" s="19">
        <v>5790</v>
      </c>
      <c r="EE10" s="19">
        <v>2137330</v>
      </c>
      <c r="EF10" s="19">
        <v>2647734</v>
      </c>
      <c r="EG10" s="19">
        <v>150746739</v>
      </c>
      <c r="EH10" s="19">
        <v>4725139</v>
      </c>
      <c r="EI10" s="19">
        <v>78106129</v>
      </c>
      <c r="EJ10" s="19">
        <v>18100</v>
      </c>
      <c r="EK10" s="19">
        <v>4570999</v>
      </c>
      <c r="EL10" s="19">
        <v>1852500</v>
      </c>
      <c r="EM10" s="19">
        <v>817016</v>
      </c>
      <c r="EN10" s="19">
        <v>28914620</v>
      </c>
      <c r="EO10" s="19">
        <v>4916260</v>
      </c>
      <c r="EP10" s="19"/>
      <c r="EQ10" s="19"/>
      <c r="ER10" s="19">
        <v>24151984</v>
      </c>
      <c r="ES10" s="19">
        <v>62459219</v>
      </c>
      <c r="ET10" s="19">
        <v>37444552</v>
      </c>
      <c r="EU10" s="19">
        <v>315889887</v>
      </c>
      <c r="EV10" s="19">
        <v>14334046</v>
      </c>
      <c r="EW10" s="19">
        <v>3654000</v>
      </c>
      <c r="EX10" s="19">
        <v>14954644</v>
      </c>
      <c r="EY10" s="19">
        <v>38769904</v>
      </c>
      <c r="EZ10" s="19">
        <v>17330680</v>
      </c>
      <c r="FA10" s="19">
        <v>20568514</v>
      </c>
      <c r="FB10" s="19">
        <v>1431596</v>
      </c>
      <c r="FC10" s="19">
        <v>8914820</v>
      </c>
      <c r="FD10" s="19">
        <v>2246383</v>
      </c>
      <c r="FE10" s="19">
        <v>191770307</v>
      </c>
      <c r="FF10" s="19"/>
      <c r="FG10" s="19">
        <v>13729438</v>
      </c>
      <c r="FH10" s="19">
        <v>135168122</v>
      </c>
      <c r="FI10" s="19" t="s">
        <v>96</v>
      </c>
      <c r="FJ10" s="19">
        <v>1119500</v>
      </c>
      <c r="FK10" s="19">
        <v>51745342</v>
      </c>
      <c r="FL10" s="19">
        <v>10740</v>
      </c>
      <c r="FM10" s="19">
        <v>4501131</v>
      </c>
      <c r="FN10" s="19">
        <v>64368726</v>
      </c>
      <c r="FO10" s="19"/>
      <c r="FP10" s="19">
        <v>2390212</v>
      </c>
      <c r="FQ10" s="19">
        <v>229306</v>
      </c>
      <c r="FR10" s="19">
        <v>5367382</v>
      </c>
      <c r="FS10" s="19">
        <v>11858383</v>
      </c>
      <c r="FT10" s="19">
        <v>541898428</v>
      </c>
      <c r="FU10" s="19"/>
      <c r="FV10" s="19">
        <v>928134</v>
      </c>
      <c r="FW10" s="19">
        <v>400000</v>
      </c>
      <c r="FX10" s="19">
        <v>386100</v>
      </c>
      <c r="FY10" s="19">
        <v>294616009</v>
      </c>
      <c r="FZ10" s="19">
        <v>8986395</v>
      </c>
      <c r="GA10" s="19">
        <v>8126515</v>
      </c>
      <c r="GB10" s="19">
        <v>497970</v>
      </c>
      <c r="GC10" s="19">
        <v>1978384</v>
      </c>
      <c r="GD10" s="19" t="s">
        <v>96</v>
      </c>
      <c r="GE10" s="19">
        <v>555590</v>
      </c>
      <c r="GF10" s="19">
        <v>12738942</v>
      </c>
      <c r="GG10" s="19">
        <v>66338735</v>
      </c>
      <c r="GH10" s="19">
        <v>16632277</v>
      </c>
      <c r="GI10" s="19">
        <v>20964369</v>
      </c>
      <c r="GJ10" s="19"/>
      <c r="GK10" s="19">
        <v>281493</v>
      </c>
      <c r="GL10" s="19" t="s">
        <v>96</v>
      </c>
      <c r="GM10" s="19">
        <v>650222</v>
      </c>
      <c r="GN10" s="19">
        <v>632940</v>
      </c>
      <c r="GO10" s="19">
        <v>27875092</v>
      </c>
      <c r="GP10" s="19">
        <v>68851976</v>
      </c>
      <c r="GQ10" s="19">
        <v>28973275</v>
      </c>
      <c r="GR10" s="19">
        <v>87103704</v>
      </c>
      <c r="GS10" s="19">
        <v>25190652</v>
      </c>
      <c r="GT10" s="19">
        <v>2372132</v>
      </c>
      <c r="GU10" s="19">
        <v>726590</v>
      </c>
      <c r="GV10" s="19">
        <v>7689460</v>
      </c>
      <c r="GW10" s="19">
        <v>171438330</v>
      </c>
      <c r="GX10" s="19">
        <v>8640474</v>
      </c>
      <c r="GY10" s="19">
        <v>25835037</v>
      </c>
      <c r="GZ10" s="19">
        <v>32642530</v>
      </c>
      <c r="HA10" s="19">
        <v>3000423</v>
      </c>
      <c r="HB10" s="19"/>
      <c r="HC10" s="19">
        <v>53582430</v>
      </c>
      <c r="HD10" s="19">
        <v>12226142</v>
      </c>
      <c r="HE10" s="19">
        <v>74195047</v>
      </c>
      <c r="HF10" s="19">
        <v>7807610</v>
      </c>
      <c r="HG10" s="19">
        <v>1081656</v>
      </c>
      <c r="HH10" s="19"/>
      <c r="HI10" s="19">
        <v>27144163</v>
      </c>
      <c r="HJ10" s="19">
        <v>50203000</v>
      </c>
      <c r="HK10" s="19">
        <v>39661145</v>
      </c>
      <c r="HL10" s="19">
        <v>2550236</v>
      </c>
      <c r="HM10" s="19"/>
      <c r="HN10" s="19">
        <v>102956</v>
      </c>
      <c r="HO10" s="19">
        <v>211935337</v>
      </c>
      <c r="HP10" s="19"/>
      <c r="HQ10" s="19">
        <v>237706</v>
      </c>
      <c r="HR10" s="19">
        <v>129359773</v>
      </c>
      <c r="HS10" s="19">
        <v>18188837</v>
      </c>
      <c r="HT10" s="19">
        <v>6067000</v>
      </c>
      <c r="HU10" s="19">
        <v>90148878</v>
      </c>
      <c r="HV10" s="19">
        <v>9000000</v>
      </c>
      <c r="HW10" s="19">
        <v>764701152</v>
      </c>
      <c r="HX10" s="19">
        <v>46117587</v>
      </c>
      <c r="HY10" s="19" t="s">
        <v>172</v>
      </c>
      <c r="HZ10" s="19">
        <v>184793745</v>
      </c>
      <c r="IA10" s="19">
        <v>917081</v>
      </c>
      <c r="IB10" s="19">
        <v>49687681</v>
      </c>
      <c r="IC10" s="19">
        <v>2688035</v>
      </c>
      <c r="ID10" s="19">
        <v>1048595</v>
      </c>
      <c r="IE10" s="19" t="s">
        <v>96</v>
      </c>
      <c r="IF10" s="19">
        <v>0</v>
      </c>
      <c r="IG10" s="19">
        <v>301772</v>
      </c>
      <c r="IH10" s="19">
        <v>2785722</v>
      </c>
      <c r="II10" s="19">
        <v>48699108</v>
      </c>
      <c r="IJ10" s="19"/>
      <c r="IK10" s="19"/>
      <c r="IL10" s="19">
        <v>25136200</v>
      </c>
      <c r="IM10" s="19">
        <v>5155808</v>
      </c>
      <c r="IN10" s="19">
        <v>1831670</v>
      </c>
      <c r="IO10" s="19">
        <v>10089553</v>
      </c>
      <c r="IP10" s="19"/>
      <c r="IQ10" s="19">
        <v>30852892</v>
      </c>
      <c r="IR10" s="19">
        <v>2407322</v>
      </c>
      <c r="IS10" s="19">
        <v>23611551</v>
      </c>
      <c r="IT10" s="19">
        <v>3390332</v>
      </c>
    </row>
    <row r="11" spans="1:254">
      <c r="A11" s="7" t="s">
        <v>94</v>
      </c>
      <c r="B11" s="13" t="s">
        <v>40</v>
      </c>
      <c r="C11" s="19">
        <v>28587674</v>
      </c>
      <c r="D11" s="19">
        <v>0</v>
      </c>
      <c r="E11" s="19">
        <v>5381800</v>
      </c>
      <c r="F11" s="19">
        <v>0</v>
      </c>
      <c r="G11" s="19">
        <v>0</v>
      </c>
      <c r="H11" s="19">
        <v>335931094</v>
      </c>
      <c r="I11" s="19">
        <v>0</v>
      </c>
      <c r="J11" s="19" t="s">
        <v>4</v>
      </c>
      <c r="K11" s="19"/>
      <c r="L11" s="19" t="s">
        <v>96</v>
      </c>
      <c r="M11" s="19" t="s">
        <v>96</v>
      </c>
      <c r="N11" s="19"/>
      <c r="O11" s="19">
        <v>166694257</v>
      </c>
      <c r="P11" s="19">
        <v>35328123</v>
      </c>
      <c r="Q11" s="19">
        <v>0</v>
      </c>
      <c r="R11" s="19">
        <v>0</v>
      </c>
      <c r="S11" s="19"/>
      <c r="T11" s="19" t="s">
        <v>96</v>
      </c>
      <c r="U11" s="19">
        <v>30125000</v>
      </c>
      <c r="V11" s="19" t="s">
        <v>172</v>
      </c>
      <c r="W11" s="19">
        <v>800</v>
      </c>
      <c r="X11" s="19"/>
      <c r="Y11" s="19"/>
      <c r="Z11" s="19">
        <v>0</v>
      </c>
      <c r="AA11" s="19">
        <v>1031200</v>
      </c>
      <c r="AB11" s="19">
        <v>49000000</v>
      </c>
      <c r="AC11" s="19">
        <v>1044041</v>
      </c>
      <c r="AD11" s="19">
        <v>2455693</v>
      </c>
      <c r="AE11" s="19">
        <v>9550000</v>
      </c>
      <c r="AF11" s="19">
        <v>310230</v>
      </c>
      <c r="AG11" s="19">
        <v>4755434</v>
      </c>
      <c r="AH11" s="19">
        <v>0</v>
      </c>
      <c r="AI11" s="19">
        <v>0</v>
      </c>
      <c r="AJ11" s="19">
        <v>273519</v>
      </c>
      <c r="AK11" s="19">
        <v>835922489</v>
      </c>
      <c r="AL11" s="19">
        <v>141300</v>
      </c>
      <c r="AM11" s="19" t="s">
        <v>4</v>
      </c>
      <c r="AN11" s="19">
        <v>0</v>
      </c>
      <c r="AO11" s="19">
        <v>0</v>
      </c>
      <c r="AP11" s="19">
        <v>145000</v>
      </c>
      <c r="AQ11" s="19" t="s">
        <v>96</v>
      </c>
      <c r="AR11" s="19">
        <v>0</v>
      </c>
      <c r="AS11" s="19">
        <v>0</v>
      </c>
      <c r="AT11" s="19">
        <v>114560</v>
      </c>
      <c r="AU11" s="19">
        <v>0</v>
      </c>
      <c r="AV11" s="19">
        <v>0</v>
      </c>
      <c r="AW11" s="19">
        <v>0</v>
      </c>
      <c r="AX11" s="19" t="s">
        <v>4</v>
      </c>
      <c r="AY11" s="19">
        <v>0</v>
      </c>
      <c r="AZ11" s="19">
        <v>0</v>
      </c>
      <c r="BA11" s="19">
        <v>0</v>
      </c>
      <c r="BB11" s="19">
        <v>0</v>
      </c>
      <c r="BC11" s="19" t="s">
        <v>4</v>
      </c>
      <c r="BD11" s="19" t="s">
        <v>128</v>
      </c>
      <c r="BE11" s="19">
        <v>33733792</v>
      </c>
      <c r="BF11" s="19">
        <v>0</v>
      </c>
      <c r="BG11" s="19"/>
      <c r="BH11" s="19">
        <v>0</v>
      </c>
      <c r="BI11" s="19"/>
      <c r="BJ11" s="19">
        <v>0</v>
      </c>
      <c r="BK11" s="19">
        <v>0</v>
      </c>
      <c r="BL11" s="19">
        <v>0</v>
      </c>
      <c r="BM11" s="19">
        <v>0</v>
      </c>
      <c r="BN11" s="19">
        <v>0</v>
      </c>
      <c r="BO11" s="19">
        <v>0</v>
      </c>
      <c r="BP11" s="19" t="s">
        <v>96</v>
      </c>
      <c r="BQ11" s="19" t="s">
        <v>4</v>
      </c>
      <c r="BR11" s="19">
        <v>180165234</v>
      </c>
      <c r="BS11" s="19">
        <v>0</v>
      </c>
      <c r="BT11" s="19">
        <v>0</v>
      </c>
      <c r="BU11" s="19">
        <v>0</v>
      </c>
      <c r="BV11" s="19">
        <v>0</v>
      </c>
      <c r="BW11" s="19">
        <v>0</v>
      </c>
      <c r="BX11" s="19">
        <v>0</v>
      </c>
      <c r="BY11" s="19"/>
      <c r="BZ11" s="19">
        <v>0</v>
      </c>
      <c r="CA11" s="19">
        <v>180041750</v>
      </c>
      <c r="CB11" s="19">
        <v>0</v>
      </c>
      <c r="CC11" s="19">
        <v>35000</v>
      </c>
      <c r="CD11" s="19">
        <v>0</v>
      </c>
      <c r="CE11" s="19">
        <v>119300</v>
      </c>
      <c r="CF11" s="19">
        <v>0</v>
      </c>
      <c r="CG11" s="19">
        <v>147880</v>
      </c>
      <c r="CH11" s="19">
        <v>0</v>
      </c>
      <c r="CI11" s="19" t="s">
        <v>128</v>
      </c>
      <c r="CJ11" s="19"/>
      <c r="CK11" s="19">
        <v>0</v>
      </c>
      <c r="CL11" s="19"/>
      <c r="CM11" s="19">
        <v>0</v>
      </c>
      <c r="CN11" s="19">
        <v>0</v>
      </c>
      <c r="CO11" s="19">
        <v>0</v>
      </c>
      <c r="CP11" s="19">
        <v>0</v>
      </c>
      <c r="CQ11" s="19" t="s">
        <v>96</v>
      </c>
      <c r="CR11" s="19">
        <v>0</v>
      </c>
      <c r="CS11" s="19">
        <v>0</v>
      </c>
      <c r="CT11" s="19">
        <v>0</v>
      </c>
      <c r="CU11" s="19"/>
      <c r="CV11" s="19"/>
      <c r="CW11" s="19"/>
      <c r="CX11" s="19">
        <v>2836330</v>
      </c>
      <c r="CY11" s="19" t="s">
        <v>96</v>
      </c>
      <c r="CZ11" s="19"/>
      <c r="DA11" s="19"/>
      <c r="DB11" s="19"/>
      <c r="DC11" s="19"/>
      <c r="DD11" s="19">
        <v>531470</v>
      </c>
      <c r="DE11" s="19">
        <v>666792</v>
      </c>
      <c r="DF11" s="19">
        <v>5414918</v>
      </c>
      <c r="DG11" s="19"/>
      <c r="DH11" s="19">
        <v>28912288</v>
      </c>
      <c r="DI11" s="19"/>
      <c r="DJ11" s="19"/>
      <c r="DK11" s="19"/>
      <c r="DL11" s="19"/>
      <c r="DM11" s="19"/>
      <c r="DN11" s="19">
        <v>14000000</v>
      </c>
      <c r="DO11" s="19"/>
      <c r="DP11" s="19"/>
      <c r="DQ11" s="19"/>
      <c r="DR11" s="19"/>
      <c r="DS11" s="19"/>
      <c r="DT11" s="19"/>
      <c r="DU11" s="19"/>
      <c r="DV11" s="19"/>
      <c r="DW11" s="19"/>
      <c r="DX11" s="19"/>
      <c r="DY11" s="19"/>
      <c r="DZ11" s="19"/>
      <c r="EA11" s="19"/>
      <c r="EB11" s="19">
        <v>40000000</v>
      </c>
      <c r="EC11" s="19">
        <v>5069380</v>
      </c>
      <c r="ED11" s="19">
        <v>364502</v>
      </c>
      <c r="EE11" s="19"/>
      <c r="EF11" s="19"/>
      <c r="EG11" s="19"/>
      <c r="EH11" s="19"/>
      <c r="EI11" s="19"/>
      <c r="EJ11" s="19"/>
      <c r="EK11" s="19"/>
      <c r="EL11" s="19"/>
      <c r="EM11" s="19"/>
      <c r="EN11" s="19"/>
      <c r="EO11" s="19"/>
      <c r="EP11" s="19">
        <v>5161659</v>
      </c>
      <c r="EQ11" s="19"/>
      <c r="ER11" s="19">
        <v>229292000</v>
      </c>
      <c r="ES11" s="19">
        <v>14980861</v>
      </c>
      <c r="ET11" s="19">
        <v>24438810</v>
      </c>
      <c r="EU11" s="19">
        <v>30000000</v>
      </c>
      <c r="EV11" s="19"/>
      <c r="EW11" s="19"/>
      <c r="EX11" s="19">
        <v>1040674</v>
      </c>
      <c r="EY11" s="19"/>
      <c r="EZ11" s="19"/>
      <c r="FA11" s="19"/>
      <c r="FB11" s="19"/>
      <c r="FC11" s="19"/>
      <c r="FD11" s="19"/>
      <c r="FE11" s="19"/>
      <c r="FF11" s="19"/>
      <c r="FG11" s="19"/>
      <c r="FH11" s="19">
        <v>1833033</v>
      </c>
      <c r="FI11" s="19" t="s">
        <v>96</v>
      </c>
      <c r="FJ11" s="19"/>
      <c r="FK11" s="19">
        <v>203000</v>
      </c>
      <c r="FL11" s="19"/>
      <c r="FM11" s="19"/>
      <c r="FN11" s="19"/>
      <c r="FO11" s="19">
        <v>90</v>
      </c>
      <c r="FP11" s="19"/>
      <c r="FQ11" s="19"/>
      <c r="FR11" s="19">
        <v>4966828</v>
      </c>
      <c r="FS11" s="19"/>
      <c r="FT11" s="19"/>
      <c r="FU11" s="19"/>
      <c r="FV11" s="19"/>
      <c r="FW11" s="19"/>
      <c r="FX11" s="19"/>
      <c r="FY11" s="19">
        <v>758900</v>
      </c>
      <c r="FZ11" s="19">
        <v>54102134</v>
      </c>
      <c r="GA11" s="19"/>
      <c r="GB11" s="19"/>
      <c r="GC11" s="19"/>
      <c r="GD11" s="19" t="s">
        <v>96</v>
      </c>
      <c r="GE11" s="19"/>
      <c r="GF11" s="19"/>
      <c r="GG11" s="19"/>
      <c r="GH11" s="19"/>
      <c r="GI11" s="19"/>
      <c r="GJ11" s="19"/>
      <c r="GK11" s="19"/>
      <c r="GL11" s="19" t="s">
        <v>96</v>
      </c>
      <c r="GM11" s="19"/>
      <c r="GN11" s="19"/>
      <c r="GO11" s="19"/>
      <c r="GP11" s="19"/>
      <c r="GQ11" s="19"/>
      <c r="GR11" s="19">
        <v>740280</v>
      </c>
      <c r="GS11" s="19"/>
      <c r="GT11" s="19"/>
      <c r="GU11" s="19"/>
      <c r="GV11" s="19"/>
      <c r="GW11" s="19"/>
      <c r="GX11" s="19"/>
      <c r="GY11" s="19"/>
      <c r="GZ11" s="19"/>
      <c r="HA11" s="19"/>
      <c r="HB11" s="19"/>
      <c r="HC11" s="19">
        <v>167985803</v>
      </c>
      <c r="HD11" s="19">
        <v>158374000</v>
      </c>
      <c r="HE11" s="19"/>
      <c r="HF11" s="19"/>
      <c r="HG11" s="19">
        <v>262517</v>
      </c>
      <c r="HH11" s="19"/>
      <c r="HI11" s="19"/>
      <c r="HJ11" s="19">
        <v>3000</v>
      </c>
      <c r="HK11" s="19"/>
      <c r="HL11" s="19"/>
      <c r="HM11" s="19"/>
      <c r="HN11" s="19"/>
      <c r="HO11" s="19"/>
      <c r="HP11" s="19"/>
      <c r="HQ11" s="19">
        <v>19411130</v>
      </c>
      <c r="HR11" s="19">
        <v>7599180</v>
      </c>
      <c r="HS11" s="19"/>
      <c r="HT11" s="19"/>
      <c r="HU11" s="19"/>
      <c r="HV11" s="19"/>
      <c r="HW11" s="19">
        <v>719278179</v>
      </c>
      <c r="HX11" s="19"/>
      <c r="HY11" s="19" t="s">
        <v>172</v>
      </c>
      <c r="HZ11" s="19"/>
      <c r="IA11" s="19">
        <v>107391829</v>
      </c>
      <c r="IB11" s="19"/>
      <c r="IC11" s="19"/>
      <c r="ID11" s="19"/>
      <c r="IE11" s="19" t="s">
        <v>96</v>
      </c>
      <c r="IF11" s="19"/>
      <c r="IG11" s="19"/>
      <c r="IH11" s="19"/>
      <c r="II11" s="19"/>
      <c r="IJ11" s="19">
        <v>3100000</v>
      </c>
      <c r="IK11" s="19"/>
      <c r="IL11" s="19">
        <v>5908000</v>
      </c>
      <c r="IM11" s="19"/>
      <c r="IN11" s="19"/>
      <c r="IO11" s="19">
        <v>870549</v>
      </c>
      <c r="IP11" s="19"/>
      <c r="IQ11" s="19"/>
      <c r="IR11" s="19">
        <v>60017000</v>
      </c>
      <c r="IS11" s="19"/>
      <c r="IT11" s="19"/>
    </row>
    <row r="12" spans="1:254">
      <c r="A12" s="7" t="s">
        <v>94</v>
      </c>
      <c r="B12" s="14" t="s">
        <v>30</v>
      </c>
      <c r="C12" s="19">
        <v>0</v>
      </c>
      <c r="D12" s="19">
        <v>61577550</v>
      </c>
      <c r="E12" s="19">
        <v>52182000</v>
      </c>
      <c r="F12" s="19">
        <v>43139010</v>
      </c>
      <c r="G12" s="19">
        <v>189950000</v>
      </c>
      <c r="H12" s="19"/>
      <c r="I12" s="19"/>
      <c r="J12" s="19" t="s">
        <v>4</v>
      </c>
      <c r="K12" s="19">
        <v>158542717</v>
      </c>
      <c r="L12" s="19" t="s">
        <v>96</v>
      </c>
      <c r="M12" s="19" t="s">
        <v>96</v>
      </c>
      <c r="N12" s="19">
        <v>17701200</v>
      </c>
      <c r="O12" s="19">
        <v>88955629</v>
      </c>
      <c r="P12" s="19">
        <v>88849672</v>
      </c>
      <c r="Q12" s="19">
        <v>74660000</v>
      </c>
      <c r="R12" s="19">
        <v>0</v>
      </c>
      <c r="S12" s="19">
        <v>498272950</v>
      </c>
      <c r="T12" s="19" t="s">
        <v>96</v>
      </c>
      <c r="U12" s="19">
        <v>27629203</v>
      </c>
      <c r="V12" s="19" t="s">
        <v>172</v>
      </c>
      <c r="W12" s="19">
        <v>28720320</v>
      </c>
      <c r="X12" s="19">
        <v>0</v>
      </c>
      <c r="Y12" s="19">
        <v>0</v>
      </c>
      <c r="Z12" s="19">
        <v>14895820</v>
      </c>
      <c r="AA12" s="19">
        <v>416110260</v>
      </c>
      <c r="AB12" s="19">
        <v>0</v>
      </c>
      <c r="AC12" s="19">
        <v>1206450</v>
      </c>
      <c r="AD12" s="19">
        <v>149594150</v>
      </c>
      <c r="AE12" s="19">
        <v>215000000</v>
      </c>
      <c r="AF12" s="19">
        <v>0</v>
      </c>
      <c r="AG12" s="19"/>
      <c r="AH12" s="19">
        <v>106601560</v>
      </c>
      <c r="AI12" s="19">
        <v>75569000</v>
      </c>
      <c r="AJ12" s="19">
        <v>537938500</v>
      </c>
      <c r="AK12" s="19">
        <v>25012101</v>
      </c>
      <c r="AL12" s="19">
        <v>0</v>
      </c>
      <c r="AM12" s="19" t="s">
        <v>4</v>
      </c>
      <c r="AN12" s="19">
        <v>15011000</v>
      </c>
      <c r="AO12" s="19">
        <v>25415659</v>
      </c>
      <c r="AP12" s="19">
        <v>385386</v>
      </c>
      <c r="AQ12" s="19" t="s">
        <v>96</v>
      </c>
      <c r="AR12" s="19">
        <v>242948400</v>
      </c>
      <c r="AS12" s="19">
        <v>0</v>
      </c>
      <c r="AT12" s="19">
        <v>868891815</v>
      </c>
      <c r="AU12" s="19">
        <v>0</v>
      </c>
      <c r="AV12" s="19">
        <v>0</v>
      </c>
      <c r="AW12" s="19">
        <v>0</v>
      </c>
      <c r="AX12" s="19" t="s">
        <v>4</v>
      </c>
      <c r="AY12" s="19">
        <v>15434310</v>
      </c>
      <c r="AZ12" s="19"/>
      <c r="BA12" s="19">
        <v>526462203</v>
      </c>
      <c r="BB12" s="19">
        <v>0</v>
      </c>
      <c r="BC12" s="19" t="s">
        <v>4</v>
      </c>
      <c r="BD12" s="19" t="s">
        <v>128</v>
      </c>
      <c r="BE12" s="19">
        <v>78150000</v>
      </c>
      <c r="BF12" s="19">
        <v>514385080</v>
      </c>
      <c r="BG12" s="19">
        <v>275036802</v>
      </c>
      <c r="BH12" s="19">
        <v>37404252</v>
      </c>
      <c r="BI12" s="19">
        <v>150772066</v>
      </c>
      <c r="BJ12" s="19">
        <v>202178415</v>
      </c>
      <c r="BK12" s="19">
        <v>326259338</v>
      </c>
      <c r="BL12" s="19"/>
      <c r="BM12" s="19">
        <v>3265240</v>
      </c>
      <c r="BN12" s="19">
        <v>0</v>
      </c>
      <c r="BO12" s="19">
        <v>258849010</v>
      </c>
      <c r="BP12" s="19" t="s">
        <v>96</v>
      </c>
      <c r="BQ12" s="19" t="s">
        <v>4</v>
      </c>
      <c r="BR12" s="19">
        <v>0</v>
      </c>
      <c r="BS12" s="19">
        <v>0</v>
      </c>
      <c r="BT12" s="19">
        <v>10735930</v>
      </c>
      <c r="BU12" s="19">
        <v>439801393</v>
      </c>
      <c r="BV12" s="19"/>
      <c r="BW12" s="19">
        <v>0</v>
      </c>
      <c r="BX12" s="19">
        <v>0</v>
      </c>
      <c r="BY12" s="19">
        <v>140019016</v>
      </c>
      <c r="BZ12" s="19">
        <v>228177498</v>
      </c>
      <c r="CA12" s="19"/>
      <c r="CB12" s="19">
        <v>134486110</v>
      </c>
      <c r="CC12" s="19">
        <v>9186800</v>
      </c>
      <c r="CD12" s="19">
        <v>40694573</v>
      </c>
      <c r="CE12" s="19">
        <v>13891100</v>
      </c>
      <c r="CF12" s="19">
        <v>222528238</v>
      </c>
      <c r="CG12" s="19">
        <v>0</v>
      </c>
      <c r="CH12" s="19">
        <v>59028520</v>
      </c>
      <c r="CI12" s="19" t="s">
        <v>128</v>
      </c>
      <c r="CJ12" s="19">
        <v>473699900</v>
      </c>
      <c r="CK12" s="19">
        <v>255838126</v>
      </c>
      <c r="CL12" s="19">
        <v>42058113</v>
      </c>
      <c r="CM12" s="19"/>
      <c r="CN12" s="19"/>
      <c r="CO12" s="19">
        <v>0</v>
      </c>
      <c r="CP12" s="19">
        <v>1149079268</v>
      </c>
      <c r="CQ12" s="19" t="s">
        <v>96</v>
      </c>
      <c r="CR12" s="19">
        <v>21356060</v>
      </c>
      <c r="CS12" s="19"/>
      <c r="CT12" s="19"/>
      <c r="CU12" s="19"/>
      <c r="CV12" s="19"/>
      <c r="CW12" s="19">
        <v>40900376</v>
      </c>
      <c r="CX12" s="19"/>
      <c r="CY12" s="19" t="s">
        <v>96</v>
      </c>
      <c r="CZ12" s="19"/>
      <c r="DA12" s="19">
        <v>0</v>
      </c>
      <c r="DB12" s="19"/>
      <c r="DC12" s="19"/>
      <c r="DD12" s="19">
        <v>803740</v>
      </c>
      <c r="DE12" s="19"/>
      <c r="DF12" s="19">
        <v>9619352</v>
      </c>
      <c r="DG12" s="19">
        <v>0</v>
      </c>
      <c r="DH12" s="19">
        <v>13648290</v>
      </c>
      <c r="DI12" s="19">
        <v>245415000</v>
      </c>
      <c r="DJ12" s="19"/>
      <c r="DK12" s="19">
        <v>1227863026</v>
      </c>
      <c r="DL12" s="19">
        <v>17903800</v>
      </c>
      <c r="DM12" s="19">
        <v>761651410</v>
      </c>
      <c r="DN12" s="19">
        <v>72094211</v>
      </c>
      <c r="DO12" s="19">
        <v>0</v>
      </c>
      <c r="DP12" s="19">
        <v>31413210</v>
      </c>
      <c r="DQ12" s="19">
        <v>143170511</v>
      </c>
      <c r="DR12" s="19">
        <v>234500088</v>
      </c>
      <c r="DS12" s="19">
        <v>0</v>
      </c>
      <c r="DT12" s="19">
        <v>9780000</v>
      </c>
      <c r="DU12" s="19"/>
      <c r="DV12" s="19"/>
      <c r="DW12" s="19">
        <v>12366464</v>
      </c>
      <c r="DX12" s="19"/>
      <c r="DY12" s="19">
        <v>357566210</v>
      </c>
      <c r="DZ12" s="19">
        <v>200422238</v>
      </c>
      <c r="EA12" s="19"/>
      <c r="EB12" s="19">
        <v>258234176</v>
      </c>
      <c r="EC12" s="19">
        <v>239458505</v>
      </c>
      <c r="ED12" s="19"/>
      <c r="EE12" s="19">
        <v>0</v>
      </c>
      <c r="EF12" s="19">
        <v>106188229</v>
      </c>
      <c r="EG12" s="19">
        <v>1121498378</v>
      </c>
      <c r="EH12" s="19">
        <v>0</v>
      </c>
      <c r="EI12" s="19">
        <v>3931364</v>
      </c>
      <c r="EJ12" s="19">
        <v>0</v>
      </c>
      <c r="EK12" s="19">
        <v>0</v>
      </c>
      <c r="EL12" s="19">
        <v>225485145</v>
      </c>
      <c r="EM12" s="19">
        <v>46750560</v>
      </c>
      <c r="EN12" s="19"/>
      <c r="EO12" s="19">
        <v>1869360</v>
      </c>
      <c r="EP12" s="19">
        <v>99169097</v>
      </c>
      <c r="EQ12" s="19"/>
      <c r="ER12" s="19">
        <v>27048621</v>
      </c>
      <c r="ES12" s="19">
        <v>410959508</v>
      </c>
      <c r="ET12" s="19">
        <v>0</v>
      </c>
      <c r="EU12" s="19"/>
      <c r="EV12" s="19">
        <v>116234592</v>
      </c>
      <c r="EW12" s="19">
        <v>210863220</v>
      </c>
      <c r="EX12" s="19">
        <v>54906626</v>
      </c>
      <c r="EY12" s="19">
        <v>0</v>
      </c>
      <c r="EZ12" s="19">
        <v>10437431</v>
      </c>
      <c r="FA12" s="19">
        <v>39216806</v>
      </c>
      <c r="FB12" s="19">
        <v>5180524</v>
      </c>
      <c r="FC12" s="19">
        <v>127466545</v>
      </c>
      <c r="FD12" s="19">
        <v>30800000</v>
      </c>
      <c r="FE12" s="19">
        <v>42021232</v>
      </c>
      <c r="FF12" s="19">
        <v>0</v>
      </c>
      <c r="FG12" s="19">
        <v>118236240</v>
      </c>
      <c r="FH12" s="19"/>
      <c r="FI12" s="19" t="s">
        <v>96</v>
      </c>
      <c r="FJ12" s="19">
        <v>0</v>
      </c>
      <c r="FK12" s="19">
        <v>52300000</v>
      </c>
      <c r="FL12" s="19">
        <v>37068760</v>
      </c>
      <c r="FM12" s="19">
        <v>24700635</v>
      </c>
      <c r="FN12" s="19">
        <v>0</v>
      </c>
      <c r="FO12" s="19"/>
      <c r="FP12" s="19">
        <v>0</v>
      </c>
      <c r="FQ12" s="19"/>
      <c r="FR12" s="19">
        <v>109931760</v>
      </c>
      <c r="FS12" s="19">
        <v>204608272</v>
      </c>
      <c r="FT12" s="19">
        <v>1298080201</v>
      </c>
      <c r="FU12" s="19">
        <v>0</v>
      </c>
      <c r="FV12" s="19">
        <v>0</v>
      </c>
      <c r="FW12" s="19">
        <v>238419071</v>
      </c>
      <c r="FX12" s="19">
        <v>0</v>
      </c>
      <c r="FY12" s="19"/>
      <c r="FZ12" s="19"/>
      <c r="GA12" s="19"/>
      <c r="GB12" s="19">
        <v>16795474</v>
      </c>
      <c r="GC12" s="19">
        <v>0</v>
      </c>
      <c r="GD12" s="19" t="s">
        <v>96</v>
      </c>
      <c r="GE12" s="19">
        <v>27376421</v>
      </c>
      <c r="GF12" s="19">
        <v>49415296</v>
      </c>
      <c r="GG12" s="19">
        <v>171873626</v>
      </c>
      <c r="GH12" s="19">
        <v>7342800</v>
      </c>
      <c r="GI12" s="19">
        <v>117929302</v>
      </c>
      <c r="GJ12" s="19"/>
      <c r="GK12" s="19">
        <v>35629559</v>
      </c>
      <c r="GL12" s="19" t="s">
        <v>96</v>
      </c>
      <c r="GM12" s="19"/>
      <c r="GN12" s="19">
        <v>0</v>
      </c>
      <c r="GO12" s="19">
        <v>286700000</v>
      </c>
      <c r="GP12" s="19">
        <v>1153943027</v>
      </c>
      <c r="GQ12" s="19">
        <v>95443565</v>
      </c>
      <c r="GR12" s="19">
        <v>489001898</v>
      </c>
      <c r="GS12" s="19">
        <v>0</v>
      </c>
      <c r="GT12" s="19">
        <v>9839875</v>
      </c>
      <c r="GU12" s="19">
        <v>0</v>
      </c>
      <c r="GV12" s="19">
        <v>0</v>
      </c>
      <c r="GW12" s="19"/>
      <c r="GX12" s="19">
        <v>319477190</v>
      </c>
      <c r="GY12" s="19">
        <v>52704720</v>
      </c>
      <c r="GZ12" s="19">
        <v>154600000</v>
      </c>
      <c r="HA12" s="19">
        <v>77311043</v>
      </c>
      <c r="HB12" s="19"/>
      <c r="HC12" s="19">
        <v>172685606</v>
      </c>
      <c r="HD12" s="19">
        <v>87127365</v>
      </c>
      <c r="HE12" s="19">
        <v>142256576</v>
      </c>
      <c r="HF12" s="19"/>
      <c r="HG12" s="19">
        <v>11134700</v>
      </c>
      <c r="HH12" s="19"/>
      <c r="HI12" s="19">
        <v>0</v>
      </c>
      <c r="HJ12" s="19">
        <v>0</v>
      </c>
      <c r="HK12" s="19">
        <v>378377369</v>
      </c>
      <c r="HL12" s="19">
        <v>86669700</v>
      </c>
      <c r="HM12" s="19">
        <v>1024000</v>
      </c>
      <c r="HN12" s="19"/>
      <c r="HO12" s="19">
        <v>9226500</v>
      </c>
      <c r="HP12" s="19">
        <v>103510000</v>
      </c>
      <c r="HQ12" s="19"/>
      <c r="HR12" s="19">
        <v>0</v>
      </c>
      <c r="HS12" s="19">
        <v>62987000</v>
      </c>
      <c r="HT12" s="19">
        <v>76669600</v>
      </c>
      <c r="HU12" s="19">
        <v>0</v>
      </c>
      <c r="HV12" s="19">
        <v>8964200</v>
      </c>
      <c r="HW12" s="19"/>
      <c r="HX12" s="19">
        <v>404807400</v>
      </c>
      <c r="HY12" s="19" t="s">
        <v>172</v>
      </c>
      <c r="HZ12" s="19">
        <v>42777500</v>
      </c>
      <c r="IA12" s="19"/>
      <c r="IB12" s="19">
        <v>15213220</v>
      </c>
      <c r="IC12" s="19">
        <v>0</v>
      </c>
      <c r="ID12" s="19">
        <v>4964555</v>
      </c>
      <c r="IE12" s="19" t="s">
        <v>96</v>
      </c>
      <c r="IF12" s="19">
        <v>5014600</v>
      </c>
      <c r="IG12" s="19">
        <v>74106000</v>
      </c>
      <c r="IH12" s="19">
        <v>159677410</v>
      </c>
      <c r="II12" s="19">
        <v>106187890</v>
      </c>
      <c r="IJ12" s="19">
        <v>0</v>
      </c>
      <c r="IK12" s="19">
        <v>294400000</v>
      </c>
      <c r="IL12" s="19">
        <v>13504750</v>
      </c>
      <c r="IM12" s="19">
        <v>0</v>
      </c>
      <c r="IN12" s="19">
        <v>0</v>
      </c>
      <c r="IO12" s="19">
        <v>142888000</v>
      </c>
      <c r="IP12" s="19">
        <v>0</v>
      </c>
      <c r="IQ12" s="19"/>
      <c r="IR12" s="19">
        <v>205720087</v>
      </c>
      <c r="IS12" s="19">
        <v>0</v>
      </c>
      <c r="IT12" s="19">
        <v>1745510</v>
      </c>
    </row>
    <row r="13" spans="1:254">
      <c r="A13" s="7" t="s">
        <v>94</v>
      </c>
      <c r="B13" s="14" t="s">
        <v>66</v>
      </c>
      <c r="C13" s="19">
        <v>0</v>
      </c>
      <c r="D13" s="19">
        <v>0</v>
      </c>
      <c r="E13" s="19"/>
      <c r="F13" s="19">
        <v>0</v>
      </c>
      <c r="G13" s="19">
        <v>0</v>
      </c>
      <c r="H13" s="19"/>
      <c r="I13" s="19"/>
      <c r="J13" s="19" t="s">
        <v>4</v>
      </c>
      <c r="K13" s="19"/>
      <c r="L13" s="19" t="s">
        <v>96</v>
      </c>
      <c r="M13" s="19" t="s">
        <v>96</v>
      </c>
      <c r="N13" s="19"/>
      <c r="O13" s="19"/>
      <c r="P13" s="19"/>
      <c r="Q13" s="19"/>
      <c r="R13" s="19"/>
      <c r="S13" s="19"/>
      <c r="T13" s="19" t="s">
        <v>96</v>
      </c>
      <c r="U13" s="19"/>
      <c r="V13" s="19" t="s">
        <v>172</v>
      </c>
      <c r="W13" s="19"/>
      <c r="X13" s="19"/>
      <c r="Y13" s="19">
        <v>0</v>
      </c>
      <c r="Z13" s="19"/>
      <c r="AA13" s="19"/>
      <c r="AB13" s="19">
        <v>0</v>
      </c>
      <c r="AC13" s="19">
        <v>0</v>
      </c>
      <c r="AD13" s="19"/>
      <c r="AE13" s="19">
        <v>0</v>
      </c>
      <c r="AF13" s="19"/>
      <c r="AG13" s="19"/>
      <c r="AH13" s="19"/>
      <c r="AI13" s="19"/>
      <c r="AJ13" s="19"/>
      <c r="AK13" s="19"/>
      <c r="AL13" s="19"/>
      <c r="AM13" s="19" t="s">
        <v>4</v>
      </c>
      <c r="AN13" s="19"/>
      <c r="AO13" s="19">
        <v>204960</v>
      </c>
      <c r="AP13" s="19"/>
      <c r="AQ13" s="19" t="s">
        <v>96</v>
      </c>
      <c r="AR13" s="19"/>
      <c r="AS13" s="19"/>
      <c r="AT13" s="19"/>
      <c r="AU13" s="19"/>
      <c r="AV13" s="19">
        <v>0</v>
      </c>
      <c r="AW13" s="19"/>
      <c r="AX13" s="19" t="s">
        <v>4</v>
      </c>
      <c r="AY13" s="19">
        <v>0</v>
      </c>
      <c r="AZ13" s="19"/>
      <c r="BA13" s="19"/>
      <c r="BB13" s="19"/>
      <c r="BC13" s="19" t="s">
        <v>4</v>
      </c>
      <c r="BD13" s="19" t="s">
        <v>128</v>
      </c>
      <c r="BE13" s="19">
        <v>0</v>
      </c>
      <c r="BF13" s="19"/>
      <c r="BG13" s="19"/>
      <c r="BH13" s="19"/>
      <c r="BI13" s="19"/>
      <c r="BJ13" s="19">
        <v>0</v>
      </c>
      <c r="BK13" s="19">
        <v>19015532</v>
      </c>
      <c r="BL13" s="19"/>
      <c r="BM13" s="19"/>
      <c r="BN13" s="19"/>
      <c r="BO13" s="19"/>
      <c r="BP13" s="19" t="s">
        <v>96</v>
      </c>
      <c r="BQ13" s="19" t="s">
        <v>4</v>
      </c>
      <c r="BR13" s="19"/>
      <c r="BS13" s="19"/>
      <c r="BT13" s="19">
        <v>0</v>
      </c>
      <c r="BU13" s="19">
        <v>2780</v>
      </c>
      <c r="BV13" s="19"/>
      <c r="BW13" s="19"/>
      <c r="BX13" s="19"/>
      <c r="BY13" s="19"/>
      <c r="BZ13" s="19"/>
      <c r="CA13" s="19"/>
      <c r="CB13" s="19"/>
      <c r="CC13" s="19"/>
      <c r="CD13" s="19"/>
      <c r="CE13" s="19"/>
      <c r="CF13" s="19"/>
      <c r="CG13" s="19">
        <v>0</v>
      </c>
      <c r="CH13" s="19"/>
      <c r="CI13" s="19" t="s">
        <v>128</v>
      </c>
      <c r="CJ13" s="19"/>
      <c r="CK13" s="19"/>
      <c r="CL13" s="19"/>
      <c r="CM13" s="19"/>
      <c r="CN13" s="19"/>
      <c r="CO13" s="19"/>
      <c r="CP13" s="19"/>
      <c r="CQ13" s="19" t="s">
        <v>96</v>
      </c>
      <c r="CR13" s="19"/>
      <c r="CS13" s="19"/>
      <c r="CT13" s="19"/>
      <c r="CU13" s="19"/>
      <c r="CV13" s="19"/>
      <c r="CW13" s="19"/>
      <c r="CX13" s="19"/>
      <c r="CY13" s="19" t="s">
        <v>96</v>
      </c>
      <c r="CZ13" s="19"/>
      <c r="DA13" s="19"/>
      <c r="DB13" s="19">
        <v>919554</v>
      </c>
      <c r="DC13" s="19"/>
      <c r="DD13" s="19"/>
      <c r="DE13" s="19"/>
      <c r="DF13" s="19"/>
      <c r="DG13" s="19"/>
      <c r="DH13" s="19"/>
      <c r="DI13" s="19">
        <v>0</v>
      </c>
      <c r="DJ13" s="19"/>
      <c r="DK13" s="19"/>
      <c r="DL13" s="19"/>
      <c r="DM13" s="19">
        <v>10930742</v>
      </c>
      <c r="DN13" s="19"/>
      <c r="DO13" s="19"/>
      <c r="DP13" s="19"/>
      <c r="DQ13" s="19"/>
      <c r="DR13" s="19"/>
      <c r="DS13" s="19"/>
      <c r="DT13" s="19"/>
      <c r="DU13" s="19"/>
      <c r="DV13" s="19"/>
      <c r="DW13" s="19"/>
      <c r="DX13" s="19"/>
      <c r="DY13" s="19"/>
      <c r="DZ13" s="19"/>
      <c r="EA13" s="19"/>
      <c r="EB13" s="19"/>
      <c r="EC13" s="19">
        <v>21990</v>
      </c>
      <c r="ED13" s="19"/>
      <c r="EE13" s="19"/>
      <c r="EF13" s="19"/>
      <c r="EG13" s="19">
        <v>72411736</v>
      </c>
      <c r="EH13" s="19">
        <v>0</v>
      </c>
      <c r="EI13" s="19"/>
      <c r="EJ13" s="19"/>
      <c r="EK13" s="19"/>
      <c r="EL13" s="19"/>
      <c r="EM13" s="19"/>
      <c r="EN13" s="19"/>
      <c r="EO13" s="19"/>
      <c r="EP13" s="19"/>
      <c r="EQ13" s="19"/>
      <c r="ER13" s="19"/>
      <c r="ES13" s="19"/>
      <c r="ET13" s="19"/>
      <c r="EU13" s="19"/>
      <c r="EV13" s="19"/>
      <c r="EW13" s="19"/>
      <c r="EX13" s="19"/>
      <c r="EY13" s="19"/>
      <c r="EZ13" s="19"/>
      <c r="FA13" s="19"/>
      <c r="FB13" s="19"/>
      <c r="FC13" s="19"/>
      <c r="FD13" s="19"/>
      <c r="FE13" s="19"/>
      <c r="FF13" s="19"/>
      <c r="FG13" s="19"/>
      <c r="FH13" s="19"/>
      <c r="FI13" s="19" t="s">
        <v>96</v>
      </c>
      <c r="FJ13" s="19"/>
      <c r="FK13" s="19"/>
      <c r="FL13" s="19"/>
      <c r="FM13" s="19"/>
      <c r="FN13" s="19">
        <v>66708685</v>
      </c>
      <c r="FO13" s="19"/>
      <c r="FP13" s="19"/>
      <c r="FQ13" s="19"/>
      <c r="FR13" s="19"/>
      <c r="FS13" s="19"/>
      <c r="FT13" s="19"/>
      <c r="FU13" s="19"/>
      <c r="FV13" s="19"/>
      <c r="FW13" s="19"/>
      <c r="FX13" s="19"/>
      <c r="FY13" s="19">
        <v>31437418</v>
      </c>
      <c r="FZ13" s="19"/>
      <c r="GA13" s="19"/>
      <c r="GB13" s="19"/>
      <c r="GC13" s="19"/>
      <c r="GD13" s="19" t="s">
        <v>96</v>
      </c>
      <c r="GE13" s="19"/>
      <c r="GF13" s="19"/>
      <c r="GG13" s="19">
        <v>78364032</v>
      </c>
      <c r="GH13" s="19"/>
      <c r="GI13" s="19"/>
      <c r="GJ13" s="19"/>
      <c r="GK13" s="19"/>
      <c r="GL13" s="19" t="s">
        <v>96</v>
      </c>
      <c r="GM13" s="19"/>
      <c r="GN13" s="19"/>
      <c r="GO13" s="19"/>
      <c r="GP13" s="19"/>
      <c r="GQ13" s="19"/>
      <c r="GR13" s="19"/>
      <c r="GS13" s="19"/>
      <c r="GT13" s="19"/>
      <c r="GU13" s="19"/>
      <c r="GV13" s="19"/>
      <c r="GW13" s="19"/>
      <c r="GX13" s="19"/>
      <c r="GY13" s="19">
        <v>90480</v>
      </c>
      <c r="GZ13" s="19"/>
      <c r="HA13" s="19"/>
      <c r="HB13" s="19"/>
      <c r="HC13" s="19"/>
      <c r="HD13" s="19"/>
      <c r="HE13" s="19"/>
      <c r="HF13" s="19"/>
      <c r="HG13" s="19"/>
      <c r="HH13" s="19"/>
      <c r="HI13" s="19"/>
      <c r="HJ13" s="19">
        <v>0</v>
      </c>
      <c r="HK13" s="19"/>
      <c r="HL13" s="19"/>
      <c r="HM13" s="19">
        <v>0</v>
      </c>
      <c r="HN13" s="19"/>
      <c r="HO13" s="19"/>
      <c r="HP13" s="19"/>
      <c r="HQ13" s="19"/>
      <c r="HR13" s="19"/>
      <c r="HS13" s="19"/>
      <c r="HT13" s="19"/>
      <c r="HU13" s="19">
        <v>2520660</v>
      </c>
      <c r="HV13" s="19"/>
      <c r="HW13" s="19"/>
      <c r="HX13" s="19"/>
      <c r="HY13" s="19" t="s">
        <v>172</v>
      </c>
      <c r="HZ13" s="19"/>
      <c r="IA13" s="19"/>
      <c r="IB13" s="19"/>
      <c r="IC13" s="19"/>
      <c r="ID13" s="19"/>
      <c r="IE13" s="19" t="s">
        <v>96</v>
      </c>
      <c r="IF13" s="19"/>
      <c r="IG13" s="19"/>
      <c r="IH13" s="19"/>
      <c r="II13" s="19"/>
      <c r="IJ13" s="19"/>
      <c r="IK13" s="19">
        <v>2990</v>
      </c>
      <c r="IL13" s="19">
        <v>6488595</v>
      </c>
      <c r="IM13" s="19"/>
      <c r="IN13" s="19"/>
      <c r="IO13" s="19"/>
      <c r="IP13" s="19"/>
      <c r="IQ13" s="19"/>
      <c r="IR13" s="19"/>
      <c r="IS13" s="19"/>
      <c r="IT13" s="19"/>
    </row>
    <row r="14" spans="1:254">
      <c r="A14" s="7" t="s">
        <v>94</v>
      </c>
      <c r="B14" s="8" t="s">
        <v>19</v>
      </c>
      <c r="C14" s="19">
        <v>105503092</v>
      </c>
      <c r="D14" s="19">
        <v>973626414</v>
      </c>
      <c r="E14" s="19">
        <v>478584334</v>
      </c>
      <c r="F14" s="19">
        <v>1283940692</v>
      </c>
      <c r="G14" s="19">
        <v>24559167</v>
      </c>
      <c r="H14" s="19">
        <v>946497372</v>
      </c>
      <c r="I14" s="19">
        <v>3301527134</v>
      </c>
      <c r="J14" s="19" t="s">
        <v>4</v>
      </c>
      <c r="K14" s="19">
        <v>240801132</v>
      </c>
      <c r="L14" s="19" t="s">
        <v>96</v>
      </c>
      <c r="M14" s="19" t="s">
        <v>96</v>
      </c>
      <c r="N14" s="19">
        <v>131040280</v>
      </c>
      <c r="O14" s="19">
        <v>5885054366</v>
      </c>
      <c r="P14" s="19">
        <v>2453649742</v>
      </c>
      <c r="Q14" s="19">
        <v>31911944</v>
      </c>
      <c r="R14" s="19">
        <v>193841900</v>
      </c>
      <c r="S14" s="19">
        <v>10483970739</v>
      </c>
      <c r="T14" s="19" t="s">
        <v>96</v>
      </c>
      <c r="U14" s="19">
        <v>871580289</v>
      </c>
      <c r="V14" s="19" t="s">
        <v>172</v>
      </c>
      <c r="W14" s="19">
        <v>630454662</v>
      </c>
      <c r="X14" s="19">
        <v>4846370923</v>
      </c>
      <c r="Y14" s="19">
        <v>259541530</v>
      </c>
      <c r="Z14" s="19">
        <v>7050009417</v>
      </c>
      <c r="AA14" s="19">
        <v>2705810904</v>
      </c>
      <c r="AB14" s="19">
        <v>62929450</v>
      </c>
      <c r="AC14" s="19">
        <v>1218077808</v>
      </c>
      <c r="AD14" s="19">
        <v>5486575078</v>
      </c>
      <c r="AE14" s="19">
        <v>5053922705</v>
      </c>
      <c r="AF14" s="19">
        <v>487379130</v>
      </c>
      <c r="AG14" s="19">
        <v>494424639</v>
      </c>
      <c r="AH14" s="19">
        <v>302842654</v>
      </c>
      <c r="AI14" s="19">
        <v>425763439</v>
      </c>
      <c r="AJ14" s="19">
        <v>189445652</v>
      </c>
      <c r="AK14" s="19">
        <v>354998562</v>
      </c>
      <c r="AL14" s="19">
        <v>273527052</v>
      </c>
      <c r="AM14" s="19" t="s">
        <v>4</v>
      </c>
      <c r="AN14" s="19">
        <v>1752840933</v>
      </c>
      <c r="AO14" s="19">
        <v>198602207</v>
      </c>
      <c r="AP14" s="19">
        <v>6838532</v>
      </c>
      <c r="AQ14" s="19" t="s">
        <v>96</v>
      </c>
      <c r="AR14" s="19">
        <v>593714214</v>
      </c>
      <c r="AS14" s="19">
        <v>108295733</v>
      </c>
      <c r="AT14" s="19">
        <v>1885368333</v>
      </c>
      <c r="AU14" s="19">
        <v>3131288110</v>
      </c>
      <c r="AV14" s="19">
        <v>231103525</v>
      </c>
      <c r="AW14" s="19">
        <v>605529011</v>
      </c>
      <c r="AX14" s="19" t="s">
        <v>4</v>
      </c>
      <c r="AY14" s="19">
        <v>497842974</v>
      </c>
      <c r="AZ14" s="19">
        <v>336898253</v>
      </c>
      <c r="BA14" s="19">
        <v>1258853271</v>
      </c>
      <c r="BB14" s="19">
        <v>13030665</v>
      </c>
      <c r="BC14" s="19" t="s">
        <v>4</v>
      </c>
      <c r="BD14" s="19" t="s">
        <v>128</v>
      </c>
      <c r="BE14" s="19">
        <v>1279352676</v>
      </c>
      <c r="BF14" s="19">
        <v>968662193</v>
      </c>
      <c r="BG14" s="19">
        <v>67892769</v>
      </c>
      <c r="BH14" s="19">
        <v>742302263</v>
      </c>
      <c r="BI14" s="19">
        <v>75584767</v>
      </c>
      <c r="BJ14" s="19">
        <v>128443232</v>
      </c>
      <c r="BK14" s="19">
        <v>497232615</v>
      </c>
      <c r="BL14" s="19">
        <v>237646760</v>
      </c>
      <c r="BM14" s="19">
        <v>860899364</v>
      </c>
      <c r="BN14" s="19">
        <v>165455194</v>
      </c>
      <c r="BO14" s="19">
        <v>61801100</v>
      </c>
      <c r="BP14" s="19" t="s">
        <v>96</v>
      </c>
      <c r="BQ14" s="19" t="s">
        <v>4</v>
      </c>
      <c r="BR14" s="19">
        <v>2125488202</v>
      </c>
      <c r="BS14" s="19">
        <v>37173600</v>
      </c>
      <c r="BT14" s="19">
        <v>10830543</v>
      </c>
      <c r="BU14" s="19">
        <v>660700834</v>
      </c>
      <c r="BV14" s="19">
        <v>16000</v>
      </c>
      <c r="BW14" s="19">
        <v>6029559</v>
      </c>
      <c r="BX14" s="19">
        <v>52703785</v>
      </c>
      <c r="BY14" s="19">
        <v>166717746</v>
      </c>
      <c r="BZ14" s="19">
        <v>1029353020</v>
      </c>
      <c r="CA14" s="19">
        <v>685402358</v>
      </c>
      <c r="CB14" s="19">
        <v>1516217088</v>
      </c>
      <c r="CC14" s="19">
        <v>3050000</v>
      </c>
      <c r="CD14" s="19">
        <v>9225907</v>
      </c>
      <c r="CE14" s="19">
        <v>90746000</v>
      </c>
      <c r="CF14" s="19">
        <v>9578318</v>
      </c>
      <c r="CG14" s="19">
        <v>134010679</v>
      </c>
      <c r="CH14" s="19">
        <v>72002189</v>
      </c>
      <c r="CI14" s="19" t="s">
        <v>128</v>
      </c>
      <c r="CJ14" s="19">
        <v>70610308</v>
      </c>
      <c r="CK14" s="19">
        <v>6514246331</v>
      </c>
      <c r="CL14" s="19">
        <v>621309655</v>
      </c>
      <c r="CM14" s="19">
        <v>1521178837</v>
      </c>
      <c r="CN14" s="19">
        <v>16549502</v>
      </c>
      <c r="CO14" s="19">
        <v>60977116</v>
      </c>
      <c r="CP14" s="19">
        <v>495611431</v>
      </c>
      <c r="CQ14" s="19" t="s">
        <v>96</v>
      </c>
      <c r="CR14" s="19">
        <v>129090404</v>
      </c>
      <c r="CS14" s="19">
        <v>1525033715</v>
      </c>
      <c r="CT14" s="19">
        <v>3470780799</v>
      </c>
      <c r="CU14" s="19">
        <v>172983426</v>
      </c>
      <c r="CV14" s="19">
        <v>0</v>
      </c>
      <c r="CW14" s="19">
        <v>3173134904</v>
      </c>
      <c r="CX14" s="19">
        <v>324564565</v>
      </c>
      <c r="CY14" s="19" t="s">
        <v>96</v>
      </c>
      <c r="CZ14" s="19">
        <v>1003582190</v>
      </c>
      <c r="DA14" s="19">
        <v>190257854</v>
      </c>
      <c r="DB14" s="19">
        <v>49554110</v>
      </c>
      <c r="DC14" s="19">
        <v>5748783</v>
      </c>
      <c r="DD14" s="19">
        <v>138931510</v>
      </c>
      <c r="DE14" s="19">
        <v>771825887</v>
      </c>
      <c r="DF14" s="19">
        <v>24337996</v>
      </c>
      <c r="DG14" s="19">
        <v>759676531</v>
      </c>
      <c r="DH14" s="19">
        <v>84626926</v>
      </c>
      <c r="DI14" s="19">
        <v>5621796136</v>
      </c>
      <c r="DJ14" s="19">
        <v>3658704</v>
      </c>
      <c r="DK14" s="19">
        <v>8675527135</v>
      </c>
      <c r="DL14" s="19">
        <v>73417063</v>
      </c>
      <c r="DM14" s="19">
        <v>697173338</v>
      </c>
      <c r="DN14" s="19">
        <v>518518009</v>
      </c>
      <c r="DO14" s="19">
        <v>78149589</v>
      </c>
      <c r="DP14" s="19">
        <v>1083638301</v>
      </c>
      <c r="DQ14" s="19">
        <v>20287098</v>
      </c>
      <c r="DR14" s="19">
        <v>5116737617</v>
      </c>
      <c r="DS14" s="19">
        <v>49248629</v>
      </c>
      <c r="DT14" s="19">
        <v>1119663127</v>
      </c>
      <c r="DU14" s="19">
        <v>46682073</v>
      </c>
      <c r="DV14" s="19">
        <v>189321250</v>
      </c>
      <c r="DW14" s="19">
        <v>932207678</v>
      </c>
      <c r="DX14" s="19">
        <v>1508170021</v>
      </c>
      <c r="DY14" s="19">
        <v>681332091</v>
      </c>
      <c r="DZ14" s="19">
        <v>100489831</v>
      </c>
      <c r="EA14" s="19">
        <v>59163574</v>
      </c>
      <c r="EB14" s="19">
        <v>3672048320</v>
      </c>
      <c r="EC14" s="19">
        <v>8770657</v>
      </c>
      <c r="ED14" s="19">
        <v>38986038</v>
      </c>
      <c r="EE14" s="19">
        <v>172377953</v>
      </c>
      <c r="EF14" s="19">
        <v>3040920529</v>
      </c>
      <c r="EG14" s="19">
        <v>2478602625</v>
      </c>
      <c r="EH14" s="19">
        <v>6607536278</v>
      </c>
      <c r="EI14" s="19">
        <v>2042272236</v>
      </c>
      <c r="EJ14" s="19">
        <v>7502450</v>
      </c>
      <c r="EK14" s="19">
        <v>360578190</v>
      </c>
      <c r="EL14" s="19">
        <v>435175349</v>
      </c>
      <c r="EM14" s="19">
        <v>314414684</v>
      </c>
      <c r="EN14" s="19">
        <v>624495184</v>
      </c>
      <c r="EO14" s="19">
        <v>160329071</v>
      </c>
      <c r="EP14" s="19">
        <v>362534378</v>
      </c>
      <c r="EQ14" s="19">
        <v>10000000</v>
      </c>
      <c r="ER14" s="19">
        <v>1026562576</v>
      </c>
      <c r="ES14" s="19">
        <v>2624090683</v>
      </c>
      <c r="ET14" s="19">
        <v>1753793096</v>
      </c>
      <c r="EU14" s="19">
        <v>502499070</v>
      </c>
      <c r="EV14" s="19">
        <v>5822323</v>
      </c>
      <c r="EW14" s="19">
        <v>118315438</v>
      </c>
      <c r="EX14" s="19">
        <v>2498578494</v>
      </c>
      <c r="EY14" s="19">
        <v>3779779063</v>
      </c>
      <c r="EZ14" s="19">
        <v>357127214</v>
      </c>
      <c r="FA14" s="19">
        <v>2138189771</v>
      </c>
      <c r="FB14" s="19">
        <v>240953891</v>
      </c>
      <c r="FC14" s="19">
        <v>894660636</v>
      </c>
      <c r="FD14" s="19">
        <v>74008554</v>
      </c>
      <c r="FE14" s="19">
        <v>936918341</v>
      </c>
      <c r="FF14" s="19">
        <v>43948199</v>
      </c>
      <c r="FG14" s="19">
        <v>133475212</v>
      </c>
      <c r="FH14" s="19">
        <v>279783344</v>
      </c>
      <c r="FI14" s="19" t="s">
        <v>96</v>
      </c>
      <c r="FJ14" s="19">
        <v>20001308</v>
      </c>
      <c r="FK14" s="19">
        <v>372309555</v>
      </c>
      <c r="FL14" s="19">
        <v>80844290</v>
      </c>
      <c r="FM14" s="19">
        <v>150027066</v>
      </c>
      <c r="FN14" s="19">
        <v>1489403333</v>
      </c>
      <c r="FO14" s="19">
        <v>0</v>
      </c>
      <c r="FP14" s="19">
        <v>244243519</v>
      </c>
      <c r="FQ14" s="19">
        <v>38983486</v>
      </c>
      <c r="FR14" s="19">
        <v>88673189</v>
      </c>
      <c r="FS14" s="19">
        <v>47198180</v>
      </c>
      <c r="FT14" s="19">
        <v>1971554843</v>
      </c>
      <c r="FU14" s="19">
        <v>0</v>
      </c>
      <c r="FV14" s="19">
        <v>2722108396</v>
      </c>
      <c r="FW14" s="19">
        <v>21349684</v>
      </c>
      <c r="FX14" s="19">
        <v>2035044</v>
      </c>
      <c r="FY14" s="19">
        <v>357156276</v>
      </c>
      <c r="FZ14" s="19">
        <v>384391808</v>
      </c>
      <c r="GA14" s="19">
        <v>83217869</v>
      </c>
      <c r="GB14" s="19">
        <v>168173352</v>
      </c>
      <c r="GC14" s="19">
        <v>60586555</v>
      </c>
      <c r="GD14" s="19" t="s">
        <v>96</v>
      </c>
      <c r="GE14" s="19">
        <v>391856199</v>
      </c>
      <c r="GF14" s="19">
        <v>164304693</v>
      </c>
      <c r="GG14" s="19">
        <v>2229726885</v>
      </c>
      <c r="GH14" s="19">
        <v>10440000</v>
      </c>
      <c r="GI14" s="19">
        <v>3750463</v>
      </c>
      <c r="GJ14" s="19">
        <v>15140310</v>
      </c>
      <c r="GK14" s="19">
        <v>67599525</v>
      </c>
      <c r="GL14" s="19" t="s">
        <v>96</v>
      </c>
      <c r="GM14" s="19">
        <v>69712827</v>
      </c>
      <c r="GN14" s="19">
        <v>1299633416</v>
      </c>
      <c r="GO14" s="19">
        <v>1106265823</v>
      </c>
      <c r="GP14" s="19">
        <v>2554688960</v>
      </c>
      <c r="GQ14" s="19">
        <v>17686645</v>
      </c>
      <c r="GR14" s="19">
        <v>915632664</v>
      </c>
      <c r="GS14" s="19">
        <v>548146788</v>
      </c>
      <c r="GT14" s="19">
        <v>238468726</v>
      </c>
      <c r="GU14" s="19">
        <v>150000000</v>
      </c>
      <c r="GV14" s="19">
        <v>1548186722</v>
      </c>
      <c r="GW14" s="19">
        <v>3110405675</v>
      </c>
      <c r="GX14" s="19">
        <v>594816795</v>
      </c>
      <c r="GY14" s="19">
        <v>420555658</v>
      </c>
      <c r="GZ14" s="19">
        <v>4297777010</v>
      </c>
      <c r="HA14" s="19">
        <v>416917587</v>
      </c>
      <c r="HB14" s="19">
        <v>12730094</v>
      </c>
      <c r="HC14" s="19">
        <v>402666395</v>
      </c>
      <c r="HD14" s="19">
        <v>96389179</v>
      </c>
      <c r="HE14" s="19">
        <v>39815341</v>
      </c>
      <c r="HF14" s="19">
        <v>388910698</v>
      </c>
      <c r="HG14" s="19">
        <v>20628228</v>
      </c>
      <c r="HH14" s="19">
        <v>0</v>
      </c>
      <c r="HI14" s="19">
        <v>1143537601</v>
      </c>
      <c r="HJ14" s="19">
        <v>386676192</v>
      </c>
      <c r="HK14" s="19">
        <v>544174228</v>
      </c>
      <c r="HL14" s="19">
        <v>95178652</v>
      </c>
      <c r="HM14" s="19">
        <v>164995578</v>
      </c>
      <c r="HN14" s="19">
        <v>326615039</v>
      </c>
      <c r="HO14" s="19">
        <v>844201079</v>
      </c>
      <c r="HP14" s="19">
        <v>288982495</v>
      </c>
      <c r="HQ14" s="19">
        <v>81141334</v>
      </c>
      <c r="HR14" s="19">
        <v>406943645</v>
      </c>
      <c r="HS14" s="19">
        <v>121564988</v>
      </c>
      <c r="HT14" s="19">
        <v>10601175</v>
      </c>
      <c r="HU14" s="19">
        <v>545274462</v>
      </c>
      <c r="HV14" s="19">
        <v>34620357</v>
      </c>
      <c r="HW14" s="19">
        <v>529085943</v>
      </c>
      <c r="HX14" s="19">
        <v>2435257936</v>
      </c>
      <c r="HY14" s="19" t="s">
        <v>172</v>
      </c>
      <c r="HZ14" s="19">
        <v>5278839810</v>
      </c>
      <c r="IA14" s="19">
        <v>27000279</v>
      </c>
      <c r="IB14" s="19">
        <v>3111273919</v>
      </c>
      <c r="IC14" s="19">
        <v>714398485</v>
      </c>
      <c r="ID14" s="19">
        <v>4829614</v>
      </c>
      <c r="IE14" s="19" t="s">
        <v>96</v>
      </c>
      <c r="IF14" s="19">
        <v>36748107</v>
      </c>
      <c r="IG14" s="19">
        <v>4678962</v>
      </c>
      <c r="IH14" s="19">
        <v>46598607</v>
      </c>
      <c r="II14" s="19">
        <v>147457000</v>
      </c>
      <c r="IJ14" s="19">
        <v>295970709</v>
      </c>
      <c r="IK14" s="19">
        <v>43403095</v>
      </c>
      <c r="IL14" s="19">
        <v>58670838</v>
      </c>
      <c r="IM14" s="19">
        <v>205155153</v>
      </c>
      <c r="IN14" s="19">
        <v>292699410</v>
      </c>
      <c r="IO14" s="19">
        <v>72111439</v>
      </c>
      <c r="IP14" s="19">
        <v>133969171</v>
      </c>
      <c r="IQ14" s="19">
        <v>7567912</v>
      </c>
      <c r="IR14" s="19">
        <v>129461293</v>
      </c>
      <c r="IS14" s="19">
        <v>5857134201</v>
      </c>
      <c r="IT14" s="19">
        <v>1083360394</v>
      </c>
    </row>
    <row r="15" spans="1:254">
      <c r="A15" s="7" t="s">
        <v>94</v>
      </c>
      <c r="B15" s="11" t="s">
        <v>8</v>
      </c>
      <c r="C15" s="19">
        <v>0</v>
      </c>
      <c r="D15" s="19">
        <v>5000000</v>
      </c>
      <c r="E15" s="19">
        <v>64091945</v>
      </c>
      <c r="F15" s="19">
        <v>83135436</v>
      </c>
      <c r="G15" s="19">
        <v>0</v>
      </c>
      <c r="H15" s="19">
        <v>41860000</v>
      </c>
      <c r="I15" s="19">
        <v>131000000</v>
      </c>
      <c r="J15" s="19" t="s">
        <v>4</v>
      </c>
      <c r="K15" s="19">
        <v>0</v>
      </c>
      <c r="L15" s="19" t="s">
        <v>96</v>
      </c>
      <c r="M15" s="19" t="s">
        <v>96</v>
      </c>
      <c r="N15" s="19">
        <v>0</v>
      </c>
      <c r="O15" s="19">
        <v>109439893</v>
      </c>
      <c r="P15" s="19">
        <v>15960000</v>
      </c>
      <c r="Q15" s="19">
        <v>0</v>
      </c>
      <c r="R15" s="19">
        <v>30800000</v>
      </c>
      <c r="S15" s="19">
        <v>133252256</v>
      </c>
      <c r="T15" s="19" t="s">
        <v>96</v>
      </c>
      <c r="U15" s="19">
        <v>3360000</v>
      </c>
      <c r="V15" s="19" t="s">
        <v>172</v>
      </c>
      <c r="W15" s="19">
        <v>331862954</v>
      </c>
      <c r="X15" s="19">
        <v>218728286</v>
      </c>
      <c r="Y15" s="19">
        <v>20000000</v>
      </c>
      <c r="Z15" s="19">
        <v>402146255</v>
      </c>
      <c r="AA15" s="19">
        <v>534400120</v>
      </c>
      <c r="AB15" s="19">
        <v>0</v>
      </c>
      <c r="AC15" s="19">
        <v>18000000</v>
      </c>
      <c r="AD15" s="19">
        <v>44740511</v>
      </c>
      <c r="AE15" s="19">
        <v>0</v>
      </c>
      <c r="AF15" s="19">
        <v>0</v>
      </c>
      <c r="AG15" s="19">
        <v>64435791</v>
      </c>
      <c r="AH15" s="19">
        <v>73500000</v>
      </c>
      <c r="AI15" s="19">
        <v>20000000</v>
      </c>
      <c r="AJ15" s="19">
        <v>2700000</v>
      </c>
      <c r="AK15" s="19">
        <v>95292042</v>
      </c>
      <c r="AL15" s="19">
        <v>177076363</v>
      </c>
      <c r="AM15" s="19" t="s">
        <v>4</v>
      </c>
      <c r="AN15" s="19">
        <v>20322067</v>
      </c>
      <c r="AO15" s="19">
        <v>0</v>
      </c>
      <c r="AP15" s="19"/>
      <c r="AQ15" s="19" t="s">
        <v>96</v>
      </c>
      <c r="AR15" s="19">
        <v>0</v>
      </c>
      <c r="AS15" s="19">
        <v>0</v>
      </c>
      <c r="AT15" s="19">
        <v>1200000</v>
      </c>
      <c r="AU15" s="19">
        <v>35487000</v>
      </c>
      <c r="AV15" s="19">
        <v>0</v>
      </c>
      <c r="AW15" s="19">
        <v>0</v>
      </c>
      <c r="AX15" s="19" t="s">
        <v>4</v>
      </c>
      <c r="AY15" s="19">
        <v>298351021</v>
      </c>
      <c r="AZ15" s="19">
        <v>22238676</v>
      </c>
      <c r="BA15" s="19">
        <v>59116612</v>
      </c>
      <c r="BB15" s="19">
        <v>0</v>
      </c>
      <c r="BC15" s="19" t="s">
        <v>4</v>
      </c>
      <c r="BD15" s="19" t="s">
        <v>128</v>
      </c>
      <c r="BE15" s="19">
        <v>0</v>
      </c>
      <c r="BF15" s="19">
        <v>0</v>
      </c>
      <c r="BG15" s="19"/>
      <c r="BH15" s="19">
        <v>5600000</v>
      </c>
      <c r="BI15" s="19">
        <v>0</v>
      </c>
      <c r="BJ15" s="19">
        <v>3972044</v>
      </c>
      <c r="BK15" s="19">
        <v>132374180</v>
      </c>
      <c r="BL15" s="19">
        <v>9875000</v>
      </c>
      <c r="BM15" s="19">
        <v>57806002</v>
      </c>
      <c r="BN15" s="19">
        <v>17770762</v>
      </c>
      <c r="BO15" s="19">
        <v>3629199</v>
      </c>
      <c r="BP15" s="19" t="s">
        <v>96</v>
      </c>
      <c r="BQ15" s="19" t="s">
        <v>4</v>
      </c>
      <c r="BR15" s="19">
        <v>10200000</v>
      </c>
      <c r="BS15" s="19">
        <v>53706</v>
      </c>
      <c r="BT15" s="19">
        <v>0</v>
      </c>
      <c r="BU15" s="19">
        <v>0</v>
      </c>
      <c r="BV15" s="19">
        <v>0</v>
      </c>
      <c r="BW15" s="19">
        <v>0</v>
      </c>
      <c r="BX15" s="19"/>
      <c r="BY15" s="19">
        <v>47000000</v>
      </c>
      <c r="BZ15" s="19">
        <v>1000000000</v>
      </c>
      <c r="CA15" s="19">
        <v>17400000</v>
      </c>
      <c r="CB15" s="19">
        <v>16700000</v>
      </c>
      <c r="CC15" s="19">
        <v>3050000</v>
      </c>
      <c r="CD15" s="19">
        <v>300000</v>
      </c>
      <c r="CE15" s="19">
        <v>0</v>
      </c>
      <c r="CF15" s="19">
        <v>5000000</v>
      </c>
      <c r="CG15" s="19">
        <v>75500445</v>
      </c>
      <c r="CH15" s="19">
        <v>0</v>
      </c>
      <c r="CI15" s="19" t="s">
        <v>128</v>
      </c>
      <c r="CJ15" s="19">
        <v>2069705</v>
      </c>
      <c r="CK15" s="19">
        <v>18400000</v>
      </c>
      <c r="CL15" s="19">
        <v>58775005</v>
      </c>
      <c r="CM15" s="19">
        <v>346436017</v>
      </c>
      <c r="CN15" s="19">
        <v>42308</v>
      </c>
      <c r="CO15" s="19">
        <v>0</v>
      </c>
      <c r="CP15" s="19">
        <v>25300000</v>
      </c>
      <c r="CQ15" s="19" t="s">
        <v>96</v>
      </c>
      <c r="CR15" s="19">
        <v>0</v>
      </c>
      <c r="CS15" s="19">
        <v>112685680</v>
      </c>
      <c r="CT15" s="19">
        <v>3200061138</v>
      </c>
      <c r="CU15" s="19">
        <v>98958551</v>
      </c>
      <c r="CV15" s="19"/>
      <c r="CW15" s="19"/>
      <c r="CX15" s="19">
        <v>3300000</v>
      </c>
      <c r="CY15" s="19" t="s">
        <v>96</v>
      </c>
      <c r="CZ15" s="19">
        <v>164486486</v>
      </c>
      <c r="DA15" s="19">
        <v>0</v>
      </c>
      <c r="DB15" s="19">
        <v>0</v>
      </c>
      <c r="DC15" s="19"/>
      <c r="DD15" s="19"/>
      <c r="DE15" s="19">
        <v>2200000</v>
      </c>
      <c r="DF15" s="19">
        <v>9000000</v>
      </c>
      <c r="DG15" s="19">
        <v>0</v>
      </c>
      <c r="DH15" s="19">
        <v>20000000</v>
      </c>
      <c r="DI15" s="19">
        <v>4000000</v>
      </c>
      <c r="DJ15" s="19">
        <v>3000000</v>
      </c>
      <c r="DK15" s="19">
        <v>194415515</v>
      </c>
      <c r="DL15" s="19">
        <v>4600000</v>
      </c>
      <c r="DM15" s="19">
        <v>0</v>
      </c>
      <c r="DN15" s="19">
        <v>6000000</v>
      </c>
      <c r="DO15" s="19">
        <v>7200000</v>
      </c>
      <c r="DP15" s="19">
        <v>0</v>
      </c>
      <c r="DQ15" s="19"/>
      <c r="DR15" s="19">
        <v>1224900</v>
      </c>
      <c r="DS15" s="19">
        <v>0</v>
      </c>
      <c r="DT15" s="19">
        <v>0</v>
      </c>
      <c r="DU15" s="19"/>
      <c r="DV15" s="19">
        <v>130042000</v>
      </c>
      <c r="DW15" s="19">
        <v>107095600</v>
      </c>
      <c r="DX15" s="19">
        <v>197543494</v>
      </c>
      <c r="DY15" s="19">
        <v>0</v>
      </c>
      <c r="DZ15" s="19">
        <v>52157616</v>
      </c>
      <c r="EA15" s="19">
        <v>3904560</v>
      </c>
      <c r="EB15" s="19">
        <v>0</v>
      </c>
      <c r="EC15" s="19"/>
      <c r="ED15" s="19"/>
      <c r="EE15" s="19">
        <v>6000000</v>
      </c>
      <c r="EF15" s="19">
        <v>0</v>
      </c>
      <c r="EG15" s="19">
        <v>188000000</v>
      </c>
      <c r="EH15" s="19">
        <v>40000000</v>
      </c>
      <c r="EI15" s="19">
        <v>0</v>
      </c>
      <c r="EJ15" s="19">
        <v>0</v>
      </c>
      <c r="EK15" s="19">
        <v>300000000</v>
      </c>
      <c r="EL15" s="19"/>
      <c r="EM15" s="19">
        <v>3000000</v>
      </c>
      <c r="EN15" s="19">
        <v>2500000</v>
      </c>
      <c r="EO15" s="19">
        <v>45100000</v>
      </c>
      <c r="EP15" s="19"/>
      <c r="EQ15" s="19"/>
      <c r="ER15" s="19">
        <v>23584000</v>
      </c>
      <c r="ES15" s="19"/>
      <c r="ET15" s="19">
        <v>0</v>
      </c>
      <c r="EU15" s="19">
        <v>100000000</v>
      </c>
      <c r="EV15" s="19">
        <v>0</v>
      </c>
      <c r="EW15" s="19">
        <v>8100000</v>
      </c>
      <c r="EX15" s="19">
        <v>75496000</v>
      </c>
      <c r="EY15" s="19">
        <v>234098329</v>
      </c>
      <c r="EZ15" s="19"/>
      <c r="FA15" s="19">
        <v>15000000</v>
      </c>
      <c r="FB15" s="19"/>
      <c r="FC15" s="19">
        <v>17612160</v>
      </c>
      <c r="FD15" s="19">
        <v>0</v>
      </c>
      <c r="FE15" s="19">
        <v>277550990</v>
      </c>
      <c r="FF15" s="19">
        <v>43948199</v>
      </c>
      <c r="FG15" s="19"/>
      <c r="FH15" s="19">
        <v>500000</v>
      </c>
      <c r="FI15" s="19" t="s">
        <v>96</v>
      </c>
      <c r="FJ15" s="19">
        <v>0</v>
      </c>
      <c r="FK15" s="19">
        <v>0</v>
      </c>
      <c r="FL15" s="19">
        <v>1224894</v>
      </c>
      <c r="FM15" s="19">
        <v>0</v>
      </c>
      <c r="FN15" s="19">
        <v>34038000</v>
      </c>
      <c r="FO15" s="19"/>
      <c r="FP15" s="19">
        <v>0</v>
      </c>
      <c r="FQ15" s="19"/>
      <c r="FR15" s="19">
        <v>0</v>
      </c>
      <c r="FS15" s="19">
        <v>0</v>
      </c>
      <c r="FT15" s="19">
        <v>0</v>
      </c>
      <c r="FU15" s="19">
        <v>0</v>
      </c>
      <c r="FV15" s="19">
        <v>0</v>
      </c>
      <c r="FW15" s="19">
        <v>0</v>
      </c>
      <c r="FX15" s="19">
        <v>0</v>
      </c>
      <c r="FY15" s="19">
        <v>0</v>
      </c>
      <c r="FZ15" s="19"/>
      <c r="GA15" s="19"/>
      <c r="GB15" s="19">
        <v>0</v>
      </c>
      <c r="GC15" s="19">
        <v>1000000</v>
      </c>
      <c r="GD15" s="19" t="s">
        <v>96</v>
      </c>
      <c r="GE15" s="19">
        <v>0</v>
      </c>
      <c r="GF15" s="19">
        <v>0</v>
      </c>
      <c r="GG15" s="19"/>
      <c r="GH15" s="19">
        <v>0</v>
      </c>
      <c r="GI15" s="19">
        <v>0</v>
      </c>
      <c r="GJ15" s="19"/>
      <c r="GK15" s="19"/>
      <c r="GL15" s="19" t="s">
        <v>96</v>
      </c>
      <c r="GM15" s="19">
        <v>1600000</v>
      </c>
      <c r="GN15" s="19">
        <v>0</v>
      </c>
      <c r="GO15" s="19">
        <v>0</v>
      </c>
      <c r="GP15" s="19">
        <v>587450079</v>
      </c>
      <c r="GQ15" s="19">
        <v>0</v>
      </c>
      <c r="GR15" s="19">
        <v>0</v>
      </c>
      <c r="GS15" s="19">
        <v>510000000</v>
      </c>
      <c r="GT15" s="19">
        <v>9800000</v>
      </c>
      <c r="GU15" s="19">
        <v>0</v>
      </c>
      <c r="GV15" s="19">
        <v>31340879</v>
      </c>
      <c r="GW15" s="19"/>
      <c r="GX15" s="19">
        <v>0</v>
      </c>
      <c r="GY15" s="19">
        <v>0</v>
      </c>
      <c r="GZ15" s="19">
        <v>0</v>
      </c>
      <c r="HA15" s="19">
        <v>0</v>
      </c>
      <c r="HB15" s="19"/>
      <c r="HC15" s="19">
        <v>0</v>
      </c>
      <c r="HD15" s="19">
        <v>0</v>
      </c>
      <c r="HE15" s="19">
        <v>0</v>
      </c>
      <c r="HF15" s="19">
        <v>14400000</v>
      </c>
      <c r="HG15" s="19">
        <v>0</v>
      </c>
      <c r="HH15" s="19"/>
      <c r="HI15" s="19">
        <v>1105423390</v>
      </c>
      <c r="HJ15" s="19">
        <v>0</v>
      </c>
      <c r="HK15" s="19">
        <v>0</v>
      </c>
      <c r="HL15" s="19">
        <v>0</v>
      </c>
      <c r="HM15" s="19">
        <v>0</v>
      </c>
      <c r="HN15" s="19">
        <v>298046363</v>
      </c>
      <c r="HO15" s="19">
        <v>52087430</v>
      </c>
      <c r="HP15" s="19">
        <v>0</v>
      </c>
      <c r="HQ15" s="19"/>
      <c r="HR15" s="19">
        <v>0</v>
      </c>
      <c r="HS15" s="19">
        <v>0</v>
      </c>
      <c r="HT15" s="19"/>
      <c r="HU15" s="19">
        <v>11500000</v>
      </c>
      <c r="HV15" s="19">
        <v>0</v>
      </c>
      <c r="HW15" s="19"/>
      <c r="HX15" s="19">
        <v>29908280</v>
      </c>
      <c r="HY15" s="19" t="s">
        <v>172</v>
      </c>
      <c r="HZ15" s="19">
        <v>138361143</v>
      </c>
      <c r="IA15" s="19"/>
      <c r="IB15" s="19">
        <v>120720371</v>
      </c>
      <c r="IC15" s="19">
        <v>0</v>
      </c>
      <c r="ID15" s="19">
        <v>0</v>
      </c>
      <c r="IE15" s="19" t="s">
        <v>96</v>
      </c>
      <c r="IF15" s="19">
        <v>0</v>
      </c>
      <c r="IG15" s="19">
        <v>4200000</v>
      </c>
      <c r="IH15" s="19">
        <v>3004632</v>
      </c>
      <c r="II15" s="19">
        <v>0</v>
      </c>
      <c r="IJ15" s="19">
        <v>0</v>
      </c>
      <c r="IK15" s="19">
        <v>0</v>
      </c>
      <c r="IL15" s="19">
        <v>0</v>
      </c>
      <c r="IM15" s="19">
        <v>0</v>
      </c>
      <c r="IN15" s="19">
        <v>0</v>
      </c>
      <c r="IO15" s="19">
        <v>55000000</v>
      </c>
      <c r="IP15" s="19">
        <v>34564936</v>
      </c>
      <c r="IQ15" s="19"/>
      <c r="IR15" s="19">
        <v>50294844</v>
      </c>
      <c r="IS15" s="19">
        <v>1025133</v>
      </c>
      <c r="IT15" s="19">
        <v>4689140</v>
      </c>
    </row>
    <row r="16" spans="1:254">
      <c r="A16" s="7" t="s">
        <v>94</v>
      </c>
      <c r="B16" s="11" t="s">
        <v>151</v>
      </c>
      <c r="C16" s="19">
        <v>7200092</v>
      </c>
      <c r="D16" s="19">
        <v>968626414</v>
      </c>
      <c r="E16" s="19">
        <v>394492389</v>
      </c>
      <c r="F16" s="19">
        <v>1165765016</v>
      </c>
      <c r="G16" s="19">
        <v>18222500</v>
      </c>
      <c r="H16" s="19">
        <v>8234372</v>
      </c>
      <c r="I16" s="19">
        <v>2445539534</v>
      </c>
      <c r="J16" s="19" t="s">
        <v>4</v>
      </c>
      <c r="K16" s="19">
        <v>238420732</v>
      </c>
      <c r="L16" s="19" t="s">
        <v>96</v>
      </c>
      <c r="M16" s="19" t="s">
        <v>96</v>
      </c>
      <c r="N16" s="19">
        <v>3388344</v>
      </c>
      <c r="O16" s="19">
        <v>5559969177</v>
      </c>
      <c r="P16" s="19">
        <v>2055737750</v>
      </c>
      <c r="Q16" s="19">
        <v>8528189</v>
      </c>
      <c r="R16" s="19">
        <v>83333900</v>
      </c>
      <c r="S16" s="19">
        <v>10200820313</v>
      </c>
      <c r="T16" s="19" t="s">
        <v>96</v>
      </c>
      <c r="U16" s="19">
        <v>721870991</v>
      </c>
      <c r="V16" s="19" t="s">
        <v>172</v>
      </c>
      <c r="W16" s="19">
        <v>111651301</v>
      </c>
      <c r="X16" s="19">
        <v>4607642637</v>
      </c>
      <c r="Y16" s="19">
        <v>59682731</v>
      </c>
      <c r="Z16" s="19">
        <v>4971998865</v>
      </c>
      <c r="AA16" s="19">
        <v>1618826474</v>
      </c>
      <c r="AB16" s="19">
        <v>12428450</v>
      </c>
      <c r="AC16" s="19">
        <v>1199637568</v>
      </c>
      <c r="AD16" s="19">
        <v>5408834567</v>
      </c>
      <c r="AE16" s="19">
        <v>4842441579</v>
      </c>
      <c r="AF16" s="19">
        <v>487379130</v>
      </c>
      <c r="AG16" s="19">
        <v>73247850</v>
      </c>
      <c r="AH16" s="19">
        <v>120436036</v>
      </c>
      <c r="AI16" s="19">
        <v>165719953</v>
      </c>
      <c r="AJ16" s="19">
        <v>4174112</v>
      </c>
      <c r="AK16" s="19">
        <v>225544120</v>
      </c>
      <c r="AL16" s="19">
        <v>21346786</v>
      </c>
      <c r="AM16" s="19" t="s">
        <v>4</v>
      </c>
      <c r="AN16" s="19">
        <v>1628461136</v>
      </c>
      <c r="AO16" s="19">
        <v>21115218</v>
      </c>
      <c r="AP16" s="19">
        <v>6679282</v>
      </c>
      <c r="AQ16" s="19" t="s">
        <v>96</v>
      </c>
      <c r="AR16" s="19">
        <v>146191723</v>
      </c>
      <c r="AS16" s="19">
        <v>63111733</v>
      </c>
      <c r="AT16" s="19">
        <v>1809454133</v>
      </c>
      <c r="AU16" s="19">
        <v>2617105110</v>
      </c>
      <c r="AV16" s="19">
        <v>61103525</v>
      </c>
      <c r="AW16" s="19">
        <v>604529011</v>
      </c>
      <c r="AX16" s="19" t="s">
        <v>4</v>
      </c>
      <c r="AY16" s="19">
        <v>157179915</v>
      </c>
      <c r="AZ16" s="19">
        <v>198459576</v>
      </c>
      <c r="BA16" s="19">
        <v>920686966</v>
      </c>
      <c r="BB16" s="19">
        <v>1485509</v>
      </c>
      <c r="BC16" s="19" t="s">
        <v>4</v>
      </c>
      <c r="BD16" s="19" t="s">
        <v>128</v>
      </c>
      <c r="BE16" s="19">
        <v>284657229</v>
      </c>
      <c r="BF16" s="19">
        <v>424801667</v>
      </c>
      <c r="BG16" s="19">
        <v>36599703</v>
      </c>
      <c r="BH16" s="19">
        <v>736698263</v>
      </c>
      <c r="BI16" s="19">
        <v>42119395</v>
      </c>
      <c r="BJ16" s="19">
        <v>33463223</v>
      </c>
      <c r="BK16" s="19">
        <v>172625188</v>
      </c>
      <c r="BL16" s="19">
        <v>36075260</v>
      </c>
      <c r="BM16" s="19">
        <v>723631621</v>
      </c>
      <c r="BN16" s="19">
        <v>47034649</v>
      </c>
      <c r="BO16" s="19">
        <v>5239867</v>
      </c>
      <c r="BP16" s="19" t="s">
        <v>96</v>
      </c>
      <c r="BQ16" s="19" t="s">
        <v>4</v>
      </c>
      <c r="BR16" s="19">
        <v>1982374219</v>
      </c>
      <c r="BS16" s="19">
        <v>31959894</v>
      </c>
      <c r="BT16" s="19">
        <v>8830543</v>
      </c>
      <c r="BU16" s="19">
        <v>54044356</v>
      </c>
      <c r="BV16" s="19">
        <v>16000</v>
      </c>
      <c r="BW16" s="19">
        <v>6029559</v>
      </c>
      <c r="BX16" s="19">
        <v>15323785</v>
      </c>
      <c r="BY16" s="19">
        <v>17985713</v>
      </c>
      <c r="BZ16" s="19">
        <v>20453020</v>
      </c>
      <c r="CA16" s="19">
        <v>257295652</v>
      </c>
      <c r="CB16" s="19">
        <v>1459240754</v>
      </c>
      <c r="CC16" s="19"/>
      <c r="CD16" s="19">
        <v>8925907</v>
      </c>
      <c r="CE16" s="19">
        <v>17000</v>
      </c>
      <c r="CF16" s="19">
        <v>1454828</v>
      </c>
      <c r="CG16" s="19">
        <v>53510234</v>
      </c>
      <c r="CH16" s="19">
        <v>9610804</v>
      </c>
      <c r="CI16" s="19" t="s">
        <v>128</v>
      </c>
      <c r="CJ16" s="19">
        <v>14139803</v>
      </c>
      <c r="CK16" s="19">
        <v>6429451331</v>
      </c>
      <c r="CL16" s="19">
        <v>534247340</v>
      </c>
      <c r="CM16" s="19">
        <v>839399820</v>
      </c>
      <c r="CN16" s="19">
        <v>10534794</v>
      </c>
      <c r="CO16" s="19">
        <v>60976116</v>
      </c>
      <c r="CP16" s="19">
        <v>100526795</v>
      </c>
      <c r="CQ16" s="19" t="s">
        <v>96</v>
      </c>
      <c r="CR16" s="19">
        <v>11332904</v>
      </c>
      <c r="CS16" s="19">
        <v>268861119</v>
      </c>
      <c r="CT16" s="19">
        <v>59225987</v>
      </c>
      <c r="CU16" s="19">
        <v>53784875</v>
      </c>
      <c r="CV16" s="19"/>
      <c r="CW16" s="19">
        <v>2773362904</v>
      </c>
      <c r="CX16" s="19">
        <v>97272139</v>
      </c>
      <c r="CY16" s="19" t="s">
        <v>96</v>
      </c>
      <c r="CZ16" s="19">
        <v>775567704</v>
      </c>
      <c r="DA16" s="19">
        <v>119114854</v>
      </c>
      <c r="DB16" s="19">
        <v>28624110</v>
      </c>
      <c r="DC16" s="19">
        <v>5748783</v>
      </c>
      <c r="DD16" s="19">
        <v>98931510</v>
      </c>
      <c r="DE16" s="19">
        <v>737745287</v>
      </c>
      <c r="DF16" s="19">
        <v>3337996</v>
      </c>
      <c r="DG16" s="19">
        <v>670973137</v>
      </c>
      <c r="DH16" s="19">
        <v>45057666</v>
      </c>
      <c r="DI16" s="19">
        <v>5582926336</v>
      </c>
      <c r="DJ16" s="19">
        <v>476883</v>
      </c>
      <c r="DK16" s="19">
        <v>4440143597</v>
      </c>
      <c r="DL16" s="19">
        <v>5776754</v>
      </c>
      <c r="DM16" s="19">
        <v>35703634</v>
      </c>
      <c r="DN16" s="19">
        <v>333874439</v>
      </c>
      <c r="DO16" s="19">
        <v>45637589</v>
      </c>
      <c r="DP16" s="19">
        <v>888085498</v>
      </c>
      <c r="DQ16" s="19">
        <v>287098</v>
      </c>
      <c r="DR16" s="19">
        <v>5050596657</v>
      </c>
      <c r="DS16" s="19">
        <v>49248629</v>
      </c>
      <c r="DT16" s="19">
        <v>941924381</v>
      </c>
      <c r="DU16" s="19">
        <v>3414919</v>
      </c>
      <c r="DV16" s="19">
        <v>16559250</v>
      </c>
      <c r="DW16" s="19">
        <v>605165826</v>
      </c>
      <c r="DX16" s="19">
        <v>220292532</v>
      </c>
      <c r="DY16" s="19">
        <v>681332091</v>
      </c>
      <c r="DZ16" s="19">
        <v>35132215</v>
      </c>
      <c r="EA16" s="19">
        <v>25259014</v>
      </c>
      <c r="EB16" s="19">
        <v>3671158359</v>
      </c>
      <c r="EC16" s="19"/>
      <c r="ED16" s="19">
        <v>18986038</v>
      </c>
      <c r="EE16" s="19">
        <v>166377953</v>
      </c>
      <c r="EF16" s="19">
        <v>2976678299</v>
      </c>
      <c r="EG16" s="19">
        <v>988466903</v>
      </c>
      <c r="EH16" s="19">
        <v>6560041732</v>
      </c>
      <c r="EI16" s="19">
        <v>554372980</v>
      </c>
      <c r="EJ16" s="19">
        <v>2085783</v>
      </c>
      <c r="EK16" s="19">
        <v>0</v>
      </c>
      <c r="EL16" s="19">
        <v>257155349</v>
      </c>
      <c r="EM16" s="19">
        <v>11414684</v>
      </c>
      <c r="EN16" s="19">
        <v>114493184</v>
      </c>
      <c r="EO16" s="19">
        <v>97134071</v>
      </c>
      <c r="EP16" s="19">
        <v>362534378</v>
      </c>
      <c r="EQ16" s="19"/>
      <c r="ER16" s="19">
        <v>993822560</v>
      </c>
      <c r="ES16" s="19">
        <v>2616879056</v>
      </c>
      <c r="ET16" s="19">
        <v>962587119</v>
      </c>
      <c r="EU16" s="19">
        <v>68703370</v>
      </c>
      <c r="EV16" s="19">
        <v>722323</v>
      </c>
      <c r="EW16" s="19">
        <v>67559600</v>
      </c>
      <c r="EX16" s="19">
        <v>2152056677</v>
      </c>
      <c r="EY16" s="19">
        <v>3524592734</v>
      </c>
      <c r="EZ16" s="19">
        <v>224218541</v>
      </c>
      <c r="FA16" s="19">
        <v>2090539771</v>
      </c>
      <c r="FB16" s="19">
        <v>225780216</v>
      </c>
      <c r="FC16" s="19">
        <v>658752494</v>
      </c>
      <c r="FD16" s="19">
        <v>54008554</v>
      </c>
      <c r="FE16" s="19">
        <v>224696639</v>
      </c>
      <c r="FF16" s="19">
        <v>0</v>
      </c>
      <c r="FG16" s="19">
        <v>23077378</v>
      </c>
      <c r="FH16" s="19">
        <v>151039022</v>
      </c>
      <c r="FI16" s="19" t="s">
        <v>96</v>
      </c>
      <c r="FJ16" s="19">
        <v>9411308</v>
      </c>
      <c r="FK16" s="19">
        <v>259923555</v>
      </c>
      <c r="FL16" s="19">
        <v>36583884</v>
      </c>
      <c r="FM16" s="19">
        <v>0</v>
      </c>
      <c r="FN16" s="19">
        <v>684223292</v>
      </c>
      <c r="FO16" s="19"/>
      <c r="FP16" s="19">
        <v>8144838</v>
      </c>
      <c r="FQ16" s="19">
        <v>15885572</v>
      </c>
      <c r="FR16" s="19">
        <v>0</v>
      </c>
      <c r="FS16" s="19">
        <v>12952125</v>
      </c>
      <c r="FT16" s="19">
        <v>1739825914</v>
      </c>
      <c r="FU16" s="19">
        <v>0</v>
      </c>
      <c r="FV16" s="19">
        <v>141322339</v>
      </c>
      <c r="FW16" s="19">
        <v>3349684</v>
      </c>
      <c r="FX16" s="19">
        <v>2035044</v>
      </c>
      <c r="FY16" s="19">
        <v>242456276</v>
      </c>
      <c r="FZ16" s="19">
        <v>64471950</v>
      </c>
      <c r="GA16" s="19">
        <v>25559424</v>
      </c>
      <c r="GB16" s="19">
        <v>20308564</v>
      </c>
      <c r="GC16" s="19">
        <v>25904575</v>
      </c>
      <c r="GD16" s="19" t="s">
        <v>96</v>
      </c>
      <c r="GE16" s="19">
        <v>23542204</v>
      </c>
      <c r="GF16" s="19">
        <v>124304693</v>
      </c>
      <c r="GG16" s="19">
        <v>2191020296</v>
      </c>
      <c r="GH16" s="19">
        <v>0</v>
      </c>
      <c r="GI16" s="19">
        <v>1346963</v>
      </c>
      <c r="GJ16" s="19">
        <v>15140310</v>
      </c>
      <c r="GK16" s="19">
        <v>34977632</v>
      </c>
      <c r="GL16" s="19" t="s">
        <v>96</v>
      </c>
      <c r="GM16" s="19">
        <v>52112827</v>
      </c>
      <c r="GN16" s="19">
        <v>323670053</v>
      </c>
      <c r="GO16" s="19">
        <v>283287279</v>
      </c>
      <c r="GP16" s="19">
        <v>1874813622</v>
      </c>
      <c r="GQ16" s="19">
        <v>8426745</v>
      </c>
      <c r="GR16" s="19">
        <v>271647035</v>
      </c>
      <c r="GS16" s="19">
        <v>0</v>
      </c>
      <c r="GT16" s="19">
        <v>141578726</v>
      </c>
      <c r="GU16" s="19">
        <v>0</v>
      </c>
      <c r="GV16" s="19">
        <v>1476501007</v>
      </c>
      <c r="GW16" s="19">
        <v>1884491886</v>
      </c>
      <c r="GX16" s="19">
        <v>273783969</v>
      </c>
      <c r="GY16" s="19">
        <v>355151136</v>
      </c>
      <c r="GZ16" s="19">
        <v>4232274661</v>
      </c>
      <c r="HA16" s="19">
        <v>278793607</v>
      </c>
      <c r="HB16" s="19">
        <v>11689998</v>
      </c>
      <c r="HC16" s="19">
        <v>329288895</v>
      </c>
      <c r="HD16" s="19">
        <v>75336379</v>
      </c>
      <c r="HE16" s="19">
        <v>16270800</v>
      </c>
      <c r="HF16" s="19">
        <v>214510698</v>
      </c>
      <c r="HG16" s="19">
        <v>16862965</v>
      </c>
      <c r="HH16" s="19"/>
      <c r="HI16" s="19">
        <v>19254971</v>
      </c>
      <c r="HJ16" s="19">
        <v>348612952</v>
      </c>
      <c r="HK16" s="19">
        <v>393478074</v>
      </c>
      <c r="HL16" s="19">
        <v>30119560</v>
      </c>
      <c r="HM16" s="19">
        <v>62845578</v>
      </c>
      <c r="HN16" s="19">
        <v>235342</v>
      </c>
      <c r="HO16" s="19">
        <v>782033649</v>
      </c>
      <c r="HP16" s="19">
        <v>109646120</v>
      </c>
      <c r="HQ16" s="19"/>
      <c r="HR16" s="19">
        <v>133205687</v>
      </c>
      <c r="HS16" s="19">
        <v>40036515</v>
      </c>
      <c r="HT16" s="19">
        <v>4722585</v>
      </c>
      <c r="HU16" s="19">
        <v>35644385</v>
      </c>
      <c r="HV16" s="19">
        <v>24590357</v>
      </c>
      <c r="HW16" s="19">
        <v>291110039</v>
      </c>
      <c r="HX16" s="19">
        <v>1991114081</v>
      </c>
      <c r="HY16" s="19" t="s">
        <v>172</v>
      </c>
      <c r="HZ16" s="19">
        <v>5117610828</v>
      </c>
      <c r="IA16" s="19">
        <v>27000279</v>
      </c>
      <c r="IB16" s="19">
        <v>2803386891</v>
      </c>
      <c r="IC16" s="19">
        <v>148623251</v>
      </c>
      <c r="ID16" s="19">
        <v>4629614</v>
      </c>
      <c r="IE16" s="19" t="s">
        <v>96</v>
      </c>
      <c r="IF16" s="19">
        <v>6748107</v>
      </c>
      <c r="IG16" s="19">
        <v>478962</v>
      </c>
      <c r="IH16" s="19">
        <v>12584023</v>
      </c>
      <c r="II16" s="19">
        <v>104487000</v>
      </c>
      <c r="IJ16" s="19">
        <v>294934709</v>
      </c>
      <c r="IK16" s="19">
        <v>38823095</v>
      </c>
      <c r="IL16" s="19">
        <v>28783838</v>
      </c>
      <c r="IM16" s="19">
        <v>196155154</v>
      </c>
      <c r="IN16" s="19">
        <v>242519410</v>
      </c>
      <c r="IO16" s="19">
        <v>5112439</v>
      </c>
      <c r="IP16" s="19">
        <v>31664234</v>
      </c>
      <c r="IQ16" s="19">
        <v>7267912</v>
      </c>
      <c r="IR16" s="19">
        <v>49166449</v>
      </c>
      <c r="IS16" s="19">
        <v>5843990885</v>
      </c>
      <c r="IT16" s="19">
        <v>1041608838</v>
      </c>
    </row>
    <row r="17" spans="1:254">
      <c r="A17" s="7" t="s">
        <v>94</v>
      </c>
      <c r="B17" s="11" t="s">
        <v>27</v>
      </c>
      <c r="C17" s="19">
        <v>33003000</v>
      </c>
      <c r="D17" s="19">
        <v>0</v>
      </c>
      <c r="E17" s="19">
        <v>0</v>
      </c>
      <c r="F17" s="19">
        <v>35040240</v>
      </c>
      <c r="G17" s="19">
        <v>286667</v>
      </c>
      <c r="H17" s="19">
        <v>80000</v>
      </c>
      <c r="I17" s="19">
        <v>212300000</v>
      </c>
      <c r="J17" s="19" t="s">
        <v>4</v>
      </c>
      <c r="K17" s="19">
        <v>320400</v>
      </c>
      <c r="L17" s="19" t="s">
        <v>96</v>
      </c>
      <c r="M17" s="19" t="s">
        <v>96</v>
      </c>
      <c r="N17" s="19">
        <v>116251936</v>
      </c>
      <c r="O17" s="19">
        <v>54377300</v>
      </c>
      <c r="P17" s="19">
        <v>13382062</v>
      </c>
      <c r="Q17" s="19">
        <v>6705155</v>
      </c>
      <c r="R17" s="19">
        <v>0</v>
      </c>
      <c r="S17" s="19">
        <v>139898170</v>
      </c>
      <c r="T17" s="19" t="s">
        <v>96</v>
      </c>
      <c r="U17" s="19">
        <v>0</v>
      </c>
      <c r="V17" s="19" t="s">
        <v>172</v>
      </c>
      <c r="W17" s="19">
        <v>86940407</v>
      </c>
      <c r="X17" s="19">
        <v>0</v>
      </c>
      <c r="Y17" s="19">
        <v>155102799</v>
      </c>
      <c r="Z17" s="19">
        <v>1143843297</v>
      </c>
      <c r="AA17" s="19">
        <v>234310</v>
      </c>
      <c r="AB17" s="19">
        <v>1000</v>
      </c>
      <c r="AC17" s="19">
        <v>440240</v>
      </c>
      <c r="AD17" s="19"/>
      <c r="AE17" s="19">
        <v>153164126</v>
      </c>
      <c r="AF17" s="19">
        <v>0</v>
      </c>
      <c r="AG17" s="19">
        <v>349551998</v>
      </c>
      <c r="AH17" s="19">
        <v>59372618</v>
      </c>
      <c r="AI17" s="19">
        <v>191063486</v>
      </c>
      <c r="AJ17" s="19">
        <v>134909540</v>
      </c>
      <c r="AK17" s="19">
        <v>0</v>
      </c>
      <c r="AL17" s="19">
        <v>30301000</v>
      </c>
      <c r="AM17" s="19" t="s">
        <v>4</v>
      </c>
      <c r="AN17" s="19">
        <v>29521730</v>
      </c>
      <c r="AO17" s="19">
        <v>97486989</v>
      </c>
      <c r="AP17" s="19">
        <v>159250</v>
      </c>
      <c r="AQ17" s="19" t="s">
        <v>96</v>
      </c>
      <c r="AR17" s="19">
        <v>47142491</v>
      </c>
      <c r="AS17" s="19">
        <v>4000</v>
      </c>
      <c r="AT17" s="19">
        <v>74414200</v>
      </c>
      <c r="AU17" s="19">
        <v>1000000</v>
      </c>
      <c r="AV17" s="19">
        <v>0</v>
      </c>
      <c r="AW17" s="19">
        <v>0</v>
      </c>
      <c r="AX17" s="19" t="s">
        <v>4</v>
      </c>
      <c r="AY17" s="19">
        <v>41812038</v>
      </c>
      <c r="AZ17" s="19">
        <v>5500001</v>
      </c>
      <c r="BA17" s="19">
        <v>107864693</v>
      </c>
      <c r="BB17" s="19">
        <v>10715156</v>
      </c>
      <c r="BC17" s="19" t="s">
        <v>4</v>
      </c>
      <c r="BD17" s="19" t="s">
        <v>128</v>
      </c>
      <c r="BE17" s="19">
        <v>944695447</v>
      </c>
      <c r="BF17" s="19">
        <v>491775926</v>
      </c>
      <c r="BG17" s="19">
        <v>18163066</v>
      </c>
      <c r="BH17" s="19">
        <v>4000</v>
      </c>
      <c r="BI17" s="19">
        <v>1370372</v>
      </c>
      <c r="BJ17" s="19">
        <v>8025001</v>
      </c>
      <c r="BK17" s="19">
        <v>66647811</v>
      </c>
      <c r="BL17" s="19">
        <v>3162500</v>
      </c>
      <c r="BM17" s="19">
        <v>5896897</v>
      </c>
      <c r="BN17" s="19">
        <v>649783</v>
      </c>
      <c r="BO17" s="19">
        <v>52432034</v>
      </c>
      <c r="BP17" s="19" t="s">
        <v>96</v>
      </c>
      <c r="BQ17" s="19" t="s">
        <v>4</v>
      </c>
      <c r="BR17" s="19">
        <v>373983</v>
      </c>
      <c r="BS17" s="19">
        <v>0</v>
      </c>
      <c r="BT17" s="19">
        <v>0</v>
      </c>
      <c r="BU17" s="19">
        <v>565651478</v>
      </c>
      <c r="BV17" s="19">
        <v>0</v>
      </c>
      <c r="BW17" s="19">
        <v>0</v>
      </c>
      <c r="BX17" s="19">
        <v>36180000</v>
      </c>
      <c r="BY17" s="19">
        <v>38332033</v>
      </c>
      <c r="BZ17" s="19"/>
      <c r="CA17" s="19">
        <v>175574576</v>
      </c>
      <c r="CB17" s="19">
        <v>256334</v>
      </c>
      <c r="CC17" s="19"/>
      <c r="CD17" s="19"/>
      <c r="CE17" s="19">
        <v>30729000</v>
      </c>
      <c r="CF17" s="19">
        <v>2823490</v>
      </c>
      <c r="CG17" s="19">
        <v>0</v>
      </c>
      <c r="CH17" s="19">
        <v>1687385</v>
      </c>
      <c r="CI17" s="19" t="s">
        <v>128</v>
      </c>
      <c r="CJ17" s="19">
        <v>38400800</v>
      </c>
      <c r="CK17" s="19">
        <v>0</v>
      </c>
      <c r="CL17" s="19">
        <v>28287310</v>
      </c>
      <c r="CM17" s="19"/>
      <c r="CN17" s="19">
        <v>870000</v>
      </c>
      <c r="CO17" s="19">
        <v>1000</v>
      </c>
      <c r="CP17" s="19">
        <v>109163636</v>
      </c>
      <c r="CQ17" s="19" t="s">
        <v>96</v>
      </c>
      <c r="CR17" s="19">
        <v>0</v>
      </c>
      <c r="CS17" s="19">
        <v>313486916</v>
      </c>
      <c r="CT17" s="19">
        <v>3031674</v>
      </c>
      <c r="CU17" s="19">
        <v>0</v>
      </c>
      <c r="CV17" s="19">
        <v>0</v>
      </c>
      <c r="CW17" s="19">
        <v>0</v>
      </c>
      <c r="CX17" s="19">
        <v>16950426</v>
      </c>
      <c r="CY17" s="19" t="s">
        <v>96</v>
      </c>
      <c r="CZ17" s="19">
        <v>0</v>
      </c>
      <c r="DA17" s="19">
        <v>909090</v>
      </c>
      <c r="DB17" s="19">
        <v>0</v>
      </c>
      <c r="DC17" s="19">
        <v>0</v>
      </c>
      <c r="DD17" s="19">
        <v>0</v>
      </c>
      <c r="DE17" s="19">
        <v>0</v>
      </c>
      <c r="DF17" s="19">
        <v>0</v>
      </c>
      <c r="DG17" s="19">
        <v>43403394</v>
      </c>
      <c r="DH17" s="19">
        <v>19569260</v>
      </c>
      <c r="DI17" s="19">
        <v>31569800</v>
      </c>
      <c r="DJ17" s="19">
        <v>181821</v>
      </c>
      <c r="DK17" s="19">
        <v>3996925934</v>
      </c>
      <c r="DL17" s="19">
        <v>56338309</v>
      </c>
      <c r="DM17" s="19">
        <v>0</v>
      </c>
      <c r="DN17" s="19">
        <v>175643570</v>
      </c>
      <c r="DO17" s="19">
        <v>312000</v>
      </c>
      <c r="DP17" s="19">
        <v>1674503</v>
      </c>
      <c r="DQ17" s="19">
        <v>0</v>
      </c>
      <c r="DR17" s="19">
        <v>1064120</v>
      </c>
      <c r="DS17" s="19">
        <v>0</v>
      </c>
      <c r="DT17" s="19">
        <v>136255151</v>
      </c>
      <c r="DU17" s="19">
        <v>3267154</v>
      </c>
      <c r="DV17" s="19">
        <v>0</v>
      </c>
      <c r="DW17" s="19">
        <v>19646252</v>
      </c>
      <c r="DX17" s="19">
        <v>582155395</v>
      </c>
      <c r="DY17" s="19">
        <v>0</v>
      </c>
      <c r="DZ17" s="19">
        <v>0</v>
      </c>
      <c r="EA17" s="19">
        <v>0</v>
      </c>
      <c r="EB17" s="19">
        <v>889961</v>
      </c>
      <c r="EC17" s="19">
        <v>8608657</v>
      </c>
      <c r="ED17" s="19">
        <v>0</v>
      </c>
      <c r="EE17" s="19">
        <v>0</v>
      </c>
      <c r="EF17" s="19">
        <v>14242230</v>
      </c>
      <c r="EG17" s="19">
        <v>826432211</v>
      </c>
      <c r="EH17" s="19">
        <v>7494546</v>
      </c>
      <c r="EI17" s="19">
        <v>145704066</v>
      </c>
      <c r="EJ17" s="19">
        <v>66667</v>
      </c>
      <c r="EK17" s="19">
        <v>9938190</v>
      </c>
      <c r="EL17" s="19">
        <v>0</v>
      </c>
      <c r="EM17" s="19">
        <v>0</v>
      </c>
      <c r="EN17" s="19">
        <v>5502000</v>
      </c>
      <c r="EO17" s="19">
        <v>1000</v>
      </c>
      <c r="EP17" s="19">
        <v>0</v>
      </c>
      <c r="EQ17" s="19">
        <v>0</v>
      </c>
      <c r="ER17" s="19">
        <v>4401016</v>
      </c>
      <c r="ES17" s="19">
        <v>6744627</v>
      </c>
      <c r="ET17" s="19">
        <v>536205977</v>
      </c>
      <c r="EU17" s="19">
        <v>19000</v>
      </c>
      <c r="EV17" s="19">
        <v>0</v>
      </c>
      <c r="EW17" s="19">
        <v>26155838</v>
      </c>
      <c r="EX17" s="19">
        <v>24308667</v>
      </c>
      <c r="EY17" s="19">
        <v>0</v>
      </c>
      <c r="EZ17" s="19">
        <v>31308673</v>
      </c>
      <c r="FA17" s="19">
        <v>22650000</v>
      </c>
      <c r="FB17" s="19">
        <v>15073675</v>
      </c>
      <c r="FC17" s="19">
        <v>40900000</v>
      </c>
      <c r="FD17" s="19">
        <v>0</v>
      </c>
      <c r="FE17" s="19">
        <v>37263212</v>
      </c>
      <c r="FF17" s="19">
        <v>0</v>
      </c>
      <c r="FG17" s="19">
        <v>10897834</v>
      </c>
      <c r="FH17" s="19">
        <v>78244322</v>
      </c>
      <c r="FI17" s="19" t="s">
        <v>96</v>
      </c>
      <c r="FJ17" s="19">
        <v>0</v>
      </c>
      <c r="FK17" s="19">
        <v>0</v>
      </c>
      <c r="FL17" s="19">
        <v>2735512</v>
      </c>
      <c r="FM17" s="19">
        <v>144468266</v>
      </c>
      <c r="FN17" s="19">
        <v>766142041</v>
      </c>
      <c r="FO17" s="19">
        <v>0</v>
      </c>
      <c r="FP17" s="19">
        <v>216098681</v>
      </c>
      <c r="FQ17" s="19">
        <v>13038114</v>
      </c>
      <c r="FR17" s="19">
        <v>68673189</v>
      </c>
      <c r="FS17" s="19">
        <v>27646055</v>
      </c>
      <c r="FT17" s="19">
        <v>61403429</v>
      </c>
      <c r="FU17" s="19">
        <v>0</v>
      </c>
      <c r="FV17" s="19">
        <v>2518111057</v>
      </c>
      <c r="FW17" s="19">
        <v>18000000</v>
      </c>
      <c r="FX17" s="19">
        <v>0</v>
      </c>
      <c r="FY17" s="19">
        <v>9360000</v>
      </c>
      <c r="FZ17" s="19">
        <v>174779858</v>
      </c>
      <c r="GA17" s="19">
        <v>5595345</v>
      </c>
      <c r="GB17" s="19">
        <v>146300788</v>
      </c>
      <c r="GC17" s="19">
        <v>33481980</v>
      </c>
      <c r="GD17" s="19" t="s">
        <v>96</v>
      </c>
      <c r="GE17" s="19">
        <v>347655995</v>
      </c>
      <c r="GF17" s="19">
        <v>0</v>
      </c>
      <c r="GG17" s="19">
        <v>4866589</v>
      </c>
      <c r="GH17" s="19">
        <v>0</v>
      </c>
      <c r="GI17" s="19">
        <v>0</v>
      </c>
      <c r="GJ17" s="19">
        <v>0</v>
      </c>
      <c r="GK17" s="19">
        <v>2421893</v>
      </c>
      <c r="GL17" s="19" t="s">
        <v>96</v>
      </c>
      <c r="GM17" s="19"/>
      <c r="GN17" s="19">
        <v>464136363</v>
      </c>
      <c r="GO17" s="19">
        <v>818138544</v>
      </c>
      <c r="GP17" s="19">
        <v>61832259</v>
      </c>
      <c r="GQ17" s="19">
        <v>0</v>
      </c>
      <c r="GR17" s="19">
        <v>380565629</v>
      </c>
      <c r="GS17" s="19">
        <v>33146788</v>
      </c>
      <c r="GT17" s="19">
        <v>40000000</v>
      </c>
      <c r="GU17" s="19">
        <v>0</v>
      </c>
      <c r="GV17" s="19">
        <v>144836</v>
      </c>
      <c r="GW17" s="19">
        <v>803543789</v>
      </c>
      <c r="GX17" s="19">
        <v>310204826</v>
      </c>
      <c r="GY17" s="19">
        <v>20404522</v>
      </c>
      <c r="GZ17" s="19">
        <v>28626923</v>
      </c>
      <c r="HA17" s="19">
        <v>509240</v>
      </c>
      <c r="HB17" s="19">
        <v>1040096</v>
      </c>
      <c r="HC17" s="19">
        <v>13000000</v>
      </c>
      <c r="HD17" s="19">
        <v>1052800</v>
      </c>
      <c r="HE17" s="19">
        <v>18951331</v>
      </c>
      <c r="HF17" s="19"/>
      <c r="HG17" s="19">
        <v>3765263</v>
      </c>
      <c r="HH17" s="19">
        <v>0</v>
      </c>
      <c r="HI17" s="19">
        <v>3959240</v>
      </c>
      <c r="HJ17" s="19">
        <v>0</v>
      </c>
      <c r="HK17" s="19">
        <v>54925127</v>
      </c>
      <c r="HL17" s="19">
        <v>14559092</v>
      </c>
      <c r="HM17" s="19">
        <v>0</v>
      </c>
      <c r="HN17" s="19">
        <v>23333334</v>
      </c>
      <c r="HO17" s="19">
        <v>10080000</v>
      </c>
      <c r="HP17" s="19">
        <v>39336375</v>
      </c>
      <c r="HQ17" s="19">
        <v>44568334</v>
      </c>
      <c r="HR17" s="19">
        <v>1198758</v>
      </c>
      <c r="HS17" s="19">
        <v>56528473</v>
      </c>
      <c r="HT17" s="19"/>
      <c r="HU17" s="19">
        <v>387014777</v>
      </c>
      <c r="HV17" s="19">
        <v>0</v>
      </c>
      <c r="HW17" s="19">
        <v>25541760</v>
      </c>
      <c r="HX17" s="19">
        <v>398316575</v>
      </c>
      <c r="HY17" s="19" t="s">
        <v>172</v>
      </c>
      <c r="HZ17" s="19">
        <v>0</v>
      </c>
      <c r="IA17" s="19">
        <v>0</v>
      </c>
      <c r="IB17" s="19">
        <v>48666667</v>
      </c>
      <c r="IC17" s="19">
        <v>554327234</v>
      </c>
      <c r="ID17" s="19">
        <v>0</v>
      </c>
      <c r="IE17" s="19" t="s">
        <v>96</v>
      </c>
      <c r="IF17" s="19">
        <v>0</v>
      </c>
      <c r="IG17" s="19">
        <v>0</v>
      </c>
      <c r="IH17" s="19">
        <v>31009952</v>
      </c>
      <c r="II17" s="19">
        <v>0</v>
      </c>
      <c r="IJ17" s="19">
        <v>0</v>
      </c>
      <c r="IK17" s="19">
        <v>0</v>
      </c>
      <c r="IL17" s="19">
        <v>21670000</v>
      </c>
      <c r="IM17" s="19">
        <v>8999999</v>
      </c>
      <c r="IN17" s="19">
        <v>0</v>
      </c>
      <c r="IO17" s="19">
        <v>0</v>
      </c>
      <c r="IP17" s="19">
        <v>2420001</v>
      </c>
      <c r="IQ17" s="19">
        <v>0</v>
      </c>
      <c r="IR17" s="19">
        <v>0</v>
      </c>
      <c r="IS17" s="19">
        <v>1118183</v>
      </c>
      <c r="IT17" s="19">
        <v>2062416</v>
      </c>
    </row>
    <row r="18" spans="1:254">
      <c r="A18" s="7" t="s">
        <v>94</v>
      </c>
      <c r="B18" s="12" t="s">
        <v>54</v>
      </c>
      <c r="C18" s="19">
        <v>3000</v>
      </c>
      <c r="D18" s="19">
        <v>0</v>
      </c>
      <c r="E18" s="19">
        <v>0</v>
      </c>
      <c r="F18" s="19">
        <v>0</v>
      </c>
      <c r="G18" s="19">
        <v>0</v>
      </c>
      <c r="H18" s="19">
        <v>80000</v>
      </c>
      <c r="I18" s="19">
        <v>0</v>
      </c>
      <c r="J18" s="19" t="s">
        <v>4</v>
      </c>
      <c r="K18" s="19">
        <v>0</v>
      </c>
      <c r="L18" s="19" t="s">
        <v>96</v>
      </c>
      <c r="M18" s="19" t="s">
        <v>96</v>
      </c>
      <c r="N18" s="19"/>
      <c r="O18" s="19"/>
      <c r="P18" s="19">
        <v>13381062</v>
      </c>
      <c r="Q18" s="19">
        <v>921790</v>
      </c>
      <c r="R18" s="19"/>
      <c r="S18" s="19">
        <v>34279788</v>
      </c>
      <c r="T18" s="19" t="s">
        <v>96</v>
      </c>
      <c r="U18" s="19">
        <v>0</v>
      </c>
      <c r="V18" s="19" t="s">
        <v>172</v>
      </c>
      <c r="W18" s="19">
        <v>14006771</v>
      </c>
      <c r="X18" s="19"/>
      <c r="Y18" s="19">
        <v>20305789</v>
      </c>
      <c r="Z18" s="19"/>
      <c r="AA18" s="19"/>
      <c r="AB18" s="19">
        <v>1000</v>
      </c>
      <c r="AC18" s="19"/>
      <c r="AD18" s="19"/>
      <c r="AE18" s="19"/>
      <c r="AF18" s="19"/>
      <c r="AG18" s="19">
        <v>208449998</v>
      </c>
      <c r="AH18" s="19"/>
      <c r="AI18" s="19">
        <v>74631486</v>
      </c>
      <c r="AJ18" s="19"/>
      <c r="AK18" s="19"/>
      <c r="AL18" s="19">
        <v>1560000</v>
      </c>
      <c r="AM18" s="19" t="s">
        <v>4</v>
      </c>
      <c r="AN18" s="19"/>
      <c r="AO18" s="19">
        <v>1382334</v>
      </c>
      <c r="AP18" s="19">
        <v>159250</v>
      </c>
      <c r="AQ18" s="19" t="s">
        <v>96</v>
      </c>
      <c r="AR18" s="19"/>
      <c r="AS18" s="19"/>
      <c r="AT18" s="19"/>
      <c r="AU18" s="19"/>
      <c r="AV18" s="19"/>
      <c r="AW18" s="19"/>
      <c r="AX18" s="19" t="s">
        <v>4</v>
      </c>
      <c r="AY18" s="19"/>
      <c r="AZ18" s="19"/>
      <c r="BA18" s="19">
        <v>93864693</v>
      </c>
      <c r="BB18" s="19"/>
      <c r="BC18" s="19" t="s">
        <v>4</v>
      </c>
      <c r="BD18" s="19" t="s">
        <v>128</v>
      </c>
      <c r="BE18" s="19">
        <v>3636364</v>
      </c>
      <c r="BF18" s="19"/>
      <c r="BG18" s="19">
        <v>12723031</v>
      </c>
      <c r="BH18" s="19"/>
      <c r="BI18" s="19">
        <v>2000</v>
      </c>
      <c r="BJ18" s="19">
        <v>3416667</v>
      </c>
      <c r="BK18" s="19"/>
      <c r="BL18" s="19"/>
      <c r="BM18" s="19"/>
      <c r="BN18" s="19">
        <v>548183</v>
      </c>
      <c r="BO18" s="19">
        <v>2239100</v>
      </c>
      <c r="BP18" s="19" t="s">
        <v>96</v>
      </c>
      <c r="BQ18" s="19" t="s">
        <v>4</v>
      </c>
      <c r="BR18" s="19"/>
      <c r="BS18" s="19"/>
      <c r="BT18" s="19"/>
      <c r="BU18" s="19"/>
      <c r="BV18" s="19"/>
      <c r="BW18" s="19"/>
      <c r="BX18" s="19">
        <v>36180000</v>
      </c>
      <c r="BY18" s="19"/>
      <c r="BZ18" s="19"/>
      <c r="CA18" s="19">
        <v>171628576</v>
      </c>
      <c r="CB18" s="19"/>
      <c r="CC18" s="19"/>
      <c r="CD18" s="19"/>
      <c r="CE18" s="19"/>
      <c r="CF18" s="19"/>
      <c r="CG18" s="19"/>
      <c r="CH18" s="19"/>
      <c r="CI18" s="19" t="s">
        <v>128</v>
      </c>
      <c r="CJ18" s="19"/>
      <c r="CK18" s="19"/>
      <c r="CL18" s="19"/>
      <c r="CM18" s="19"/>
      <c r="CN18" s="19"/>
      <c r="CO18" s="19"/>
      <c r="CP18" s="19">
        <v>88963636</v>
      </c>
      <c r="CQ18" s="19" t="s">
        <v>96</v>
      </c>
      <c r="CR18" s="19"/>
      <c r="CS18" s="19">
        <v>104190640</v>
      </c>
      <c r="CT18" s="19"/>
      <c r="CU18" s="19"/>
      <c r="CV18" s="19"/>
      <c r="CW18" s="19"/>
      <c r="CX18" s="19">
        <v>16950426</v>
      </c>
      <c r="CY18" s="19" t="s">
        <v>96</v>
      </c>
      <c r="CZ18" s="19"/>
      <c r="DA18" s="19"/>
      <c r="DB18" s="19"/>
      <c r="DC18" s="19"/>
      <c r="DD18" s="19"/>
      <c r="DE18" s="19"/>
      <c r="DF18" s="19"/>
      <c r="DG18" s="19"/>
      <c r="DH18" s="19"/>
      <c r="DI18" s="19">
        <v>13066667</v>
      </c>
      <c r="DJ18" s="19"/>
      <c r="DK18" s="19"/>
      <c r="DL18" s="19"/>
      <c r="DM18" s="19"/>
      <c r="DN18" s="19"/>
      <c r="DO18" s="19"/>
      <c r="DP18" s="19"/>
      <c r="DQ18" s="19"/>
      <c r="DR18" s="19"/>
      <c r="DS18" s="19"/>
      <c r="DT18" s="19">
        <v>870000</v>
      </c>
      <c r="DU18" s="19">
        <v>7350488</v>
      </c>
      <c r="DV18" s="19"/>
      <c r="DW18" s="19"/>
      <c r="DX18" s="19"/>
      <c r="DY18" s="19"/>
      <c r="DZ18" s="19"/>
      <c r="EA18" s="19"/>
      <c r="EB18" s="19"/>
      <c r="EC18" s="19">
        <v>875000</v>
      </c>
      <c r="ED18" s="19"/>
      <c r="EE18" s="19"/>
      <c r="EF18" s="19"/>
      <c r="EG18" s="19"/>
      <c r="EH18" s="19">
        <v>7494546</v>
      </c>
      <c r="EI18" s="19">
        <v>110275649</v>
      </c>
      <c r="EJ18" s="19">
        <v>66667</v>
      </c>
      <c r="EK18" s="19"/>
      <c r="EL18" s="19"/>
      <c r="EM18" s="19"/>
      <c r="EN18" s="19"/>
      <c r="EO18" s="19"/>
      <c r="EP18" s="19"/>
      <c r="EQ18" s="19"/>
      <c r="ER18" s="19">
        <v>4401016</v>
      </c>
      <c r="ES18" s="19">
        <v>5628000</v>
      </c>
      <c r="ET18" s="19">
        <v>47128955</v>
      </c>
      <c r="EU18" s="19">
        <v>19000</v>
      </c>
      <c r="EV18" s="19"/>
      <c r="EW18" s="19"/>
      <c r="EX18" s="19"/>
      <c r="EY18" s="19"/>
      <c r="EZ18" s="19">
        <v>3322815</v>
      </c>
      <c r="FA18" s="19"/>
      <c r="FB18" s="19"/>
      <c r="FC18" s="19"/>
      <c r="FD18" s="19"/>
      <c r="FE18" s="19">
        <v>9057492</v>
      </c>
      <c r="FF18" s="19"/>
      <c r="FG18" s="19">
        <v>10896834</v>
      </c>
      <c r="FH18" s="19">
        <v>78244322</v>
      </c>
      <c r="FI18" s="19" t="s">
        <v>96</v>
      </c>
      <c r="FJ18" s="19"/>
      <c r="FK18" s="19"/>
      <c r="FL18" s="19"/>
      <c r="FM18" s="19"/>
      <c r="FN18" s="19">
        <v>2547304</v>
      </c>
      <c r="FO18" s="19"/>
      <c r="FP18" s="19"/>
      <c r="FQ18" s="19"/>
      <c r="FR18" s="19"/>
      <c r="FS18" s="19"/>
      <c r="FT18" s="19"/>
      <c r="FU18" s="19"/>
      <c r="FV18" s="19"/>
      <c r="FW18" s="19"/>
      <c r="FX18" s="19"/>
      <c r="FY18" s="19">
        <v>9360000</v>
      </c>
      <c r="FZ18" s="19"/>
      <c r="GA18" s="19"/>
      <c r="GB18" s="19"/>
      <c r="GC18" s="19"/>
      <c r="GD18" s="19" t="s">
        <v>96</v>
      </c>
      <c r="GE18" s="19"/>
      <c r="GF18" s="19"/>
      <c r="GG18" s="19"/>
      <c r="GH18" s="19"/>
      <c r="GI18" s="19"/>
      <c r="GJ18" s="19"/>
      <c r="GK18" s="19"/>
      <c r="GL18" s="19" t="s">
        <v>96</v>
      </c>
      <c r="GM18" s="19"/>
      <c r="GN18" s="19">
        <v>21136363</v>
      </c>
      <c r="GO18" s="19"/>
      <c r="GP18" s="19"/>
      <c r="GQ18" s="19"/>
      <c r="GR18" s="19"/>
      <c r="GS18" s="19">
        <v>33146788</v>
      </c>
      <c r="GT18" s="19"/>
      <c r="GU18" s="19"/>
      <c r="GV18" s="19">
        <v>1000</v>
      </c>
      <c r="GW18" s="19">
        <v>96160000</v>
      </c>
      <c r="GX18" s="19"/>
      <c r="GY18" s="19"/>
      <c r="GZ18" s="19"/>
      <c r="HA18" s="19"/>
      <c r="HB18" s="19"/>
      <c r="HC18" s="19">
        <v>13000000</v>
      </c>
      <c r="HD18" s="19"/>
      <c r="HE18" s="19"/>
      <c r="HF18" s="19"/>
      <c r="HG18" s="19"/>
      <c r="HH18" s="19"/>
      <c r="HI18" s="19"/>
      <c r="HJ18" s="19"/>
      <c r="HK18" s="19">
        <v>10320819</v>
      </c>
      <c r="HL18" s="19">
        <v>14559092</v>
      </c>
      <c r="HM18" s="19"/>
      <c r="HN18" s="19">
        <v>23333334</v>
      </c>
      <c r="HO18" s="19"/>
      <c r="HP18" s="19">
        <v>33336375</v>
      </c>
      <c r="HQ18" s="19">
        <v>44568334</v>
      </c>
      <c r="HR18" s="19"/>
      <c r="HS18" s="19"/>
      <c r="HT18" s="19"/>
      <c r="HU18" s="19">
        <v>2201334</v>
      </c>
      <c r="HV18" s="19"/>
      <c r="HW18" s="19">
        <v>20073468</v>
      </c>
      <c r="HX18" s="19"/>
      <c r="HY18" s="19" t="s">
        <v>172</v>
      </c>
      <c r="HZ18" s="19"/>
      <c r="IA18" s="19"/>
      <c r="IB18" s="19">
        <v>44166667</v>
      </c>
      <c r="IC18" s="19">
        <v>400295164</v>
      </c>
      <c r="ID18" s="19"/>
      <c r="IE18" s="19" t="s">
        <v>96</v>
      </c>
      <c r="IF18" s="19"/>
      <c r="IG18" s="19"/>
      <c r="IH18" s="19">
        <v>8840910</v>
      </c>
      <c r="II18" s="19"/>
      <c r="IJ18" s="19"/>
      <c r="IK18" s="19"/>
      <c r="IL18" s="19"/>
      <c r="IM18" s="19">
        <v>8999999</v>
      </c>
      <c r="IN18" s="19"/>
      <c r="IO18" s="19"/>
      <c r="IP18" s="19">
        <v>2420001</v>
      </c>
      <c r="IQ18" s="19"/>
      <c r="IR18" s="19"/>
      <c r="IS18" s="19">
        <v>1118183</v>
      </c>
      <c r="IT18" s="19"/>
    </row>
    <row r="19" spans="1:254">
      <c r="A19" s="7" t="s">
        <v>94</v>
      </c>
      <c r="B19" s="12" t="s">
        <v>74</v>
      </c>
      <c r="C19" s="19">
        <v>0</v>
      </c>
      <c r="D19" s="19">
        <v>0</v>
      </c>
      <c r="E19" s="19">
        <v>0</v>
      </c>
      <c r="F19" s="19">
        <v>0</v>
      </c>
      <c r="G19" s="19">
        <v>286667</v>
      </c>
      <c r="H19" s="19"/>
      <c r="I19" s="19">
        <v>0</v>
      </c>
      <c r="J19" s="19" t="s">
        <v>4</v>
      </c>
      <c r="K19" s="19">
        <v>320400</v>
      </c>
      <c r="L19" s="19" t="s">
        <v>96</v>
      </c>
      <c r="M19" s="19" t="s">
        <v>96</v>
      </c>
      <c r="N19" s="19"/>
      <c r="O19" s="19"/>
      <c r="P19" s="19">
        <v>1000</v>
      </c>
      <c r="Q19" s="19">
        <v>324098</v>
      </c>
      <c r="R19" s="19"/>
      <c r="S19" s="19">
        <v>9185870</v>
      </c>
      <c r="T19" s="19" t="s">
        <v>96</v>
      </c>
      <c r="U19" s="19"/>
      <c r="V19" s="19" t="s">
        <v>172</v>
      </c>
      <c r="W19" s="19">
        <v>5702513</v>
      </c>
      <c r="X19" s="19"/>
      <c r="Y19" s="19"/>
      <c r="Z19" s="19"/>
      <c r="AA19" s="19">
        <v>234310</v>
      </c>
      <c r="AB19" s="19"/>
      <c r="AC19" s="19">
        <v>440240</v>
      </c>
      <c r="AD19" s="19"/>
      <c r="AE19" s="19">
        <v>1000</v>
      </c>
      <c r="AF19" s="19"/>
      <c r="AG19" s="19">
        <v>2452000</v>
      </c>
      <c r="AH19" s="19">
        <v>7246711</v>
      </c>
      <c r="AI19" s="19">
        <v>10078780</v>
      </c>
      <c r="AJ19" s="19"/>
      <c r="AK19" s="19"/>
      <c r="AL19" s="19"/>
      <c r="AM19" s="19" t="s">
        <v>4</v>
      </c>
      <c r="AN19" s="19">
        <v>1280303</v>
      </c>
      <c r="AO19" s="19">
        <v>22156697</v>
      </c>
      <c r="AP19" s="19"/>
      <c r="AQ19" s="19" t="s">
        <v>96</v>
      </c>
      <c r="AR19" s="19">
        <v>1142491</v>
      </c>
      <c r="AS19" s="19">
        <v>4000</v>
      </c>
      <c r="AT19" s="19">
        <v>74414200</v>
      </c>
      <c r="AU19" s="19">
        <v>1000000</v>
      </c>
      <c r="AV19" s="19"/>
      <c r="AW19" s="19"/>
      <c r="AX19" s="19" t="s">
        <v>4</v>
      </c>
      <c r="AY19" s="19">
        <v>1920000</v>
      </c>
      <c r="AZ19" s="19">
        <v>5500001</v>
      </c>
      <c r="BA19" s="19">
        <v>4000000</v>
      </c>
      <c r="BB19" s="19"/>
      <c r="BC19" s="19" t="s">
        <v>4</v>
      </c>
      <c r="BD19" s="19" t="s">
        <v>128</v>
      </c>
      <c r="BE19" s="19">
        <v>10544755</v>
      </c>
      <c r="BF19" s="19">
        <v>10010686</v>
      </c>
      <c r="BG19" s="19">
        <v>3849766</v>
      </c>
      <c r="BH19" s="19"/>
      <c r="BI19" s="19">
        <v>1365372</v>
      </c>
      <c r="BJ19" s="19"/>
      <c r="BK19" s="19">
        <v>66647811</v>
      </c>
      <c r="BL19" s="19"/>
      <c r="BM19" s="19">
        <v>5896897</v>
      </c>
      <c r="BN19" s="19">
        <v>99600</v>
      </c>
      <c r="BO19" s="19">
        <v>1839269</v>
      </c>
      <c r="BP19" s="19" t="s">
        <v>96</v>
      </c>
      <c r="BQ19" s="19" t="s">
        <v>4</v>
      </c>
      <c r="BR19" s="19">
        <v>373983</v>
      </c>
      <c r="BS19" s="19"/>
      <c r="BT19" s="19"/>
      <c r="BU19" s="19">
        <v>17116775</v>
      </c>
      <c r="BV19" s="19"/>
      <c r="BW19" s="19"/>
      <c r="BX19" s="19"/>
      <c r="BY19" s="19">
        <v>720350</v>
      </c>
      <c r="BZ19" s="19"/>
      <c r="CA19" s="19">
        <v>3946000</v>
      </c>
      <c r="CB19" s="19">
        <v>238334</v>
      </c>
      <c r="CC19" s="19"/>
      <c r="CD19" s="19"/>
      <c r="CE19" s="19"/>
      <c r="CF19" s="19">
        <v>2823490</v>
      </c>
      <c r="CG19" s="19"/>
      <c r="CH19" s="19">
        <v>1687385</v>
      </c>
      <c r="CI19" s="19" t="s">
        <v>128</v>
      </c>
      <c r="CJ19" s="19"/>
      <c r="CK19" s="19"/>
      <c r="CL19" s="19">
        <v>2296400</v>
      </c>
      <c r="CM19" s="19"/>
      <c r="CN19" s="19">
        <v>870000</v>
      </c>
      <c r="CO19" s="19"/>
      <c r="CP19" s="19">
        <v>200000</v>
      </c>
      <c r="CQ19" s="19" t="s">
        <v>96</v>
      </c>
      <c r="CR19" s="19"/>
      <c r="CS19" s="19">
        <v>76611374</v>
      </c>
      <c r="CT19" s="19">
        <v>611140</v>
      </c>
      <c r="CU19" s="19"/>
      <c r="CV19" s="19"/>
      <c r="CW19" s="19"/>
      <c r="CX19" s="19"/>
      <c r="CY19" s="19" t="s">
        <v>96</v>
      </c>
      <c r="CZ19" s="19"/>
      <c r="DA19" s="19"/>
      <c r="DB19" s="19"/>
      <c r="DC19" s="19"/>
      <c r="DD19" s="19"/>
      <c r="DE19" s="19"/>
      <c r="DF19" s="19"/>
      <c r="DG19" s="19"/>
      <c r="DH19" s="19">
        <v>450740</v>
      </c>
      <c r="DI19" s="19">
        <v>18503133</v>
      </c>
      <c r="DJ19" s="19"/>
      <c r="DK19" s="19">
        <v>3745385934</v>
      </c>
      <c r="DL19" s="19"/>
      <c r="DM19" s="19"/>
      <c r="DN19" s="19"/>
      <c r="DO19" s="19">
        <v>312000</v>
      </c>
      <c r="DP19" s="19">
        <v>1674503</v>
      </c>
      <c r="DQ19" s="19"/>
      <c r="DR19" s="19">
        <v>1064120</v>
      </c>
      <c r="DS19" s="19"/>
      <c r="DT19" s="19">
        <v>566667</v>
      </c>
      <c r="DU19" s="19"/>
      <c r="DV19" s="19"/>
      <c r="DW19" s="19">
        <v>19646252</v>
      </c>
      <c r="DX19" s="19"/>
      <c r="DY19" s="19"/>
      <c r="DZ19" s="19"/>
      <c r="EA19" s="19"/>
      <c r="EB19" s="19">
        <v>889961</v>
      </c>
      <c r="EC19" s="19">
        <v>7733657</v>
      </c>
      <c r="ED19" s="19"/>
      <c r="EE19" s="19"/>
      <c r="EF19" s="19">
        <v>411000</v>
      </c>
      <c r="EG19" s="19">
        <v>826432211</v>
      </c>
      <c r="EH19" s="19"/>
      <c r="EI19" s="19">
        <v>1261750</v>
      </c>
      <c r="EJ19" s="19"/>
      <c r="EK19" s="19"/>
      <c r="EL19" s="19"/>
      <c r="EM19" s="19"/>
      <c r="EN19" s="19"/>
      <c r="EO19" s="19"/>
      <c r="EP19" s="19"/>
      <c r="EQ19" s="19"/>
      <c r="ER19" s="19"/>
      <c r="ES19" s="19">
        <v>1115627</v>
      </c>
      <c r="ET19" s="19">
        <v>4458400</v>
      </c>
      <c r="EU19" s="19"/>
      <c r="EV19" s="19"/>
      <c r="EW19" s="19">
        <v>26155838</v>
      </c>
      <c r="EX19" s="19"/>
      <c r="EY19" s="19"/>
      <c r="EZ19" s="19"/>
      <c r="FA19" s="19">
        <v>400000</v>
      </c>
      <c r="FB19" s="19">
        <v>3073675</v>
      </c>
      <c r="FC19" s="19"/>
      <c r="FD19" s="19"/>
      <c r="FE19" s="19"/>
      <c r="FF19" s="19"/>
      <c r="FG19" s="19">
        <v>1000</v>
      </c>
      <c r="FH19" s="19"/>
      <c r="FI19" s="19" t="s">
        <v>96</v>
      </c>
      <c r="FJ19" s="19"/>
      <c r="FK19" s="19"/>
      <c r="FL19" s="19"/>
      <c r="FM19" s="19">
        <v>7421001</v>
      </c>
      <c r="FN19" s="19">
        <v>3505036</v>
      </c>
      <c r="FO19" s="19"/>
      <c r="FP19" s="19">
        <v>5325284</v>
      </c>
      <c r="FQ19" s="19">
        <v>13038114</v>
      </c>
      <c r="FR19" s="19"/>
      <c r="FS19" s="19">
        <v>2464240</v>
      </c>
      <c r="FT19" s="19">
        <v>10854287</v>
      </c>
      <c r="FU19" s="19"/>
      <c r="FV19" s="19">
        <v>17382094</v>
      </c>
      <c r="FW19" s="19"/>
      <c r="FX19" s="19"/>
      <c r="FY19" s="19"/>
      <c r="FZ19" s="19"/>
      <c r="GA19" s="19">
        <v>5595345</v>
      </c>
      <c r="GB19" s="19">
        <v>390120</v>
      </c>
      <c r="GC19" s="19">
        <v>479340</v>
      </c>
      <c r="GD19" s="19" t="s">
        <v>96</v>
      </c>
      <c r="GE19" s="19"/>
      <c r="GF19" s="19"/>
      <c r="GG19" s="19">
        <v>4866589</v>
      </c>
      <c r="GH19" s="19"/>
      <c r="GI19" s="19"/>
      <c r="GJ19" s="19"/>
      <c r="GK19" s="19">
        <v>2421893</v>
      </c>
      <c r="GL19" s="19" t="s">
        <v>96</v>
      </c>
      <c r="GM19" s="19"/>
      <c r="GN19" s="19"/>
      <c r="GO19" s="19"/>
      <c r="GP19" s="19"/>
      <c r="GQ19" s="19"/>
      <c r="GR19" s="19">
        <v>1500000</v>
      </c>
      <c r="GS19" s="19"/>
      <c r="GT19" s="19"/>
      <c r="GU19" s="19"/>
      <c r="GV19" s="19">
        <v>143836</v>
      </c>
      <c r="GW19" s="19">
        <v>12162511</v>
      </c>
      <c r="GX19" s="19"/>
      <c r="GY19" s="19">
        <v>20404522</v>
      </c>
      <c r="GZ19" s="19">
        <v>7540104</v>
      </c>
      <c r="HA19" s="19">
        <v>502240</v>
      </c>
      <c r="HB19" s="19">
        <v>1040096</v>
      </c>
      <c r="HC19" s="19"/>
      <c r="HD19" s="19">
        <v>1052800</v>
      </c>
      <c r="HE19" s="19">
        <v>11951331</v>
      </c>
      <c r="HF19" s="19"/>
      <c r="HG19" s="19">
        <v>1365263</v>
      </c>
      <c r="HH19" s="19"/>
      <c r="HI19" s="19">
        <v>1557240</v>
      </c>
      <c r="HJ19" s="19"/>
      <c r="HK19" s="19">
        <v>44604308</v>
      </c>
      <c r="HL19" s="19"/>
      <c r="HM19" s="19"/>
      <c r="HN19" s="19"/>
      <c r="HO19" s="19"/>
      <c r="HP19" s="19"/>
      <c r="HQ19" s="19"/>
      <c r="HR19" s="19"/>
      <c r="HS19" s="19">
        <v>992179</v>
      </c>
      <c r="HT19" s="19"/>
      <c r="HU19" s="19"/>
      <c r="HV19" s="19"/>
      <c r="HW19" s="19">
        <v>5468292</v>
      </c>
      <c r="HX19" s="19">
        <v>252838684</v>
      </c>
      <c r="HY19" s="19" t="s">
        <v>172</v>
      </c>
      <c r="HZ19" s="19"/>
      <c r="IA19" s="19"/>
      <c r="IB19" s="19"/>
      <c r="IC19" s="19">
        <v>1578741</v>
      </c>
      <c r="ID19" s="19"/>
      <c r="IE19" s="19" t="s">
        <v>96</v>
      </c>
      <c r="IF19" s="19"/>
      <c r="IG19" s="19"/>
      <c r="IH19" s="19">
        <v>480874</v>
      </c>
      <c r="II19" s="19"/>
      <c r="IJ19" s="19"/>
      <c r="IK19" s="19"/>
      <c r="IL19" s="19"/>
      <c r="IM19" s="19"/>
      <c r="IN19" s="19"/>
      <c r="IO19" s="19"/>
      <c r="IP19" s="19"/>
      <c r="IQ19" s="19"/>
      <c r="IR19" s="19"/>
      <c r="IS19" s="19"/>
      <c r="IT19" s="19">
        <v>2062416</v>
      </c>
    </row>
    <row r="20" spans="1:254">
      <c r="A20" s="7" t="s">
        <v>94</v>
      </c>
      <c r="B20" s="12" t="s">
        <v>137</v>
      </c>
      <c r="C20" s="19">
        <v>0</v>
      </c>
      <c r="D20" s="19">
        <v>0</v>
      </c>
      <c r="E20" s="19">
        <v>0</v>
      </c>
      <c r="F20" s="19">
        <v>8000</v>
      </c>
      <c r="G20" s="19">
        <v>0</v>
      </c>
      <c r="H20" s="19"/>
      <c r="I20" s="19">
        <v>212300000</v>
      </c>
      <c r="J20" s="19" t="s">
        <v>4</v>
      </c>
      <c r="K20" s="19">
        <v>0</v>
      </c>
      <c r="L20" s="19" t="s">
        <v>96</v>
      </c>
      <c r="M20" s="19" t="s">
        <v>96</v>
      </c>
      <c r="N20" s="19">
        <v>116251936</v>
      </c>
      <c r="O20" s="19">
        <v>54377300</v>
      </c>
      <c r="P20" s="19"/>
      <c r="Q20" s="19">
        <v>5459267</v>
      </c>
      <c r="R20" s="19">
        <v>0</v>
      </c>
      <c r="S20" s="19">
        <v>96432512</v>
      </c>
      <c r="T20" s="19" t="s">
        <v>96</v>
      </c>
      <c r="U20" s="19"/>
      <c r="V20" s="19" t="s">
        <v>172</v>
      </c>
      <c r="W20" s="19">
        <v>67231123</v>
      </c>
      <c r="X20" s="19"/>
      <c r="Y20" s="19">
        <v>134797010</v>
      </c>
      <c r="Z20" s="19">
        <v>1143843297</v>
      </c>
      <c r="AA20" s="19"/>
      <c r="AB20" s="19"/>
      <c r="AC20" s="19"/>
      <c r="AD20" s="19"/>
      <c r="AE20" s="19">
        <v>153163126</v>
      </c>
      <c r="AF20" s="19"/>
      <c r="AG20" s="19">
        <v>88650000</v>
      </c>
      <c r="AH20" s="19">
        <v>52125907</v>
      </c>
      <c r="AI20" s="19">
        <v>106353220</v>
      </c>
      <c r="AJ20" s="19">
        <v>134909540</v>
      </c>
      <c r="AK20" s="19"/>
      <c r="AL20" s="19"/>
      <c r="AM20" s="19" t="s">
        <v>4</v>
      </c>
      <c r="AN20" s="19"/>
      <c r="AO20" s="19">
        <v>73947958</v>
      </c>
      <c r="AP20" s="19"/>
      <c r="AQ20" s="19" t="s">
        <v>96</v>
      </c>
      <c r="AR20" s="19">
        <v>46000000</v>
      </c>
      <c r="AS20" s="19"/>
      <c r="AT20" s="19"/>
      <c r="AU20" s="19"/>
      <c r="AV20" s="19"/>
      <c r="AW20" s="19"/>
      <c r="AX20" s="19" t="s">
        <v>4</v>
      </c>
      <c r="AY20" s="19">
        <v>39892038</v>
      </c>
      <c r="AZ20" s="19"/>
      <c r="BA20" s="19"/>
      <c r="BB20" s="19"/>
      <c r="BC20" s="19" t="s">
        <v>4</v>
      </c>
      <c r="BD20" s="19" t="s">
        <v>128</v>
      </c>
      <c r="BE20" s="19">
        <v>930514328</v>
      </c>
      <c r="BF20" s="19">
        <v>481765240</v>
      </c>
      <c r="BG20" s="19"/>
      <c r="BH20" s="19">
        <v>4000</v>
      </c>
      <c r="BI20" s="19">
        <v>3000</v>
      </c>
      <c r="BJ20" s="19">
        <v>4608334</v>
      </c>
      <c r="BK20" s="19"/>
      <c r="BL20" s="19"/>
      <c r="BM20" s="19"/>
      <c r="BN20" s="19">
        <v>2000</v>
      </c>
      <c r="BO20" s="19">
        <v>48353665</v>
      </c>
      <c r="BP20" s="19" t="s">
        <v>96</v>
      </c>
      <c r="BQ20" s="19" t="s">
        <v>4</v>
      </c>
      <c r="BR20" s="19"/>
      <c r="BS20" s="19"/>
      <c r="BT20" s="19"/>
      <c r="BU20" s="19">
        <v>548534703</v>
      </c>
      <c r="BV20" s="19"/>
      <c r="BW20" s="19"/>
      <c r="BX20" s="19"/>
      <c r="BY20" s="19"/>
      <c r="BZ20" s="19"/>
      <c r="CA20" s="19"/>
      <c r="CB20" s="19">
        <v>18000</v>
      </c>
      <c r="CC20" s="19"/>
      <c r="CD20" s="19"/>
      <c r="CE20" s="19">
        <v>30729000</v>
      </c>
      <c r="CF20" s="19"/>
      <c r="CG20" s="19"/>
      <c r="CH20" s="19"/>
      <c r="CI20" s="19" t="s">
        <v>128</v>
      </c>
      <c r="CJ20" s="19">
        <v>38400800</v>
      </c>
      <c r="CK20" s="19"/>
      <c r="CL20" s="19">
        <v>25990910</v>
      </c>
      <c r="CM20" s="19"/>
      <c r="CN20" s="19"/>
      <c r="CO20" s="19">
        <v>1000</v>
      </c>
      <c r="CP20" s="19">
        <v>65000000</v>
      </c>
      <c r="CQ20" s="19" t="s">
        <v>96</v>
      </c>
      <c r="CR20" s="19"/>
      <c r="CS20" s="19">
        <v>132684902</v>
      </c>
      <c r="CT20" s="19">
        <v>2420534</v>
      </c>
      <c r="CU20" s="19"/>
      <c r="CV20" s="19"/>
      <c r="CW20" s="19"/>
      <c r="CX20" s="19"/>
      <c r="CY20" s="19" t="s">
        <v>96</v>
      </c>
      <c r="CZ20" s="19"/>
      <c r="DA20" s="19"/>
      <c r="DB20" s="19"/>
      <c r="DC20" s="19"/>
      <c r="DD20" s="19"/>
      <c r="DE20" s="19"/>
      <c r="DF20" s="19"/>
      <c r="DG20" s="19">
        <v>43403394</v>
      </c>
      <c r="DH20" s="19">
        <v>19118520</v>
      </c>
      <c r="DI20" s="19"/>
      <c r="DJ20" s="19">
        <v>181821</v>
      </c>
      <c r="DK20" s="19">
        <v>251540000</v>
      </c>
      <c r="DL20" s="19">
        <v>56338309</v>
      </c>
      <c r="DM20" s="19"/>
      <c r="DN20" s="19">
        <v>175643570</v>
      </c>
      <c r="DO20" s="19"/>
      <c r="DP20" s="19"/>
      <c r="DQ20" s="19"/>
      <c r="DR20" s="19"/>
      <c r="DS20" s="19"/>
      <c r="DT20" s="19">
        <v>134818484</v>
      </c>
      <c r="DU20" s="19"/>
      <c r="DV20" s="19"/>
      <c r="DW20" s="19"/>
      <c r="DX20" s="19">
        <v>582155395</v>
      </c>
      <c r="DY20" s="19"/>
      <c r="DZ20" s="19"/>
      <c r="EA20" s="19"/>
      <c r="EB20" s="19"/>
      <c r="EC20" s="19"/>
      <c r="ED20" s="19"/>
      <c r="EE20" s="19"/>
      <c r="EF20" s="19">
        <v>13831230</v>
      </c>
      <c r="EG20" s="19"/>
      <c r="EH20" s="19"/>
      <c r="EI20" s="19"/>
      <c r="EJ20" s="19"/>
      <c r="EK20" s="19">
        <v>9938190</v>
      </c>
      <c r="EL20" s="19"/>
      <c r="EM20" s="19"/>
      <c r="EN20" s="19">
        <v>5502000</v>
      </c>
      <c r="EO20" s="19"/>
      <c r="EP20" s="19"/>
      <c r="EQ20" s="19"/>
      <c r="ER20" s="19"/>
      <c r="ES20" s="19"/>
      <c r="ET20" s="19">
        <v>484618622</v>
      </c>
      <c r="EU20" s="19"/>
      <c r="EV20" s="19"/>
      <c r="EW20" s="19"/>
      <c r="EX20" s="19">
        <v>4308667</v>
      </c>
      <c r="EY20" s="19"/>
      <c r="EZ20" s="19"/>
      <c r="FA20" s="19">
        <v>2250000</v>
      </c>
      <c r="FB20" s="19">
        <v>4000000</v>
      </c>
      <c r="FC20" s="19">
        <v>40900000</v>
      </c>
      <c r="FD20" s="19"/>
      <c r="FE20" s="19"/>
      <c r="FF20" s="19"/>
      <c r="FG20" s="19"/>
      <c r="FH20" s="19"/>
      <c r="FI20" s="19" t="s">
        <v>96</v>
      </c>
      <c r="FJ20" s="19"/>
      <c r="FK20" s="19"/>
      <c r="FL20" s="19"/>
      <c r="FM20" s="19">
        <v>137047265</v>
      </c>
      <c r="FN20" s="19">
        <v>759723701</v>
      </c>
      <c r="FO20" s="19"/>
      <c r="FP20" s="19">
        <v>210773397</v>
      </c>
      <c r="FQ20" s="19"/>
      <c r="FR20" s="19">
        <v>68673189</v>
      </c>
      <c r="FS20" s="19">
        <v>25181815</v>
      </c>
      <c r="FT20" s="19"/>
      <c r="FU20" s="19"/>
      <c r="FV20" s="19">
        <v>2500728963</v>
      </c>
      <c r="FW20" s="19">
        <v>18000000</v>
      </c>
      <c r="FX20" s="19"/>
      <c r="FY20" s="19"/>
      <c r="FZ20" s="19">
        <v>174779858</v>
      </c>
      <c r="GA20" s="19"/>
      <c r="GB20" s="19">
        <v>145910668</v>
      </c>
      <c r="GC20" s="19">
        <v>33002640</v>
      </c>
      <c r="GD20" s="19" t="s">
        <v>96</v>
      </c>
      <c r="GE20" s="19">
        <v>347655995</v>
      </c>
      <c r="GF20" s="19"/>
      <c r="GG20" s="19"/>
      <c r="GH20" s="19"/>
      <c r="GI20" s="19"/>
      <c r="GJ20" s="19"/>
      <c r="GK20" s="19"/>
      <c r="GL20" s="19" t="s">
        <v>96</v>
      </c>
      <c r="GM20" s="19"/>
      <c r="GN20" s="19"/>
      <c r="GO20" s="19">
        <v>818138544</v>
      </c>
      <c r="GP20" s="19">
        <v>61832259</v>
      </c>
      <c r="GQ20" s="19"/>
      <c r="GR20" s="19">
        <v>359065629</v>
      </c>
      <c r="GS20" s="19"/>
      <c r="GT20" s="19"/>
      <c r="GU20" s="19"/>
      <c r="GV20" s="19"/>
      <c r="GW20" s="19">
        <v>695221278</v>
      </c>
      <c r="GX20" s="19">
        <v>310204826</v>
      </c>
      <c r="GY20" s="19"/>
      <c r="GZ20" s="19">
        <v>21086819</v>
      </c>
      <c r="HA20" s="19">
        <v>7000</v>
      </c>
      <c r="HB20" s="19"/>
      <c r="HC20" s="19">
        <v>0</v>
      </c>
      <c r="HD20" s="19"/>
      <c r="HE20" s="19">
        <v>7000000</v>
      </c>
      <c r="HF20" s="19"/>
      <c r="HG20" s="19">
        <v>2400000</v>
      </c>
      <c r="HH20" s="19"/>
      <c r="HI20" s="19"/>
      <c r="HJ20" s="19"/>
      <c r="HK20" s="19"/>
      <c r="HL20" s="19"/>
      <c r="HM20" s="19"/>
      <c r="HN20" s="19"/>
      <c r="HO20" s="19">
        <v>10080000</v>
      </c>
      <c r="HP20" s="19"/>
      <c r="HQ20" s="19"/>
      <c r="HR20" s="19"/>
      <c r="HS20" s="19">
        <v>55536294</v>
      </c>
      <c r="HT20" s="19"/>
      <c r="HU20" s="19">
        <v>384813443</v>
      </c>
      <c r="HV20" s="19"/>
      <c r="HW20" s="19"/>
      <c r="HX20" s="19">
        <v>145477891</v>
      </c>
      <c r="HY20" s="19" t="s">
        <v>172</v>
      </c>
      <c r="HZ20" s="19"/>
      <c r="IA20" s="19"/>
      <c r="IB20" s="19"/>
      <c r="IC20" s="19">
        <v>152453329</v>
      </c>
      <c r="ID20" s="19"/>
      <c r="IE20" s="19" t="s">
        <v>96</v>
      </c>
      <c r="IF20" s="19"/>
      <c r="IG20" s="19"/>
      <c r="IH20" s="19">
        <v>21688168</v>
      </c>
      <c r="II20" s="19"/>
      <c r="IJ20" s="19"/>
      <c r="IK20" s="19"/>
      <c r="IL20" s="19"/>
      <c r="IM20" s="19"/>
      <c r="IN20" s="19"/>
      <c r="IO20" s="19"/>
      <c r="IP20" s="19"/>
      <c r="IQ20" s="19"/>
      <c r="IR20" s="19"/>
      <c r="IS20" s="19"/>
      <c r="IT20" s="19"/>
    </row>
    <row r="21" spans="1:254">
      <c r="A21" s="7" t="s">
        <v>94</v>
      </c>
      <c r="B21" s="12" t="s">
        <v>39</v>
      </c>
      <c r="C21" s="19">
        <v>33000000</v>
      </c>
      <c r="D21" s="19">
        <v>0</v>
      </c>
      <c r="E21" s="19">
        <v>0</v>
      </c>
      <c r="F21" s="19">
        <v>35032240</v>
      </c>
      <c r="G21" s="19">
        <v>0</v>
      </c>
      <c r="H21" s="19"/>
      <c r="I21" s="19">
        <v>0</v>
      </c>
      <c r="J21" s="19" t="s">
        <v>4</v>
      </c>
      <c r="K21" s="19">
        <v>0</v>
      </c>
      <c r="L21" s="19" t="s">
        <v>96</v>
      </c>
      <c r="M21" s="19" t="s">
        <v>96</v>
      </c>
      <c r="N21" s="19"/>
      <c r="O21" s="19"/>
      <c r="P21" s="19"/>
      <c r="Q21" s="19"/>
      <c r="R21" s="19"/>
      <c r="S21" s="19"/>
      <c r="T21" s="19" t="s">
        <v>96</v>
      </c>
      <c r="U21" s="19"/>
      <c r="V21" s="19" t="s">
        <v>172</v>
      </c>
      <c r="W21" s="19"/>
      <c r="X21" s="19"/>
      <c r="Y21" s="19"/>
      <c r="Z21" s="19"/>
      <c r="AA21" s="19"/>
      <c r="AB21" s="19"/>
      <c r="AC21" s="19"/>
      <c r="AD21" s="19"/>
      <c r="AE21" s="19"/>
      <c r="AF21" s="19"/>
      <c r="AG21" s="19">
        <v>50000000</v>
      </c>
      <c r="AH21" s="19"/>
      <c r="AI21" s="19">
        <v>0</v>
      </c>
      <c r="AJ21" s="19"/>
      <c r="AK21" s="19"/>
      <c r="AL21" s="19">
        <v>28741000</v>
      </c>
      <c r="AM21" s="19" t="s">
        <v>4</v>
      </c>
      <c r="AN21" s="19">
        <v>28241427</v>
      </c>
      <c r="AO21" s="19"/>
      <c r="AP21" s="19"/>
      <c r="AQ21" s="19" t="s">
        <v>96</v>
      </c>
      <c r="AR21" s="19"/>
      <c r="AS21" s="19"/>
      <c r="AT21" s="19"/>
      <c r="AU21" s="19"/>
      <c r="AV21" s="19"/>
      <c r="AW21" s="19"/>
      <c r="AX21" s="19" t="s">
        <v>4</v>
      </c>
      <c r="AY21" s="19"/>
      <c r="AZ21" s="19"/>
      <c r="BA21" s="19">
        <v>10000000</v>
      </c>
      <c r="BB21" s="19">
        <v>10715156</v>
      </c>
      <c r="BC21" s="19" t="s">
        <v>4</v>
      </c>
      <c r="BD21" s="19" t="s">
        <v>128</v>
      </c>
      <c r="BE21" s="19"/>
      <c r="BF21" s="19"/>
      <c r="BG21" s="19">
        <v>1590269</v>
      </c>
      <c r="BH21" s="19"/>
      <c r="BI21" s="19"/>
      <c r="BJ21" s="19"/>
      <c r="BK21" s="19"/>
      <c r="BL21" s="19">
        <v>3162500</v>
      </c>
      <c r="BM21" s="19"/>
      <c r="BN21" s="19"/>
      <c r="BO21" s="19"/>
      <c r="BP21" s="19" t="s">
        <v>96</v>
      </c>
      <c r="BQ21" s="19" t="s">
        <v>4</v>
      </c>
      <c r="BR21" s="19"/>
      <c r="BS21" s="19"/>
      <c r="BT21" s="19"/>
      <c r="BU21" s="19"/>
      <c r="BV21" s="19"/>
      <c r="BW21" s="19"/>
      <c r="BX21" s="19"/>
      <c r="BY21" s="19">
        <v>37611683</v>
      </c>
      <c r="BZ21" s="19"/>
      <c r="CA21" s="19"/>
      <c r="CB21" s="19"/>
      <c r="CC21" s="19"/>
      <c r="CD21" s="19"/>
      <c r="CE21" s="19"/>
      <c r="CF21" s="19"/>
      <c r="CG21" s="19"/>
      <c r="CH21" s="19"/>
      <c r="CI21" s="19" t="s">
        <v>128</v>
      </c>
      <c r="CJ21" s="19"/>
      <c r="CK21" s="19"/>
      <c r="CL21" s="19"/>
      <c r="CM21" s="19"/>
      <c r="CN21" s="19"/>
      <c r="CO21" s="19"/>
      <c r="CP21" s="19">
        <v>-45000000</v>
      </c>
      <c r="CQ21" s="19" t="s">
        <v>96</v>
      </c>
      <c r="CR21" s="19"/>
      <c r="CS21" s="19">
        <v>0</v>
      </c>
      <c r="CT21" s="19"/>
      <c r="CU21" s="19"/>
      <c r="CV21" s="19"/>
      <c r="CW21" s="19"/>
      <c r="CX21" s="19"/>
      <c r="CY21" s="19" t="s">
        <v>96</v>
      </c>
      <c r="CZ21" s="19"/>
      <c r="DA21" s="19">
        <v>909090</v>
      </c>
      <c r="DB21" s="19"/>
      <c r="DC21" s="19"/>
      <c r="DD21" s="19"/>
      <c r="DE21" s="19"/>
      <c r="DF21" s="19"/>
      <c r="DG21" s="19"/>
      <c r="DH21" s="19"/>
      <c r="DI21" s="19"/>
      <c r="DJ21" s="19"/>
      <c r="DK21" s="19"/>
      <c r="DL21" s="19"/>
      <c r="DM21" s="19"/>
      <c r="DN21" s="19"/>
      <c r="DO21" s="19"/>
      <c r="DP21" s="19"/>
      <c r="DQ21" s="19"/>
      <c r="DR21" s="19"/>
      <c r="DS21" s="19"/>
      <c r="DT21" s="19"/>
      <c r="DU21" s="19">
        <v>-4083334</v>
      </c>
      <c r="DV21" s="19"/>
      <c r="DW21" s="19"/>
      <c r="DX21" s="19"/>
      <c r="DY21" s="19"/>
      <c r="DZ21" s="19"/>
      <c r="EA21" s="19"/>
      <c r="EB21" s="19"/>
      <c r="EC21" s="19"/>
      <c r="ED21" s="19"/>
      <c r="EE21" s="19"/>
      <c r="EF21" s="19"/>
      <c r="EG21" s="19"/>
      <c r="EH21" s="19"/>
      <c r="EI21" s="19">
        <v>34166667</v>
      </c>
      <c r="EJ21" s="19"/>
      <c r="EK21" s="19"/>
      <c r="EL21" s="19"/>
      <c r="EM21" s="19"/>
      <c r="EN21" s="19"/>
      <c r="EO21" s="19">
        <v>1000</v>
      </c>
      <c r="EP21" s="19"/>
      <c r="EQ21" s="19"/>
      <c r="ER21" s="19"/>
      <c r="ES21" s="19">
        <v>1000</v>
      </c>
      <c r="ET21" s="19"/>
      <c r="EU21" s="19"/>
      <c r="EV21" s="19"/>
      <c r="EW21" s="19"/>
      <c r="EX21" s="19">
        <v>20000000</v>
      </c>
      <c r="EY21" s="19"/>
      <c r="EZ21" s="19">
        <v>27985858</v>
      </c>
      <c r="FA21" s="19">
        <v>20000000</v>
      </c>
      <c r="FB21" s="19">
        <v>8000000</v>
      </c>
      <c r="FC21" s="19"/>
      <c r="FD21" s="19"/>
      <c r="FE21" s="19">
        <v>28205720</v>
      </c>
      <c r="FF21" s="19"/>
      <c r="FG21" s="19"/>
      <c r="FH21" s="19"/>
      <c r="FI21" s="19" t="s">
        <v>96</v>
      </c>
      <c r="FJ21" s="19"/>
      <c r="FK21" s="19"/>
      <c r="FL21" s="19">
        <v>2735512</v>
      </c>
      <c r="FM21" s="19"/>
      <c r="FN21" s="19">
        <v>366000</v>
      </c>
      <c r="FO21" s="19"/>
      <c r="FP21" s="19"/>
      <c r="FQ21" s="19"/>
      <c r="FR21" s="19"/>
      <c r="FS21" s="19"/>
      <c r="FT21" s="19">
        <v>50549142</v>
      </c>
      <c r="FU21" s="19"/>
      <c r="FV21" s="19"/>
      <c r="FW21" s="19"/>
      <c r="FX21" s="19"/>
      <c r="FY21" s="19"/>
      <c r="FZ21" s="19"/>
      <c r="GA21" s="19"/>
      <c r="GB21" s="19"/>
      <c r="GC21" s="19"/>
      <c r="GD21" s="19" t="s">
        <v>96</v>
      </c>
      <c r="GE21" s="19"/>
      <c r="GF21" s="19"/>
      <c r="GG21" s="19"/>
      <c r="GH21" s="19"/>
      <c r="GI21" s="19"/>
      <c r="GJ21" s="19"/>
      <c r="GK21" s="19"/>
      <c r="GL21" s="19" t="s">
        <v>96</v>
      </c>
      <c r="GM21" s="19"/>
      <c r="GN21" s="19">
        <v>443000000</v>
      </c>
      <c r="GO21" s="19"/>
      <c r="GP21" s="19"/>
      <c r="GQ21" s="19"/>
      <c r="GR21" s="19">
        <v>20000000</v>
      </c>
      <c r="GS21" s="19"/>
      <c r="GT21" s="19">
        <v>40000000</v>
      </c>
      <c r="GU21" s="19"/>
      <c r="GV21" s="19"/>
      <c r="GW21" s="19"/>
      <c r="GX21" s="19"/>
      <c r="GY21" s="19"/>
      <c r="GZ21" s="19"/>
      <c r="HA21" s="19"/>
      <c r="HB21" s="19"/>
      <c r="HC21" s="19"/>
      <c r="HD21" s="19"/>
      <c r="HE21" s="19"/>
      <c r="HF21" s="19"/>
      <c r="HG21" s="19"/>
      <c r="HH21" s="19"/>
      <c r="HI21" s="19">
        <v>2402000</v>
      </c>
      <c r="HJ21" s="19"/>
      <c r="HK21" s="19"/>
      <c r="HL21" s="19"/>
      <c r="HM21" s="19"/>
      <c r="HN21" s="19"/>
      <c r="HO21" s="19"/>
      <c r="HP21" s="19">
        <v>6000000</v>
      </c>
      <c r="HQ21" s="19"/>
      <c r="HR21" s="19">
        <v>1198758</v>
      </c>
      <c r="HS21" s="19"/>
      <c r="HT21" s="19"/>
      <c r="HU21" s="19"/>
      <c r="HV21" s="19"/>
      <c r="HW21" s="19"/>
      <c r="HX21" s="19"/>
      <c r="HY21" s="19" t="s">
        <v>172</v>
      </c>
      <c r="HZ21" s="19"/>
      <c r="IA21" s="19"/>
      <c r="IB21" s="19">
        <v>4500000</v>
      </c>
      <c r="IC21" s="19"/>
      <c r="ID21" s="19"/>
      <c r="IE21" s="19" t="s">
        <v>96</v>
      </c>
      <c r="IF21" s="19"/>
      <c r="IG21" s="19"/>
      <c r="IH21" s="19"/>
      <c r="II21" s="19"/>
      <c r="IJ21" s="19"/>
      <c r="IK21" s="19"/>
      <c r="IL21" s="19">
        <v>21670000</v>
      </c>
      <c r="IM21" s="19"/>
      <c r="IN21" s="19"/>
      <c r="IO21" s="19"/>
      <c r="IP21" s="19"/>
      <c r="IQ21" s="19"/>
      <c r="IR21" s="19"/>
      <c r="IS21" s="19"/>
      <c r="IT21" s="19"/>
    </row>
    <row r="22" spans="1:254">
      <c r="A22" s="7" t="s">
        <v>94</v>
      </c>
      <c r="B22" s="11" t="s">
        <v>68</v>
      </c>
      <c r="C22" s="19">
        <v>65300000</v>
      </c>
      <c r="D22" s="19">
        <v>0</v>
      </c>
      <c r="E22" s="19">
        <v>20000000</v>
      </c>
      <c r="F22" s="19">
        <v>0</v>
      </c>
      <c r="G22" s="19">
        <v>6050000</v>
      </c>
      <c r="H22" s="19">
        <v>896323000</v>
      </c>
      <c r="I22" s="19">
        <v>512687600</v>
      </c>
      <c r="J22" s="19" t="s">
        <v>4</v>
      </c>
      <c r="K22" s="19">
        <v>2060000</v>
      </c>
      <c r="L22" s="19" t="s">
        <v>96</v>
      </c>
      <c r="M22" s="19" t="s">
        <v>96</v>
      </c>
      <c r="N22" s="19">
        <v>11400000</v>
      </c>
      <c r="O22" s="19">
        <v>161267996</v>
      </c>
      <c r="P22" s="19">
        <v>368569930</v>
      </c>
      <c r="Q22" s="19">
        <v>16678600</v>
      </c>
      <c r="R22" s="19">
        <v>79708000</v>
      </c>
      <c r="S22" s="19">
        <v>10000000</v>
      </c>
      <c r="T22" s="19" t="s">
        <v>96</v>
      </c>
      <c r="U22" s="19">
        <v>146349298</v>
      </c>
      <c r="V22" s="19" t="s">
        <v>172</v>
      </c>
      <c r="W22" s="19">
        <v>100000000</v>
      </c>
      <c r="X22" s="19">
        <v>20000000</v>
      </c>
      <c r="Y22" s="19">
        <v>24756000</v>
      </c>
      <c r="Z22" s="19">
        <v>532021000</v>
      </c>
      <c r="AA22" s="19">
        <v>552350000</v>
      </c>
      <c r="AB22" s="19">
        <v>50500000</v>
      </c>
      <c r="AC22" s="19">
        <v>0</v>
      </c>
      <c r="AD22" s="19">
        <v>33000000</v>
      </c>
      <c r="AE22" s="19">
        <v>58317000</v>
      </c>
      <c r="AF22" s="19">
        <v>0</v>
      </c>
      <c r="AG22" s="19">
        <v>7189000</v>
      </c>
      <c r="AH22" s="19">
        <v>49534000</v>
      </c>
      <c r="AI22" s="19">
        <v>48980000</v>
      </c>
      <c r="AJ22" s="19">
        <v>47662000</v>
      </c>
      <c r="AK22" s="19">
        <v>34162400</v>
      </c>
      <c r="AL22" s="19">
        <v>44802903</v>
      </c>
      <c r="AM22" s="19" t="s">
        <v>4</v>
      </c>
      <c r="AN22" s="19">
        <v>74536000</v>
      </c>
      <c r="AO22" s="19">
        <v>80000000</v>
      </c>
      <c r="AP22" s="19"/>
      <c r="AQ22" s="19" t="s">
        <v>96</v>
      </c>
      <c r="AR22" s="19">
        <v>400380000</v>
      </c>
      <c r="AS22" s="19">
        <v>45180000</v>
      </c>
      <c r="AT22" s="19">
        <v>300000</v>
      </c>
      <c r="AU22" s="19">
        <v>477696000</v>
      </c>
      <c r="AV22" s="19">
        <v>170000000</v>
      </c>
      <c r="AW22" s="19">
        <v>1000000</v>
      </c>
      <c r="AX22" s="19" t="s">
        <v>4</v>
      </c>
      <c r="AY22" s="19">
        <v>500000</v>
      </c>
      <c r="AZ22" s="19">
        <v>110700000</v>
      </c>
      <c r="BA22" s="19">
        <v>171185000</v>
      </c>
      <c r="BB22" s="19">
        <v>830000</v>
      </c>
      <c r="BC22" s="19" t="s">
        <v>4</v>
      </c>
      <c r="BD22" s="19" t="s">
        <v>128</v>
      </c>
      <c r="BE22" s="19">
        <v>50000000</v>
      </c>
      <c r="BF22" s="19">
        <v>52084600</v>
      </c>
      <c r="BG22" s="19">
        <v>13130000</v>
      </c>
      <c r="BH22" s="19">
        <v>0</v>
      </c>
      <c r="BI22" s="19">
        <v>32095000</v>
      </c>
      <c r="BJ22" s="19">
        <v>82982964</v>
      </c>
      <c r="BK22" s="19">
        <v>125585436</v>
      </c>
      <c r="BL22" s="19">
        <v>188534000</v>
      </c>
      <c r="BM22" s="19">
        <v>73564844</v>
      </c>
      <c r="BN22" s="19">
        <v>100000000</v>
      </c>
      <c r="BO22" s="19">
        <v>500000</v>
      </c>
      <c r="BP22" s="19" t="s">
        <v>96</v>
      </c>
      <c r="BQ22" s="19" t="s">
        <v>4</v>
      </c>
      <c r="BR22" s="19">
        <v>132540000</v>
      </c>
      <c r="BS22" s="19">
        <v>5160000</v>
      </c>
      <c r="BT22" s="19">
        <v>2000000</v>
      </c>
      <c r="BU22" s="19">
        <v>41005000</v>
      </c>
      <c r="BV22" s="19">
        <v>0</v>
      </c>
      <c r="BW22" s="19">
        <v>0</v>
      </c>
      <c r="BX22" s="19">
        <v>1200000</v>
      </c>
      <c r="BY22" s="19">
        <v>63400000</v>
      </c>
      <c r="BZ22" s="19">
        <v>8900000</v>
      </c>
      <c r="CA22" s="19">
        <v>235132130</v>
      </c>
      <c r="CB22" s="19">
        <v>40020000</v>
      </c>
      <c r="CC22" s="19"/>
      <c r="CD22" s="19"/>
      <c r="CE22" s="19">
        <v>60000000</v>
      </c>
      <c r="CF22" s="19">
        <v>300000</v>
      </c>
      <c r="CG22" s="19">
        <v>5000000</v>
      </c>
      <c r="CH22" s="19">
        <v>60704000</v>
      </c>
      <c r="CI22" s="19" t="s">
        <v>128</v>
      </c>
      <c r="CJ22" s="19">
        <v>16000000</v>
      </c>
      <c r="CK22" s="19">
        <v>66395000</v>
      </c>
      <c r="CL22" s="19"/>
      <c r="CM22" s="19">
        <v>335343000</v>
      </c>
      <c r="CN22" s="19">
        <v>5102400</v>
      </c>
      <c r="CO22" s="19"/>
      <c r="CP22" s="19">
        <v>260621000</v>
      </c>
      <c r="CQ22" s="19" t="s">
        <v>96</v>
      </c>
      <c r="CR22" s="19">
        <v>117757500</v>
      </c>
      <c r="CS22" s="19">
        <v>830000000</v>
      </c>
      <c r="CT22" s="19">
        <v>208462000</v>
      </c>
      <c r="CU22" s="19">
        <v>20240000</v>
      </c>
      <c r="CV22" s="19"/>
      <c r="CW22" s="19">
        <v>399772000</v>
      </c>
      <c r="CX22" s="19">
        <v>207042000</v>
      </c>
      <c r="CY22" s="19" t="s">
        <v>96</v>
      </c>
      <c r="CZ22" s="19">
        <v>63528000</v>
      </c>
      <c r="DA22" s="19">
        <v>70233910</v>
      </c>
      <c r="DB22" s="19">
        <v>20930000</v>
      </c>
      <c r="DC22" s="19"/>
      <c r="DD22" s="19">
        <v>40000000</v>
      </c>
      <c r="DE22" s="19">
        <v>31880600</v>
      </c>
      <c r="DF22" s="19">
        <v>12000000</v>
      </c>
      <c r="DG22" s="19">
        <v>45300000</v>
      </c>
      <c r="DH22" s="19">
        <v>0</v>
      </c>
      <c r="DI22" s="19">
        <v>3300000</v>
      </c>
      <c r="DJ22" s="19"/>
      <c r="DK22" s="19">
        <v>44042089</v>
      </c>
      <c r="DL22" s="19">
        <v>6702000</v>
      </c>
      <c r="DM22" s="19">
        <v>661469704</v>
      </c>
      <c r="DN22" s="19">
        <v>3000000</v>
      </c>
      <c r="DO22" s="19">
        <v>25000000</v>
      </c>
      <c r="DP22" s="19">
        <v>193878300</v>
      </c>
      <c r="DQ22" s="19">
        <v>20000000</v>
      </c>
      <c r="DR22" s="19">
        <v>63851940</v>
      </c>
      <c r="DS22" s="19">
        <v>0</v>
      </c>
      <c r="DT22" s="19">
        <v>41483595</v>
      </c>
      <c r="DU22" s="19">
        <v>40000000</v>
      </c>
      <c r="DV22" s="19">
        <v>42720000</v>
      </c>
      <c r="DW22" s="19">
        <v>200300000</v>
      </c>
      <c r="DX22" s="19">
        <v>508178600</v>
      </c>
      <c r="DY22" s="19">
        <v>0</v>
      </c>
      <c r="DZ22" s="19">
        <v>13200000</v>
      </c>
      <c r="EA22" s="19">
        <v>30000000</v>
      </c>
      <c r="EB22" s="19">
        <v>0</v>
      </c>
      <c r="EC22" s="19">
        <v>162000</v>
      </c>
      <c r="ED22" s="19">
        <v>20000000</v>
      </c>
      <c r="EE22" s="19">
        <v>0</v>
      </c>
      <c r="EF22" s="19">
        <v>50000000</v>
      </c>
      <c r="EG22" s="19">
        <v>475703511</v>
      </c>
      <c r="EH22" s="19">
        <v>0</v>
      </c>
      <c r="EI22" s="19">
        <v>1342195190</v>
      </c>
      <c r="EJ22" s="19">
        <v>5350000</v>
      </c>
      <c r="EK22" s="19">
        <v>50640000</v>
      </c>
      <c r="EL22" s="19">
        <v>178020000</v>
      </c>
      <c r="EM22" s="19">
        <v>300000000</v>
      </c>
      <c r="EN22" s="19">
        <v>502000000</v>
      </c>
      <c r="EO22" s="19">
        <v>18094000</v>
      </c>
      <c r="EP22" s="19"/>
      <c r="EQ22" s="19">
        <v>10000000</v>
      </c>
      <c r="ER22" s="19">
        <v>4755000</v>
      </c>
      <c r="ES22" s="19">
        <v>467000</v>
      </c>
      <c r="ET22" s="19">
        <v>255000000</v>
      </c>
      <c r="EU22" s="19">
        <v>333776700</v>
      </c>
      <c r="EV22" s="19">
        <v>5100000</v>
      </c>
      <c r="EW22" s="19">
        <v>16500000</v>
      </c>
      <c r="EX22" s="19">
        <v>246717150</v>
      </c>
      <c r="EY22" s="19">
        <v>21088000</v>
      </c>
      <c r="EZ22" s="19">
        <v>101600000</v>
      </c>
      <c r="FA22" s="19">
        <v>10000000</v>
      </c>
      <c r="FB22" s="19">
        <v>100000</v>
      </c>
      <c r="FC22" s="19">
        <v>177395982</v>
      </c>
      <c r="FD22" s="19">
        <v>20000000</v>
      </c>
      <c r="FE22" s="19">
        <v>397407500</v>
      </c>
      <c r="FF22" s="19">
        <v>0</v>
      </c>
      <c r="FG22" s="19">
        <v>99500000</v>
      </c>
      <c r="FH22" s="19">
        <v>50000000</v>
      </c>
      <c r="FI22" s="19" t="s">
        <v>96</v>
      </c>
      <c r="FJ22" s="19">
        <v>10590000</v>
      </c>
      <c r="FK22" s="19">
        <v>112386000</v>
      </c>
      <c r="FL22" s="19">
        <v>40300000</v>
      </c>
      <c r="FM22" s="19">
        <v>5558800</v>
      </c>
      <c r="FN22" s="19">
        <v>5000000</v>
      </c>
      <c r="FO22" s="19"/>
      <c r="FP22" s="19">
        <v>20000000</v>
      </c>
      <c r="FQ22" s="19">
        <v>10059800</v>
      </c>
      <c r="FR22" s="19">
        <v>20000000</v>
      </c>
      <c r="FS22" s="19">
        <v>6600000</v>
      </c>
      <c r="FT22" s="19">
        <v>170325500</v>
      </c>
      <c r="FU22" s="19"/>
      <c r="FV22" s="19">
        <v>62675000</v>
      </c>
      <c r="FW22" s="19"/>
      <c r="FX22" s="19">
        <v>0</v>
      </c>
      <c r="FY22" s="19">
        <v>105340000</v>
      </c>
      <c r="FZ22" s="19">
        <v>145140000</v>
      </c>
      <c r="GA22" s="19">
        <v>52063100</v>
      </c>
      <c r="GB22" s="19">
        <v>1564000</v>
      </c>
      <c r="GC22" s="19">
        <v>200000</v>
      </c>
      <c r="GD22" s="19" t="s">
        <v>96</v>
      </c>
      <c r="GE22" s="19">
        <v>20658000</v>
      </c>
      <c r="GF22" s="19">
        <v>40000000</v>
      </c>
      <c r="GG22" s="19">
        <v>33840000</v>
      </c>
      <c r="GH22" s="19">
        <v>10440000</v>
      </c>
      <c r="GI22" s="19">
        <v>2403500</v>
      </c>
      <c r="GJ22" s="19"/>
      <c r="GK22" s="19">
        <v>30200000</v>
      </c>
      <c r="GL22" s="19" t="s">
        <v>96</v>
      </c>
      <c r="GM22" s="19">
        <v>16000000</v>
      </c>
      <c r="GN22" s="19">
        <v>511827000</v>
      </c>
      <c r="GO22" s="19">
        <v>4840000</v>
      </c>
      <c r="GP22" s="19">
        <v>30593000</v>
      </c>
      <c r="GQ22" s="19">
        <v>9259900</v>
      </c>
      <c r="GR22" s="19">
        <v>263420000</v>
      </c>
      <c r="GS22" s="19">
        <v>5000000</v>
      </c>
      <c r="GT22" s="19">
        <v>47090000</v>
      </c>
      <c r="GU22" s="19">
        <v>150000000</v>
      </c>
      <c r="GV22" s="19">
        <v>40200000</v>
      </c>
      <c r="GW22" s="19">
        <v>422370000</v>
      </c>
      <c r="GX22" s="19">
        <v>10828000</v>
      </c>
      <c r="GY22" s="19">
        <v>45000000</v>
      </c>
      <c r="GZ22" s="19">
        <v>36875426</v>
      </c>
      <c r="HA22" s="19">
        <v>137614740</v>
      </c>
      <c r="HB22" s="19"/>
      <c r="HC22" s="19">
        <v>60377500</v>
      </c>
      <c r="HD22" s="19">
        <v>20000000</v>
      </c>
      <c r="HE22" s="19">
        <v>4593210</v>
      </c>
      <c r="HF22" s="19">
        <v>160000000</v>
      </c>
      <c r="HG22" s="19">
        <v>0</v>
      </c>
      <c r="HH22" s="19"/>
      <c r="HI22" s="19">
        <v>14900000</v>
      </c>
      <c r="HJ22" s="19">
        <v>38063240</v>
      </c>
      <c r="HK22" s="19">
        <v>95771027</v>
      </c>
      <c r="HL22" s="19">
        <v>50500000</v>
      </c>
      <c r="HM22" s="19">
        <v>102150000</v>
      </c>
      <c r="HN22" s="19">
        <v>5000000</v>
      </c>
      <c r="HO22" s="19">
        <v>0</v>
      </c>
      <c r="HP22" s="19">
        <v>140000000</v>
      </c>
      <c r="HQ22" s="19">
        <v>36573000</v>
      </c>
      <c r="HR22" s="19">
        <v>272539200</v>
      </c>
      <c r="HS22" s="19">
        <v>25000000</v>
      </c>
      <c r="HT22" s="19">
        <v>5878590</v>
      </c>
      <c r="HU22" s="19">
        <v>111115300</v>
      </c>
      <c r="HV22" s="19">
        <v>10030000</v>
      </c>
      <c r="HW22" s="19">
        <v>212434144</v>
      </c>
      <c r="HX22" s="19">
        <v>15919000</v>
      </c>
      <c r="HY22" s="19" t="s">
        <v>172</v>
      </c>
      <c r="HZ22" s="19">
        <v>22867839</v>
      </c>
      <c r="IA22" s="19"/>
      <c r="IB22" s="19">
        <v>138499990</v>
      </c>
      <c r="IC22" s="19">
        <v>11448000</v>
      </c>
      <c r="ID22" s="19">
        <v>200000</v>
      </c>
      <c r="IE22" s="19" t="s">
        <v>96</v>
      </c>
      <c r="IF22" s="19">
        <v>30000000</v>
      </c>
      <c r="IG22" s="19">
        <v>0</v>
      </c>
      <c r="IH22" s="19"/>
      <c r="II22" s="19">
        <v>42970000</v>
      </c>
      <c r="IJ22" s="19">
        <v>1036000</v>
      </c>
      <c r="IK22" s="19">
        <v>4580000</v>
      </c>
      <c r="IL22" s="19">
        <v>8217000</v>
      </c>
      <c r="IM22" s="19">
        <v>0</v>
      </c>
      <c r="IN22" s="19">
        <v>50180000</v>
      </c>
      <c r="IO22" s="19">
        <v>11999000</v>
      </c>
      <c r="IP22" s="19">
        <v>65320000</v>
      </c>
      <c r="IQ22" s="19">
        <v>300000</v>
      </c>
      <c r="IR22" s="19">
        <v>30000000</v>
      </c>
      <c r="IS22" s="19">
        <v>11000000</v>
      </c>
      <c r="IT22" s="19">
        <v>35000000</v>
      </c>
    </row>
    <row r="23" spans="1:254">
      <c r="A23" s="7" t="s">
        <v>94</v>
      </c>
      <c r="B23" s="8" t="s">
        <v>109</v>
      </c>
      <c r="C23" s="19">
        <v>125598825</v>
      </c>
      <c r="D23" s="19">
        <v>680622104</v>
      </c>
      <c r="E23" s="19">
        <v>378885201</v>
      </c>
      <c r="F23" s="19">
        <v>659423821</v>
      </c>
      <c r="G23" s="19">
        <v>317137329</v>
      </c>
      <c r="H23" s="19">
        <v>1519724248</v>
      </c>
      <c r="I23" s="19">
        <v>3267220709</v>
      </c>
      <c r="J23" s="19" t="s">
        <v>4</v>
      </c>
      <c r="K23" s="19">
        <v>345185550</v>
      </c>
      <c r="L23" s="19" t="s">
        <v>96</v>
      </c>
      <c r="M23" s="19" t="s">
        <v>96</v>
      </c>
      <c r="N23" s="19">
        <v>317420613</v>
      </c>
      <c r="O23" s="19">
        <v>6250992501</v>
      </c>
      <c r="P23" s="19">
        <v>2558565189</v>
      </c>
      <c r="Q23" s="19">
        <v>101914884</v>
      </c>
      <c r="R23" s="19">
        <v>344022921</v>
      </c>
      <c r="S23" s="19">
        <v>11988411789</v>
      </c>
      <c r="T23" s="19" t="s">
        <v>96</v>
      </c>
      <c r="U23" s="19">
        <v>1328096396</v>
      </c>
      <c r="V23" s="19" t="s">
        <v>172</v>
      </c>
      <c r="W23" s="19">
        <v>1070862196</v>
      </c>
      <c r="X23" s="19">
        <v>3851847620</v>
      </c>
      <c r="Y23" s="19">
        <v>165315890</v>
      </c>
      <c r="Z23" s="19">
        <v>6801113878</v>
      </c>
      <c r="AA23" s="19">
        <v>3429031306</v>
      </c>
      <c r="AB23" s="19">
        <v>7798435</v>
      </c>
      <c r="AC23" s="19">
        <v>857068335</v>
      </c>
      <c r="AD23" s="19">
        <v>5472476511</v>
      </c>
      <c r="AE23" s="19">
        <v>5537044534</v>
      </c>
      <c r="AF23" s="19">
        <v>224527598</v>
      </c>
      <c r="AG23" s="19">
        <v>1527161281</v>
      </c>
      <c r="AH23" s="19">
        <v>285403887</v>
      </c>
      <c r="AI23" s="19">
        <v>806416736</v>
      </c>
      <c r="AJ23" s="19">
        <v>368324697</v>
      </c>
      <c r="AK23" s="19">
        <v>885818077</v>
      </c>
      <c r="AL23" s="19">
        <v>453626535</v>
      </c>
      <c r="AM23" s="19" t="s">
        <v>4</v>
      </c>
      <c r="AN23" s="19">
        <v>1577654210</v>
      </c>
      <c r="AO23" s="19">
        <v>586127365</v>
      </c>
      <c r="AP23" s="19">
        <v>219044742</v>
      </c>
      <c r="AQ23" s="19" t="s">
        <v>96</v>
      </c>
      <c r="AR23" s="19">
        <v>682409554</v>
      </c>
      <c r="AS23" s="19">
        <v>1712941184</v>
      </c>
      <c r="AT23" s="19">
        <v>2461918784</v>
      </c>
      <c r="AU23" s="19">
        <v>9718423762</v>
      </c>
      <c r="AV23" s="19">
        <v>68095317</v>
      </c>
      <c r="AW23" s="19">
        <v>566717736</v>
      </c>
      <c r="AX23" s="19" t="s">
        <v>4</v>
      </c>
      <c r="AY23" s="19">
        <v>371507300</v>
      </c>
      <c r="AZ23" s="19">
        <v>279955057</v>
      </c>
      <c r="BA23" s="19">
        <v>2673598809</v>
      </c>
      <c r="BB23" s="19">
        <v>45046939</v>
      </c>
      <c r="BC23" s="19" t="s">
        <v>4</v>
      </c>
      <c r="BD23" s="19" t="s">
        <v>128</v>
      </c>
      <c r="BE23" s="19">
        <v>961503000</v>
      </c>
      <c r="BF23" s="19">
        <v>1505512919</v>
      </c>
      <c r="BG23" s="19">
        <v>823261972</v>
      </c>
      <c r="BH23" s="19">
        <v>860118930</v>
      </c>
      <c r="BI23" s="19">
        <v>66401099</v>
      </c>
      <c r="BJ23" s="19">
        <v>778525838</v>
      </c>
      <c r="BK23" s="19">
        <v>1794022600</v>
      </c>
      <c r="BL23" s="19">
        <v>123939330</v>
      </c>
      <c r="BM23" s="19">
        <v>1123452762</v>
      </c>
      <c r="BN23" s="19">
        <v>16968718</v>
      </c>
      <c r="BO23" s="19">
        <v>375052457</v>
      </c>
      <c r="BP23" s="19" t="s">
        <v>96</v>
      </c>
      <c r="BQ23" s="19" t="s">
        <v>4</v>
      </c>
      <c r="BR23" s="19">
        <v>1940891251</v>
      </c>
      <c r="BS23" s="19">
        <v>46973938</v>
      </c>
      <c r="BT23" s="19">
        <v>73692481</v>
      </c>
      <c r="BU23" s="19">
        <v>1194956480</v>
      </c>
      <c r="BV23" s="19">
        <v>247110397</v>
      </c>
      <c r="BW23" s="19">
        <v>10413240</v>
      </c>
      <c r="BX23" s="19">
        <v>72943990</v>
      </c>
      <c r="BY23" s="19">
        <v>2347818215</v>
      </c>
      <c r="BZ23" s="19">
        <v>293542726</v>
      </c>
      <c r="CA23" s="19">
        <v>1421625144</v>
      </c>
      <c r="CB23" s="19">
        <v>1658506421</v>
      </c>
      <c r="CC23" s="19">
        <v>140923063</v>
      </c>
      <c r="CD23" s="19">
        <v>650293031</v>
      </c>
      <c r="CE23" s="19">
        <v>50601283</v>
      </c>
      <c r="CF23" s="19">
        <v>1813414015</v>
      </c>
      <c r="CG23" s="19">
        <v>3945090</v>
      </c>
      <c r="CH23" s="19">
        <v>65535016</v>
      </c>
      <c r="CI23" s="19" t="s">
        <v>128</v>
      </c>
      <c r="CJ23" s="19">
        <v>525432355</v>
      </c>
      <c r="CK23" s="19">
        <v>6896717445</v>
      </c>
      <c r="CL23" s="19">
        <v>624547115</v>
      </c>
      <c r="CM23" s="19">
        <v>1133230290</v>
      </c>
      <c r="CN23" s="19">
        <v>99589291</v>
      </c>
      <c r="CO23" s="19">
        <v>16681585</v>
      </c>
      <c r="CP23" s="19">
        <v>1774167008</v>
      </c>
      <c r="CQ23" s="19" t="s">
        <v>96</v>
      </c>
      <c r="CR23" s="19">
        <v>111792181</v>
      </c>
      <c r="CS23" s="19">
        <v>1623058661</v>
      </c>
      <c r="CT23" s="19">
        <v>729903942</v>
      </c>
      <c r="CU23" s="19">
        <v>47940242</v>
      </c>
      <c r="CV23" s="19">
        <v>262297679</v>
      </c>
      <c r="CW23" s="19">
        <v>1277362090</v>
      </c>
      <c r="CX23" s="19">
        <v>3625525460</v>
      </c>
      <c r="CY23" s="19" t="s">
        <v>96</v>
      </c>
      <c r="CZ23" s="19">
        <v>1061452758</v>
      </c>
      <c r="DA23" s="19">
        <v>714499256</v>
      </c>
      <c r="DB23" s="19">
        <v>20562735</v>
      </c>
      <c r="DC23" s="19">
        <v>80559794</v>
      </c>
      <c r="DD23" s="19">
        <v>214795482</v>
      </c>
      <c r="DE23" s="19">
        <v>202413921</v>
      </c>
      <c r="DF23" s="19">
        <v>17437959</v>
      </c>
      <c r="DG23" s="19">
        <v>716226492</v>
      </c>
      <c r="DH23" s="19">
        <v>374056328</v>
      </c>
      <c r="DI23" s="19">
        <v>5672815662</v>
      </c>
      <c r="DJ23" s="19">
        <v>31233100</v>
      </c>
      <c r="DK23" s="19">
        <v>7628035928</v>
      </c>
      <c r="DL23" s="19">
        <v>592025730</v>
      </c>
      <c r="DM23" s="19">
        <v>1534316192</v>
      </c>
      <c r="DN23" s="19">
        <v>792844846</v>
      </c>
      <c r="DO23" s="19">
        <v>63703152</v>
      </c>
      <c r="DP23" s="19">
        <v>2494720877</v>
      </c>
      <c r="DQ23" s="19">
        <v>355679915</v>
      </c>
      <c r="DR23" s="19">
        <v>5504965083</v>
      </c>
      <c r="DS23" s="19">
        <v>25466163</v>
      </c>
      <c r="DT23" s="19">
        <v>909551866</v>
      </c>
      <c r="DU23" s="19">
        <v>111444939</v>
      </c>
      <c r="DV23" s="19">
        <v>21180199</v>
      </c>
      <c r="DW23" s="19">
        <v>628718598</v>
      </c>
      <c r="DX23" s="19">
        <v>1134598716</v>
      </c>
      <c r="DY23" s="19">
        <v>973910620</v>
      </c>
      <c r="DZ23" s="19">
        <v>231505554</v>
      </c>
      <c r="EA23" s="19">
        <v>8667866</v>
      </c>
      <c r="EB23" s="19">
        <v>3368853270</v>
      </c>
      <c r="EC23" s="19">
        <v>458507724</v>
      </c>
      <c r="ED23" s="19">
        <v>116772283</v>
      </c>
      <c r="EE23" s="19">
        <v>155281597</v>
      </c>
      <c r="EF23" s="19">
        <v>2050812523</v>
      </c>
      <c r="EG23" s="19">
        <v>2706764072</v>
      </c>
      <c r="EH23" s="19">
        <v>6132700648</v>
      </c>
      <c r="EI23" s="19">
        <v>3235667464</v>
      </c>
      <c r="EJ23" s="19">
        <v>103371133</v>
      </c>
      <c r="EK23" s="19">
        <v>136929893</v>
      </c>
      <c r="EL23" s="19">
        <v>1175524456</v>
      </c>
      <c r="EM23" s="19">
        <v>74179747</v>
      </c>
      <c r="EN23" s="19">
        <v>1225651716</v>
      </c>
      <c r="EO23" s="19">
        <v>264082973</v>
      </c>
      <c r="EP23" s="19">
        <v>13811807</v>
      </c>
      <c r="EQ23" s="19">
        <v>332490000</v>
      </c>
      <c r="ER23" s="19">
        <v>1618796985</v>
      </c>
      <c r="ES23" s="19">
        <v>2823122564</v>
      </c>
      <c r="ET23" s="19">
        <v>214763988</v>
      </c>
      <c r="EU23" s="19">
        <v>1233348557</v>
      </c>
      <c r="EV23" s="19">
        <v>155535958</v>
      </c>
      <c r="EW23" s="19">
        <v>312051056</v>
      </c>
      <c r="EX23" s="19">
        <v>2385860382</v>
      </c>
      <c r="EY23" s="19">
        <v>2819038329</v>
      </c>
      <c r="EZ23" s="19">
        <v>287422924</v>
      </c>
      <c r="FA23" s="19">
        <v>2419280513</v>
      </c>
      <c r="FB23" s="19">
        <v>324355350</v>
      </c>
      <c r="FC23" s="19">
        <v>1076787916</v>
      </c>
      <c r="FD23" s="19">
        <v>442674740</v>
      </c>
      <c r="FE23" s="19">
        <v>4374236224</v>
      </c>
      <c r="FF23" s="19">
        <v>58546514</v>
      </c>
      <c r="FG23" s="19">
        <v>1166851629</v>
      </c>
      <c r="FH23" s="19">
        <v>290357195</v>
      </c>
      <c r="FI23" s="19" t="s">
        <v>96</v>
      </c>
      <c r="FJ23" s="19">
        <v>12878466</v>
      </c>
      <c r="FK23" s="19">
        <v>557072587</v>
      </c>
      <c r="FL23" s="19">
        <v>317461431</v>
      </c>
      <c r="FM23" s="19">
        <v>428840523</v>
      </c>
      <c r="FN23" s="19">
        <v>771971419</v>
      </c>
      <c r="FO23" s="19">
        <v>70303284</v>
      </c>
      <c r="FP23" s="19">
        <v>444614418</v>
      </c>
      <c r="FQ23" s="19">
        <v>265688191</v>
      </c>
      <c r="FR23" s="19">
        <v>193081359</v>
      </c>
      <c r="FS23" s="19">
        <v>599038953</v>
      </c>
      <c r="FT23" s="19">
        <v>1893349901</v>
      </c>
      <c r="FU23" s="19">
        <v>8095307</v>
      </c>
      <c r="FV23" s="19">
        <v>1896985336</v>
      </c>
      <c r="FW23" s="19">
        <v>273508854</v>
      </c>
      <c r="FX23" s="19">
        <v>342169185</v>
      </c>
      <c r="FY23" s="19">
        <v>1324492762</v>
      </c>
      <c r="FZ23" s="19">
        <v>955503284</v>
      </c>
      <c r="GA23" s="19">
        <v>516169125</v>
      </c>
      <c r="GB23" s="19">
        <v>213016820</v>
      </c>
      <c r="GC23" s="19">
        <v>135063791</v>
      </c>
      <c r="GD23" s="19" t="s">
        <v>96</v>
      </c>
      <c r="GE23" s="19">
        <v>548465308</v>
      </c>
      <c r="GF23" s="19">
        <v>409926219</v>
      </c>
      <c r="GG23" s="19">
        <v>1703890592</v>
      </c>
      <c r="GH23" s="19">
        <v>340516300</v>
      </c>
      <c r="GI23" s="19">
        <v>122746015</v>
      </c>
      <c r="GJ23" s="19">
        <v>19000000</v>
      </c>
      <c r="GK23" s="19">
        <v>79535817</v>
      </c>
      <c r="GL23" s="19" t="s">
        <v>96</v>
      </c>
      <c r="GM23" s="19">
        <v>65511475</v>
      </c>
      <c r="GN23" s="19">
        <v>1676662732</v>
      </c>
      <c r="GO23" s="19">
        <v>3775423440</v>
      </c>
      <c r="GP23" s="19">
        <v>3478536934</v>
      </c>
      <c r="GQ23" s="19">
        <v>42205412</v>
      </c>
      <c r="GR23" s="19">
        <v>456187155</v>
      </c>
      <c r="GS23" s="19">
        <v>733757733</v>
      </c>
      <c r="GT23" s="19">
        <v>616995007</v>
      </c>
      <c r="GU23" s="19">
        <v>99777891</v>
      </c>
      <c r="GV23" s="19">
        <v>892134000</v>
      </c>
      <c r="GW23" s="19">
        <v>1878418412</v>
      </c>
      <c r="GX23" s="19">
        <v>809538945</v>
      </c>
      <c r="GY23" s="19">
        <v>149289133</v>
      </c>
      <c r="GZ23" s="19">
        <v>4264994417</v>
      </c>
      <c r="HA23" s="19">
        <v>965274482</v>
      </c>
      <c r="HB23" s="19">
        <v>149664303</v>
      </c>
      <c r="HC23" s="19">
        <v>695435640</v>
      </c>
      <c r="HD23" s="19">
        <v>129357656</v>
      </c>
      <c r="HE23" s="19">
        <v>665210828</v>
      </c>
      <c r="HF23" s="19">
        <v>616646982</v>
      </c>
      <c r="HG23" s="19">
        <v>40724258</v>
      </c>
      <c r="HH23" s="19">
        <v>18737881</v>
      </c>
      <c r="HI23" s="19">
        <v>853950394</v>
      </c>
      <c r="HJ23" s="19">
        <v>510563681</v>
      </c>
      <c r="HK23" s="19">
        <v>1002767620</v>
      </c>
      <c r="HL23" s="19">
        <v>17946069</v>
      </c>
      <c r="HM23" s="19">
        <v>290103359</v>
      </c>
      <c r="HN23" s="19">
        <v>6170656</v>
      </c>
      <c r="HO23" s="19">
        <v>729397401</v>
      </c>
      <c r="HP23" s="19">
        <v>265094000</v>
      </c>
      <c r="HQ23" s="19">
        <v>147385983</v>
      </c>
      <c r="HR23" s="19">
        <v>3378510050</v>
      </c>
      <c r="HS23" s="19">
        <v>288516296</v>
      </c>
      <c r="HT23" s="19">
        <v>237408298</v>
      </c>
      <c r="HU23" s="19">
        <v>1113946978</v>
      </c>
      <c r="HV23" s="19">
        <v>123221176</v>
      </c>
      <c r="HW23" s="19">
        <v>18739458526</v>
      </c>
      <c r="HX23" s="19">
        <v>2786207386</v>
      </c>
      <c r="HY23" s="19" t="s">
        <v>172</v>
      </c>
      <c r="HZ23" s="19">
        <v>3425581584</v>
      </c>
      <c r="IA23" s="19">
        <v>2829130</v>
      </c>
      <c r="IB23" s="19">
        <v>3944988238</v>
      </c>
      <c r="IC23" s="19">
        <v>650355155</v>
      </c>
      <c r="ID23" s="19">
        <v>31415178</v>
      </c>
      <c r="IE23" s="19" t="s">
        <v>96</v>
      </c>
      <c r="IF23" s="19">
        <v>28916490</v>
      </c>
      <c r="IG23" s="19">
        <v>64343860</v>
      </c>
      <c r="IH23" s="19">
        <v>97131523</v>
      </c>
      <c r="II23" s="19">
        <v>286377883</v>
      </c>
      <c r="IJ23" s="19">
        <v>138565150</v>
      </c>
      <c r="IK23" s="19">
        <v>512100034</v>
      </c>
      <c r="IL23" s="19">
        <v>157863983</v>
      </c>
      <c r="IM23" s="19">
        <v>382400169</v>
      </c>
      <c r="IN23" s="19">
        <v>194681824</v>
      </c>
      <c r="IO23" s="19">
        <v>510407229</v>
      </c>
      <c r="IP23" s="19">
        <v>175762134</v>
      </c>
      <c r="IQ23" s="19">
        <v>414836377</v>
      </c>
      <c r="IR23" s="19">
        <v>562251208</v>
      </c>
      <c r="IS23" s="19">
        <v>3834835913</v>
      </c>
      <c r="IT23" s="19">
        <v>1087691376</v>
      </c>
    </row>
    <row r="24" spans="1:254">
      <c r="A24" s="7" t="s">
        <v>94</v>
      </c>
      <c r="B24" s="8" t="s">
        <v>99</v>
      </c>
      <c r="C24" s="19">
        <v>125598825</v>
      </c>
      <c r="D24" s="19">
        <v>520622104</v>
      </c>
      <c r="E24" s="19">
        <v>103885201</v>
      </c>
      <c r="F24" s="19">
        <v>105073821</v>
      </c>
      <c r="G24" s="19">
        <v>10151079</v>
      </c>
      <c r="H24" s="19">
        <v>28180830</v>
      </c>
      <c r="I24" s="19">
        <v>430786093</v>
      </c>
      <c r="J24" s="19" t="s">
        <v>4</v>
      </c>
      <c r="K24" s="19">
        <v>334311290</v>
      </c>
      <c r="L24" s="19" t="s">
        <v>96</v>
      </c>
      <c r="M24" s="19" t="s">
        <v>96</v>
      </c>
      <c r="N24" s="19">
        <v>146085257</v>
      </c>
      <c r="O24" s="19">
        <v>1247514435</v>
      </c>
      <c r="P24" s="19">
        <v>380576259</v>
      </c>
      <c r="Q24" s="19">
        <v>23764884</v>
      </c>
      <c r="R24" s="19">
        <v>66052180</v>
      </c>
      <c r="S24" s="19">
        <v>2024187850</v>
      </c>
      <c r="T24" s="19" t="s">
        <v>96</v>
      </c>
      <c r="U24" s="19">
        <v>322527837</v>
      </c>
      <c r="V24" s="19" t="s">
        <v>172</v>
      </c>
      <c r="W24" s="19">
        <v>79692873</v>
      </c>
      <c r="X24" s="19">
        <v>267217620</v>
      </c>
      <c r="Y24" s="19">
        <v>30336205</v>
      </c>
      <c r="Z24" s="19">
        <v>879723532</v>
      </c>
      <c r="AA24" s="19">
        <v>1829031306</v>
      </c>
      <c r="AB24" s="19">
        <v>7798435</v>
      </c>
      <c r="AC24" s="19">
        <v>257068335</v>
      </c>
      <c r="AD24" s="19">
        <v>392809571</v>
      </c>
      <c r="AE24" s="19">
        <v>119704003</v>
      </c>
      <c r="AF24" s="19">
        <v>9527598</v>
      </c>
      <c r="AG24" s="19">
        <v>424437747</v>
      </c>
      <c r="AH24" s="19">
        <v>235403887</v>
      </c>
      <c r="AI24" s="19">
        <v>131259224</v>
      </c>
      <c r="AJ24" s="19">
        <v>44545841</v>
      </c>
      <c r="AK24" s="19">
        <v>885818077</v>
      </c>
      <c r="AL24" s="19">
        <v>332723756</v>
      </c>
      <c r="AM24" s="19" t="s">
        <v>4</v>
      </c>
      <c r="AN24" s="19">
        <v>82869881</v>
      </c>
      <c r="AO24" s="19">
        <v>586127365</v>
      </c>
      <c r="AP24" s="19">
        <v>135902946</v>
      </c>
      <c r="AQ24" s="19" t="s">
        <v>96</v>
      </c>
      <c r="AR24" s="19">
        <v>326376176</v>
      </c>
      <c r="AS24" s="19">
        <v>1712941184</v>
      </c>
      <c r="AT24" s="19">
        <v>97263145</v>
      </c>
      <c r="AU24" s="19">
        <v>548904982</v>
      </c>
      <c r="AV24" s="19">
        <v>64748930</v>
      </c>
      <c r="AW24" s="19">
        <v>566717736</v>
      </c>
      <c r="AX24" s="19" t="s">
        <v>4</v>
      </c>
      <c r="AY24" s="19">
        <v>41807240</v>
      </c>
      <c r="AZ24" s="19">
        <v>129955057</v>
      </c>
      <c r="BA24" s="19">
        <v>2163598809</v>
      </c>
      <c r="BB24" s="19">
        <v>45046939</v>
      </c>
      <c r="BC24" s="19" t="s">
        <v>4</v>
      </c>
      <c r="BD24" s="19" t="s">
        <v>128</v>
      </c>
      <c r="BE24" s="19">
        <v>417212258</v>
      </c>
      <c r="BF24" s="19">
        <v>1105512919</v>
      </c>
      <c r="BG24" s="19">
        <v>357047008</v>
      </c>
      <c r="BH24" s="19">
        <v>310118930</v>
      </c>
      <c r="BI24" s="19">
        <v>66401099</v>
      </c>
      <c r="BJ24" s="19">
        <v>278521592</v>
      </c>
      <c r="BK24" s="19">
        <v>311324248</v>
      </c>
      <c r="BL24" s="19">
        <v>82467266</v>
      </c>
      <c r="BM24" s="19">
        <v>285602762</v>
      </c>
      <c r="BN24" s="19">
        <v>16968718</v>
      </c>
      <c r="BO24" s="19">
        <v>48782512</v>
      </c>
      <c r="BP24" s="19" t="s">
        <v>96</v>
      </c>
      <c r="BQ24" s="19" t="s">
        <v>4</v>
      </c>
      <c r="BR24" s="19">
        <v>389595230</v>
      </c>
      <c r="BS24" s="19">
        <v>46973938</v>
      </c>
      <c r="BT24" s="19">
        <v>73692481</v>
      </c>
      <c r="BU24" s="19">
        <v>324942344</v>
      </c>
      <c r="BV24" s="19">
        <v>247110397</v>
      </c>
      <c r="BW24" s="19">
        <v>10413240</v>
      </c>
      <c r="BX24" s="19">
        <v>72943990</v>
      </c>
      <c r="BY24" s="19">
        <v>1301521330</v>
      </c>
      <c r="BZ24" s="19">
        <v>293542726</v>
      </c>
      <c r="CA24" s="19">
        <v>161692882</v>
      </c>
      <c r="CB24" s="19">
        <v>129555083</v>
      </c>
      <c r="CC24" s="19">
        <v>140923063</v>
      </c>
      <c r="CD24" s="19">
        <v>650293031</v>
      </c>
      <c r="CE24" s="19">
        <v>47081085</v>
      </c>
      <c r="CF24" s="19">
        <v>1813414015</v>
      </c>
      <c r="CG24" s="19">
        <v>3945090</v>
      </c>
      <c r="CH24" s="19">
        <v>65535016</v>
      </c>
      <c r="CI24" s="19" t="s">
        <v>128</v>
      </c>
      <c r="CJ24" s="19">
        <v>352282355</v>
      </c>
      <c r="CK24" s="19">
        <v>2207871054</v>
      </c>
      <c r="CL24" s="19">
        <v>67808375</v>
      </c>
      <c r="CM24" s="19">
        <v>669713930</v>
      </c>
      <c r="CN24" s="19">
        <v>55489291</v>
      </c>
      <c r="CO24" s="19">
        <v>12680160</v>
      </c>
      <c r="CP24" s="19">
        <v>770824722</v>
      </c>
      <c r="CQ24" s="19" t="s">
        <v>96</v>
      </c>
      <c r="CR24" s="19">
        <v>111792181</v>
      </c>
      <c r="CS24" s="19">
        <v>394534023</v>
      </c>
      <c r="CT24" s="19">
        <v>295643712</v>
      </c>
      <c r="CU24" s="19">
        <v>4983126</v>
      </c>
      <c r="CV24" s="19">
        <v>175863302</v>
      </c>
      <c r="CW24" s="19">
        <v>77362090</v>
      </c>
      <c r="CX24" s="19">
        <v>3275656588</v>
      </c>
      <c r="CY24" s="19" t="s">
        <v>96</v>
      </c>
      <c r="CZ24" s="19">
        <v>604754958</v>
      </c>
      <c r="DA24" s="19">
        <v>384499256</v>
      </c>
      <c r="DB24" s="19">
        <v>20562735</v>
      </c>
      <c r="DC24" s="19">
        <v>77786012</v>
      </c>
      <c r="DD24" s="19">
        <v>10372916</v>
      </c>
      <c r="DE24" s="19">
        <v>64973921</v>
      </c>
      <c r="DF24" s="19">
        <v>10397959</v>
      </c>
      <c r="DG24" s="19">
        <v>716226492</v>
      </c>
      <c r="DH24" s="19">
        <v>124056328</v>
      </c>
      <c r="DI24" s="19">
        <v>281533567</v>
      </c>
      <c r="DJ24" s="19">
        <v>31233100</v>
      </c>
      <c r="DK24" s="19">
        <v>3289945928</v>
      </c>
      <c r="DL24" s="19">
        <v>49236525</v>
      </c>
      <c r="DM24" s="19">
        <v>1534316192</v>
      </c>
      <c r="DN24" s="19">
        <v>151324889</v>
      </c>
      <c r="DO24" s="19">
        <v>63703152</v>
      </c>
      <c r="DP24" s="19">
        <v>2494720877</v>
      </c>
      <c r="DQ24" s="19">
        <v>90679915</v>
      </c>
      <c r="DR24" s="19">
        <v>146782382</v>
      </c>
      <c r="DS24" s="19">
        <v>17845241</v>
      </c>
      <c r="DT24" s="19">
        <v>272551866</v>
      </c>
      <c r="DU24" s="19">
        <v>111444939</v>
      </c>
      <c r="DV24" s="19">
        <v>21180199</v>
      </c>
      <c r="DW24" s="19">
        <v>28718598</v>
      </c>
      <c r="DX24" s="19">
        <v>976468716</v>
      </c>
      <c r="DY24" s="19">
        <v>123910620</v>
      </c>
      <c r="DZ24" s="19">
        <v>56505554</v>
      </c>
      <c r="EA24" s="19">
        <v>5936538</v>
      </c>
      <c r="EB24" s="19">
        <v>965723270</v>
      </c>
      <c r="EC24" s="19">
        <v>93507724</v>
      </c>
      <c r="ED24" s="19">
        <v>116772283</v>
      </c>
      <c r="EE24" s="19">
        <v>125281597</v>
      </c>
      <c r="EF24" s="19">
        <v>265886925</v>
      </c>
      <c r="EG24" s="19">
        <v>1742546807</v>
      </c>
      <c r="EH24" s="19">
        <v>85059310</v>
      </c>
      <c r="EI24" s="19">
        <v>3057499668</v>
      </c>
      <c r="EJ24" s="19">
        <v>33776253</v>
      </c>
      <c r="EK24" s="19">
        <v>42875039</v>
      </c>
      <c r="EL24" s="19">
        <v>623245199</v>
      </c>
      <c r="EM24" s="19">
        <v>74179747</v>
      </c>
      <c r="EN24" s="19">
        <v>514196339</v>
      </c>
      <c r="EO24" s="19">
        <v>54499800</v>
      </c>
      <c r="EP24" s="19">
        <v>13811807</v>
      </c>
      <c r="EQ24" s="19">
        <v>0</v>
      </c>
      <c r="ER24" s="19">
        <v>740594348</v>
      </c>
      <c r="ES24" s="19">
        <v>92026779</v>
      </c>
      <c r="ET24" s="19">
        <v>200216692</v>
      </c>
      <c r="EU24" s="19">
        <v>1215235187</v>
      </c>
      <c r="EV24" s="19">
        <v>23303908</v>
      </c>
      <c r="EW24" s="19">
        <v>122834616</v>
      </c>
      <c r="EX24" s="19">
        <v>573439122</v>
      </c>
      <c r="EY24" s="19">
        <v>2819038329</v>
      </c>
      <c r="EZ24" s="19">
        <v>95551513</v>
      </c>
      <c r="FA24" s="19">
        <v>1401766143</v>
      </c>
      <c r="FB24" s="19">
        <v>274355350</v>
      </c>
      <c r="FC24" s="19">
        <v>507848399</v>
      </c>
      <c r="FD24" s="19">
        <v>67525191</v>
      </c>
      <c r="FE24" s="19">
        <v>3774236224</v>
      </c>
      <c r="FF24" s="19">
        <v>58546514</v>
      </c>
      <c r="FG24" s="19">
        <v>566851629</v>
      </c>
      <c r="FH24" s="19">
        <v>290357195</v>
      </c>
      <c r="FI24" s="19" t="s">
        <v>96</v>
      </c>
      <c r="FJ24" s="19">
        <v>12878466</v>
      </c>
      <c r="FK24" s="19">
        <v>385504711</v>
      </c>
      <c r="FL24" s="19">
        <v>5933452</v>
      </c>
      <c r="FM24" s="19">
        <v>336370052</v>
      </c>
      <c r="FN24" s="19">
        <v>771971419</v>
      </c>
      <c r="FO24" s="19">
        <v>4303284</v>
      </c>
      <c r="FP24" s="19">
        <v>36204418</v>
      </c>
      <c r="FQ24" s="19">
        <v>15688191</v>
      </c>
      <c r="FR24" s="19">
        <v>193081359</v>
      </c>
      <c r="FS24" s="19">
        <v>83079140</v>
      </c>
      <c r="FT24" s="19">
        <v>984209414</v>
      </c>
      <c r="FU24" s="19">
        <v>8095307</v>
      </c>
      <c r="FV24" s="19">
        <v>51985336</v>
      </c>
      <c r="FW24" s="19">
        <v>263508854</v>
      </c>
      <c r="FX24" s="19">
        <v>342169185</v>
      </c>
      <c r="FY24" s="19">
        <v>915450777</v>
      </c>
      <c r="FZ24" s="19">
        <v>655503284</v>
      </c>
      <c r="GA24" s="19">
        <v>516169125</v>
      </c>
      <c r="GB24" s="19">
        <v>213016820</v>
      </c>
      <c r="GC24" s="19">
        <v>127546458</v>
      </c>
      <c r="GD24" s="19" t="s">
        <v>96</v>
      </c>
      <c r="GE24" s="19">
        <v>548465308</v>
      </c>
      <c r="GF24" s="19">
        <v>89926219</v>
      </c>
      <c r="GG24" s="19">
        <v>447322556</v>
      </c>
      <c r="GH24" s="19">
        <v>24597642</v>
      </c>
      <c r="GI24" s="19">
        <v>27388515</v>
      </c>
      <c r="GJ24" s="19">
        <v>0</v>
      </c>
      <c r="GK24" s="19">
        <v>79535817</v>
      </c>
      <c r="GL24" s="19" t="s">
        <v>96</v>
      </c>
      <c r="GM24" s="19">
        <v>25511475</v>
      </c>
      <c r="GN24" s="19">
        <v>1627105732</v>
      </c>
      <c r="GO24" s="19">
        <v>762073440</v>
      </c>
      <c r="GP24" s="19">
        <v>688027334</v>
      </c>
      <c r="GQ24" s="19">
        <v>42205412</v>
      </c>
      <c r="GR24" s="19">
        <v>163364769</v>
      </c>
      <c r="GS24" s="19">
        <v>559454783</v>
      </c>
      <c r="GT24" s="19">
        <v>132895675</v>
      </c>
      <c r="GU24" s="19">
        <v>99777891</v>
      </c>
      <c r="GV24" s="19">
        <v>434410260</v>
      </c>
      <c r="GW24" s="19">
        <v>1516434766</v>
      </c>
      <c r="GX24" s="19">
        <v>147058945</v>
      </c>
      <c r="GY24" s="19">
        <v>54670445</v>
      </c>
      <c r="GZ24" s="19">
        <v>448247959</v>
      </c>
      <c r="HA24" s="19">
        <v>394265511</v>
      </c>
      <c r="HB24" s="19">
        <v>149664303</v>
      </c>
      <c r="HC24" s="19">
        <v>205435640</v>
      </c>
      <c r="HD24" s="19">
        <v>129357656</v>
      </c>
      <c r="HE24" s="19">
        <v>395210828</v>
      </c>
      <c r="HF24" s="19">
        <v>581646982</v>
      </c>
      <c r="HG24" s="19">
        <v>40724258</v>
      </c>
      <c r="HH24" s="19">
        <v>0</v>
      </c>
      <c r="HI24" s="19">
        <v>744794100</v>
      </c>
      <c r="HJ24" s="19">
        <v>54512372</v>
      </c>
      <c r="HK24" s="19">
        <v>919467620</v>
      </c>
      <c r="HL24" s="19">
        <v>17946069</v>
      </c>
      <c r="HM24" s="19">
        <v>10453356</v>
      </c>
      <c r="HN24" s="19">
        <v>6170656</v>
      </c>
      <c r="HO24" s="19">
        <v>229397401</v>
      </c>
      <c r="HP24" s="19">
        <v>36557330</v>
      </c>
      <c r="HQ24" s="19">
        <v>147385983</v>
      </c>
      <c r="HR24" s="19">
        <v>2948151732</v>
      </c>
      <c r="HS24" s="19">
        <v>288516296</v>
      </c>
      <c r="HT24" s="19">
        <v>132408298</v>
      </c>
      <c r="HU24" s="19">
        <v>1113946978</v>
      </c>
      <c r="HV24" s="19">
        <v>123221176</v>
      </c>
      <c r="HW24" s="19">
        <v>17125617153</v>
      </c>
      <c r="HX24" s="19">
        <v>81767386</v>
      </c>
      <c r="HY24" s="19" t="s">
        <v>172</v>
      </c>
      <c r="HZ24" s="19">
        <v>295765472</v>
      </c>
      <c r="IA24" s="19">
        <v>2829130</v>
      </c>
      <c r="IB24" s="19">
        <v>1938453273</v>
      </c>
      <c r="IC24" s="19">
        <v>11946657</v>
      </c>
      <c r="ID24" s="19">
        <v>31415178</v>
      </c>
      <c r="IE24" s="19" t="s">
        <v>96</v>
      </c>
      <c r="IF24" s="19">
        <v>20555480</v>
      </c>
      <c r="IG24" s="19">
        <v>64343860</v>
      </c>
      <c r="IH24" s="19">
        <v>97131523</v>
      </c>
      <c r="II24" s="19">
        <v>173169577</v>
      </c>
      <c r="IJ24" s="19">
        <v>97145150</v>
      </c>
      <c r="IK24" s="19">
        <v>112100034</v>
      </c>
      <c r="IL24" s="19">
        <v>157863983</v>
      </c>
      <c r="IM24" s="19">
        <v>382400169</v>
      </c>
      <c r="IN24" s="19">
        <v>194681824</v>
      </c>
      <c r="IO24" s="19">
        <v>60407229</v>
      </c>
      <c r="IP24" s="19">
        <v>147627134</v>
      </c>
      <c r="IQ24" s="19">
        <v>114512929</v>
      </c>
      <c r="IR24" s="19">
        <v>90376208</v>
      </c>
      <c r="IS24" s="19">
        <v>382065913</v>
      </c>
      <c r="IT24" s="19">
        <v>187691376</v>
      </c>
    </row>
    <row r="25" spans="1:254">
      <c r="A25" s="7" t="s">
        <v>94</v>
      </c>
      <c r="B25" s="11" t="s">
        <v>21</v>
      </c>
      <c r="C25" s="19">
        <v>0</v>
      </c>
      <c r="D25" s="19">
        <v>407750325</v>
      </c>
      <c r="E25" s="19">
        <v>50721877</v>
      </c>
      <c r="F25" s="19">
        <v>0</v>
      </c>
      <c r="G25" s="19">
        <v>0</v>
      </c>
      <c r="H25" s="19"/>
      <c r="I25" s="19">
        <v>0</v>
      </c>
      <c r="J25" s="19" t="s">
        <v>4</v>
      </c>
      <c r="K25" s="19">
        <v>301411277</v>
      </c>
      <c r="L25" s="19" t="s">
        <v>96</v>
      </c>
      <c r="M25" s="19" t="s">
        <v>96</v>
      </c>
      <c r="N25" s="19">
        <v>70000000</v>
      </c>
      <c r="O25" s="19">
        <v>94324605</v>
      </c>
      <c r="P25" s="19">
        <v>54261078</v>
      </c>
      <c r="Q25" s="19">
        <v>4054809</v>
      </c>
      <c r="R25" s="19">
        <v>2743287</v>
      </c>
      <c r="S25" s="19">
        <v>665979577</v>
      </c>
      <c r="T25" s="19" t="s">
        <v>96</v>
      </c>
      <c r="U25" s="19"/>
      <c r="V25" s="19" t="s">
        <v>172</v>
      </c>
      <c r="W25" s="19">
        <v>22931274</v>
      </c>
      <c r="X25" s="19"/>
      <c r="Y25" s="19"/>
      <c r="Z25" s="19"/>
      <c r="AA25" s="19">
        <v>57611753</v>
      </c>
      <c r="AB25" s="19"/>
      <c r="AC25" s="19">
        <v>46584217</v>
      </c>
      <c r="AD25" s="19">
        <v>66596185</v>
      </c>
      <c r="AE25" s="19">
        <v>88844096</v>
      </c>
      <c r="AF25" s="19">
        <v>0</v>
      </c>
      <c r="AG25" s="19">
        <v>314924</v>
      </c>
      <c r="AH25" s="19"/>
      <c r="AI25" s="19">
        <v>20600</v>
      </c>
      <c r="AJ25" s="19">
        <v>6599587</v>
      </c>
      <c r="AK25" s="19">
        <v>168303840</v>
      </c>
      <c r="AL25" s="19">
        <v>1724160</v>
      </c>
      <c r="AM25" s="19" t="s">
        <v>4</v>
      </c>
      <c r="AN25" s="19"/>
      <c r="AO25" s="19">
        <v>11831141</v>
      </c>
      <c r="AP25" s="19"/>
      <c r="AQ25" s="19" t="s">
        <v>96</v>
      </c>
      <c r="AR25" s="19">
        <v>0</v>
      </c>
      <c r="AS25" s="19"/>
      <c r="AT25" s="19">
        <v>17171000</v>
      </c>
      <c r="AU25" s="19">
        <v>258021548</v>
      </c>
      <c r="AV25" s="19"/>
      <c r="AW25" s="19"/>
      <c r="AX25" s="19" t="s">
        <v>4</v>
      </c>
      <c r="AY25" s="19"/>
      <c r="AZ25" s="19">
        <v>1247559</v>
      </c>
      <c r="BA25" s="19">
        <v>1076609976</v>
      </c>
      <c r="BB25" s="19"/>
      <c r="BC25" s="19" t="s">
        <v>4</v>
      </c>
      <c r="BD25" s="19" t="s">
        <v>128</v>
      </c>
      <c r="BE25" s="19">
        <v>43210290</v>
      </c>
      <c r="BF25" s="19">
        <v>64850506</v>
      </c>
      <c r="BG25" s="19">
        <v>8843582</v>
      </c>
      <c r="BH25" s="19">
        <v>0</v>
      </c>
      <c r="BI25" s="19">
        <v>832920</v>
      </c>
      <c r="BJ25" s="19">
        <v>96814824</v>
      </c>
      <c r="BK25" s="19"/>
      <c r="BL25" s="19">
        <v>9285587</v>
      </c>
      <c r="BM25" s="19">
        <v>108323660</v>
      </c>
      <c r="BN25" s="19">
        <v>1544488</v>
      </c>
      <c r="BO25" s="19">
        <v>18540653</v>
      </c>
      <c r="BP25" s="19" t="s">
        <v>96</v>
      </c>
      <c r="BQ25" s="19" t="s">
        <v>4</v>
      </c>
      <c r="BR25" s="19"/>
      <c r="BS25" s="19"/>
      <c r="BT25" s="19"/>
      <c r="BU25" s="19"/>
      <c r="BV25" s="19"/>
      <c r="BW25" s="19">
        <v>88000</v>
      </c>
      <c r="BX25" s="19"/>
      <c r="BY25" s="19">
        <v>437737514</v>
      </c>
      <c r="BZ25" s="19">
        <v>195732435</v>
      </c>
      <c r="CA25" s="19"/>
      <c r="CB25" s="19"/>
      <c r="CC25" s="19">
        <v>37089364</v>
      </c>
      <c r="CD25" s="19"/>
      <c r="CE25" s="19"/>
      <c r="CF25" s="19">
        <v>82839500</v>
      </c>
      <c r="CG25" s="19">
        <v>267000</v>
      </c>
      <c r="CH25" s="19"/>
      <c r="CI25" s="19" t="s">
        <v>128</v>
      </c>
      <c r="CJ25" s="19">
        <v>183562482</v>
      </c>
      <c r="CK25" s="19">
        <v>1010957101</v>
      </c>
      <c r="CL25" s="19">
        <v>32857745</v>
      </c>
      <c r="CM25" s="19"/>
      <c r="CN25" s="19"/>
      <c r="CO25" s="19">
        <v>8243062</v>
      </c>
      <c r="CP25" s="19">
        <v>7450174</v>
      </c>
      <c r="CQ25" s="19" t="s">
        <v>96</v>
      </c>
      <c r="CR25" s="19">
        <v>11395394</v>
      </c>
      <c r="CS25" s="19">
        <v>74801479</v>
      </c>
      <c r="CT25" s="19"/>
      <c r="CU25" s="19"/>
      <c r="CV25" s="19">
        <v>4529</v>
      </c>
      <c r="CW25" s="19"/>
      <c r="CX25" s="19"/>
      <c r="CY25" s="19" t="s">
        <v>96</v>
      </c>
      <c r="CZ25" s="19"/>
      <c r="DA25" s="19">
        <v>240721798</v>
      </c>
      <c r="DB25" s="19"/>
      <c r="DC25" s="19"/>
      <c r="DD25" s="19"/>
      <c r="DE25" s="19">
        <v>847200</v>
      </c>
      <c r="DF25" s="19">
        <v>2778160</v>
      </c>
      <c r="DG25" s="19"/>
      <c r="DH25" s="19"/>
      <c r="DI25" s="19">
        <v>131934564</v>
      </c>
      <c r="DJ25" s="19"/>
      <c r="DK25" s="19">
        <v>1873930193</v>
      </c>
      <c r="DL25" s="19"/>
      <c r="DM25" s="19">
        <v>52320770</v>
      </c>
      <c r="DN25" s="19">
        <v>65532072</v>
      </c>
      <c r="DO25" s="19">
        <v>16779920</v>
      </c>
      <c r="DP25" s="19">
        <v>51817800</v>
      </c>
      <c r="DQ25" s="19">
        <v>35957218</v>
      </c>
      <c r="DR25" s="19"/>
      <c r="DS25" s="19">
        <v>7307775</v>
      </c>
      <c r="DT25" s="19">
        <v>2082971</v>
      </c>
      <c r="DU25" s="19"/>
      <c r="DV25" s="19"/>
      <c r="DW25" s="19"/>
      <c r="DX25" s="19">
        <v>2200000</v>
      </c>
      <c r="DY25" s="19">
        <v>38436021</v>
      </c>
      <c r="DZ25" s="19">
        <v>9097000</v>
      </c>
      <c r="EA25" s="19"/>
      <c r="EB25" s="19"/>
      <c r="EC25" s="19"/>
      <c r="ED25" s="19">
        <v>2599942</v>
      </c>
      <c r="EE25" s="19"/>
      <c r="EF25" s="19">
        <v>24686198</v>
      </c>
      <c r="EG25" s="19"/>
      <c r="EH25" s="19"/>
      <c r="EI25" s="19"/>
      <c r="EJ25" s="19">
        <v>17587</v>
      </c>
      <c r="EK25" s="19"/>
      <c r="EL25" s="19">
        <v>337049480</v>
      </c>
      <c r="EM25" s="19">
        <v>9439827</v>
      </c>
      <c r="EN25" s="19">
        <v>268000</v>
      </c>
      <c r="EO25" s="19"/>
      <c r="EP25" s="19"/>
      <c r="EQ25" s="19"/>
      <c r="ER25" s="19"/>
      <c r="ES25" s="19">
        <v>9636354</v>
      </c>
      <c r="ET25" s="19"/>
      <c r="EU25" s="19"/>
      <c r="EV25" s="19"/>
      <c r="EW25" s="19">
        <v>10001072</v>
      </c>
      <c r="EX25" s="19"/>
      <c r="EY25" s="19"/>
      <c r="EZ25" s="19">
        <v>6417310</v>
      </c>
      <c r="FA25" s="19">
        <v>5667970</v>
      </c>
      <c r="FB25" s="19">
        <v>2196470</v>
      </c>
      <c r="FC25" s="19">
        <v>18972360</v>
      </c>
      <c r="FD25" s="19"/>
      <c r="FE25" s="19">
        <v>1733812044</v>
      </c>
      <c r="FF25" s="19"/>
      <c r="FG25" s="19">
        <v>114175102</v>
      </c>
      <c r="FH25" s="19">
        <v>12741462</v>
      </c>
      <c r="FI25" s="19" t="s">
        <v>96</v>
      </c>
      <c r="FJ25" s="19">
        <v>435750</v>
      </c>
      <c r="FK25" s="19">
        <v>137921557</v>
      </c>
      <c r="FL25" s="19"/>
      <c r="FM25" s="19"/>
      <c r="FN25" s="19"/>
      <c r="FO25" s="19"/>
      <c r="FP25" s="19"/>
      <c r="FQ25" s="19">
        <v>49430</v>
      </c>
      <c r="FR25" s="19">
        <v>6546070</v>
      </c>
      <c r="FS25" s="19">
        <v>14978059</v>
      </c>
      <c r="FT25" s="19">
        <v>120163820</v>
      </c>
      <c r="FU25" s="19"/>
      <c r="FV25" s="19"/>
      <c r="FW25" s="19">
        <v>100687364</v>
      </c>
      <c r="FX25" s="19"/>
      <c r="FY25" s="19">
        <v>9493114</v>
      </c>
      <c r="FZ25" s="19">
        <v>163791247</v>
      </c>
      <c r="GA25" s="19"/>
      <c r="GB25" s="19">
        <v>9754800</v>
      </c>
      <c r="GC25" s="19"/>
      <c r="GD25" s="19" t="s">
        <v>96</v>
      </c>
      <c r="GE25" s="19">
        <v>5056591</v>
      </c>
      <c r="GF25" s="19">
        <v>14747750</v>
      </c>
      <c r="GG25" s="19"/>
      <c r="GH25" s="19">
        <v>9267700</v>
      </c>
      <c r="GI25" s="19"/>
      <c r="GJ25" s="19"/>
      <c r="GK25" s="19">
        <v>4818766</v>
      </c>
      <c r="GL25" s="19" t="s">
        <v>96</v>
      </c>
      <c r="GM25" s="19"/>
      <c r="GN25" s="19"/>
      <c r="GO25" s="19">
        <v>543858427</v>
      </c>
      <c r="GP25" s="19">
        <v>296481671</v>
      </c>
      <c r="GQ25" s="19">
        <v>310200</v>
      </c>
      <c r="GR25" s="19">
        <v>84327495</v>
      </c>
      <c r="GS25" s="19"/>
      <c r="GT25" s="19">
        <v>872257</v>
      </c>
      <c r="GU25" s="19"/>
      <c r="GV25" s="19"/>
      <c r="GW25" s="19">
        <v>70441100</v>
      </c>
      <c r="GX25" s="19">
        <v>27000450</v>
      </c>
      <c r="GY25" s="19"/>
      <c r="GZ25" s="19">
        <v>27033736</v>
      </c>
      <c r="HA25" s="19"/>
      <c r="HB25" s="19"/>
      <c r="HC25" s="19">
        <v>27422714</v>
      </c>
      <c r="HD25" s="19">
        <v>73538904</v>
      </c>
      <c r="HE25" s="19">
        <v>52696900</v>
      </c>
      <c r="HF25" s="19">
        <v>175678</v>
      </c>
      <c r="HG25" s="19"/>
      <c r="HH25" s="19"/>
      <c r="HI25" s="19"/>
      <c r="HJ25" s="19"/>
      <c r="HK25" s="19">
        <v>43171941</v>
      </c>
      <c r="HL25" s="19"/>
      <c r="HM25" s="19"/>
      <c r="HN25" s="19"/>
      <c r="HO25" s="19">
        <v>93316533</v>
      </c>
      <c r="HP25" s="19"/>
      <c r="HQ25" s="19"/>
      <c r="HR25" s="19">
        <v>2237086429</v>
      </c>
      <c r="HS25" s="19">
        <v>6784655</v>
      </c>
      <c r="HT25" s="19">
        <v>39653765</v>
      </c>
      <c r="HU25" s="19"/>
      <c r="HV25" s="19">
        <v>31743235</v>
      </c>
      <c r="HW25" s="19"/>
      <c r="HX25" s="19">
        <v>36440601</v>
      </c>
      <c r="HY25" s="19" t="s">
        <v>172</v>
      </c>
      <c r="HZ25" s="19">
        <v>48270024</v>
      </c>
      <c r="IA25" s="19"/>
      <c r="IB25" s="19">
        <v>5136800</v>
      </c>
      <c r="IC25" s="19"/>
      <c r="ID25" s="19">
        <v>921500</v>
      </c>
      <c r="IE25" s="19" t="s">
        <v>96</v>
      </c>
      <c r="IF25" s="19">
        <v>3600000</v>
      </c>
      <c r="IG25" s="19"/>
      <c r="IH25" s="19"/>
      <c r="II25" s="19">
        <v>0</v>
      </c>
      <c r="IJ25" s="19">
        <v>15345440</v>
      </c>
      <c r="IK25" s="19">
        <v>62652964</v>
      </c>
      <c r="IL25" s="19">
        <v>12781281</v>
      </c>
      <c r="IM25" s="19">
        <v>2181683</v>
      </c>
      <c r="IN25" s="19"/>
      <c r="IO25" s="19">
        <v>30149047</v>
      </c>
      <c r="IP25" s="19">
        <v>53162481</v>
      </c>
      <c r="IQ25" s="19"/>
      <c r="IR25" s="19"/>
      <c r="IS25" s="19"/>
      <c r="IT25" s="19">
        <v>0</v>
      </c>
    </row>
    <row r="26" spans="1:254">
      <c r="A26" s="7" t="s">
        <v>94</v>
      </c>
      <c r="B26" s="11" t="s">
        <v>6</v>
      </c>
      <c r="C26" s="19">
        <v>0</v>
      </c>
      <c r="D26" s="19">
        <v>0</v>
      </c>
      <c r="E26" s="19">
        <v>0</v>
      </c>
      <c r="F26" s="19">
        <v>0</v>
      </c>
      <c r="G26" s="19">
        <v>8749986</v>
      </c>
      <c r="H26" s="19">
        <v>25000000</v>
      </c>
      <c r="I26" s="19">
        <v>115000000</v>
      </c>
      <c r="J26" s="19" t="s">
        <v>4</v>
      </c>
      <c r="K26" s="19">
        <v>0</v>
      </c>
      <c r="L26" s="19" t="s">
        <v>96</v>
      </c>
      <c r="M26" s="19" t="s">
        <v>96</v>
      </c>
      <c r="N26" s="19"/>
      <c r="O26" s="19">
        <v>494302487</v>
      </c>
      <c r="P26" s="19"/>
      <c r="Q26" s="19">
        <v>239677</v>
      </c>
      <c r="R26" s="19"/>
      <c r="S26" s="19">
        <v>200000000</v>
      </c>
      <c r="T26" s="19" t="s">
        <v>96</v>
      </c>
      <c r="U26" s="19"/>
      <c r="V26" s="19" t="s">
        <v>172</v>
      </c>
      <c r="W26" s="19">
        <v>13466045</v>
      </c>
      <c r="X26" s="19"/>
      <c r="Y26" s="19">
        <v>3302450</v>
      </c>
      <c r="Z26" s="19">
        <v>816376168</v>
      </c>
      <c r="AA26" s="19">
        <v>1523980000</v>
      </c>
      <c r="AB26" s="19"/>
      <c r="AC26" s="19"/>
      <c r="AD26" s="19"/>
      <c r="AE26" s="19">
        <v>8434514</v>
      </c>
      <c r="AF26" s="19"/>
      <c r="AG26" s="19">
        <v>312490100</v>
      </c>
      <c r="AH26" s="19"/>
      <c r="AI26" s="19">
        <v>100000000</v>
      </c>
      <c r="AJ26" s="19">
        <v>7000000</v>
      </c>
      <c r="AK26" s="19">
        <v>594000000</v>
      </c>
      <c r="AL26" s="19">
        <v>212728960</v>
      </c>
      <c r="AM26" s="19" t="s">
        <v>4</v>
      </c>
      <c r="AN26" s="19">
        <v>0</v>
      </c>
      <c r="AO26" s="19">
        <v>449000000</v>
      </c>
      <c r="AP26" s="19"/>
      <c r="AQ26" s="19" t="s">
        <v>96</v>
      </c>
      <c r="AR26" s="19">
        <v>244359025</v>
      </c>
      <c r="AS26" s="19">
        <v>880810937</v>
      </c>
      <c r="AT26" s="19"/>
      <c r="AU26" s="19">
        <v>0</v>
      </c>
      <c r="AV26" s="19">
        <v>40020200</v>
      </c>
      <c r="AW26" s="19">
        <v>312563177</v>
      </c>
      <c r="AX26" s="19" t="s">
        <v>4</v>
      </c>
      <c r="AY26" s="19"/>
      <c r="AZ26" s="19">
        <v>19701233</v>
      </c>
      <c r="BA26" s="19">
        <v>857289839</v>
      </c>
      <c r="BB26" s="19"/>
      <c r="BC26" s="19" t="s">
        <v>4</v>
      </c>
      <c r="BD26" s="19" t="s">
        <v>128</v>
      </c>
      <c r="BE26" s="19">
        <v>74000000</v>
      </c>
      <c r="BF26" s="19">
        <v>1030000000</v>
      </c>
      <c r="BG26" s="19">
        <v>67280534</v>
      </c>
      <c r="BH26" s="19">
        <v>278000000</v>
      </c>
      <c r="BI26" s="19"/>
      <c r="BJ26" s="19">
        <v>97506954</v>
      </c>
      <c r="BK26" s="19">
        <v>300000000</v>
      </c>
      <c r="BL26" s="19"/>
      <c r="BM26" s="19"/>
      <c r="BN26" s="19"/>
      <c r="BO26" s="19"/>
      <c r="BP26" s="19" t="s">
        <v>96</v>
      </c>
      <c r="BQ26" s="19" t="s">
        <v>4</v>
      </c>
      <c r="BR26" s="19"/>
      <c r="BS26" s="19">
        <v>9658500</v>
      </c>
      <c r="BT26" s="19"/>
      <c r="BU26" s="19">
        <v>260500000</v>
      </c>
      <c r="BV26" s="19">
        <v>171243355</v>
      </c>
      <c r="BW26" s="19"/>
      <c r="BX26" s="19">
        <v>50000000</v>
      </c>
      <c r="BY26" s="19">
        <v>422718050</v>
      </c>
      <c r="BZ26" s="19"/>
      <c r="CA26" s="19"/>
      <c r="CB26" s="19">
        <v>50000000</v>
      </c>
      <c r="CC26" s="19"/>
      <c r="CD26" s="19"/>
      <c r="CE26" s="19"/>
      <c r="CF26" s="19">
        <v>1281960223</v>
      </c>
      <c r="CG26" s="19"/>
      <c r="CH26" s="19"/>
      <c r="CI26" s="19" t="s">
        <v>128</v>
      </c>
      <c r="CJ26" s="19">
        <v>15247126</v>
      </c>
      <c r="CK26" s="19">
        <v>761228983</v>
      </c>
      <c r="CL26" s="19"/>
      <c r="CM26" s="19"/>
      <c r="CN26" s="19"/>
      <c r="CO26" s="19"/>
      <c r="CP26" s="19">
        <v>103845846</v>
      </c>
      <c r="CQ26" s="19" t="s">
        <v>96</v>
      </c>
      <c r="CR26" s="19"/>
      <c r="CS26" s="19">
        <v>252000000</v>
      </c>
      <c r="CT26" s="19"/>
      <c r="CU26" s="19"/>
      <c r="CV26" s="19"/>
      <c r="CW26" s="19"/>
      <c r="CX26" s="19">
        <v>300000000</v>
      </c>
      <c r="CY26" s="19" t="s">
        <v>96</v>
      </c>
      <c r="CZ26" s="19"/>
      <c r="DA26" s="19">
        <v>20700000</v>
      </c>
      <c r="DB26" s="19"/>
      <c r="DC26" s="19">
        <v>26316913</v>
      </c>
      <c r="DD26" s="19"/>
      <c r="DE26" s="19">
        <v>34745377</v>
      </c>
      <c r="DF26" s="19"/>
      <c r="DG26" s="19">
        <v>513532107</v>
      </c>
      <c r="DH26" s="19"/>
      <c r="DI26" s="19">
        <v>2000000</v>
      </c>
      <c r="DJ26" s="19">
        <v>11134004</v>
      </c>
      <c r="DK26" s="19">
        <v>1231000000</v>
      </c>
      <c r="DL26" s="19"/>
      <c r="DM26" s="19">
        <v>1447820370</v>
      </c>
      <c r="DN26" s="19">
        <v>21115828</v>
      </c>
      <c r="DO26" s="19">
        <v>33359672</v>
      </c>
      <c r="DP26" s="19">
        <v>1345160928</v>
      </c>
      <c r="DQ26" s="19"/>
      <c r="DR26" s="19">
        <v>57959442</v>
      </c>
      <c r="DS26" s="19">
        <v>0</v>
      </c>
      <c r="DT26" s="19">
        <v>200000000</v>
      </c>
      <c r="DU26" s="19">
        <v>100000000</v>
      </c>
      <c r="DV26" s="19"/>
      <c r="DW26" s="19"/>
      <c r="DX26" s="19"/>
      <c r="DY26" s="19"/>
      <c r="DZ26" s="19"/>
      <c r="EA26" s="19"/>
      <c r="EB26" s="19"/>
      <c r="EC26" s="19">
        <v>12782946</v>
      </c>
      <c r="ED26" s="19"/>
      <c r="EE26" s="19">
        <v>100000000</v>
      </c>
      <c r="EF26" s="19">
        <v>174420481</v>
      </c>
      <c r="EG26" s="19">
        <v>1000000000</v>
      </c>
      <c r="EH26" s="19">
        <v>26600000</v>
      </c>
      <c r="EI26" s="19">
        <v>2000000000</v>
      </c>
      <c r="EJ26" s="19"/>
      <c r="EK26" s="19"/>
      <c r="EL26" s="19"/>
      <c r="EM26" s="19"/>
      <c r="EN26" s="19">
        <v>33333328</v>
      </c>
      <c r="EO26" s="19"/>
      <c r="EP26" s="19"/>
      <c r="EQ26" s="19"/>
      <c r="ER26" s="19"/>
      <c r="ES26" s="19"/>
      <c r="ET26" s="19">
        <v>100000000</v>
      </c>
      <c r="EU26" s="19"/>
      <c r="EV26" s="19">
        <v>2998856</v>
      </c>
      <c r="EW26" s="19">
        <v>63710874</v>
      </c>
      <c r="EX26" s="19">
        <v>300000000</v>
      </c>
      <c r="EY26" s="19">
        <v>2379255722</v>
      </c>
      <c r="EZ26" s="19">
        <v>15000000</v>
      </c>
      <c r="FA26" s="19">
        <v>158934157</v>
      </c>
      <c r="FB26" s="19">
        <v>218250000</v>
      </c>
      <c r="FC26" s="19"/>
      <c r="FD26" s="19"/>
      <c r="FE26" s="19">
        <v>1713000000</v>
      </c>
      <c r="FF26" s="19"/>
      <c r="FG26" s="19">
        <v>402500014</v>
      </c>
      <c r="FH26" s="19">
        <v>206160000</v>
      </c>
      <c r="FI26" s="19" t="s">
        <v>96</v>
      </c>
      <c r="FJ26" s="19"/>
      <c r="FK26" s="19">
        <v>49664078</v>
      </c>
      <c r="FL26" s="19"/>
      <c r="FM26" s="19">
        <v>282000000</v>
      </c>
      <c r="FN26" s="19">
        <v>752529750</v>
      </c>
      <c r="FO26" s="19"/>
      <c r="FP26" s="19"/>
      <c r="FQ26" s="19"/>
      <c r="FR26" s="19">
        <v>150000000</v>
      </c>
      <c r="FS26" s="19"/>
      <c r="FT26" s="19">
        <v>400000000</v>
      </c>
      <c r="FU26" s="19"/>
      <c r="FV26" s="19">
        <v>25000000</v>
      </c>
      <c r="FW26" s="19">
        <v>157683695</v>
      </c>
      <c r="FX26" s="19">
        <v>297249894</v>
      </c>
      <c r="FY26" s="19">
        <v>814142045</v>
      </c>
      <c r="FZ26" s="19">
        <v>406580758</v>
      </c>
      <c r="GA26" s="19">
        <v>500000000</v>
      </c>
      <c r="GB26" s="19">
        <v>180000000</v>
      </c>
      <c r="GC26" s="19">
        <v>15300000</v>
      </c>
      <c r="GD26" s="19" t="s">
        <v>96</v>
      </c>
      <c r="GE26" s="19">
        <v>530000000</v>
      </c>
      <c r="GF26" s="19">
        <v>10000000</v>
      </c>
      <c r="GG26" s="19">
        <v>300002621</v>
      </c>
      <c r="GH26" s="19"/>
      <c r="GI26" s="19"/>
      <c r="GJ26" s="19"/>
      <c r="GK26" s="19">
        <v>53920382</v>
      </c>
      <c r="GL26" s="19" t="s">
        <v>96</v>
      </c>
      <c r="GM26" s="19"/>
      <c r="GN26" s="19">
        <v>1547311994</v>
      </c>
      <c r="GO26" s="19">
        <v>202892538</v>
      </c>
      <c r="GP26" s="19"/>
      <c r="GQ26" s="19">
        <v>33986309</v>
      </c>
      <c r="GR26" s="19"/>
      <c r="GS26" s="19">
        <v>550187390</v>
      </c>
      <c r="GT26" s="19">
        <v>70000000</v>
      </c>
      <c r="GU26" s="19">
        <v>59900000</v>
      </c>
      <c r="GV26" s="19">
        <v>102447459</v>
      </c>
      <c r="GW26" s="19">
        <v>950000000</v>
      </c>
      <c r="GX26" s="19">
        <v>47222260</v>
      </c>
      <c r="GY26" s="19"/>
      <c r="GZ26" s="19">
        <v>342670000</v>
      </c>
      <c r="HA26" s="19"/>
      <c r="HB26" s="19"/>
      <c r="HC26" s="19">
        <v>100000000</v>
      </c>
      <c r="HD26" s="19"/>
      <c r="HE26" s="19">
        <v>316907957</v>
      </c>
      <c r="HF26" s="19"/>
      <c r="HG26" s="19"/>
      <c r="HH26" s="19"/>
      <c r="HI26" s="19">
        <v>267500000</v>
      </c>
      <c r="HJ26" s="19"/>
      <c r="HK26" s="19">
        <v>670000000</v>
      </c>
      <c r="HL26" s="19"/>
      <c r="HM26" s="19"/>
      <c r="HN26" s="19">
        <v>0</v>
      </c>
      <c r="HO26" s="19"/>
      <c r="HP26" s="19"/>
      <c r="HQ26" s="19"/>
      <c r="HR26" s="19">
        <v>59918436</v>
      </c>
      <c r="HS26" s="19">
        <v>260000000</v>
      </c>
      <c r="HT26" s="19">
        <v>11297822</v>
      </c>
      <c r="HU26" s="19">
        <v>470000000</v>
      </c>
      <c r="HV26" s="19">
        <v>80000000</v>
      </c>
      <c r="HW26" s="19">
        <v>7000000000</v>
      </c>
      <c r="HX26" s="19">
        <v>16160000</v>
      </c>
      <c r="HY26" s="19" t="s">
        <v>172</v>
      </c>
      <c r="HZ26" s="19"/>
      <c r="IA26" s="19"/>
      <c r="IB26" s="19"/>
      <c r="IC26" s="19"/>
      <c r="ID26" s="19">
        <v>18605523</v>
      </c>
      <c r="IE26" s="19" t="s">
        <v>96</v>
      </c>
      <c r="IF26" s="19">
        <v>14800000</v>
      </c>
      <c r="IG26" s="19">
        <v>52590000</v>
      </c>
      <c r="IH26" s="19"/>
      <c r="II26" s="19"/>
      <c r="IJ26" s="19"/>
      <c r="IK26" s="19">
        <v>11980793</v>
      </c>
      <c r="IL26" s="19">
        <v>57916654</v>
      </c>
      <c r="IM26" s="19">
        <v>300000000</v>
      </c>
      <c r="IN26" s="19">
        <v>176253577</v>
      </c>
      <c r="IO26" s="19">
        <v>1409654</v>
      </c>
      <c r="IP26" s="19"/>
      <c r="IQ26" s="19">
        <v>100000000</v>
      </c>
      <c r="IR26" s="19"/>
      <c r="IS26" s="19">
        <v>300000000</v>
      </c>
      <c r="IT26" s="19">
        <v>120000000</v>
      </c>
    </row>
    <row r="27" spans="1:254">
      <c r="A27" s="7" t="s">
        <v>94</v>
      </c>
      <c r="B27" s="11" t="s">
        <v>147</v>
      </c>
      <c r="C27" s="19">
        <v>113018189</v>
      </c>
      <c r="D27" s="19">
        <v>98806156</v>
      </c>
      <c r="E27" s="19">
        <v>47558884</v>
      </c>
      <c r="F27" s="19">
        <v>9736933</v>
      </c>
      <c r="G27" s="19">
        <v>250863</v>
      </c>
      <c r="H27" s="19">
        <v>3090830</v>
      </c>
      <c r="I27" s="19">
        <v>122309399</v>
      </c>
      <c r="J27" s="19" t="s">
        <v>4</v>
      </c>
      <c r="K27" s="19">
        <v>1692005</v>
      </c>
      <c r="L27" s="19" t="s">
        <v>96</v>
      </c>
      <c r="M27" s="19" t="s">
        <v>96</v>
      </c>
      <c r="N27" s="19">
        <v>58883145</v>
      </c>
      <c r="O27" s="19">
        <v>592160658</v>
      </c>
      <c r="P27" s="19">
        <v>284547356</v>
      </c>
      <c r="Q27" s="19">
        <v>19241278</v>
      </c>
      <c r="R27" s="19">
        <v>26901261</v>
      </c>
      <c r="S27" s="19">
        <v>119985611</v>
      </c>
      <c r="T27" s="19" t="s">
        <v>96</v>
      </c>
      <c r="U27" s="19">
        <v>73581700</v>
      </c>
      <c r="V27" s="19" t="s">
        <v>172</v>
      </c>
      <c r="W27" s="19">
        <v>34750023</v>
      </c>
      <c r="X27" s="19">
        <v>153605980</v>
      </c>
      <c r="Y27" s="19">
        <v>14831650</v>
      </c>
      <c r="Z27" s="19">
        <v>26666800</v>
      </c>
      <c r="AA27" s="19">
        <v>184731138</v>
      </c>
      <c r="AB27" s="19">
        <v>5138150</v>
      </c>
      <c r="AC27" s="19">
        <v>28148004</v>
      </c>
      <c r="AD27" s="19">
        <v>85167490</v>
      </c>
      <c r="AE27" s="19">
        <v>20757823</v>
      </c>
      <c r="AF27" s="19">
        <v>8484208</v>
      </c>
      <c r="AG27" s="19">
        <v>88964542</v>
      </c>
      <c r="AH27" s="19">
        <v>201317773</v>
      </c>
      <c r="AI27" s="19">
        <v>22573234</v>
      </c>
      <c r="AJ27" s="19">
        <v>16039184</v>
      </c>
      <c r="AK27" s="19">
        <v>110109785</v>
      </c>
      <c r="AL27" s="19">
        <v>10872457</v>
      </c>
      <c r="AM27" s="19" t="s">
        <v>4</v>
      </c>
      <c r="AN27" s="19">
        <v>63221830</v>
      </c>
      <c r="AO27" s="19">
        <v>46481696</v>
      </c>
      <c r="AP27" s="19">
        <v>39659719</v>
      </c>
      <c r="AQ27" s="19" t="s">
        <v>96</v>
      </c>
      <c r="AR27" s="19">
        <v>58402855</v>
      </c>
      <c r="AS27" s="19">
        <v>194474751</v>
      </c>
      <c r="AT27" s="19">
        <v>54112986</v>
      </c>
      <c r="AU27" s="19">
        <v>208537926</v>
      </c>
      <c r="AV27" s="19">
        <v>17102430</v>
      </c>
      <c r="AW27" s="19">
        <v>36782126</v>
      </c>
      <c r="AX27" s="19" t="s">
        <v>4</v>
      </c>
      <c r="AY27" s="19">
        <v>29873450</v>
      </c>
      <c r="AZ27" s="19">
        <v>96129299</v>
      </c>
      <c r="BA27" s="19">
        <v>204419060</v>
      </c>
      <c r="BB27" s="19">
        <v>11417669</v>
      </c>
      <c r="BC27" s="19" t="s">
        <v>4</v>
      </c>
      <c r="BD27" s="19" t="s">
        <v>128</v>
      </c>
      <c r="BE27" s="19">
        <v>262106629</v>
      </c>
      <c r="BF27" s="19">
        <v>8948683</v>
      </c>
      <c r="BG27" s="19">
        <v>152981580</v>
      </c>
      <c r="BH27" s="19">
        <v>28017260</v>
      </c>
      <c r="BI27" s="19">
        <v>61467269</v>
      </c>
      <c r="BJ27" s="19">
        <v>46183396</v>
      </c>
      <c r="BK27" s="19">
        <v>6156926</v>
      </c>
      <c r="BL27" s="19">
        <v>30812214</v>
      </c>
      <c r="BM27" s="19">
        <v>153903867</v>
      </c>
      <c r="BN27" s="19">
        <v>8231300</v>
      </c>
      <c r="BO27" s="19">
        <v>29973761</v>
      </c>
      <c r="BP27" s="19" t="s">
        <v>96</v>
      </c>
      <c r="BQ27" s="19" t="s">
        <v>4</v>
      </c>
      <c r="BR27" s="19">
        <v>121864344</v>
      </c>
      <c r="BS27" s="19">
        <v>29500</v>
      </c>
      <c r="BT27" s="19">
        <v>14282151</v>
      </c>
      <c r="BU27" s="19">
        <v>50077345</v>
      </c>
      <c r="BV27" s="19">
        <v>45482832</v>
      </c>
      <c r="BW27" s="19">
        <v>10325240</v>
      </c>
      <c r="BX27" s="19">
        <v>21250060</v>
      </c>
      <c r="BY27" s="19">
        <v>163910389</v>
      </c>
      <c r="BZ27" s="19">
        <v>60973141</v>
      </c>
      <c r="CA27" s="19">
        <v>116779402</v>
      </c>
      <c r="CB27" s="19">
        <v>37451591</v>
      </c>
      <c r="CC27" s="19">
        <v>3542000</v>
      </c>
      <c r="CD27" s="19">
        <v>650293031</v>
      </c>
      <c r="CE27" s="19">
        <v>20040315</v>
      </c>
      <c r="CF27" s="19">
        <v>235032628</v>
      </c>
      <c r="CG27" s="19"/>
      <c r="CH27" s="19">
        <v>4072635</v>
      </c>
      <c r="CI27" s="19" t="s">
        <v>128</v>
      </c>
      <c r="CJ27" s="19">
        <v>99030844</v>
      </c>
      <c r="CK27" s="19">
        <v>371564492</v>
      </c>
      <c r="CL27" s="19">
        <v>27678914</v>
      </c>
      <c r="CM27" s="19">
        <v>571429648</v>
      </c>
      <c r="CN27" s="19">
        <v>53021721</v>
      </c>
      <c r="CO27" s="19"/>
      <c r="CP27" s="19">
        <v>552236905</v>
      </c>
      <c r="CQ27" s="19" t="s">
        <v>96</v>
      </c>
      <c r="CR27" s="19">
        <v>77997638</v>
      </c>
      <c r="CS27" s="19">
        <v>55658914</v>
      </c>
      <c r="CT27" s="19">
        <v>211136943</v>
      </c>
      <c r="CU27" s="19"/>
      <c r="CV27" s="19">
        <v>83921553</v>
      </c>
      <c r="CW27" s="19">
        <v>42313210</v>
      </c>
      <c r="CX27" s="19">
        <v>168692894</v>
      </c>
      <c r="CY27" s="19" t="s">
        <v>96</v>
      </c>
      <c r="CZ27" s="19">
        <v>484660956</v>
      </c>
      <c r="DA27" s="19">
        <v>72945411</v>
      </c>
      <c r="DB27" s="19">
        <v>13670000</v>
      </c>
      <c r="DC27" s="19">
        <v>948849</v>
      </c>
      <c r="DD27" s="19">
        <v>4213176</v>
      </c>
      <c r="DE27" s="19">
        <v>22722872</v>
      </c>
      <c r="DF27" s="19">
        <v>6837439</v>
      </c>
      <c r="DG27" s="19">
        <v>38787343</v>
      </c>
      <c r="DH27" s="19">
        <v>38791127</v>
      </c>
      <c r="DI27" s="19">
        <v>40349970</v>
      </c>
      <c r="DJ27" s="19">
        <v>10934621</v>
      </c>
      <c r="DK27" s="19">
        <v>174183035</v>
      </c>
      <c r="DL27" s="19">
        <v>31789149</v>
      </c>
      <c r="DM27" s="19">
        <v>31103822</v>
      </c>
      <c r="DN27" s="19">
        <v>57142474</v>
      </c>
      <c r="DO27" s="19">
        <v>7195030</v>
      </c>
      <c r="DP27" s="19">
        <v>555409420</v>
      </c>
      <c r="DQ27" s="19">
        <v>53905455</v>
      </c>
      <c r="DR27" s="19">
        <v>69345240</v>
      </c>
      <c r="DS27" s="19">
        <v>6888686</v>
      </c>
      <c r="DT27" s="19">
        <v>18288962</v>
      </c>
      <c r="DU27" s="19"/>
      <c r="DV27" s="19">
        <v>11095479</v>
      </c>
      <c r="DW27" s="19"/>
      <c r="DX27" s="19">
        <v>822594503</v>
      </c>
      <c r="DY27" s="19">
        <v>75159353</v>
      </c>
      <c r="DZ27" s="19">
        <v>41009304</v>
      </c>
      <c r="EA27" s="19">
        <v>4222300</v>
      </c>
      <c r="EB27" s="19">
        <v>940637230</v>
      </c>
      <c r="EC27" s="19">
        <v>78113968</v>
      </c>
      <c r="ED27" s="19"/>
      <c r="EE27" s="19">
        <v>13443370</v>
      </c>
      <c r="EF27" s="19">
        <v>38872222</v>
      </c>
      <c r="EG27" s="19">
        <v>392621132</v>
      </c>
      <c r="EH27" s="19">
        <v>15703784</v>
      </c>
      <c r="EI27" s="19">
        <v>1006671245</v>
      </c>
      <c r="EJ27" s="19">
        <v>17566331</v>
      </c>
      <c r="EK27" s="19">
        <v>33982399</v>
      </c>
      <c r="EL27" s="19">
        <v>119793381</v>
      </c>
      <c r="EM27" s="19">
        <v>53919862</v>
      </c>
      <c r="EN27" s="19">
        <v>404302141</v>
      </c>
      <c r="EO27" s="19">
        <v>47462560</v>
      </c>
      <c r="EP27" s="19"/>
      <c r="EQ27" s="19"/>
      <c r="ER27" s="19">
        <v>618544559</v>
      </c>
      <c r="ES27" s="19">
        <v>50120205</v>
      </c>
      <c r="ET27" s="19">
        <v>91526350</v>
      </c>
      <c r="EU27" s="19">
        <v>122752066</v>
      </c>
      <c r="EV27" s="19">
        <v>19241322</v>
      </c>
      <c r="EW27" s="19">
        <v>25974470</v>
      </c>
      <c r="EX27" s="19">
        <v>249693657</v>
      </c>
      <c r="EY27" s="19">
        <v>402022770</v>
      </c>
      <c r="EZ27" s="19">
        <v>14509432</v>
      </c>
      <c r="FA27" s="19">
        <v>41957922</v>
      </c>
      <c r="FB27" s="19">
        <v>34370320</v>
      </c>
      <c r="FC27" s="19">
        <v>103429709</v>
      </c>
      <c r="FD27" s="19">
        <v>26201284</v>
      </c>
      <c r="FE27" s="19">
        <v>292879003</v>
      </c>
      <c r="FF27" s="19">
        <v>18470800</v>
      </c>
      <c r="FG27" s="19">
        <v>40181153</v>
      </c>
      <c r="FH27" s="19">
        <v>65228594</v>
      </c>
      <c r="FI27" s="19" t="s">
        <v>96</v>
      </c>
      <c r="FJ27" s="19">
        <v>4698000</v>
      </c>
      <c r="FK27" s="19">
        <v>181997963</v>
      </c>
      <c r="FL27" s="19">
        <v>2287372</v>
      </c>
      <c r="FM27" s="19">
        <v>31381339</v>
      </c>
      <c r="FN27" s="19">
        <v>14962679</v>
      </c>
      <c r="FO27" s="19">
        <v>429000</v>
      </c>
      <c r="FP27" s="19">
        <v>23575607</v>
      </c>
      <c r="FQ27" s="19">
        <v>484690</v>
      </c>
      <c r="FR27" s="19">
        <v>31308668</v>
      </c>
      <c r="FS27" s="19">
        <v>55545966</v>
      </c>
      <c r="FT27" s="19">
        <v>455936434</v>
      </c>
      <c r="FU27" s="19">
        <v>2152835</v>
      </c>
      <c r="FV27" s="19">
        <v>220000</v>
      </c>
      <c r="FW27" s="19">
        <v>3194565</v>
      </c>
      <c r="FX27" s="19">
        <v>37500076</v>
      </c>
      <c r="FY27" s="19">
        <v>50484008</v>
      </c>
      <c r="FZ27" s="19">
        <v>14794910</v>
      </c>
      <c r="GA27" s="19">
        <v>14025415</v>
      </c>
      <c r="GB27" s="19">
        <v>304777</v>
      </c>
      <c r="GC27" s="19">
        <v>56884018</v>
      </c>
      <c r="GD27" s="19" t="s">
        <v>96</v>
      </c>
      <c r="GE27" s="19">
        <v>10039677</v>
      </c>
      <c r="GF27" s="19">
        <v>45191843</v>
      </c>
      <c r="GG27" s="19">
        <v>61040307</v>
      </c>
      <c r="GH27" s="19">
        <v>10388709</v>
      </c>
      <c r="GI27" s="19">
        <v>7316283</v>
      </c>
      <c r="GJ27" s="19"/>
      <c r="GK27" s="19">
        <v>20243852</v>
      </c>
      <c r="GL27" s="19" t="s">
        <v>96</v>
      </c>
      <c r="GM27" s="19">
        <v>17490475</v>
      </c>
      <c r="GN27" s="19">
        <v>54819653</v>
      </c>
      <c r="GO27" s="19">
        <v>4519875</v>
      </c>
      <c r="GP27" s="19">
        <v>279415205</v>
      </c>
      <c r="GQ27" s="19">
        <v>5297761</v>
      </c>
      <c r="GR27" s="19">
        <v>60297874</v>
      </c>
      <c r="GS27" s="19">
        <v>1207227</v>
      </c>
      <c r="GT27" s="19">
        <v>41213738</v>
      </c>
      <c r="GU27" s="19">
        <v>152727</v>
      </c>
      <c r="GV27" s="19">
        <v>296285091</v>
      </c>
      <c r="GW27" s="19">
        <v>416788778</v>
      </c>
      <c r="GX27" s="19">
        <v>65643755</v>
      </c>
      <c r="GY27" s="19">
        <v>38003615</v>
      </c>
      <c r="GZ27" s="19">
        <v>60208669</v>
      </c>
      <c r="HA27" s="19">
        <v>323152756</v>
      </c>
      <c r="HB27" s="19">
        <v>128167820</v>
      </c>
      <c r="HC27" s="19">
        <v>28354572</v>
      </c>
      <c r="HD27" s="19">
        <v>32007805</v>
      </c>
      <c r="HE27" s="19">
        <v>22844531</v>
      </c>
      <c r="HF27" s="19">
        <v>467433639</v>
      </c>
      <c r="HG27" s="19">
        <v>7508590</v>
      </c>
      <c r="HH27" s="19"/>
      <c r="HI27" s="19">
        <v>466107718</v>
      </c>
      <c r="HJ27" s="19">
        <v>44643532</v>
      </c>
      <c r="HK27" s="19">
        <v>171206039</v>
      </c>
      <c r="HL27" s="19">
        <v>10944830</v>
      </c>
      <c r="HM27" s="19">
        <v>944393</v>
      </c>
      <c r="HN27" s="19">
        <v>5287</v>
      </c>
      <c r="HO27" s="19">
        <v>126827950</v>
      </c>
      <c r="HP27" s="19">
        <v>30446720</v>
      </c>
      <c r="HQ27" s="19">
        <v>121948753</v>
      </c>
      <c r="HR27" s="19">
        <v>216009706</v>
      </c>
      <c r="HS27" s="19">
        <v>7889289</v>
      </c>
      <c r="HT27" s="19">
        <v>45998020</v>
      </c>
      <c r="HU27" s="19">
        <v>122788255</v>
      </c>
      <c r="HV27" s="19">
        <v>8119432</v>
      </c>
      <c r="HW27" s="19">
        <v>2817331563</v>
      </c>
      <c r="HX27" s="19">
        <v>23518238</v>
      </c>
      <c r="HY27" s="19" t="s">
        <v>172</v>
      </c>
      <c r="HZ27" s="19">
        <v>218351906</v>
      </c>
      <c r="IA27" s="19">
        <v>1412760</v>
      </c>
      <c r="IB27" s="19">
        <v>1620776973</v>
      </c>
      <c r="IC27" s="19">
        <v>2965067</v>
      </c>
      <c r="ID27" s="19">
        <v>8604865</v>
      </c>
      <c r="IE27" s="19" t="s">
        <v>96</v>
      </c>
      <c r="IF27" s="19">
        <v>1569430</v>
      </c>
      <c r="IG27" s="19">
        <v>10732950</v>
      </c>
      <c r="IH27" s="19">
        <v>92632350</v>
      </c>
      <c r="II27" s="19">
        <v>5828637</v>
      </c>
      <c r="IJ27" s="19">
        <v>69239736</v>
      </c>
      <c r="IK27" s="19">
        <v>14895557</v>
      </c>
      <c r="IL27" s="19">
        <v>18028407</v>
      </c>
      <c r="IM27" s="19">
        <v>68013067</v>
      </c>
      <c r="IN27" s="19">
        <v>15464767</v>
      </c>
      <c r="IO27" s="19">
        <v>19742432</v>
      </c>
      <c r="IP27" s="19">
        <v>35887459</v>
      </c>
      <c r="IQ27" s="19">
        <v>6848639</v>
      </c>
      <c r="IR27" s="19">
        <v>87331098</v>
      </c>
      <c r="IS27" s="19">
        <v>52445913</v>
      </c>
      <c r="IT27" s="19">
        <v>56132616</v>
      </c>
    </row>
    <row r="28" spans="1:254">
      <c r="A28" s="7" t="s">
        <v>94</v>
      </c>
      <c r="B28" s="11" t="s">
        <v>150</v>
      </c>
      <c r="C28" s="19">
        <v>7989010</v>
      </c>
      <c r="D28" s="19">
        <v>14038323</v>
      </c>
      <c r="E28" s="19">
        <v>5604440</v>
      </c>
      <c r="F28" s="19">
        <v>95336888</v>
      </c>
      <c r="G28" s="19">
        <v>1150230</v>
      </c>
      <c r="H28" s="19">
        <v>90000</v>
      </c>
      <c r="I28" s="19">
        <v>61347182</v>
      </c>
      <c r="J28" s="19" t="s">
        <v>4</v>
      </c>
      <c r="K28" s="19">
        <v>31208008</v>
      </c>
      <c r="L28" s="19" t="s">
        <v>96</v>
      </c>
      <c r="M28" s="19" t="s">
        <v>96</v>
      </c>
      <c r="N28" s="19">
        <v>9832112</v>
      </c>
      <c r="O28" s="19">
        <v>66726685</v>
      </c>
      <c r="P28" s="19">
        <v>41080245</v>
      </c>
      <c r="Q28" s="19">
        <v>229120</v>
      </c>
      <c r="R28" s="19">
        <v>33257632</v>
      </c>
      <c r="S28" s="19">
        <v>10084263</v>
      </c>
      <c r="T28" s="19" t="s">
        <v>96</v>
      </c>
      <c r="U28" s="19">
        <v>46781151</v>
      </c>
      <c r="V28" s="19" t="s">
        <v>172</v>
      </c>
      <c r="W28" s="19">
        <v>6531700</v>
      </c>
      <c r="X28" s="19">
        <v>112203520</v>
      </c>
      <c r="Y28" s="19">
        <v>5316105</v>
      </c>
      <c r="Z28" s="19">
        <v>36680564</v>
      </c>
      <c r="AA28" s="19">
        <v>42708415</v>
      </c>
      <c r="AB28" s="19">
        <v>1995285</v>
      </c>
      <c r="AC28" s="19">
        <v>26253010</v>
      </c>
      <c r="AD28" s="19">
        <v>7792820</v>
      </c>
      <c r="AE28" s="19">
        <v>1667570</v>
      </c>
      <c r="AF28" s="19">
        <v>1043390</v>
      </c>
      <c r="AG28" s="19">
        <v>22668181</v>
      </c>
      <c r="AH28" s="19">
        <v>24081170</v>
      </c>
      <c r="AI28" s="19">
        <v>8665390</v>
      </c>
      <c r="AJ28" s="19">
        <v>4370802</v>
      </c>
      <c r="AK28" s="19">
        <v>13404452</v>
      </c>
      <c r="AL28" s="19">
        <v>62953904</v>
      </c>
      <c r="AM28" s="19" t="s">
        <v>4</v>
      </c>
      <c r="AN28" s="19">
        <v>10646051</v>
      </c>
      <c r="AO28" s="19">
        <v>49789898</v>
      </c>
      <c r="AP28" s="19">
        <v>30769347</v>
      </c>
      <c r="AQ28" s="19" t="s">
        <v>96</v>
      </c>
      <c r="AR28" s="19">
        <v>23614296</v>
      </c>
      <c r="AS28" s="19">
        <v>495669385</v>
      </c>
      <c r="AT28" s="19">
        <v>25979159</v>
      </c>
      <c r="AU28" s="19">
        <v>55745508</v>
      </c>
      <c r="AV28" s="19">
        <v>626300</v>
      </c>
      <c r="AW28" s="19">
        <v>6807433</v>
      </c>
      <c r="AX28" s="19" t="s">
        <v>4</v>
      </c>
      <c r="AY28" s="19">
        <v>11578790</v>
      </c>
      <c r="AZ28" s="19">
        <v>10861766</v>
      </c>
      <c r="BA28" s="19">
        <v>25279934</v>
      </c>
      <c r="BB28" s="19">
        <v>3078270</v>
      </c>
      <c r="BC28" s="19" t="s">
        <v>4</v>
      </c>
      <c r="BD28" s="19" t="s">
        <v>128</v>
      </c>
      <c r="BE28" s="19">
        <v>4161547</v>
      </c>
      <c r="BF28" s="19">
        <v>1713730</v>
      </c>
      <c r="BG28" s="19">
        <v>45295849</v>
      </c>
      <c r="BH28" s="19">
        <v>3957670</v>
      </c>
      <c r="BI28" s="19">
        <v>2569710</v>
      </c>
      <c r="BJ28" s="19">
        <v>3106934</v>
      </c>
      <c r="BK28" s="19">
        <v>5167322</v>
      </c>
      <c r="BL28" s="19">
        <v>13858088</v>
      </c>
      <c r="BM28" s="19">
        <v>6231320</v>
      </c>
      <c r="BN28" s="19">
        <v>7192930</v>
      </c>
      <c r="BO28" s="19">
        <v>268098</v>
      </c>
      <c r="BP28" s="19" t="s">
        <v>96</v>
      </c>
      <c r="BQ28" s="19" t="s">
        <v>4</v>
      </c>
      <c r="BR28" s="19">
        <v>205661647</v>
      </c>
      <c r="BS28" s="19">
        <v>5888370</v>
      </c>
      <c r="BT28" s="19">
        <v>1651850</v>
      </c>
      <c r="BU28" s="19">
        <v>2685123</v>
      </c>
      <c r="BV28" s="19">
        <v>594210</v>
      </c>
      <c r="BW28" s="19">
        <v>0</v>
      </c>
      <c r="BX28" s="19">
        <v>719680</v>
      </c>
      <c r="BY28" s="19">
        <v>11944944</v>
      </c>
      <c r="BZ28" s="19">
        <v>36837150</v>
      </c>
      <c r="CA28" s="19">
        <v>44913480</v>
      </c>
      <c r="CB28" s="19">
        <v>1422730</v>
      </c>
      <c r="CC28" s="19">
        <v>1916960</v>
      </c>
      <c r="CD28" s="19"/>
      <c r="CE28" s="19">
        <v>3979770</v>
      </c>
      <c r="CF28" s="19">
        <v>2155740</v>
      </c>
      <c r="CG28" s="19">
        <v>3678090</v>
      </c>
      <c r="CH28" s="19">
        <v>2858277</v>
      </c>
      <c r="CI28" s="19" t="s">
        <v>128</v>
      </c>
      <c r="CJ28" s="19">
        <v>21874403</v>
      </c>
      <c r="CK28" s="19">
        <v>63121818</v>
      </c>
      <c r="CL28" s="19">
        <v>5271716</v>
      </c>
      <c r="CM28" s="19">
        <v>68284282</v>
      </c>
      <c r="CN28" s="19">
        <v>2467570</v>
      </c>
      <c r="CO28" s="19">
        <v>4437098</v>
      </c>
      <c r="CP28" s="19">
        <v>51244027</v>
      </c>
      <c r="CQ28" s="19" t="s">
        <v>96</v>
      </c>
      <c r="CR28" s="19">
        <v>8597540</v>
      </c>
      <c r="CS28" s="19">
        <v>12073630</v>
      </c>
      <c r="CT28" s="19">
        <v>17077920</v>
      </c>
      <c r="CU28" s="19">
        <v>4983126</v>
      </c>
      <c r="CV28" s="19">
        <v>91937220</v>
      </c>
      <c r="CW28" s="19">
        <v>14097720</v>
      </c>
      <c r="CX28" s="19">
        <v>2721591071</v>
      </c>
      <c r="CY28" s="19" t="s">
        <v>96</v>
      </c>
      <c r="CZ28" s="19">
        <v>32985810</v>
      </c>
      <c r="DA28" s="19">
        <v>30132047</v>
      </c>
      <c r="DB28" s="19">
        <v>6892735</v>
      </c>
      <c r="DC28" s="19">
        <v>959120</v>
      </c>
      <c r="DD28" s="19">
        <v>365050</v>
      </c>
      <c r="DE28" s="19">
        <v>6658472</v>
      </c>
      <c r="DF28" s="19">
        <v>782360</v>
      </c>
      <c r="DG28" s="19">
        <v>7353560</v>
      </c>
      <c r="DH28" s="19">
        <v>30483040</v>
      </c>
      <c r="DI28" s="19">
        <v>32416033</v>
      </c>
      <c r="DJ28" s="19">
        <v>9164475</v>
      </c>
      <c r="DK28" s="19">
        <v>10832700</v>
      </c>
      <c r="DL28" s="19">
        <v>10129763</v>
      </c>
      <c r="DM28" s="19">
        <v>3071230</v>
      </c>
      <c r="DN28" s="19">
        <v>7534515</v>
      </c>
      <c r="DO28" s="19">
        <v>607530</v>
      </c>
      <c r="DP28" s="19">
        <v>67102270</v>
      </c>
      <c r="DQ28" s="19">
        <v>817242</v>
      </c>
      <c r="DR28" s="19">
        <v>6766380</v>
      </c>
      <c r="DS28" s="19">
        <v>3648780</v>
      </c>
      <c r="DT28" s="19">
        <v>52179933</v>
      </c>
      <c r="DU28" s="19">
        <v>11444939</v>
      </c>
      <c r="DV28" s="19">
        <v>10084720</v>
      </c>
      <c r="DW28" s="19">
        <v>18718598</v>
      </c>
      <c r="DX28" s="19">
        <v>68454213</v>
      </c>
      <c r="DY28" s="19">
        <v>10315246</v>
      </c>
      <c r="DZ28" s="19">
        <v>6399250</v>
      </c>
      <c r="EA28" s="19">
        <v>1714238</v>
      </c>
      <c r="EB28" s="19">
        <v>23586040</v>
      </c>
      <c r="EC28" s="19">
        <v>2610810</v>
      </c>
      <c r="ED28" s="19">
        <v>3436930</v>
      </c>
      <c r="EE28" s="19">
        <v>11838227</v>
      </c>
      <c r="EF28" s="19">
        <v>3008354</v>
      </c>
      <c r="EG28" s="19">
        <v>24607960</v>
      </c>
      <c r="EH28" s="19">
        <v>7335960</v>
      </c>
      <c r="EI28" s="19">
        <v>33784830</v>
      </c>
      <c r="EJ28" s="19">
        <v>16192335</v>
      </c>
      <c r="EK28" s="19">
        <v>8892640</v>
      </c>
      <c r="EL28" s="19">
        <v>165004338</v>
      </c>
      <c r="EM28" s="19">
        <v>10820058</v>
      </c>
      <c r="EN28" s="19">
        <v>76292870</v>
      </c>
      <c r="EO28" s="19">
        <v>7037240</v>
      </c>
      <c r="EP28" s="19">
        <v>13811807</v>
      </c>
      <c r="EQ28" s="19"/>
      <c r="ER28" s="19">
        <v>122049789</v>
      </c>
      <c r="ES28" s="19">
        <v>27270220</v>
      </c>
      <c r="ET28" s="19">
        <v>8690342</v>
      </c>
      <c r="EU28" s="19">
        <v>18978040</v>
      </c>
      <c r="EV28" s="19">
        <v>995630</v>
      </c>
      <c r="EW28" s="19">
        <v>8049750</v>
      </c>
      <c r="EX28" s="19">
        <v>16628665</v>
      </c>
      <c r="EY28" s="19">
        <v>37759837</v>
      </c>
      <c r="EZ28" s="19">
        <v>11718246</v>
      </c>
      <c r="FA28" s="19">
        <v>54810856</v>
      </c>
      <c r="FB28" s="19">
        <v>5078560</v>
      </c>
      <c r="FC28" s="19">
        <v>253958960</v>
      </c>
      <c r="FD28" s="19">
        <v>39884417</v>
      </c>
      <c r="FE28" s="19">
        <v>14049692</v>
      </c>
      <c r="FF28" s="19">
        <v>11139947</v>
      </c>
      <c r="FG28" s="19">
        <v>9995360</v>
      </c>
      <c r="FH28" s="19">
        <v>4875590</v>
      </c>
      <c r="FI28" s="19" t="s">
        <v>96</v>
      </c>
      <c r="FJ28" s="19">
        <v>7744716</v>
      </c>
      <c r="FK28" s="19">
        <v>15712113</v>
      </c>
      <c r="FL28" s="19">
        <v>3646080</v>
      </c>
      <c r="FM28" s="19">
        <v>4530930</v>
      </c>
      <c r="FN28" s="19">
        <v>4478990</v>
      </c>
      <c r="FO28" s="19">
        <v>974284</v>
      </c>
      <c r="FP28" s="19">
        <v>12628811</v>
      </c>
      <c r="FQ28" s="19">
        <v>1784858</v>
      </c>
      <c r="FR28" s="19">
        <v>5226621</v>
      </c>
      <c r="FS28" s="19">
        <v>4906580</v>
      </c>
      <c r="FT28" s="19">
        <v>8040410</v>
      </c>
      <c r="FU28" s="19">
        <v>342472</v>
      </c>
      <c r="FV28" s="19">
        <v>26765336</v>
      </c>
      <c r="FW28" s="19">
        <v>1127610</v>
      </c>
      <c r="FX28" s="19">
        <v>394430</v>
      </c>
      <c r="FY28" s="19">
        <v>14715610</v>
      </c>
      <c r="FZ28" s="19">
        <v>69823769</v>
      </c>
      <c r="GA28" s="19">
        <v>2143710</v>
      </c>
      <c r="GB28" s="19"/>
      <c r="GC28" s="19">
        <v>5362440</v>
      </c>
      <c r="GD28" s="19" t="s">
        <v>96</v>
      </c>
      <c r="GE28" s="19">
        <v>3369040</v>
      </c>
      <c r="GF28" s="19">
        <v>3186040</v>
      </c>
      <c r="GG28" s="19">
        <v>7045196</v>
      </c>
      <c r="GH28" s="19">
        <v>4940433</v>
      </c>
      <c r="GI28" s="19">
        <v>8204688</v>
      </c>
      <c r="GJ28" s="19"/>
      <c r="GK28" s="19">
        <v>552817</v>
      </c>
      <c r="GL28" s="19" t="s">
        <v>96</v>
      </c>
      <c r="GM28" s="19">
        <v>8021000</v>
      </c>
      <c r="GN28" s="19">
        <v>12802803</v>
      </c>
      <c r="GO28" s="19">
        <v>5418600</v>
      </c>
      <c r="GP28" s="19">
        <v>83060990</v>
      </c>
      <c r="GQ28" s="19">
        <v>2231142</v>
      </c>
      <c r="GR28" s="19">
        <v>5449120</v>
      </c>
      <c r="GS28" s="19">
        <v>8060166</v>
      </c>
      <c r="GT28" s="19">
        <v>20809680</v>
      </c>
      <c r="GU28" s="19">
        <v>58180</v>
      </c>
      <c r="GV28" s="19">
        <v>35677710</v>
      </c>
      <c r="GW28" s="19">
        <v>10027500</v>
      </c>
      <c r="GX28" s="19">
        <v>7192480</v>
      </c>
      <c r="GY28" s="19">
        <v>16666830</v>
      </c>
      <c r="GZ28" s="19">
        <v>12264577</v>
      </c>
      <c r="HA28" s="19">
        <v>50270812</v>
      </c>
      <c r="HB28" s="19">
        <v>18198333</v>
      </c>
      <c r="HC28" s="19">
        <v>3635334</v>
      </c>
      <c r="HD28" s="19">
        <v>6464970</v>
      </c>
      <c r="HE28" s="19">
        <v>983440</v>
      </c>
      <c r="HF28" s="19">
        <v>43776100</v>
      </c>
      <c r="HG28" s="19">
        <v>1767570</v>
      </c>
      <c r="HH28" s="19"/>
      <c r="HI28" s="19">
        <v>11186382</v>
      </c>
      <c r="HJ28" s="19">
        <v>2843050</v>
      </c>
      <c r="HK28" s="19">
        <v>33486640</v>
      </c>
      <c r="HL28" s="19">
        <v>7001239</v>
      </c>
      <c r="HM28" s="19">
        <v>9508963</v>
      </c>
      <c r="HN28" s="19">
        <v>6165369</v>
      </c>
      <c r="HO28" s="19">
        <v>8903878</v>
      </c>
      <c r="HP28" s="19">
        <v>6110610</v>
      </c>
      <c r="HQ28" s="19">
        <v>25437230</v>
      </c>
      <c r="HR28" s="19">
        <v>82020150</v>
      </c>
      <c r="HS28" s="19">
        <v>13842352</v>
      </c>
      <c r="HT28" s="19">
        <v>5083330</v>
      </c>
      <c r="HU28" s="19">
        <v>521158723</v>
      </c>
      <c r="HV28" s="19">
        <v>1308509</v>
      </c>
      <c r="HW28" s="19">
        <v>1306019875</v>
      </c>
      <c r="HX28" s="19">
        <v>5172247</v>
      </c>
      <c r="HY28" s="19" t="s">
        <v>172</v>
      </c>
      <c r="HZ28" s="19">
        <v>21655209</v>
      </c>
      <c r="IA28" s="19">
        <v>1416370</v>
      </c>
      <c r="IB28" s="19">
        <v>24912810</v>
      </c>
      <c r="IC28" s="19">
        <v>7731590</v>
      </c>
      <c r="ID28" s="19">
        <v>3283290</v>
      </c>
      <c r="IE28" s="19" t="s">
        <v>96</v>
      </c>
      <c r="IF28" s="19">
        <v>586050</v>
      </c>
      <c r="IG28" s="19">
        <v>1020910</v>
      </c>
      <c r="IH28" s="19">
        <v>4499173</v>
      </c>
      <c r="II28" s="19">
        <v>2333350</v>
      </c>
      <c r="IJ28" s="19">
        <v>12559974</v>
      </c>
      <c r="IK28" s="19">
        <v>2870720</v>
      </c>
      <c r="IL28" s="19">
        <v>7330197</v>
      </c>
      <c r="IM28" s="19">
        <v>11815019</v>
      </c>
      <c r="IN28" s="19">
        <v>2963480</v>
      </c>
      <c r="IO28" s="19">
        <v>1626280</v>
      </c>
      <c r="IP28" s="19">
        <v>8577194</v>
      </c>
      <c r="IQ28" s="19">
        <v>6499290</v>
      </c>
      <c r="IR28" s="19">
        <v>2712390</v>
      </c>
      <c r="IS28" s="19">
        <v>28056000</v>
      </c>
      <c r="IT28" s="19">
        <v>11558760</v>
      </c>
    </row>
    <row r="29" spans="1:254">
      <c r="A29" s="7" t="s">
        <v>94</v>
      </c>
      <c r="B29" s="11" t="s">
        <v>13</v>
      </c>
      <c r="C29" s="19">
        <v>4591626</v>
      </c>
      <c r="D29" s="19"/>
      <c r="E29" s="19">
        <v>0</v>
      </c>
      <c r="F29" s="19">
        <v>0</v>
      </c>
      <c r="G29" s="19">
        <v>0</v>
      </c>
      <c r="H29" s="19"/>
      <c r="I29" s="19">
        <v>0</v>
      </c>
      <c r="J29" s="19" t="s">
        <v>4</v>
      </c>
      <c r="K29" s="19"/>
      <c r="L29" s="19" t="s">
        <v>96</v>
      </c>
      <c r="M29" s="19" t="s">
        <v>96</v>
      </c>
      <c r="N29" s="19"/>
      <c r="O29" s="19">
        <v>0</v>
      </c>
      <c r="P29" s="19"/>
      <c r="Q29" s="19"/>
      <c r="R29" s="19"/>
      <c r="S29" s="19"/>
      <c r="T29" s="19" t="s">
        <v>96</v>
      </c>
      <c r="U29" s="19"/>
      <c r="V29" s="19" t="s">
        <v>172</v>
      </c>
      <c r="W29" s="19">
        <v>2013831</v>
      </c>
      <c r="X29" s="19"/>
      <c r="Y29" s="19"/>
      <c r="Z29" s="19"/>
      <c r="AA29" s="19">
        <v>0</v>
      </c>
      <c r="AB29" s="19"/>
      <c r="AC29" s="19">
        <v>156083104</v>
      </c>
      <c r="AD29" s="19">
        <v>60797979</v>
      </c>
      <c r="AE29" s="19"/>
      <c r="AF29" s="19">
        <v>0</v>
      </c>
      <c r="AG29" s="19"/>
      <c r="AH29" s="19"/>
      <c r="AI29" s="19"/>
      <c r="AJ29" s="19">
        <v>8118047</v>
      </c>
      <c r="AK29" s="19"/>
      <c r="AL29" s="19"/>
      <c r="AM29" s="19" t="s">
        <v>4</v>
      </c>
      <c r="AN29" s="19">
        <v>3100000</v>
      </c>
      <c r="AO29" s="19"/>
      <c r="AP29" s="19"/>
      <c r="AQ29" s="19" t="s">
        <v>96</v>
      </c>
      <c r="AR29" s="19"/>
      <c r="AS29" s="19">
        <v>30950000</v>
      </c>
      <c r="AT29" s="19"/>
      <c r="AU29" s="19"/>
      <c r="AV29" s="19"/>
      <c r="AW29" s="19">
        <v>208475000</v>
      </c>
      <c r="AX29" s="19" t="s">
        <v>4</v>
      </c>
      <c r="AY29" s="19"/>
      <c r="AZ29" s="19"/>
      <c r="BA29" s="19"/>
      <c r="BB29" s="19">
        <v>30551000</v>
      </c>
      <c r="BC29" s="19" t="s">
        <v>4</v>
      </c>
      <c r="BD29" s="19" t="s">
        <v>128</v>
      </c>
      <c r="BE29" s="19">
        <v>0</v>
      </c>
      <c r="BF29" s="19"/>
      <c r="BG29" s="19"/>
      <c r="BH29" s="19"/>
      <c r="BI29" s="19"/>
      <c r="BJ29" s="19"/>
      <c r="BK29" s="19"/>
      <c r="BL29" s="19">
        <v>28511377</v>
      </c>
      <c r="BM29" s="19"/>
      <c r="BN29" s="19"/>
      <c r="BO29" s="19"/>
      <c r="BP29" s="19" t="s">
        <v>96</v>
      </c>
      <c r="BQ29" s="19" t="s">
        <v>4</v>
      </c>
      <c r="BR29" s="19"/>
      <c r="BS29" s="19">
        <v>7500000</v>
      </c>
      <c r="BT29" s="19">
        <v>57758480</v>
      </c>
      <c r="BU29" s="19">
        <v>11679876</v>
      </c>
      <c r="BV29" s="19">
        <v>0</v>
      </c>
      <c r="BW29" s="19"/>
      <c r="BX29" s="19"/>
      <c r="BY29" s="19"/>
      <c r="BZ29" s="19"/>
      <c r="CA29" s="19"/>
      <c r="CB29" s="19">
        <v>40680762</v>
      </c>
      <c r="CC29" s="19">
        <v>201501</v>
      </c>
      <c r="CD29" s="19"/>
      <c r="CE29" s="19">
        <v>23061000</v>
      </c>
      <c r="CF29" s="19">
        <v>211425924</v>
      </c>
      <c r="CG29" s="19"/>
      <c r="CH29" s="19">
        <v>58024104</v>
      </c>
      <c r="CI29" s="19" t="s">
        <v>128</v>
      </c>
      <c r="CJ29" s="19"/>
      <c r="CK29" s="19"/>
      <c r="CL29" s="19"/>
      <c r="CM29" s="19"/>
      <c r="CN29" s="19"/>
      <c r="CO29" s="19"/>
      <c r="CP29" s="19">
        <v>56047770</v>
      </c>
      <c r="CQ29" s="19" t="s">
        <v>96</v>
      </c>
      <c r="CR29" s="19">
        <v>3731522</v>
      </c>
      <c r="CS29" s="19">
        <v>0</v>
      </c>
      <c r="CT29" s="19"/>
      <c r="CU29" s="19"/>
      <c r="CV29" s="19"/>
      <c r="CW29" s="19"/>
      <c r="CX29" s="19"/>
      <c r="CY29" s="19" t="s">
        <v>96</v>
      </c>
      <c r="CZ29" s="19">
        <v>87108192</v>
      </c>
      <c r="DA29" s="19">
        <v>20000000</v>
      </c>
      <c r="DB29" s="19"/>
      <c r="DC29" s="19"/>
      <c r="DD29" s="19"/>
      <c r="DE29" s="19"/>
      <c r="DF29" s="19"/>
      <c r="DG29" s="19"/>
      <c r="DH29" s="19"/>
      <c r="DI29" s="19"/>
      <c r="DJ29" s="19"/>
      <c r="DK29" s="19"/>
      <c r="DL29" s="19"/>
      <c r="DM29" s="19"/>
      <c r="DN29" s="19"/>
      <c r="DO29" s="19"/>
      <c r="DP29" s="19">
        <v>7925865</v>
      </c>
      <c r="DQ29" s="19"/>
      <c r="DR29" s="19">
        <v>266420</v>
      </c>
      <c r="DS29" s="19"/>
      <c r="DT29" s="19"/>
      <c r="DU29" s="19"/>
      <c r="DV29" s="19"/>
      <c r="DW29" s="19">
        <v>10000000</v>
      </c>
      <c r="DX29" s="19"/>
      <c r="DY29" s="19"/>
      <c r="DZ29" s="19"/>
      <c r="EA29" s="19"/>
      <c r="EB29" s="19"/>
      <c r="EC29" s="19"/>
      <c r="ED29" s="19">
        <v>110000000</v>
      </c>
      <c r="EE29" s="19"/>
      <c r="EF29" s="19"/>
      <c r="EG29" s="19"/>
      <c r="EH29" s="19"/>
      <c r="EI29" s="19"/>
      <c r="EJ29" s="19"/>
      <c r="EK29" s="19"/>
      <c r="EL29" s="19"/>
      <c r="EM29" s="19"/>
      <c r="EN29" s="19"/>
      <c r="EO29" s="19"/>
      <c r="EP29" s="19"/>
      <c r="EQ29" s="19"/>
      <c r="ER29" s="19"/>
      <c r="ES29" s="19"/>
      <c r="ET29" s="19"/>
      <c r="EU29" s="19"/>
      <c r="EV29" s="19"/>
      <c r="EW29" s="19"/>
      <c r="EX29" s="19">
        <v>4600000</v>
      </c>
      <c r="EY29" s="19"/>
      <c r="EZ29" s="19"/>
      <c r="FA29" s="19"/>
      <c r="FB29" s="19"/>
      <c r="FC29" s="19">
        <v>131487370</v>
      </c>
      <c r="FD29" s="19">
        <v>542990</v>
      </c>
      <c r="FE29" s="19"/>
      <c r="FF29" s="19"/>
      <c r="FG29" s="19"/>
      <c r="FH29" s="19">
        <v>351549</v>
      </c>
      <c r="FI29" s="19" t="s">
        <v>96</v>
      </c>
      <c r="FJ29" s="19"/>
      <c r="FK29" s="19"/>
      <c r="FL29" s="19"/>
      <c r="FM29" s="19"/>
      <c r="FN29" s="19"/>
      <c r="FO29" s="19">
        <v>2900000</v>
      </c>
      <c r="FP29" s="19"/>
      <c r="FQ29" s="19"/>
      <c r="FR29" s="19"/>
      <c r="FS29" s="19"/>
      <c r="FT29" s="19"/>
      <c r="FU29" s="19">
        <v>5600000</v>
      </c>
      <c r="FV29" s="19"/>
      <c r="FW29" s="19"/>
      <c r="FX29" s="19"/>
      <c r="FY29" s="19"/>
      <c r="FZ29" s="19"/>
      <c r="GA29" s="19"/>
      <c r="GB29" s="19">
        <v>22957243</v>
      </c>
      <c r="GC29" s="19"/>
      <c r="GD29" s="19" t="s">
        <v>96</v>
      </c>
      <c r="GE29" s="19"/>
      <c r="GF29" s="19"/>
      <c r="GG29" s="19"/>
      <c r="GH29" s="19"/>
      <c r="GI29" s="19">
        <v>11426244</v>
      </c>
      <c r="GJ29" s="19"/>
      <c r="GK29" s="19"/>
      <c r="GL29" s="19" t="s">
        <v>96</v>
      </c>
      <c r="GM29" s="19"/>
      <c r="GN29" s="19">
        <v>6793282</v>
      </c>
      <c r="GO29" s="19"/>
      <c r="GP29" s="19"/>
      <c r="GQ29" s="19"/>
      <c r="GR29" s="19">
        <v>12551160</v>
      </c>
      <c r="GS29" s="19">
        <v>0</v>
      </c>
      <c r="GT29" s="19"/>
      <c r="GU29" s="19"/>
      <c r="GV29" s="19">
        <v>0</v>
      </c>
      <c r="GW29" s="19"/>
      <c r="GX29" s="19"/>
      <c r="GY29" s="19"/>
      <c r="GZ29" s="19">
        <v>1640777</v>
      </c>
      <c r="HA29" s="19">
        <v>20841943</v>
      </c>
      <c r="HB29" s="19"/>
      <c r="HC29" s="19"/>
      <c r="HD29" s="19">
        <v>17050977</v>
      </c>
      <c r="HE29" s="19"/>
      <c r="HF29" s="19">
        <v>69352185</v>
      </c>
      <c r="HG29" s="19">
        <v>6357474</v>
      </c>
      <c r="HH29" s="19"/>
      <c r="HI29" s="19"/>
      <c r="HJ29" s="19"/>
      <c r="HK29" s="19">
        <v>0</v>
      </c>
      <c r="HL29" s="19"/>
      <c r="HM29" s="19"/>
      <c r="HN29" s="19"/>
      <c r="HO29" s="19"/>
      <c r="HP29" s="19"/>
      <c r="HQ29" s="19"/>
      <c r="HR29" s="19">
        <v>232270099</v>
      </c>
      <c r="HS29" s="19"/>
      <c r="HT29" s="19">
        <v>2441836</v>
      </c>
      <c r="HU29" s="19"/>
      <c r="HV29" s="19">
        <v>2050000</v>
      </c>
      <c r="HW29" s="19"/>
      <c r="HX29" s="19"/>
      <c r="HY29" s="19" t="s">
        <v>172</v>
      </c>
      <c r="HZ29" s="19"/>
      <c r="IA29" s="19"/>
      <c r="IB29" s="19">
        <v>280164300</v>
      </c>
      <c r="IC29" s="19">
        <v>1250000</v>
      </c>
      <c r="ID29" s="19"/>
      <c r="IE29" s="19" t="s">
        <v>96</v>
      </c>
      <c r="IF29" s="19"/>
      <c r="IG29" s="19"/>
      <c r="IH29" s="19"/>
      <c r="II29" s="19">
        <v>160802590</v>
      </c>
      <c r="IJ29" s="19"/>
      <c r="IK29" s="19"/>
      <c r="IL29" s="19"/>
      <c r="IM29" s="19"/>
      <c r="IN29" s="19"/>
      <c r="IO29" s="19"/>
      <c r="IP29" s="19">
        <v>50000000</v>
      </c>
      <c r="IQ29" s="19"/>
      <c r="IR29" s="19">
        <v>332720</v>
      </c>
      <c r="IS29" s="19"/>
      <c r="IT29" s="19">
        <v>0</v>
      </c>
    </row>
    <row r="30" spans="1:254">
      <c r="A30" s="7" t="s">
        <v>94</v>
      </c>
      <c r="B30" s="11" t="s">
        <v>59</v>
      </c>
      <c r="C30" s="19">
        <v>0</v>
      </c>
      <c r="D30" s="19">
        <v>27300</v>
      </c>
      <c r="E30" s="19">
        <v>0</v>
      </c>
      <c r="F30" s="19">
        <v>0</v>
      </c>
      <c r="G30" s="19">
        <v>0</v>
      </c>
      <c r="H30" s="19"/>
      <c r="I30" s="19">
        <v>132129512</v>
      </c>
      <c r="J30" s="19" t="s">
        <v>4</v>
      </c>
      <c r="K30" s="19"/>
      <c r="L30" s="19" t="s">
        <v>96</v>
      </c>
      <c r="M30" s="19" t="s">
        <v>96</v>
      </c>
      <c r="N30" s="19">
        <v>7370000</v>
      </c>
      <c r="O30" s="19">
        <v>0</v>
      </c>
      <c r="P30" s="19">
        <v>687580</v>
      </c>
      <c r="Q30" s="19"/>
      <c r="R30" s="19">
        <v>3150000</v>
      </c>
      <c r="S30" s="19">
        <v>1028138399</v>
      </c>
      <c r="T30" s="19" t="s">
        <v>96</v>
      </c>
      <c r="U30" s="19">
        <v>202164986</v>
      </c>
      <c r="V30" s="19" t="s">
        <v>172</v>
      </c>
      <c r="W30" s="19">
        <v>0</v>
      </c>
      <c r="X30" s="19">
        <v>1408120</v>
      </c>
      <c r="Y30" s="19">
        <v>6886000</v>
      </c>
      <c r="Z30" s="19"/>
      <c r="AA30" s="19">
        <v>20000000</v>
      </c>
      <c r="AB30" s="19">
        <v>665000</v>
      </c>
      <c r="AC30" s="19"/>
      <c r="AD30" s="19">
        <v>172455097</v>
      </c>
      <c r="AE30" s="19"/>
      <c r="AF30" s="19">
        <v>0</v>
      </c>
      <c r="AG30" s="19"/>
      <c r="AH30" s="19">
        <v>10004944</v>
      </c>
      <c r="AI30" s="19"/>
      <c r="AJ30" s="19">
        <v>2418221</v>
      </c>
      <c r="AK30" s="19"/>
      <c r="AL30" s="19">
        <v>44444275</v>
      </c>
      <c r="AM30" s="19" t="s">
        <v>4</v>
      </c>
      <c r="AN30" s="19">
        <v>5902000</v>
      </c>
      <c r="AO30" s="19">
        <v>29024630</v>
      </c>
      <c r="AP30" s="19">
        <v>65473880</v>
      </c>
      <c r="AQ30" s="19" t="s">
        <v>96</v>
      </c>
      <c r="AR30" s="19"/>
      <c r="AS30" s="19">
        <v>111036111</v>
      </c>
      <c r="AT30" s="19"/>
      <c r="AU30" s="19">
        <v>26600000</v>
      </c>
      <c r="AV30" s="19">
        <v>7000000</v>
      </c>
      <c r="AW30" s="19">
        <v>2090000</v>
      </c>
      <c r="AX30" s="19" t="s">
        <v>4</v>
      </c>
      <c r="AY30" s="19">
        <v>355000</v>
      </c>
      <c r="AZ30" s="19">
        <v>2015200</v>
      </c>
      <c r="BA30" s="19"/>
      <c r="BB30" s="19"/>
      <c r="BC30" s="19" t="s">
        <v>4</v>
      </c>
      <c r="BD30" s="19" t="s">
        <v>128</v>
      </c>
      <c r="BE30" s="19">
        <v>33733792</v>
      </c>
      <c r="BF30" s="19"/>
      <c r="BG30" s="19">
        <v>82645463</v>
      </c>
      <c r="BH30" s="19">
        <v>144000</v>
      </c>
      <c r="BI30" s="19">
        <v>1531200</v>
      </c>
      <c r="BJ30" s="19">
        <v>34909484</v>
      </c>
      <c r="BK30" s="19"/>
      <c r="BL30" s="19"/>
      <c r="BM30" s="19">
        <v>17143915</v>
      </c>
      <c r="BN30" s="19"/>
      <c r="BO30" s="19"/>
      <c r="BP30" s="19" t="s">
        <v>96</v>
      </c>
      <c r="BQ30" s="19" t="s">
        <v>4</v>
      </c>
      <c r="BR30" s="19">
        <v>62069239</v>
      </c>
      <c r="BS30" s="19">
        <v>23897568</v>
      </c>
      <c r="BT30" s="19"/>
      <c r="BU30" s="19"/>
      <c r="BV30" s="19">
        <v>29790000</v>
      </c>
      <c r="BW30" s="19"/>
      <c r="BX30" s="19">
        <v>974250</v>
      </c>
      <c r="BY30" s="19">
        <v>265210433</v>
      </c>
      <c r="BZ30" s="19"/>
      <c r="CA30" s="19"/>
      <c r="CB30" s="19"/>
      <c r="CC30" s="19">
        <v>98173238</v>
      </c>
      <c r="CD30" s="19"/>
      <c r="CE30" s="19"/>
      <c r="CF30" s="19"/>
      <c r="CG30" s="19"/>
      <c r="CH30" s="19">
        <v>580000</v>
      </c>
      <c r="CI30" s="19" t="s">
        <v>128</v>
      </c>
      <c r="CJ30" s="19">
        <v>32567500</v>
      </c>
      <c r="CK30" s="19">
        <v>998660</v>
      </c>
      <c r="CL30" s="19">
        <v>2000000</v>
      </c>
      <c r="CM30" s="19">
        <v>30000000</v>
      </c>
      <c r="CN30" s="19"/>
      <c r="CO30" s="19"/>
      <c r="CP30" s="19"/>
      <c r="CQ30" s="19" t="s">
        <v>96</v>
      </c>
      <c r="CR30" s="19">
        <v>10070087</v>
      </c>
      <c r="CS30" s="19">
        <v>0</v>
      </c>
      <c r="CT30" s="19">
        <v>67428849</v>
      </c>
      <c r="CU30" s="19"/>
      <c r="CV30" s="19"/>
      <c r="CW30" s="19">
        <v>20951160</v>
      </c>
      <c r="CX30" s="19">
        <v>85372623</v>
      </c>
      <c r="CY30" s="19" t="s">
        <v>96</v>
      </c>
      <c r="CZ30" s="19"/>
      <c r="DA30" s="19"/>
      <c r="DB30" s="19"/>
      <c r="DC30" s="19">
        <v>49561130</v>
      </c>
      <c r="DD30" s="19">
        <v>5794690</v>
      </c>
      <c r="DE30" s="19"/>
      <c r="DF30" s="19"/>
      <c r="DG30" s="19">
        <v>156553482</v>
      </c>
      <c r="DH30" s="19">
        <v>54782161</v>
      </c>
      <c r="DI30" s="19">
        <v>74833000</v>
      </c>
      <c r="DJ30" s="19"/>
      <c r="DK30" s="19"/>
      <c r="DL30" s="19">
        <v>7317613</v>
      </c>
      <c r="DM30" s="19"/>
      <c r="DN30" s="19"/>
      <c r="DO30" s="19">
        <v>5761000</v>
      </c>
      <c r="DP30" s="19">
        <v>467304594</v>
      </c>
      <c r="DQ30" s="19"/>
      <c r="DR30" s="19">
        <v>12444900</v>
      </c>
      <c r="DS30" s="19"/>
      <c r="DT30" s="19"/>
      <c r="DU30" s="19"/>
      <c r="DV30" s="19"/>
      <c r="DW30" s="19"/>
      <c r="DX30" s="19">
        <v>83220000</v>
      </c>
      <c r="DY30" s="19"/>
      <c r="DZ30" s="19"/>
      <c r="EA30" s="19"/>
      <c r="EB30" s="19">
        <v>1500000</v>
      </c>
      <c r="EC30" s="19"/>
      <c r="ED30" s="19">
        <v>735411</v>
      </c>
      <c r="EE30" s="19"/>
      <c r="EF30" s="19">
        <v>24899670</v>
      </c>
      <c r="EG30" s="19">
        <v>325317715</v>
      </c>
      <c r="EH30" s="19">
        <v>35419566</v>
      </c>
      <c r="EI30" s="19">
        <v>17043593</v>
      </c>
      <c r="EJ30" s="19"/>
      <c r="EK30" s="19"/>
      <c r="EL30" s="19">
        <v>1398000</v>
      </c>
      <c r="EM30" s="19"/>
      <c r="EN30" s="19"/>
      <c r="EO30" s="19"/>
      <c r="EP30" s="19"/>
      <c r="EQ30" s="19"/>
      <c r="ER30" s="19"/>
      <c r="ES30" s="19">
        <v>5000000</v>
      </c>
      <c r="ET30" s="19"/>
      <c r="EU30" s="19">
        <v>1073505081</v>
      </c>
      <c r="EV30" s="19">
        <v>68100</v>
      </c>
      <c r="EW30" s="19">
        <v>15098450</v>
      </c>
      <c r="EX30" s="19">
        <v>2516800</v>
      </c>
      <c r="EY30" s="19"/>
      <c r="EZ30" s="19">
        <v>47906525</v>
      </c>
      <c r="FA30" s="19">
        <v>1140395238</v>
      </c>
      <c r="FB30" s="19">
        <v>14460000</v>
      </c>
      <c r="FC30" s="19"/>
      <c r="FD30" s="19">
        <v>896500</v>
      </c>
      <c r="FE30" s="19">
        <v>20495485</v>
      </c>
      <c r="FF30" s="19">
        <v>28935767</v>
      </c>
      <c r="FG30" s="19"/>
      <c r="FH30" s="19">
        <v>1000000</v>
      </c>
      <c r="FI30" s="19" t="s">
        <v>96</v>
      </c>
      <c r="FJ30" s="19"/>
      <c r="FK30" s="19">
        <v>209000</v>
      </c>
      <c r="FL30" s="19"/>
      <c r="FM30" s="19">
        <v>18457783</v>
      </c>
      <c r="FN30" s="19"/>
      <c r="FO30" s="19"/>
      <c r="FP30" s="19"/>
      <c r="FQ30" s="19">
        <v>13369213</v>
      </c>
      <c r="FR30" s="19"/>
      <c r="FS30" s="19">
        <v>7648535</v>
      </c>
      <c r="FT30" s="19">
        <v>68750</v>
      </c>
      <c r="FU30" s="19"/>
      <c r="FV30" s="19"/>
      <c r="FW30" s="19">
        <v>815620</v>
      </c>
      <c r="FX30" s="19">
        <v>7024785</v>
      </c>
      <c r="FY30" s="19">
        <v>26616000</v>
      </c>
      <c r="FZ30" s="19">
        <v>512600</v>
      </c>
      <c r="GA30" s="19"/>
      <c r="GB30" s="19"/>
      <c r="GC30" s="19">
        <v>50000000</v>
      </c>
      <c r="GD30" s="19" t="s">
        <v>96</v>
      </c>
      <c r="GE30" s="19"/>
      <c r="GF30" s="19">
        <v>16800586</v>
      </c>
      <c r="GG30" s="19">
        <v>79234432</v>
      </c>
      <c r="GH30" s="19">
        <v>800</v>
      </c>
      <c r="GI30" s="19">
        <v>441300</v>
      </c>
      <c r="GJ30" s="19"/>
      <c r="GK30" s="19"/>
      <c r="GL30" s="19" t="s">
        <v>96</v>
      </c>
      <c r="GM30" s="19"/>
      <c r="GN30" s="19">
        <v>5378000</v>
      </c>
      <c r="GO30" s="19">
        <v>5384000</v>
      </c>
      <c r="GP30" s="19">
        <v>29069468</v>
      </c>
      <c r="GQ30" s="19">
        <v>380000</v>
      </c>
      <c r="GR30" s="19">
        <v>739120</v>
      </c>
      <c r="GS30" s="19"/>
      <c r="GT30" s="19"/>
      <c r="GU30" s="19">
        <v>39666984</v>
      </c>
      <c r="GV30" s="19"/>
      <c r="GW30" s="19">
        <v>69177388</v>
      </c>
      <c r="GX30" s="19"/>
      <c r="GY30" s="19"/>
      <c r="GZ30" s="19">
        <v>4430200</v>
      </c>
      <c r="HA30" s="19"/>
      <c r="HB30" s="19">
        <v>3298150</v>
      </c>
      <c r="HC30" s="19">
        <v>46023020</v>
      </c>
      <c r="HD30" s="19">
        <v>295000</v>
      </c>
      <c r="HE30" s="19">
        <v>1778000</v>
      </c>
      <c r="HF30" s="19">
        <v>909380</v>
      </c>
      <c r="HG30" s="19">
        <v>25090624</v>
      </c>
      <c r="HH30" s="19"/>
      <c r="HI30" s="19"/>
      <c r="HJ30" s="19">
        <v>7025790</v>
      </c>
      <c r="HK30" s="19">
        <v>1603000</v>
      </c>
      <c r="HL30" s="19"/>
      <c r="HM30" s="19"/>
      <c r="HN30" s="19"/>
      <c r="HO30" s="19">
        <v>349040</v>
      </c>
      <c r="HP30" s="19"/>
      <c r="HQ30" s="19"/>
      <c r="HR30" s="19">
        <v>120846912</v>
      </c>
      <c r="HS30" s="19"/>
      <c r="HT30" s="19">
        <v>27933525</v>
      </c>
      <c r="HU30" s="19"/>
      <c r="HV30" s="19"/>
      <c r="HW30" s="19">
        <v>6002265715</v>
      </c>
      <c r="HX30" s="19">
        <v>476300</v>
      </c>
      <c r="HY30" s="19" t="s">
        <v>172</v>
      </c>
      <c r="HZ30" s="19">
        <v>7488333</v>
      </c>
      <c r="IA30" s="19"/>
      <c r="IB30" s="19">
        <v>7462390</v>
      </c>
      <c r="IC30" s="19"/>
      <c r="ID30" s="19"/>
      <c r="IE30" s="19" t="s">
        <v>96</v>
      </c>
      <c r="IF30" s="19"/>
      <c r="IG30" s="19"/>
      <c r="IH30" s="19"/>
      <c r="II30" s="19">
        <v>4205000</v>
      </c>
      <c r="IJ30" s="19"/>
      <c r="IK30" s="19">
        <v>19700000</v>
      </c>
      <c r="IL30" s="19">
        <v>61807444</v>
      </c>
      <c r="IM30" s="19">
        <v>390400</v>
      </c>
      <c r="IN30" s="19"/>
      <c r="IO30" s="19">
        <v>7479816</v>
      </c>
      <c r="IP30" s="19"/>
      <c r="IQ30" s="19">
        <v>1165000</v>
      </c>
      <c r="IR30" s="19"/>
      <c r="IS30" s="19">
        <v>1564000</v>
      </c>
      <c r="IT30" s="19">
        <v>0</v>
      </c>
    </row>
    <row r="31" spans="1:254">
      <c r="A31" s="7" t="s">
        <v>94</v>
      </c>
      <c r="B31" s="8" t="s">
        <v>18</v>
      </c>
      <c r="C31" s="19">
        <v>0</v>
      </c>
      <c r="D31" s="19">
        <v>160000000</v>
      </c>
      <c r="E31" s="19">
        <v>275000000</v>
      </c>
      <c r="F31" s="19">
        <v>554350000</v>
      </c>
      <c r="G31" s="19">
        <v>306986250</v>
      </c>
      <c r="H31" s="19">
        <v>1491543418</v>
      </c>
      <c r="I31" s="19">
        <v>2836434616</v>
      </c>
      <c r="J31" s="19" t="s">
        <v>4</v>
      </c>
      <c r="K31" s="19">
        <v>10874260</v>
      </c>
      <c r="L31" s="19" t="s">
        <v>96</v>
      </c>
      <c r="M31" s="19" t="s">
        <v>96</v>
      </c>
      <c r="N31" s="19">
        <v>171335356</v>
      </c>
      <c r="O31" s="19">
        <v>5003478066</v>
      </c>
      <c r="P31" s="19">
        <v>2177988930</v>
      </c>
      <c r="Q31" s="19">
        <v>78150000</v>
      </c>
      <c r="R31" s="19">
        <v>277970741</v>
      </c>
      <c r="S31" s="19">
        <v>9964223939</v>
      </c>
      <c r="T31" s="19" t="s">
        <v>96</v>
      </c>
      <c r="U31" s="19">
        <v>1005568559</v>
      </c>
      <c r="V31" s="19" t="s">
        <v>172</v>
      </c>
      <c r="W31" s="19">
        <v>991169323</v>
      </c>
      <c r="X31" s="19">
        <v>3584630000</v>
      </c>
      <c r="Y31" s="19">
        <v>134979685</v>
      </c>
      <c r="Z31" s="19">
        <v>5921390346</v>
      </c>
      <c r="AA31" s="19">
        <v>1600000000</v>
      </c>
      <c r="AB31" s="19">
        <v>0</v>
      </c>
      <c r="AC31" s="19">
        <v>600000000</v>
      </c>
      <c r="AD31" s="19">
        <v>5079666940</v>
      </c>
      <c r="AE31" s="19">
        <v>5417340531</v>
      </c>
      <c r="AF31" s="19">
        <v>215000000</v>
      </c>
      <c r="AG31" s="19">
        <v>1102723534</v>
      </c>
      <c r="AH31" s="19">
        <v>50000000</v>
      </c>
      <c r="AI31" s="19">
        <v>675157512</v>
      </c>
      <c r="AJ31" s="19">
        <v>323778856</v>
      </c>
      <c r="AK31" s="19">
        <v>0</v>
      </c>
      <c r="AL31" s="19">
        <v>120902779</v>
      </c>
      <c r="AM31" s="19" t="s">
        <v>4</v>
      </c>
      <c r="AN31" s="19">
        <v>1494784329</v>
      </c>
      <c r="AO31" s="19">
        <v>0</v>
      </c>
      <c r="AP31" s="19">
        <v>83141796</v>
      </c>
      <c r="AQ31" s="19" t="s">
        <v>96</v>
      </c>
      <c r="AR31" s="19">
        <v>356033378</v>
      </c>
      <c r="AS31" s="19">
        <v>0</v>
      </c>
      <c r="AT31" s="19">
        <v>2364655639</v>
      </c>
      <c r="AU31" s="19">
        <v>9169518780</v>
      </c>
      <c r="AV31" s="19">
        <v>3346387</v>
      </c>
      <c r="AW31" s="19">
        <v>0</v>
      </c>
      <c r="AX31" s="19" t="s">
        <v>4</v>
      </c>
      <c r="AY31" s="19">
        <v>329700060</v>
      </c>
      <c r="AZ31" s="19">
        <v>150000000</v>
      </c>
      <c r="BA31" s="19">
        <v>510000000</v>
      </c>
      <c r="BB31" s="19">
        <v>0</v>
      </c>
      <c r="BC31" s="19" t="s">
        <v>4</v>
      </c>
      <c r="BD31" s="19" t="s">
        <v>128</v>
      </c>
      <c r="BE31" s="19">
        <v>544290742</v>
      </c>
      <c r="BF31" s="19">
        <v>400000000</v>
      </c>
      <c r="BG31" s="19">
        <v>466214964</v>
      </c>
      <c r="BH31" s="19">
        <v>550000000</v>
      </c>
      <c r="BI31" s="19"/>
      <c r="BJ31" s="19">
        <v>500004246</v>
      </c>
      <c r="BK31" s="19">
        <v>1482698352</v>
      </c>
      <c r="BL31" s="19">
        <v>41472064</v>
      </c>
      <c r="BM31" s="19">
        <v>837850000</v>
      </c>
      <c r="BN31" s="19">
        <v>0</v>
      </c>
      <c r="BO31" s="19">
        <v>326269945</v>
      </c>
      <c r="BP31" s="19" t="s">
        <v>96</v>
      </c>
      <c r="BQ31" s="19" t="s">
        <v>4</v>
      </c>
      <c r="BR31" s="19">
        <v>1551296021</v>
      </c>
      <c r="BS31" s="19">
        <v>0</v>
      </c>
      <c r="BT31" s="19">
        <v>0</v>
      </c>
      <c r="BU31" s="19">
        <v>870014136</v>
      </c>
      <c r="BV31" s="19">
        <v>0</v>
      </c>
      <c r="BW31" s="19">
        <v>0</v>
      </c>
      <c r="BX31" s="19">
        <v>0</v>
      </c>
      <c r="BY31" s="19">
        <v>1046296885</v>
      </c>
      <c r="BZ31" s="19"/>
      <c r="CA31" s="19">
        <v>1259932262</v>
      </c>
      <c r="CB31" s="19">
        <v>1528951338</v>
      </c>
      <c r="CC31" s="19"/>
      <c r="CD31" s="19"/>
      <c r="CE31" s="19">
        <v>3520198</v>
      </c>
      <c r="CF31" s="19">
        <v>0</v>
      </c>
      <c r="CG31" s="19">
        <v>0</v>
      </c>
      <c r="CH31" s="19">
        <v>0</v>
      </c>
      <c r="CI31" s="19" t="s">
        <v>128</v>
      </c>
      <c r="CJ31" s="19">
        <v>173150000</v>
      </c>
      <c r="CK31" s="19">
        <v>4688846391</v>
      </c>
      <c r="CL31" s="19">
        <v>556738740</v>
      </c>
      <c r="CM31" s="19">
        <v>463516360</v>
      </c>
      <c r="CN31" s="19">
        <v>44100000</v>
      </c>
      <c r="CO31" s="19">
        <v>4001425</v>
      </c>
      <c r="CP31" s="19">
        <v>1003342286</v>
      </c>
      <c r="CQ31" s="19" t="s">
        <v>96</v>
      </c>
      <c r="CR31" s="19">
        <v>0</v>
      </c>
      <c r="CS31" s="19">
        <v>1228524638</v>
      </c>
      <c r="CT31" s="19">
        <v>434260230</v>
      </c>
      <c r="CU31" s="19">
        <v>42957116</v>
      </c>
      <c r="CV31" s="19">
        <v>86434377</v>
      </c>
      <c r="CW31" s="19">
        <v>1200000000</v>
      </c>
      <c r="CX31" s="19">
        <v>349868872</v>
      </c>
      <c r="CY31" s="19" t="s">
        <v>96</v>
      </c>
      <c r="CZ31" s="19">
        <v>456697800</v>
      </c>
      <c r="DA31" s="19">
        <v>330000000</v>
      </c>
      <c r="DB31" s="19">
        <v>0</v>
      </c>
      <c r="DC31" s="19">
        <v>2773782</v>
      </c>
      <c r="DD31" s="19">
        <v>204422566</v>
      </c>
      <c r="DE31" s="19">
        <v>137440000</v>
      </c>
      <c r="DF31" s="19">
        <v>7040000</v>
      </c>
      <c r="DG31" s="19">
        <v>0</v>
      </c>
      <c r="DH31" s="19">
        <v>250000000</v>
      </c>
      <c r="DI31" s="19">
        <v>5391282095</v>
      </c>
      <c r="DJ31" s="19">
        <v>0</v>
      </c>
      <c r="DK31" s="19">
        <v>4338090000</v>
      </c>
      <c r="DL31" s="19">
        <v>542789205</v>
      </c>
      <c r="DM31" s="19">
        <v>0</v>
      </c>
      <c r="DN31" s="19">
        <v>641519957</v>
      </c>
      <c r="DO31" s="19">
        <v>0</v>
      </c>
      <c r="DP31" s="19">
        <v>0</v>
      </c>
      <c r="DQ31" s="19">
        <v>265000000</v>
      </c>
      <c r="DR31" s="19">
        <v>5358182701</v>
      </c>
      <c r="DS31" s="19">
        <v>7620922</v>
      </c>
      <c r="DT31" s="19">
        <v>637000000</v>
      </c>
      <c r="DU31" s="19">
        <v>0</v>
      </c>
      <c r="DV31" s="19">
        <v>0</v>
      </c>
      <c r="DW31" s="19">
        <v>600000000</v>
      </c>
      <c r="DX31" s="19">
        <v>158130000</v>
      </c>
      <c r="DY31" s="19">
        <v>850000000</v>
      </c>
      <c r="DZ31" s="19">
        <v>175000000</v>
      </c>
      <c r="EA31" s="19">
        <v>2731328</v>
      </c>
      <c r="EB31" s="19">
        <v>2403130000</v>
      </c>
      <c r="EC31" s="19">
        <v>365000000</v>
      </c>
      <c r="ED31" s="19">
        <v>0</v>
      </c>
      <c r="EE31" s="19">
        <v>30000000</v>
      </c>
      <c r="EF31" s="19">
        <v>1784925598</v>
      </c>
      <c r="EG31" s="19">
        <v>964217265</v>
      </c>
      <c r="EH31" s="19">
        <v>6047641338</v>
      </c>
      <c r="EI31" s="19">
        <v>178167796</v>
      </c>
      <c r="EJ31" s="19">
        <v>69594880</v>
      </c>
      <c r="EK31" s="19">
        <v>94054854</v>
      </c>
      <c r="EL31" s="19">
        <v>552279257</v>
      </c>
      <c r="EM31" s="19">
        <v>0</v>
      </c>
      <c r="EN31" s="19">
        <v>711455377</v>
      </c>
      <c r="EO31" s="19">
        <v>209583173</v>
      </c>
      <c r="EP31" s="19">
        <v>0</v>
      </c>
      <c r="EQ31" s="19">
        <v>332490000</v>
      </c>
      <c r="ER31" s="19">
        <v>878202637</v>
      </c>
      <c r="ES31" s="19">
        <v>2731095785</v>
      </c>
      <c r="ET31" s="19">
        <v>14547296</v>
      </c>
      <c r="EU31" s="19">
        <v>18113370</v>
      </c>
      <c r="EV31" s="19">
        <v>132232050</v>
      </c>
      <c r="EW31" s="19">
        <v>189216440</v>
      </c>
      <c r="EX31" s="19">
        <v>1812421260</v>
      </c>
      <c r="EY31" s="19">
        <v>0</v>
      </c>
      <c r="EZ31" s="19">
        <v>191871411</v>
      </c>
      <c r="FA31" s="19">
        <v>1017514370</v>
      </c>
      <c r="FB31" s="19">
        <v>50000000</v>
      </c>
      <c r="FC31" s="19">
        <v>568939517</v>
      </c>
      <c r="FD31" s="19">
        <v>375149549</v>
      </c>
      <c r="FE31" s="19">
        <v>600000000</v>
      </c>
      <c r="FF31" s="19">
        <v>0</v>
      </c>
      <c r="FG31" s="19">
        <v>600000000</v>
      </c>
      <c r="FH31" s="19">
        <v>0</v>
      </c>
      <c r="FI31" s="19" t="s">
        <v>96</v>
      </c>
      <c r="FJ31" s="19">
        <v>0</v>
      </c>
      <c r="FK31" s="19">
        <v>171567876</v>
      </c>
      <c r="FL31" s="19">
        <v>311527979</v>
      </c>
      <c r="FM31" s="19">
        <v>92470471</v>
      </c>
      <c r="FN31" s="19">
        <v>0</v>
      </c>
      <c r="FO31" s="19">
        <v>66000000</v>
      </c>
      <c r="FP31" s="19">
        <v>408410000</v>
      </c>
      <c r="FQ31" s="19">
        <v>250000000</v>
      </c>
      <c r="FR31" s="19">
        <v>0</v>
      </c>
      <c r="FS31" s="19">
        <v>515959813</v>
      </c>
      <c r="FT31" s="19">
        <v>909140487</v>
      </c>
      <c r="FU31" s="19">
        <v>0</v>
      </c>
      <c r="FV31" s="19">
        <v>1845000000</v>
      </c>
      <c r="FW31" s="19">
        <v>10000000</v>
      </c>
      <c r="FX31" s="19">
        <v>0</v>
      </c>
      <c r="FY31" s="19">
        <v>409041985</v>
      </c>
      <c r="FZ31" s="19">
        <v>300000000</v>
      </c>
      <c r="GA31" s="19">
        <v>0</v>
      </c>
      <c r="GB31" s="19">
        <v>0</v>
      </c>
      <c r="GC31" s="19">
        <v>7517333</v>
      </c>
      <c r="GD31" s="19" t="s">
        <v>96</v>
      </c>
      <c r="GE31" s="19">
        <v>0</v>
      </c>
      <c r="GF31" s="19">
        <v>320000000</v>
      </c>
      <c r="GG31" s="19">
        <v>1256568036</v>
      </c>
      <c r="GH31" s="19">
        <v>315918658</v>
      </c>
      <c r="GI31" s="19">
        <v>95357500</v>
      </c>
      <c r="GJ31" s="19">
        <v>19000000</v>
      </c>
      <c r="GK31" s="19">
        <v>0</v>
      </c>
      <c r="GL31" s="19" t="s">
        <v>96</v>
      </c>
      <c r="GM31" s="19">
        <v>40000000</v>
      </c>
      <c r="GN31" s="19">
        <v>49557000</v>
      </c>
      <c r="GO31" s="19">
        <v>3013350000</v>
      </c>
      <c r="GP31" s="19">
        <v>2790509600</v>
      </c>
      <c r="GQ31" s="19">
        <v>0</v>
      </c>
      <c r="GR31" s="19">
        <v>292822386</v>
      </c>
      <c r="GS31" s="19">
        <v>174302950</v>
      </c>
      <c r="GT31" s="19">
        <v>484099332</v>
      </c>
      <c r="GU31" s="19">
        <v>0</v>
      </c>
      <c r="GV31" s="19">
        <v>457723740</v>
      </c>
      <c r="GW31" s="19">
        <v>361983646</v>
      </c>
      <c r="GX31" s="19">
        <v>662480000</v>
      </c>
      <c r="GY31" s="19">
        <v>94618688</v>
      </c>
      <c r="GZ31" s="19">
        <v>3816746458</v>
      </c>
      <c r="HA31" s="19">
        <v>571008971</v>
      </c>
      <c r="HB31" s="19"/>
      <c r="HC31" s="19">
        <v>490000000</v>
      </c>
      <c r="HD31" s="19">
        <v>0</v>
      </c>
      <c r="HE31" s="19">
        <v>270000000</v>
      </c>
      <c r="HF31" s="19">
        <v>35000000</v>
      </c>
      <c r="HG31" s="19">
        <v>0</v>
      </c>
      <c r="HH31" s="19">
        <v>0</v>
      </c>
      <c r="HI31" s="19">
        <v>109156294</v>
      </c>
      <c r="HJ31" s="19">
        <v>456051309</v>
      </c>
      <c r="HK31" s="19">
        <v>83300000</v>
      </c>
      <c r="HL31" s="19">
        <v>0</v>
      </c>
      <c r="HM31" s="19">
        <v>279650003</v>
      </c>
      <c r="HN31" s="19">
        <v>0</v>
      </c>
      <c r="HO31" s="19">
        <v>500000000</v>
      </c>
      <c r="HP31" s="19">
        <v>228536670</v>
      </c>
      <c r="HQ31" s="19"/>
      <c r="HR31" s="19">
        <v>430358318</v>
      </c>
      <c r="HS31" s="19">
        <v>0</v>
      </c>
      <c r="HT31" s="19">
        <v>105000000</v>
      </c>
      <c r="HU31" s="19">
        <v>0</v>
      </c>
      <c r="HV31" s="19">
        <v>0</v>
      </c>
      <c r="HW31" s="19">
        <v>1613841373</v>
      </c>
      <c r="HX31" s="19">
        <v>2704440000</v>
      </c>
      <c r="HY31" s="19" t="s">
        <v>172</v>
      </c>
      <c r="HZ31" s="19">
        <v>3129816112</v>
      </c>
      <c r="IA31" s="19"/>
      <c r="IB31" s="19">
        <v>2006534965</v>
      </c>
      <c r="IC31" s="19">
        <v>638408498</v>
      </c>
      <c r="ID31" s="19">
        <v>0</v>
      </c>
      <c r="IE31" s="19" t="s">
        <v>96</v>
      </c>
      <c r="IF31" s="19">
        <v>8361010</v>
      </c>
      <c r="IG31" s="19">
        <v>0</v>
      </c>
      <c r="IH31" s="19">
        <v>0</v>
      </c>
      <c r="II31" s="19">
        <v>113208306</v>
      </c>
      <c r="IJ31" s="19">
        <v>41420000</v>
      </c>
      <c r="IK31" s="19">
        <v>400000000</v>
      </c>
      <c r="IL31" s="19">
        <v>0</v>
      </c>
      <c r="IM31" s="19">
        <v>0</v>
      </c>
      <c r="IN31" s="19">
        <v>0</v>
      </c>
      <c r="IO31" s="19">
        <v>450000000</v>
      </c>
      <c r="IP31" s="19">
        <v>28135000</v>
      </c>
      <c r="IQ31" s="19">
        <v>300323448</v>
      </c>
      <c r="IR31" s="19">
        <v>471875000</v>
      </c>
      <c r="IS31" s="19">
        <v>3452770000</v>
      </c>
      <c r="IT31" s="19">
        <v>900000000</v>
      </c>
    </row>
    <row r="32" spans="1:254">
      <c r="A32" s="7" t="s">
        <v>94</v>
      </c>
      <c r="B32" s="11" t="s">
        <v>15</v>
      </c>
      <c r="C32" s="19">
        <v>0</v>
      </c>
      <c r="D32" s="19">
        <v>160000000</v>
      </c>
      <c r="E32" s="19">
        <v>250000000</v>
      </c>
      <c r="F32" s="19">
        <v>452350000</v>
      </c>
      <c r="G32" s="19">
        <v>304986250</v>
      </c>
      <c r="H32" s="19">
        <v>1231268418</v>
      </c>
      <c r="I32" s="19">
        <v>1176963616</v>
      </c>
      <c r="J32" s="19" t="s">
        <v>4</v>
      </c>
      <c r="K32" s="19">
        <v>10874260</v>
      </c>
      <c r="L32" s="19" t="s">
        <v>96</v>
      </c>
      <c r="M32" s="19" t="s">
        <v>96</v>
      </c>
      <c r="N32" s="19">
        <v>171335356</v>
      </c>
      <c r="O32" s="19">
        <v>4680887776</v>
      </c>
      <c r="P32" s="19">
        <v>1143870000</v>
      </c>
      <c r="Q32" s="19">
        <v>78150000</v>
      </c>
      <c r="R32" s="19">
        <v>277970741</v>
      </c>
      <c r="S32" s="19">
        <v>7256380000</v>
      </c>
      <c r="T32" s="19" t="s">
        <v>96</v>
      </c>
      <c r="U32" s="19"/>
      <c r="V32" s="19" t="s">
        <v>172</v>
      </c>
      <c r="W32" s="19">
        <v>671169323</v>
      </c>
      <c r="X32" s="19">
        <v>3364630000</v>
      </c>
      <c r="Y32" s="19">
        <v>100000000</v>
      </c>
      <c r="Z32" s="19">
        <v>4731639632</v>
      </c>
      <c r="AA32" s="19">
        <v>1300000000</v>
      </c>
      <c r="AB32" s="19"/>
      <c r="AC32" s="19">
        <v>600000000</v>
      </c>
      <c r="AD32" s="19">
        <v>5069666940</v>
      </c>
      <c r="AE32" s="19">
        <v>4579340531</v>
      </c>
      <c r="AF32" s="19">
        <v>215000000</v>
      </c>
      <c r="AG32" s="19">
        <v>952723534</v>
      </c>
      <c r="AH32" s="19">
        <v>50000000</v>
      </c>
      <c r="AI32" s="19">
        <v>230000000</v>
      </c>
      <c r="AJ32" s="19">
        <v>323778856</v>
      </c>
      <c r="AK32" s="19"/>
      <c r="AL32" s="19">
        <v>120902779</v>
      </c>
      <c r="AM32" s="19" t="s">
        <v>4</v>
      </c>
      <c r="AN32" s="19">
        <v>1464784329</v>
      </c>
      <c r="AO32" s="19"/>
      <c r="AP32" s="19"/>
      <c r="AQ32" s="19" t="s">
        <v>96</v>
      </c>
      <c r="AR32" s="19">
        <v>321875000</v>
      </c>
      <c r="AS32" s="19"/>
      <c r="AT32" s="19">
        <v>2364655639</v>
      </c>
      <c r="AU32" s="19">
        <v>8201978780</v>
      </c>
      <c r="AV32" s="19">
        <v>3346387</v>
      </c>
      <c r="AW32" s="19"/>
      <c r="AX32" s="19" t="s">
        <v>4</v>
      </c>
      <c r="AY32" s="19">
        <v>329700060</v>
      </c>
      <c r="AZ32" s="19">
        <v>150000000</v>
      </c>
      <c r="BA32" s="19">
        <v>400000000</v>
      </c>
      <c r="BB32" s="19"/>
      <c r="BC32" s="19" t="s">
        <v>4</v>
      </c>
      <c r="BD32" s="19" t="s">
        <v>128</v>
      </c>
      <c r="BE32" s="19">
        <v>544290742</v>
      </c>
      <c r="BF32" s="19">
        <v>100000000</v>
      </c>
      <c r="BG32" s="19">
        <v>389390214</v>
      </c>
      <c r="BH32" s="19">
        <v>550000000</v>
      </c>
      <c r="BI32" s="19"/>
      <c r="BJ32" s="19">
        <v>226236265</v>
      </c>
      <c r="BK32" s="19">
        <v>92651150</v>
      </c>
      <c r="BL32" s="19">
        <v>34331030</v>
      </c>
      <c r="BM32" s="19">
        <v>837850000</v>
      </c>
      <c r="BN32" s="19"/>
      <c r="BO32" s="19">
        <v>326269945</v>
      </c>
      <c r="BP32" s="19" t="s">
        <v>96</v>
      </c>
      <c r="BQ32" s="19" t="s">
        <v>4</v>
      </c>
      <c r="BR32" s="19">
        <v>1551296021</v>
      </c>
      <c r="BS32" s="19"/>
      <c r="BT32" s="19"/>
      <c r="BU32" s="19">
        <v>70014136</v>
      </c>
      <c r="BV32" s="19"/>
      <c r="BW32" s="19"/>
      <c r="BX32" s="19"/>
      <c r="BY32" s="19">
        <v>609574510</v>
      </c>
      <c r="BZ32" s="19"/>
      <c r="CA32" s="19">
        <v>1259932262</v>
      </c>
      <c r="CB32" s="19">
        <v>1528951338</v>
      </c>
      <c r="CC32" s="19"/>
      <c r="CD32" s="19"/>
      <c r="CE32" s="19">
        <v>3520198</v>
      </c>
      <c r="CF32" s="19"/>
      <c r="CG32" s="19"/>
      <c r="CH32" s="19"/>
      <c r="CI32" s="19" t="s">
        <v>128</v>
      </c>
      <c r="CJ32" s="19">
        <v>173150000</v>
      </c>
      <c r="CK32" s="19">
        <v>4541346391</v>
      </c>
      <c r="CL32" s="19">
        <v>536930000</v>
      </c>
      <c r="CM32" s="19">
        <v>463516360</v>
      </c>
      <c r="CN32" s="19">
        <v>44100000</v>
      </c>
      <c r="CO32" s="19"/>
      <c r="CP32" s="19">
        <v>1003342286</v>
      </c>
      <c r="CQ32" s="19" t="s">
        <v>96</v>
      </c>
      <c r="CR32" s="19"/>
      <c r="CS32" s="19">
        <v>252500000</v>
      </c>
      <c r="CT32" s="19"/>
      <c r="CU32" s="19"/>
      <c r="CV32" s="19">
        <v>85000000</v>
      </c>
      <c r="CW32" s="19">
        <v>1200000000</v>
      </c>
      <c r="CX32" s="19"/>
      <c r="CY32" s="19" t="s">
        <v>96</v>
      </c>
      <c r="CZ32" s="19">
        <v>436697800</v>
      </c>
      <c r="DA32" s="19">
        <v>330000000</v>
      </c>
      <c r="DB32" s="19"/>
      <c r="DC32" s="19">
        <v>2773782</v>
      </c>
      <c r="DD32" s="19">
        <v>204422566</v>
      </c>
      <c r="DE32" s="19">
        <v>137440000</v>
      </c>
      <c r="DF32" s="19">
        <v>7040000</v>
      </c>
      <c r="DG32" s="19"/>
      <c r="DH32" s="19">
        <v>250000000</v>
      </c>
      <c r="DI32" s="19">
        <v>5262170000</v>
      </c>
      <c r="DJ32" s="19"/>
      <c r="DK32" s="19">
        <v>4338090000</v>
      </c>
      <c r="DL32" s="19">
        <v>542789205</v>
      </c>
      <c r="DM32" s="19"/>
      <c r="DN32" s="19">
        <v>641519957</v>
      </c>
      <c r="DO32" s="19"/>
      <c r="DP32" s="19"/>
      <c r="DQ32" s="19">
        <v>265000000</v>
      </c>
      <c r="DR32" s="19">
        <v>4568182701</v>
      </c>
      <c r="DS32" s="19">
        <v>7620922</v>
      </c>
      <c r="DT32" s="19">
        <v>637000000</v>
      </c>
      <c r="DU32" s="19"/>
      <c r="DV32" s="19"/>
      <c r="DW32" s="19">
        <v>600000000</v>
      </c>
      <c r="DX32" s="19">
        <v>158130000</v>
      </c>
      <c r="DY32" s="19">
        <v>850000000</v>
      </c>
      <c r="DZ32" s="19">
        <v>175000000</v>
      </c>
      <c r="EA32" s="19">
        <v>2731328</v>
      </c>
      <c r="EB32" s="19">
        <v>2403130000</v>
      </c>
      <c r="EC32" s="19">
        <v>365000000</v>
      </c>
      <c r="ED32" s="19"/>
      <c r="EE32" s="19">
        <v>30000000</v>
      </c>
      <c r="EF32" s="19">
        <v>1713117830</v>
      </c>
      <c r="EG32" s="19">
        <v>523280000</v>
      </c>
      <c r="EH32" s="19">
        <v>5817641338</v>
      </c>
      <c r="EI32" s="19"/>
      <c r="EJ32" s="19"/>
      <c r="EK32" s="19"/>
      <c r="EL32" s="19"/>
      <c r="EM32" s="19"/>
      <c r="EN32" s="19"/>
      <c r="EO32" s="19">
        <v>209583173</v>
      </c>
      <c r="EP32" s="19"/>
      <c r="EQ32" s="19">
        <v>332490000</v>
      </c>
      <c r="ER32" s="19">
        <v>878202637</v>
      </c>
      <c r="ES32" s="19">
        <v>2647729486</v>
      </c>
      <c r="ET32" s="19">
        <v>4547296</v>
      </c>
      <c r="EU32" s="19"/>
      <c r="EV32" s="19">
        <v>132232050</v>
      </c>
      <c r="EW32" s="19">
        <v>189216440</v>
      </c>
      <c r="EX32" s="19">
        <v>1763421260</v>
      </c>
      <c r="EY32" s="19"/>
      <c r="EZ32" s="19">
        <v>157736850</v>
      </c>
      <c r="FA32" s="19">
        <v>120000000</v>
      </c>
      <c r="FB32" s="19">
        <v>50000000</v>
      </c>
      <c r="FC32" s="19">
        <v>368939517</v>
      </c>
      <c r="FD32" s="19">
        <v>375149549</v>
      </c>
      <c r="FE32" s="19">
        <v>600000000</v>
      </c>
      <c r="FF32" s="19"/>
      <c r="FG32" s="19">
        <v>600000000</v>
      </c>
      <c r="FH32" s="19"/>
      <c r="FI32" s="19" t="s">
        <v>96</v>
      </c>
      <c r="FJ32" s="19"/>
      <c r="FK32" s="19">
        <v>171567876</v>
      </c>
      <c r="FL32" s="19">
        <v>300000000</v>
      </c>
      <c r="FM32" s="19">
        <v>40077142</v>
      </c>
      <c r="FN32" s="19"/>
      <c r="FO32" s="19">
        <v>66000000</v>
      </c>
      <c r="FP32" s="19">
        <v>408410000</v>
      </c>
      <c r="FQ32" s="19">
        <v>250000000</v>
      </c>
      <c r="FR32" s="19"/>
      <c r="FS32" s="19">
        <v>515959813</v>
      </c>
      <c r="FT32" s="19">
        <v>820000000</v>
      </c>
      <c r="FU32" s="19"/>
      <c r="FV32" s="19">
        <v>1845000000</v>
      </c>
      <c r="FW32" s="19">
        <v>10000000</v>
      </c>
      <c r="FX32" s="19"/>
      <c r="FY32" s="19">
        <v>262210000</v>
      </c>
      <c r="FZ32" s="19">
        <v>300000000</v>
      </c>
      <c r="GA32" s="19"/>
      <c r="GB32" s="19"/>
      <c r="GC32" s="19"/>
      <c r="GD32" s="19" t="s">
        <v>96</v>
      </c>
      <c r="GE32" s="19"/>
      <c r="GF32" s="19">
        <v>320000000</v>
      </c>
      <c r="GG32" s="19">
        <v>1256568036</v>
      </c>
      <c r="GH32" s="19">
        <v>315918658</v>
      </c>
      <c r="GI32" s="19">
        <v>95357500</v>
      </c>
      <c r="GJ32" s="19">
        <v>19000000</v>
      </c>
      <c r="GK32" s="19"/>
      <c r="GL32" s="19" t="s">
        <v>96</v>
      </c>
      <c r="GM32" s="19">
        <v>40000000</v>
      </c>
      <c r="GN32" s="19"/>
      <c r="GO32" s="19">
        <v>1000000000</v>
      </c>
      <c r="GP32" s="19">
        <v>2590750800</v>
      </c>
      <c r="GQ32" s="19"/>
      <c r="GR32" s="19">
        <v>292822386</v>
      </c>
      <c r="GS32" s="19">
        <v>150000000</v>
      </c>
      <c r="GT32" s="19">
        <v>484099332</v>
      </c>
      <c r="GU32" s="19"/>
      <c r="GV32" s="19">
        <v>457723740</v>
      </c>
      <c r="GW32" s="19"/>
      <c r="GX32" s="19">
        <v>662480000</v>
      </c>
      <c r="GY32" s="19"/>
      <c r="GZ32" s="19">
        <v>3556746458</v>
      </c>
      <c r="HA32" s="19">
        <v>571008971</v>
      </c>
      <c r="HB32" s="19"/>
      <c r="HC32" s="19">
        <v>490000000</v>
      </c>
      <c r="HD32" s="19"/>
      <c r="HE32" s="19">
        <v>270000000</v>
      </c>
      <c r="HF32" s="19">
        <v>35000000</v>
      </c>
      <c r="HG32" s="19"/>
      <c r="HH32" s="19"/>
      <c r="HI32" s="19">
        <v>5369688</v>
      </c>
      <c r="HJ32" s="19">
        <v>400259456</v>
      </c>
      <c r="HK32" s="19">
        <v>83300000</v>
      </c>
      <c r="HL32" s="19"/>
      <c r="HM32" s="19">
        <v>279650003</v>
      </c>
      <c r="HN32" s="19"/>
      <c r="HO32" s="19">
        <v>500000000</v>
      </c>
      <c r="HP32" s="19">
        <v>228536670</v>
      </c>
      <c r="HQ32" s="19"/>
      <c r="HR32" s="19">
        <v>430358318</v>
      </c>
      <c r="HS32" s="19"/>
      <c r="HT32" s="19">
        <v>105000000</v>
      </c>
      <c r="HU32" s="19"/>
      <c r="HV32" s="19"/>
      <c r="HW32" s="19"/>
      <c r="HX32" s="19">
        <v>2699440000</v>
      </c>
      <c r="HY32" s="19" t="s">
        <v>172</v>
      </c>
      <c r="HZ32" s="19">
        <v>3079816112</v>
      </c>
      <c r="IA32" s="19"/>
      <c r="IB32" s="19">
        <v>1979172852</v>
      </c>
      <c r="IC32" s="19">
        <v>638408498</v>
      </c>
      <c r="ID32" s="19"/>
      <c r="IE32" s="19" t="s">
        <v>96</v>
      </c>
      <c r="IF32" s="19"/>
      <c r="IG32" s="19"/>
      <c r="IH32" s="19"/>
      <c r="II32" s="19">
        <v>113208306</v>
      </c>
      <c r="IJ32" s="19">
        <v>41420000</v>
      </c>
      <c r="IK32" s="19">
        <v>400000000</v>
      </c>
      <c r="IL32" s="19"/>
      <c r="IM32" s="19"/>
      <c r="IN32" s="19"/>
      <c r="IO32" s="19">
        <v>450000000</v>
      </c>
      <c r="IP32" s="19"/>
      <c r="IQ32" s="19">
        <v>140623448</v>
      </c>
      <c r="IR32" s="19">
        <v>471875000</v>
      </c>
      <c r="IS32" s="19">
        <v>3452770000</v>
      </c>
      <c r="IT32" s="19">
        <v>900000000</v>
      </c>
    </row>
    <row r="33" spans="1:254">
      <c r="A33" s="7" t="s">
        <v>94</v>
      </c>
      <c r="B33" s="11" t="s">
        <v>45</v>
      </c>
      <c r="C33" s="19">
        <v>0</v>
      </c>
      <c r="D33" s="19">
        <v>0</v>
      </c>
      <c r="E33" s="19">
        <v>25000000</v>
      </c>
      <c r="F33" s="19">
        <v>102000000</v>
      </c>
      <c r="G33" s="19">
        <v>2000000</v>
      </c>
      <c r="H33" s="19">
        <v>260275000</v>
      </c>
      <c r="I33" s="19">
        <v>1659471000</v>
      </c>
      <c r="J33" s="19" t="s">
        <v>4</v>
      </c>
      <c r="K33" s="19"/>
      <c r="L33" s="19" t="s">
        <v>96</v>
      </c>
      <c r="M33" s="19" t="s">
        <v>96</v>
      </c>
      <c r="N33" s="19"/>
      <c r="O33" s="19">
        <v>322590290</v>
      </c>
      <c r="P33" s="19">
        <v>1034118930</v>
      </c>
      <c r="Q33" s="19"/>
      <c r="R33" s="19"/>
      <c r="S33" s="19">
        <v>2707843939</v>
      </c>
      <c r="T33" s="19" t="s">
        <v>96</v>
      </c>
      <c r="U33" s="19">
        <v>1005568559</v>
      </c>
      <c r="V33" s="19" t="s">
        <v>172</v>
      </c>
      <c r="W33" s="19">
        <v>320000000</v>
      </c>
      <c r="X33" s="19">
        <v>220000000</v>
      </c>
      <c r="Y33" s="19">
        <v>34979685</v>
      </c>
      <c r="Z33" s="19">
        <v>1189750714</v>
      </c>
      <c r="AA33" s="19">
        <v>300000000</v>
      </c>
      <c r="AB33" s="19"/>
      <c r="AC33" s="19"/>
      <c r="AD33" s="19">
        <v>10000000</v>
      </c>
      <c r="AE33" s="19">
        <v>838000000</v>
      </c>
      <c r="AF33" s="19"/>
      <c r="AG33" s="19">
        <v>150000000</v>
      </c>
      <c r="AH33" s="19"/>
      <c r="AI33" s="19">
        <v>445157512</v>
      </c>
      <c r="AJ33" s="19"/>
      <c r="AK33" s="19"/>
      <c r="AL33" s="19"/>
      <c r="AM33" s="19" t="s">
        <v>4</v>
      </c>
      <c r="AN33" s="19">
        <v>30000000</v>
      </c>
      <c r="AO33" s="19"/>
      <c r="AP33" s="19">
        <v>83141796</v>
      </c>
      <c r="AQ33" s="19" t="s">
        <v>96</v>
      </c>
      <c r="AR33" s="19">
        <v>34158378</v>
      </c>
      <c r="AS33" s="19"/>
      <c r="AT33" s="19"/>
      <c r="AU33" s="19">
        <v>967540000</v>
      </c>
      <c r="AV33" s="19"/>
      <c r="AW33" s="19"/>
      <c r="AX33" s="19" t="s">
        <v>4</v>
      </c>
      <c r="AY33" s="19"/>
      <c r="AZ33" s="19"/>
      <c r="BA33" s="19">
        <v>110000000</v>
      </c>
      <c r="BB33" s="19"/>
      <c r="BC33" s="19" t="s">
        <v>4</v>
      </c>
      <c r="BD33" s="19" t="s">
        <v>128</v>
      </c>
      <c r="BE33" s="19"/>
      <c r="BF33" s="19">
        <v>300000000</v>
      </c>
      <c r="BG33" s="19">
        <v>76824750</v>
      </c>
      <c r="BH33" s="19"/>
      <c r="BI33" s="19"/>
      <c r="BJ33" s="19">
        <v>273767981</v>
      </c>
      <c r="BK33" s="19">
        <v>1390047202</v>
      </c>
      <c r="BL33" s="19">
        <v>7141034</v>
      </c>
      <c r="BM33" s="19"/>
      <c r="BN33" s="19"/>
      <c r="BO33" s="19"/>
      <c r="BP33" s="19" t="s">
        <v>96</v>
      </c>
      <c r="BQ33" s="19" t="s">
        <v>4</v>
      </c>
      <c r="BR33" s="19"/>
      <c r="BS33" s="19"/>
      <c r="BT33" s="19"/>
      <c r="BU33" s="19">
        <v>800000000</v>
      </c>
      <c r="BV33" s="19"/>
      <c r="BW33" s="19"/>
      <c r="BX33" s="19"/>
      <c r="BY33" s="19">
        <v>436722375</v>
      </c>
      <c r="BZ33" s="19"/>
      <c r="CA33" s="19"/>
      <c r="CB33" s="19"/>
      <c r="CC33" s="19"/>
      <c r="CD33" s="19"/>
      <c r="CE33" s="19"/>
      <c r="CF33" s="19"/>
      <c r="CG33" s="19"/>
      <c r="CH33" s="19"/>
      <c r="CI33" s="19" t="s">
        <v>128</v>
      </c>
      <c r="CJ33" s="19"/>
      <c r="CK33" s="19">
        <v>147500000</v>
      </c>
      <c r="CL33" s="19">
        <v>19808740</v>
      </c>
      <c r="CM33" s="19"/>
      <c r="CN33" s="19"/>
      <c r="CO33" s="19">
        <v>4001425</v>
      </c>
      <c r="CP33" s="19"/>
      <c r="CQ33" s="19" t="s">
        <v>96</v>
      </c>
      <c r="CR33" s="19"/>
      <c r="CS33" s="19">
        <v>976024638</v>
      </c>
      <c r="CT33" s="19">
        <v>434260230</v>
      </c>
      <c r="CU33" s="19">
        <v>42957116</v>
      </c>
      <c r="CV33" s="19">
        <v>1434377</v>
      </c>
      <c r="CW33" s="19"/>
      <c r="CX33" s="19">
        <v>349868872</v>
      </c>
      <c r="CY33" s="19" t="s">
        <v>96</v>
      </c>
      <c r="CZ33" s="19">
        <v>20000000</v>
      </c>
      <c r="DA33" s="19"/>
      <c r="DB33" s="19"/>
      <c r="DC33" s="19"/>
      <c r="DD33" s="19"/>
      <c r="DE33" s="19"/>
      <c r="DF33" s="19"/>
      <c r="DG33" s="19"/>
      <c r="DH33" s="19"/>
      <c r="DI33" s="19">
        <v>129112095</v>
      </c>
      <c r="DJ33" s="19"/>
      <c r="DK33" s="19"/>
      <c r="DL33" s="19"/>
      <c r="DM33" s="19"/>
      <c r="DN33" s="19"/>
      <c r="DO33" s="19"/>
      <c r="DP33" s="19"/>
      <c r="DQ33" s="19"/>
      <c r="DR33" s="19">
        <v>790000000</v>
      </c>
      <c r="DS33" s="19"/>
      <c r="DT33" s="19"/>
      <c r="DU33" s="19"/>
      <c r="DV33" s="19"/>
      <c r="DW33" s="19"/>
      <c r="DX33" s="19"/>
      <c r="DY33" s="19"/>
      <c r="DZ33" s="19"/>
      <c r="EA33" s="19"/>
      <c r="EB33" s="19"/>
      <c r="EC33" s="19"/>
      <c r="ED33" s="19"/>
      <c r="EE33" s="19"/>
      <c r="EF33" s="19">
        <v>71807768</v>
      </c>
      <c r="EG33" s="19">
        <v>440937265</v>
      </c>
      <c r="EH33" s="19">
        <v>230000000</v>
      </c>
      <c r="EI33" s="19">
        <v>178167796</v>
      </c>
      <c r="EJ33" s="19">
        <v>69594880</v>
      </c>
      <c r="EK33" s="19">
        <v>94054854</v>
      </c>
      <c r="EL33" s="19">
        <v>552279257</v>
      </c>
      <c r="EM33" s="19"/>
      <c r="EN33" s="19">
        <v>711455377</v>
      </c>
      <c r="EO33" s="19"/>
      <c r="EP33" s="19"/>
      <c r="EQ33" s="19"/>
      <c r="ER33" s="19"/>
      <c r="ES33" s="19">
        <v>83366299</v>
      </c>
      <c r="ET33" s="19">
        <v>10000000</v>
      </c>
      <c r="EU33" s="19">
        <v>18113370</v>
      </c>
      <c r="EV33" s="19"/>
      <c r="EW33" s="19"/>
      <c r="EX33" s="19">
        <v>49000000</v>
      </c>
      <c r="EY33" s="19"/>
      <c r="EZ33" s="19">
        <v>34134561</v>
      </c>
      <c r="FA33" s="19">
        <v>897514370</v>
      </c>
      <c r="FB33" s="19"/>
      <c r="FC33" s="19">
        <v>200000000</v>
      </c>
      <c r="FD33" s="19"/>
      <c r="FE33" s="19"/>
      <c r="FF33" s="19"/>
      <c r="FG33" s="19"/>
      <c r="FH33" s="19"/>
      <c r="FI33" s="19" t="s">
        <v>96</v>
      </c>
      <c r="FJ33" s="19"/>
      <c r="FK33" s="19"/>
      <c r="FL33" s="19">
        <v>11527979</v>
      </c>
      <c r="FM33" s="19">
        <v>52393329</v>
      </c>
      <c r="FN33" s="19"/>
      <c r="FO33" s="19"/>
      <c r="FP33" s="19"/>
      <c r="FQ33" s="19"/>
      <c r="FR33" s="19"/>
      <c r="FS33" s="19"/>
      <c r="FT33" s="19">
        <v>89140487</v>
      </c>
      <c r="FU33" s="19"/>
      <c r="FV33" s="19"/>
      <c r="FW33" s="19"/>
      <c r="FX33" s="19"/>
      <c r="FY33" s="19">
        <v>146831985</v>
      </c>
      <c r="FZ33" s="19"/>
      <c r="GA33" s="19"/>
      <c r="GB33" s="19"/>
      <c r="GC33" s="19">
        <v>7517333</v>
      </c>
      <c r="GD33" s="19" t="s">
        <v>96</v>
      </c>
      <c r="GE33" s="19"/>
      <c r="GF33" s="19"/>
      <c r="GG33" s="19"/>
      <c r="GH33" s="19"/>
      <c r="GI33" s="19"/>
      <c r="GJ33" s="19"/>
      <c r="GK33" s="19"/>
      <c r="GL33" s="19" t="s">
        <v>96</v>
      </c>
      <c r="GM33" s="19"/>
      <c r="GN33" s="19">
        <v>49557000</v>
      </c>
      <c r="GO33" s="19">
        <v>2013350000</v>
      </c>
      <c r="GP33" s="19">
        <v>199758800</v>
      </c>
      <c r="GQ33" s="19"/>
      <c r="GR33" s="19"/>
      <c r="GS33" s="19">
        <v>24302950</v>
      </c>
      <c r="GT33" s="19"/>
      <c r="GU33" s="19">
        <v>0</v>
      </c>
      <c r="GV33" s="19">
        <v>0</v>
      </c>
      <c r="GW33" s="19">
        <v>361983646</v>
      </c>
      <c r="GX33" s="19"/>
      <c r="GY33" s="19">
        <v>94618688</v>
      </c>
      <c r="GZ33" s="19">
        <v>260000000</v>
      </c>
      <c r="HA33" s="19"/>
      <c r="HB33" s="19"/>
      <c r="HC33" s="19"/>
      <c r="HD33" s="19"/>
      <c r="HE33" s="19"/>
      <c r="HF33" s="19"/>
      <c r="HG33" s="19"/>
      <c r="HH33" s="19"/>
      <c r="HI33" s="19">
        <v>103786606</v>
      </c>
      <c r="HJ33" s="19">
        <v>55791853</v>
      </c>
      <c r="HK33" s="19"/>
      <c r="HL33" s="19"/>
      <c r="HM33" s="19"/>
      <c r="HN33" s="19"/>
      <c r="HO33" s="19">
        <v>0</v>
      </c>
      <c r="HP33" s="19"/>
      <c r="HQ33" s="19"/>
      <c r="HR33" s="19"/>
      <c r="HS33" s="19"/>
      <c r="HT33" s="19"/>
      <c r="HU33" s="19"/>
      <c r="HV33" s="19"/>
      <c r="HW33" s="19">
        <v>1613841373</v>
      </c>
      <c r="HX33" s="19">
        <v>5000000</v>
      </c>
      <c r="HY33" s="19" t="s">
        <v>172</v>
      </c>
      <c r="HZ33" s="19">
        <v>50000000</v>
      </c>
      <c r="IA33" s="19"/>
      <c r="IB33" s="19">
        <v>27362113</v>
      </c>
      <c r="IC33" s="19"/>
      <c r="ID33" s="19"/>
      <c r="IE33" s="19" t="s">
        <v>96</v>
      </c>
      <c r="IF33" s="19">
        <v>8361010</v>
      </c>
      <c r="IG33" s="19"/>
      <c r="IH33" s="19">
        <v>0</v>
      </c>
      <c r="II33" s="19"/>
      <c r="IJ33" s="19">
        <v>0</v>
      </c>
      <c r="IK33" s="19"/>
      <c r="IL33" s="19"/>
      <c r="IM33" s="19"/>
      <c r="IN33" s="19"/>
      <c r="IO33" s="19"/>
      <c r="IP33" s="19">
        <v>28135000</v>
      </c>
      <c r="IQ33" s="19">
        <v>159700000</v>
      </c>
      <c r="IR33" s="19"/>
      <c r="IS33" s="19">
        <v>0</v>
      </c>
      <c r="IT33" s="19"/>
    </row>
    <row r="34" spans="1:254">
      <c r="A34" s="7" t="s">
        <v>94</v>
      </c>
      <c r="B34" s="8" t="s">
        <v>110</v>
      </c>
      <c r="C34" s="19">
        <v>415708311</v>
      </c>
      <c r="D34" s="19">
        <v>1510563199</v>
      </c>
      <c r="E34" s="19">
        <v>489502270</v>
      </c>
      <c r="F34" s="19">
        <v>1002054483</v>
      </c>
      <c r="G34" s="19">
        <v>29769612</v>
      </c>
      <c r="H34" s="19">
        <v>608728352</v>
      </c>
      <c r="I34" s="19">
        <v>1221803586</v>
      </c>
      <c r="J34" s="19" t="s">
        <v>4</v>
      </c>
      <c r="K34" s="19">
        <v>598226205</v>
      </c>
      <c r="L34" s="19" t="s">
        <v>96</v>
      </c>
      <c r="M34" s="19" t="s">
        <v>96</v>
      </c>
      <c r="N34" s="19">
        <v>5308788</v>
      </c>
      <c r="O34" s="19">
        <v>1533950674</v>
      </c>
      <c r="P34" s="19">
        <v>1549682588</v>
      </c>
      <c r="Q34" s="19">
        <v>56449777</v>
      </c>
      <c r="R34" s="19">
        <v>21184635</v>
      </c>
      <c r="S34" s="19">
        <v>1789589986</v>
      </c>
      <c r="T34" s="19" t="s">
        <v>96</v>
      </c>
      <c r="U34" s="19">
        <v>2232693834</v>
      </c>
      <c r="V34" s="19" t="s">
        <v>172</v>
      </c>
      <c r="W34" s="19">
        <v>-262823505</v>
      </c>
      <c r="X34" s="19">
        <v>2974812082</v>
      </c>
      <c r="Y34" s="19">
        <v>300701219</v>
      </c>
      <c r="Z34" s="19">
        <v>411029557</v>
      </c>
      <c r="AA34" s="19">
        <v>1844034797</v>
      </c>
      <c r="AB34" s="19">
        <v>164740183</v>
      </c>
      <c r="AC34" s="19">
        <v>710715937</v>
      </c>
      <c r="AD34" s="19">
        <v>744314934</v>
      </c>
      <c r="AE34" s="19">
        <v>674929534</v>
      </c>
      <c r="AF34" s="19">
        <v>361300394</v>
      </c>
      <c r="AG34" s="19">
        <v>-783169824</v>
      </c>
      <c r="AH34" s="19">
        <v>1442383819</v>
      </c>
      <c r="AI34" s="19">
        <v>-225390711</v>
      </c>
      <c r="AJ34" s="19">
        <v>607319223</v>
      </c>
      <c r="AK34" s="19">
        <v>1392604240</v>
      </c>
      <c r="AL34" s="19">
        <v>273774655</v>
      </c>
      <c r="AM34" s="19" t="s">
        <v>4</v>
      </c>
      <c r="AN34" s="19">
        <v>350334611</v>
      </c>
      <c r="AO34" s="19">
        <v>534024936</v>
      </c>
      <c r="AP34" s="19">
        <v>368817311</v>
      </c>
      <c r="AQ34" s="19" t="s">
        <v>96</v>
      </c>
      <c r="AR34" s="19">
        <v>998465724</v>
      </c>
      <c r="AS34" s="19">
        <v>-210600741</v>
      </c>
      <c r="AT34" s="19">
        <v>415335001</v>
      </c>
      <c r="AU34" s="19">
        <v>31044870</v>
      </c>
      <c r="AV34" s="19">
        <v>337366872</v>
      </c>
      <c r="AW34" s="19">
        <v>115238628</v>
      </c>
      <c r="AX34" s="19" t="s">
        <v>4</v>
      </c>
      <c r="AY34" s="19">
        <v>275710910</v>
      </c>
      <c r="AZ34" s="19">
        <v>324229631</v>
      </c>
      <c r="BA34" s="19">
        <v>306565525</v>
      </c>
      <c r="BB34" s="19">
        <v>-14714186</v>
      </c>
      <c r="BC34" s="19" t="s">
        <v>4</v>
      </c>
      <c r="BD34" s="19" t="s">
        <v>128</v>
      </c>
      <c r="BE34" s="19">
        <v>616650940</v>
      </c>
      <c r="BF34" s="19">
        <v>844564394</v>
      </c>
      <c r="BG34" s="19">
        <v>301703462</v>
      </c>
      <c r="BH34" s="19">
        <v>199904612</v>
      </c>
      <c r="BI34" s="19">
        <v>595333784</v>
      </c>
      <c r="BJ34" s="19">
        <v>177414695</v>
      </c>
      <c r="BK34" s="19">
        <v>654428430</v>
      </c>
      <c r="BL34" s="19">
        <v>379716252</v>
      </c>
      <c r="BM34" s="19">
        <v>506559476</v>
      </c>
      <c r="BN34" s="19">
        <v>232871250</v>
      </c>
      <c r="BO34" s="19">
        <v>5726029</v>
      </c>
      <c r="BP34" s="19" t="s">
        <v>96</v>
      </c>
      <c r="BQ34" s="19" t="s">
        <v>4</v>
      </c>
      <c r="BR34" s="19">
        <v>3395253504</v>
      </c>
      <c r="BS34" s="19">
        <v>29276439</v>
      </c>
      <c r="BT34" s="19">
        <v>-43077565</v>
      </c>
      <c r="BU34" s="19">
        <v>14025894</v>
      </c>
      <c r="BV34" s="19">
        <v>305641149</v>
      </c>
      <c r="BW34" s="19">
        <v>8654790</v>
      </c>
      <c r="BX34" s="19">
        <v>176554174</v>
      </c>
      <c r="BY34" s="19">
        <v>-1511905074</v>
      </c>
      <c r="BZ34" s="19">
        <v>1900629742</v>
      </c>
      <c r="CA34" s="19">
        <v>438927759</v>
      </c>
      <c r="CB34" s="19">
        <v>31817411</v>
      </c>
      <c r="CC34" s="19">
        <v>-14423779</v>
      </c>
      <c r="CD34" s="19">
        <v>450903770</v>
      </c>
      <c r="CE34" s="19">
        <v>257086063</v>
      </c>
      <c r="CF34" s="19">
        <v>-1536768233</v>
      </c>
      <c r="CG34" s="19">
        <v>216917681</v>
      </c>
      <c r="CH34" s="19">
        <v>301767461</v>
      </c>
      <c r="CI34" s="19" t="s">
        <v>128</v>
      </c>
      <c r="CJ34" s="19">
        <v>70404633</v>
      </c>
      <c r="CK34" s="19">
        <v>223687623</v>
      </c>
      <c r="CL34" s="19">
        <v>138189102</v>
      </c>
      <c r="CM34" s="19">
        <v>2097024760</v>
      </c>
      <c r="CN34" s="19">
        <v>-22735020</v>
      </c>
      <c r="CO34" s="19">
        <v>190598593</v>
      </c>
      <c r="CP34" s="19">
        <v>446534341</v>
      </c>
      <c r="CQ34" s="19" t="s">
        <v>96</v>
      </c>
      <c r="CR34" s="19">
        <v>662459673</v>
      </c>
      <c r="CS34" s="19">
        <v>3420788564</v>
      </c>
      <c r="CT34" s="19">
        <v>11267490725</v>
      </c>
      <c r="CU34" s="19">
        <v>303015348</v>
      </c>
      <c r="CV34" s="19">
        <v>-239556615</v>
      </c>
      <c r="CW34" s="19">
        <v>3092052038</v>
      </c>
      <c r="CX34" s="19">
        <v>-593155283</v>
      </c>
      <c r="CY34" s="19" t="s">
        <v>96</v>
      </c>
      <c r="CZ34" s="19">
        <v>1302181889</v>
      </c>
      <c r="DA34" s="19">
        <v>268448936</v>
      </c>
      <c r="DB34" s="19">
        <v>528872368</v>
      </c>
      <c r="DC34" s="19">
        <v>-49128125</v>
      </c>
      <c r="DD34" s="19">
        <v>-27850649</v>
      </c>
      <c r="DE34" s="19">
        <v>1190654681</v>
      </c>
      <c r="DF34" s="19">
        <v>48743504</v>
      </c>
      <c r="DG34" s="19">
        <v>149734746</v>
      </c>
      <c r="DH34" s="19">
        <v>285699379</v>
      </c>
      <c r="DI34" s="19">
        <v>1419434839</v>
      </c>
      <c r="DJ34" s="19">
        <v>162123854</v>
      </c>
      <c r="DK34" s="19">
        <v>5055192477</v>
      </c>
      <c r="DL34" s="19">
        <v>52701613</v>
      </c>
      <c r="DM34" s="19">
        <v>427267367</v>
      </c>
      <c r="DN34" s="19">
        <v>18758714</v>
      </c>
      <c r="DO34" s="19">
        <v>39380258</v>
      </c>
      <c r="DP34" s="19">
        <v>781475617</v>
      </c>
      <c r="DQ34" s="19">
        <v>118574368</v>
      </c>
      <c r="DR34" s="19">
        <v>470602659</v>
      </c>
      <c r="DS34" s="19">
        <v>329068259</v>
      </c>
      <c r="DT34" s="19">
        <v>1032313273</v>
      </c>
      <c r="DU34" s="19">
        <v>137071472</v>
      </c>
      <c r="DV34" s="19">
        <v>1865542976</v>
      </c>
      <c r="DW34" s="19">
        <v>837651686</v>
      </c>
      <c r="DX34" s="19">
        <v>8231734374</v>
      </c>
      <c r="DY34" s="19">
        <v>159947301</v>
      </c>
      <c r="DZ34" s="19">
        <v>651059484</v>
      </c>
      <c r="EA34" s="19">
        <v>98752909</v>
      </c>
      <c r="EB34" s="19">
        <v>1700890105</v>
      </c>
      <c r="EC34" s="19">
        <v>-41367904</v>
      </c>
      <c r="ED34" s="19">
        <v>24635879</v>
      </c>
      <c r="EE34" s="19">
        <v>201993320</v>
      </c>
      <c r="EF34" s="19">
        <v>1365758154</v>
      </c>
      <c r="EG34" s="19">
        <v>2266630617</v>
      </c>
      <c r="EH34" s="19">
        <v>544040560</v>
      </c>
      <c r="EI34" s="19">
        <v>4658030956</v>
      </c>
      <c r="EJ34" s="19">
        <v>101685120</v>
      </c>
      <c r="EK34" s="19">
        <v>1409542658</v>
      </c>
      <c r="EL34" s="19">
        <v>2552732560</v>
      </c>
      <c r="EM34" s="19">
        <v>762628622</v>
      </c>
      <c r="EN34" s="19">
        <v>2053730659</v>
      </c>
      <c r="EO34" s="19">
        <v>229729960</v>
      </c>
      <c r="EP34" s="19">
        <v>539441168</v>
      </c>
      <c r="EQ34" s="19">
        <v>1017642265</v>
      </c>
      <c r="ER34" s="19">
        <v>663940795</v>
      </c>
      <c r="ES34" s="19">
        <v>683971663</v>
      </c>
      <c r="ET34" s="19">
        <v>4347006548</v>
      </c>
      <c r="EU34" s="19">
        <v>1177768784</v>
      </c>
      <c r="EV34" s="19">
        <v>100500896</v>
      </c>
      <c r="EW34" s="19">
        <v>55000072</v>
      </c>
      <c r="EX34" s="19">
        <v>887617583</v>
      </c>
      <c r="EY34" s="19">
        <v>1924574567</v>
      </c>
      <c r="EZ34" s="19">
        <v>247238879</v>
      </c>
      <c r="FA34" s="19">
        <v>-74950537</v>
      </c>
      <c r="FB34" s="19">
        <v>-66559503</v>
      </c>
      <c r="FC34" s="19">
        <v>106024049</v>
      </c>
      <c r="FD34" s="19">
        <v>122612448</v>
      </c>
      <c r="FE34" s="19">
        <v>1304777660</v>
      </c>
      <c r="FF34" s="19">
        <v>133140119</v>
      </c>
      <c r="FG34" s="19">
        <v>516136076</v>
      </c>
      <c r="FH34" s="19">
        <v>293584600</v>
      </c>
      <c r="FI34" s="19" t="s">
        <v>96</v>
      </c>
      <c r="FJ34" s="19">
        <v>239801525</v>
      </c>
      <c r="FK34" s="19">
        <v>88609618</v>
      </c>
      <c r="FL34" s="19">
        <v>-13479267</v>
      </c>
      <c r="FM34" s="19">
        <v>-82921761</v>
      </c>
      <c r="FN34" s="19">
        <v>870986434</v>
      </c>
      <c r="FO34" s="19">
        <v>2186084</v>
      </c>
      <c r="FP34" s="19">
        <v>93800527</v>
      </c>
      <c r="FQ34" s="19">
        <v>-115391186</v>
      </c>
      <c r="FR34" s="19">
        <v>52324086</v>
      </c>
      <c r="FS34" s="19">
        <v>-101462495</v>
      </c>
      <c r="FT34" s="19">
        <v>3722389792</v>
      </c>
      <c r="FU34" s="19">
        <v>-2537054</v>
      </c>
      <c r="FV34" s="19">
        <v>1755599727</v>
      </c>
      <c r="FW34" s="19">
        <v>8213571</v>
      </c>
      <c r="FX34" s="19">
        <v>-324258005</v>
      </c>
      <c r="FY34" s="19">
        <v>6535732</v>
      </c>
      <c r="FZ34" s="19">
        <v>-144798428</v>
      </c>
      <c r="GA34" s="19">
        <v>-281353304</v>
      </c>
      <c r="GB34" s="19">
        <v>3996115</v>
      </c>
      <c r="GC34" s="19">
        <v>137601736</v>
      </c>
      <c r="GD34" s="19" t="s">
        <v>96</v>
      </c>
      <c r="GE34" s="19">
        <v>20087220</v>
      </c>
      <c r="GF34" s="19">
        <v>51983594</v>
      </c>
      <c r="GG34" s="19">
        <v>1845509307</v>
      </c>
      <c r="GH34" s="19">
        <v>-236229038</v>
      </c>
      <c r="GI34" s="19">
        <v>48225621</v>
      </c>
      <c r="GJ34" s="19">
        <v>106216227</v>
      </c>
      <c r="GK34" s="19">
        <v>103353825</v>
      </c>
      <c r="GL34" s="19" t="s">
        <v>96</v>
      </c>
      <c r="GM34" s="19">
        <v>52847926</v>
      </c>
      <c r="GN34" s="19">
        <v>-205045160</v>
      </c>
      <c r="GO34" s="19">
        <v>-2275227148</v>
      </c>
      <c r="GP34" s="19">
        <v>1613453555</v>
      </c>
      <c r="GQ34" s="19">
        <v>369677059</v>
      </c>
      <c r="GR34" s="19">
        <v>1228421000</v>
      </c>
      <c r="GS34" s="19">
        <v>-32741810</v>
      </c>
      <c r="GT34" s="19">
        <v>-328632222</v>
      </c>
      <c r="GU34" s="19">
        <v>136426769</v>
      </c>
      <c r="GV34" s="19">
        <v>1256151646</v>
      </c>
      <c r="GW34" s="19">
        <v>13310734356</v>
      </c>
      <c r="GX34" s="19">
        <v>303114110</v>
      </c>
      <c r="GY34" s="19">
        <v>795471126</v>
      </c>
      <c r="GZ34" s="19">
        <v>570515717</v>
      </c>
      <c r="HA34" s="19">
        <v>-251841238</v>
      </c>
      <c r="HB34" s="19">
        <v>223644189</v>
      </c>
      <c r="HC34" s="19">
        <v>163258818</v>
      </c>
      <c r="HD34" s="19">
        <v>362119368</v>
      </c>
      <c r="HE34" s="19">
        <v>-335802126</v>
      </c>
      <c r="HF34" s="19">
        <v>629244042</v>
      </c>
      <c r="HG34" s="19">
        <v>136512200</v>
      </c>
      <c r="HH34" s="19">
        <v>105543597</v>
      </c>
      <c r="HI34" s="19">
        <v>1241748895</v>
      </c>
      <c r="HJ34" s="19">
        <v>403208690</v>
      </c>
      <c r="HK34" s="19">
        <v>426254714</v>
      </c>
      <c r="HL34" s="19">
        <v>888734875</v>
      </c>
      <c r="HM34" s="19">
        <v>155200989</v>
      </c>
      <c r="HN34" s="19">
        <v>639564447</v>
      </c>
      <c r="HO34" s="19">
        <v>877054282</v>
      </c>
      <c r="HP34" s="19">
        <v>168524218</v>
      </c>
      <c r="HQ34" s="19">
        <v>27700398</v>
      </c>
      <c r="HR34" s="19">
        <v>677564976</v>
      </c>
      <c r="HS34" s="19">
        <v>355032159</v>
      </c>
      <c r="HT34" s="19">
        <v>28890137</v>
      </c>
      <c r="HU34" s="19">
        <v>1399862489</v>
      </c>
      <c r="HV34" s="19">
        <v>12619695</v>
      </c>
      <c r="HW34" s="19">
        <v>11062623170</v>
      </c>
      <c r="HX34" s="19">
        <v>747636550</v>
      </c>
      <c r="HY34" s="19" t="s">
        <v>172</v>
      </c>
      <c r="HZ34" s="19">
        <v>4007703428</v>
      </c>
      <c r="IA34" s="19">
        <v>738710156</v>
      </c>
      <c r="IB34" s="19">
        <v>108289605</v>
      </c>
      <c r="IC34" s="19">
        <v>215135367</v>
      </c>
      <c r="ID34" s="19">
        <v>-4515765</v>
      </c>
      <c r="IE34" s="19" t="s">
        <v>96</v>
      </c>
      <c r="IF34" s="19">
        <v>104622510</v>
      </c>
      <c r="IG34" s="19">
        <v>39003364</v>
      </c>
      <c r="IH34" s="19">
        <v>510232518</v>
      </c>
      <c r="II34" s="19">
        <v>43512096</v>
      </c>
      <c r="IJ34" s="19">
        <v>310505266</v>
      </c>
      <c r="IK34" s="19">
        <v>59899396</v>
      </c>
      <c r="IL34" s="19">
        <v>101181441</v>
      </c>
      <c r="IM34" s="19">
        <v>291348157</v>
      </c>
      <c r="IN34" s="19">
        <v>212767432</v>
      </c>
      <c r="IO34" s="19">
        <v>85265163</v>
      </c>
      <c r="IP34" s="19">
        <v>160615119</v>
      </c>
      <c r="IQ34" s="19">
        <v>708129147</v>
      </c>
      <c r="IR34" s="19">
        <v>774246056</v>
      </c>
      <c r="IS34" s="19">
        <v>2195381334</v>
      </c>
      <c r="IT34" s="19">
        <v>376661889</v>
      </c>
    </row>
    <row r="35" spans="1:254">
      <c r="A35" s="7" t="s">
        <v>94</v>
      </c>
      <c r="B35" s="8" t="s">
        <v>81</v>
      </c>
      <c r="C35" s="19">
        <v>150000000</v>
      </c>
      <c r="D35" s="19">
        <v>688602600</v>
      </c>
      <c r="E35" s="19">
        <v>117000000</v>
      </c>
      <c r="F35" s="19">
        <v>200000000</v>
      </c>
      <c r="G35" s="19">
        <v>30000000</v>
      </c>
      <c r="H35" s="19">
        <v>363857245</v>
      </c>
      <c r="I35" s="19">
        <v>469970000</v>
      </c>
      <c r="J35" s="19" t="s">
        <v>4</v>
      </c>
      <c r="K35" s="19">
        <v>763431000</v>
      </c>
      <c r="L35" s="19" t="s">
        <v>96</v>
      </c>
      <c r="M35" s="19" t="s">
        <v>96</v>
      </c>
      <c r="N35" s="19">
        <v>50000000</v>
      </c>
      <c r="O35" s="19">
        <v>1581788416</v>
      </c>
      <c r="P35" s="19">
        <v>1174022780</v>
      </c>
      <c r="Q35" s="19">
        <v>10000000</v>
      </c>
      <c r="R35" s="19">
        <v>60000000</v>
      </c>
      <c r="S35" s="19">
        <v>538889000</v>
      </c>
      <c r="T35" s="19" t="s">
        <v>96</v>
      </c>
      <c r="U35" s="19">
        <v>370000000</v>
      </c>
      <c r="V35" s="19" t="s">
        <v>172</v>
      </c>
      <c r="W35" s="19">
        <v>216190000</v>
      </c>
      <c r="X35" s="19">
        <v>100000000</v>
      </c>
      <c r="Y35" s="19">
        <v>110975000</v>
      </c>
      <c r="Z35" s="19">
        <v>500000000</v>
      </c>
      <c r="AA35" s="19">
        <v>250000000</v>
      </c>
      <c r="AB35" s="19">
        <v>89000000</v>
      </c>
      <c r="AC35" s="19">
        <v>40000000</v>
      </c>
      <c r="AD35" s="19">
        <v>200000000</v>
      </c>
      <c r="AE35" s="19">
        <v>100000000</v>
      </c>
      <c r="AF35" s="19">
        <v>20000000</v>
      </c>
      <c r="AG35" s="19">
        <v>341580000</v>
      </c>
      <c r="AH35" s="19">
        <v>55320000</v>
      </c>
      <c r="AI35" s="19">
        <v>67434000</v>
      </c>
      <c r="AJ35" s="19">
        <v>328820000</v>
      </c>
      <c r="AK35" s="19">
        <v>60000000</v>
      </c>
      <c r="AL35" s="19">
        <v>120000000</v>
      </c>
      <c r="AM35" s="19" t="s">
        <v>4</v>
      </c>
      <c r="AN35" s="19">
        <v>50000000</v>
      </c>
      <c r="AO35" s="19">
        <v>322280000</v>
      </c>
      <c r="AP35" s="19">
        <v>1080000000</v>
      </c>
      <c r="AQ35" s="19" t="s">
        <v>96</v>
      </c>
      <c r="AR35" s="19">
        <v>80000000</v>
      </c>
      <c r="AS35" s="19">
        <v>50000000</v>
      </c>
      <c r="AT35" s="19">
        <v>200000000</v>
      </c>
      <c r="AU35" s="19">
        <v>750000000</v>
      </c>
      <c r="AV35" s="19">
        <v>182500000</v>
      </c>
      <c r="AW35" s="19">
        <v>5000000</v>
      </c>
      <c r="AX35" s="19" t="s">
        <v>4</v>
      </c>
      <c r="AY35" s="19">
        <v>231530601</v>
      </c>
      <c r="AZ35" s="19">
        <v>231950000</v>
      </c>
      <c r="BA35" s="19">
        <v>708400000</v>
      </c>
      <c r="BB35" s="19">
        <v>40000000</v>
      </c>
      <c r="BC35" s="19" t="s">
        <v>4</v>
      </c>
      <c r="BD35" s="19" t="s">
        <v>128</v>
      </c>
      <c r="BE35" s="19">
        <v>107250000</v>
      </c>
      <c r="BF35" s="19">
        <v>200000000</v>
      </c>
      <c r="BG35" s="19">
        <v>2200000000</v>
      </c>
      <c r="BH35" s="19">
        <v>136300000</v>
      </c>
      <c r="BI35" s="19">
        <v>68526000</v>
      </c>
      <c r="BJ35" s="19">
        <v>5000000</v>
      </c>
      <c r="BK35" s="19">
        <v>177525000</v>
      </c>
      <c r="BL35" s="19">
        <v>120000000</v>
      </c>
      <c r="BM35" s="19">
        <v>150000000</v>
      </c>
      <c r="BN35" s="19">
        <v>11250000</v>
      </c>
      <c r="BO35" s="19">
        <v>100000000</v>
      </c>
      <c r="BP35" s="19" t="s">
        <v>96</v>
      </c>
      <c r="BQ35" s="19" t="s">
        <v>4</v>
      </c>
      <c r="BR35" s="19">
        <v>1188000</v>
      </c>
      <c r="BS35" s="19">
        <v>54240000</v>
      </c>
      <c r="BT35" s="19">
        <v>27204662</v>
      </c>
      <c r="BU35" s="19">
        <v>102715000</v>
      </c>
      <c r="BV35" s="19">
        <v>50000000</v>
      </c>
      <c r="BW35" s="19">
        <v>320248</v>
      </c>
      <c r="BX35" s="19">
        <v>10000000</v>
      </c>
      <c r="BY35" s="19">
        <v>70410000</v>
      </c>
      <c r="BZ35" s="19">
        <v>10000000</v>
      </c>
      <c r="CA35" s="19">
        <v>162500000</v>
      </c>
      <c r="CB35" s="19">
        <v>10000000</v>
      </c>
      <c r="CC35" s="19">
        <v>15850000</v>
      </c>
      <c r="CD35" s="19">
        <v>105215000</v>
      </c>
      <c r="CE35" s="19">
        <v>50000000</v>
      </c>
      <c r="CF35" s="19">
        <v>38460000</v>
      </c>
      <c r="CG35" s="19">
        <v>80925200</v>
      </c>
      <c r="CH35" s="19">
        <v>5000000</v>
      </c>
      <c r="CI35" s="19" t="s">
        <v>128</v>
      </c>
      <c r="CJ35" s="19">
        <v>30000000</v>
      </c>
      <c r="CK35" s="19">
        <v>400000000</v>
      </c>
      <c r="CL35" s="19">
        <v>164000000</v>
      </c>
      <c r="CM35" s="19">
        <v>150000000</v>
      </c>
      <c r="CN35" s="19">
        <v>2000000</v>
      </c>
      <c r="CO35" s="19">
        <v>101460000</v>
      </c>
      <c r="CP35" s="19">
        <v>300000000</v>
      </c>
      <c r="CQ35" s="19" t="s">
        <v>96</v>
      </c>
      <c r="CR35" s="19">
        <v>210000000</v>
      </c>
      <c r="CS35" s="19">
        <v>169138000</v>
      </c>
      <c r="CT35" s="19">
        <v>564468500</v>
      </c>
      <c r="CU35" s="19">
        <v>34116217</v>
      </c>
      <c r="CV35" s="19">
        <v>4400000</v>
      </c>
      <c r="CW35" s="19">
        <v>2329820000</v>
      </c>
      <c r="CX35" s="19">
        <v>363763500</v>
      </c>
      <c r="CY35" s="19" t="s">
        <v>96</v>
      </c>
      <c r="CZ35" s="19">
        <v>200000000</v>
      </c>
      <c r="DA35" s="19">
        <v>10000000</v>
      </c>
      <c r="DB35" s="19">
        <v>50000000</v>
      </c>
      <c r="DC35" s="19">
        <v>5130000</v>
      </c>
      <c r="DD35" s="19">
        <v>50000000</v>
      </c>
      <c r="DE35" s="19">
        <v>510000000</v>
      </c>
      <c r="DF35" s="19">
        <v>40000000</v>
      </c>
      <c r="DG35" s="19">
        <v>150000000</v>
      </c>
      <c r="DH35" s="19">
        <v>366000000</v>
      </c>
      <c r="DI35" s="19">
        <v>800000000</v>
      </c>
      <c r="DJ35" s="19">
        <v>13800000</v>
      </c>
      <c r="DK35" s="19">
        <v>150500000</v>
      </c>
      <c r="DL35" s="19">
        <v>51050000</v>
      </c>
      <c r="DM35" s="19">
        <v>300000000</v>
      </c>
      <c r="DN35" s="19">
        <v>17250000</v>
      </c>
      <c r="DO35" s="19">
        <v>10000000</v>
      </c>
      <c r="DP35" s="19">
        <v>50000000</v>
      </c>
      <c r="DQ35" s="19">
        <v>50000000</v>
      </c>
      <c r="DR35" s="19">
        <v>36363000</v>
      </c>
      <c r="DS35" s="19">
        <v>80000000</v>
      </c>
      <c r="DT35" s="19">
        <v>75000000</v>
      </c>
      <c r="DU35" s="19">
        <v>22900000</v>
      </c>
      <c r="DV35" s="19">
        <v>2000000</v>
      </c>
      <c r="DW35" s="19">
        <v>100000000</v>
      </c>
      <c r="DX35" s="19">
        <v>134995000</v>
      </c>
      <c r="DY35" s="19">
        <v>60000000</v>
      </c>
      <c r="DZ35" s="19">
        <v>200000000</v>
      </c>
      <c r="EA35" s="19">
        <v>5000000</v>
      </c>
      <c r="EB35" s="19">
        <v>350000000</v>
      </c>
      <c r="EC35" s="19">
        <v>3000000</v>
      </c>
      <c r="ED35" s="19">
        <v>1000000</v>
      </c>
      <c r="EE35" s="19">
        <v>50000000</v>
      </c>
      <c r="EF35" s="19">
        <v>500000000</v>
      </c>
      <c r="EG35" s="19">
        <v>24825800</v>
      </c>
      <c r="EH35" s="19">
        <v>550000000</v>
      </c>
      <c r="EI35" s="19">
        <v>1699272500</v>
      </c>
      <c r="EJ35" s="19">
        <v>27800000</v>
      </c>
      <c r="EK35" s="19">
        <v>23895000</v>
      </c>
      <c r="EL35" s="19">
        <v>390962457</v>
      </c>
      <c r="EM35" s="19">
        <v>12500000</v>
      </c>
      <c r="EN35" s="19">
        <v>50000000</v>
      </c>
      <c r="EO35" s="19">
        <v>50000000</v>
      </c>
      <c r="EP35" s="19">
        <v>652095042</v>
      </c>
      <c r="EQ35" s="19">
        <v>10000000</v>
      </c>
      <c r="ER35" s="19">
        <v>1094410000</v>
      </c>
      <c r="ES35" s="19">
        <v>1000000000</v>
      </c>
      <c r="ET35" s="19">
        <v>229207500</v>
      </c>
      <c r="EU35" s="19">
        <v>100009000</v>
      </c>
      <c r="EV35" s="19">
        <v>40000000</v>
      </c>
      <c r="EW35" s="19">
        <v>90000000</v>
      </c>
      <c r="EX35" s="19">
        <v>100000000</v>
      </c>
      <c r="EY35" s="19">
        <v>120000000</v>
      </c>
      <c r="EZ35" s="19">
        <v>502537435</v>
      </c>
      <c r="FA35" s="19">
        <v>75000000</v>
      </c>
      <c r="FB35" s="19">
        <v>46160000</v>
      </c>
      <c r="FC35" s="19">
        <v>108360000</v>
      </c>
      <c r="FD35" s="19">
        <v>1000000</v>
      </c>
      <c r="FE35" s="19">
        <v>100000000</v>
      </c>
      <c r="FF35" s="19">
        <v>1400000</v>
      </c>
      <c r="FG35" s="19">
        <v>50000000</v>
      </c>
      <c r="FH35" s="19">
        <v>50000000</v>
      </c>
      <c r="FI35" s="19" t="s">
        <v>96</v>
      </c>
      <c r="FJ35" s="19">
        <v>50000000</v>
      </c>
      <c r="FK35" s="19">
        <v>111000000</v>
      </c>
      <c r="FL35" s="19">
        <v>12222300</v>
      </c>
      <c r="FM35" s="19">
        <v>43928500</v>
      </c>
      <c r="FN35" s="19">
        <v>328766000</v>
      </c>
      <c r="FO35" s="19">
        <v>30100000</v>
      </c>
      <c r="FP35" s="19">
        <v>23165000</v>
      </c>
      <c r="FQ35" s="19">
        <v>100300000</v>
      </c>
      <c r="FR35" s="19">
        <v>25000000</v>
      </c>
      <c r="FS35" s="19">
        <v>34600000</v>
      </c>
      <c r="FT35" s="19">
        <v>161865900</v>
      </c>
      <c r="FU35" s="19">
        <v>1000000</v>
      </c>
      <c r="FV35" s="19">
        <v>549961000</v>
      </c>
      <c r="FW35" s="19">
        <v>50000000</v>
      </c>
      <c r="FX35" s="19">
        <v>11600000</v>
      </c>
      <c r="FY35" s="19">
        <v>132857000</v>
      </c>
      <c r="FZ35" s="19">
        <v>38196900</v>
      </c>
      <c r="GA35" s="19">
        <v>112585000</v>
      </c>
      <c r="GB35" s="19">
        <v>85000000</v>
      </c>
      <c r="GC35" s="19">
        <v>10000000</v>
      </c>
      <c r="GD35" s="19" t="s">
        <v>96</v>
      </c>
      <c r="GE35" s="19">
        <v>11827500</v>
      </c>
      <c r="GF35" s="19">
        <v>20000000</v>
      </c>
      <c r="GG35" s="19">
        <v>484257000</v>
      </c>
      <c r="GH35" s="19">
        <v>33333000</v>
      </c>
      <c r="GI35" s="19">
        <v>50000000</v>
      </c>
      <c r="GJ35" s="19"/>
      <c r="GK35" s="19">
        <v>145000000</v>
      </c>
      <c r="GL35" s="19" t="s">
        <v>96</v>
      </c>
      <c r="GM35" s="19">
        <v>66400000</v>
      </c>
      <c r="GN35" s="19">
        <v>100000000</v>
      </c>
      <c r="GO35" s="19">
        <v>14167000</v>
      </c>
      <c r="GP35" s="19">
        <v>250000000</v>
      </c>
      <c r="GQ35" s="19">
        <v>1122200</v>
      </c>
      <c r="GR35" s="19">
        <v>12165000</v>
      </c>
      <c r="GS35" s="19">
        <v>32609000</v>
      </c>
      <c r="GT35" s="19">
        <v>17857200</v>
      </c>
      <c r="GU35" s="19">
        <v>117000000</v>
      </c>
      <c r="GV35" s="19">
        <v>250670000</v>
      </c>
      <c r="GW35" s="19">
        <v>272710500</v>
      </c>
      <c r="GX35" s="19">
        <v>150000000</v>
      </c>
      <c r="GY35" s="19">
        <v>578360000</v>
      </c>
      <c r="GZ35" s="19">
        <v>10000000</v>
      </c>
      <c r="HA35" s="19">
        <v>16770000</v>
      </c>
      <c r="HB35" s="19">
        <v>1110000</v>
      </c>
      <c r="HC35" s="19">
        <v>283480000</v>
      </c>
      <c r="HD35" s="19">
        <v>300000000</v>
      </c>
      <c r="HE35" s="19">
        <v>34325000</v>
      </c>
      <c r="HF35" s="19">
        <v>50000000</v>
      </c>
      <c r="HG35" s="19">
        <v>50000000</v>
      </c>
      <c r="HH35" s="19"/>
      <c r="HI35" s="19">
        <v>419430000</v>
      </c>
      <c r="HJ35" s="19">
        <v>50000000</v>
      </c>
      <c r="HK35" s="19">
        <v>49455000</v>
      </c>
      <c r="HL35" s="19">
        <v>115682403</v>
      </c>
      <c r="HM35" s="19">
        <v>100000000</v>
      </c>
      <c r="HN35" s="19">
        <v>800000000</v>
      </c>
      <c r="HO35" s="19">
        <v>270000000</v>
      </c>
      <c r="HP35" s="19">
        <v>14500000</v>
      </c>
      <c r="HQ35" s="19">
        <v>5000000</v>
      </c>
      <c r="HR35" s="19">
        <v>300000000</v>
      </c>
      <c r="HS35" s="19">
        <v>127986500</v>
      </c>
      <c r="HT35" s="19">
        <v>143000000</v>
      </c>
      <c r="HU35" s="19">
        <v>109865000</v>
      </c>
      <c r="HV35" s="19">
        <v>5250000</v>
      </c>
      <c r="HW35" s="19">
        <v>1726706000</v>
      </c>
      <c r="HX35" s="19">
        <v>300000000</v>
      </c>
      <c r="HY35" s="19" t="s">
        <v>172</v>
      </c>
      <c r="HZ35" s="19">
        <v>2926228759</v>
      </c>
      <c r="IA35" s="19">
        <v>142891829</v>
      </c>
      <c r="IB35" s="19">
        <v>112359500</v>
      </c>
      <c r="IC35" s="19">
        <v>100000000</v>
      </c>
      <c r="ID35" s="19">
        <v>130000</v>
      </c>
      <c r="IE35" s="19" t="s">
        <v>96</v>
      </c>
      <c r="IF35" s="19">
        <v>17350000</v>
      </c>
      <c r="IG35" s="19">
        <v>50000000</v>
      </c>
      <c r="IH35" s="19">
        <v>31725000</v>
      </c>
      <c r="II35" s="19">
        <v>120000000</v>
      </c>
      <c r="IJ35" s="19">
        <v>207064500</v>
      </c>
      <c r="IK35" s="19">
        <v>32000000</v>
      </c>
      <c r="IL35" s="19">
        <v>70000000</v>
      </c>
      <c r="IM35" s="19">
        <v>5833500</v>
      </c>
      <c r="IN35" s="19">
        <v>118147500</v>
      </c>
      <c r="IO35" s="19">
        <v>1000000</v>
      </c>
      <c r="IP35" s="19">
        <v>0</v>
      </c>
      <c r="IQ35" s="19">
        <v>20600000</v>
      </c>
      <c r="IR35" s="19">
        <v>300000000</v>
      </c>
      <c r="IS35" s="19">
        <v>1899250000</v>
      </c>
      <c r="IT35" s="19">
        <v>100000000</v>
      </c>
    </row>
    <row r="36" spans="1:254">
      <c r="A36" s="7" t="s">
        <v>94</v>
      </c>
      <c r="B36" s="8" t="s">
        <v>11</v>
      </c>
      <c r="C36" s="19">
        <v>0</v>
      </c>
      <c r="D36" s="19">
        <v>0</v>
      </c>
      <c r="E36" s="19">
        <v>0</v>
      </c>
      <c r="F36" s="19">
        <v>0</v>
      </c>
      <c r="G36" s="19">
        <v>0</v>
      </c>
      <c r="H36" s="19">
        <v>0</v>
      </c>
      <c r="I36" s="19"/>
      <c r="J36" s="19" t="s">
        <v>4</v>
      </c>
      <c r="K36" s="19">
        <v>0</v>
      </c>
      <c r="L36" s="19" t="s">
        <v>96</v>
      </c>
      <c r="M36" s="19" t="s">
        <v>96</v>
      </c>
      <c r="N36" s="19">
        <v>0</v>
      </c>
      <c r="O36" s="19">
        <v>0</v>
      </c>
      <c r="P36" s="19">
        <v>0</v>
      </c>
      <c r="Q36" s="19">
        <v>0</v>
      </c>
      <c r="R36" s="19">
        <v>0</v>
      </c>
      <c r="S36" s="19">
        <v>522089148</v>
      </c>
      <c r="T36" s="19" t="s">
        <v>96</v>
      </c>
      <c r="U36" s="19">
        <v>1530000000</v>
      </c>
      <c r="V36" s="19" t="s">
        <v>172</v>
      </c>
      <c r="W36" s="19">
        <v>354830100</v>
      </c>
      <c r="X36" s="19">
        <v>0</v>
      </c>
      <c r="Y36" s="19">
        <v>153650000</v>
      </c>
      <c r="Z36" s="19">
        <v>0</v>
      </c>
      <c r="AA36" s="19">
        <v>0</v>
      </c>
      <c r="AB36" s="19">
        <v>0</v>
      </c>
      <c r="AC36" s="19">
        <v>100000000</v>
      </c>
      <c r="AD36" s="19">
        <v>99580870</v>
      </c>
      <c r="AE36" s="19">
        <v>0</v>
      </c>
      <c r="AF36" s="19">
        <v>0</v>
      </c>
      <c r="AG36" s="19">
        <v>167006000</v>
      </c>
      <c r="AH36" s="19">
        <v>790076520</v>
      </c>
      <c r="AI36" s="19">
        <v>350082000</v>
      </c>
      <c r="AJ36" s="19">
        <v>0</v>
      </c>
      <c r="AK36" s="19">
        <v>0</v>
      </c>
      <c r="AL36" s="19">
        <v>0</v>
      </c>
      <c r="AM36" s="19" t="s">
        <v>4</v>
      </c>
      <c r="AN36" s="19"/>
      <c r="AO36" s="19">
        <v>2525278740</v>
      </c>
      <c r="AP36" s="19"/>
      <c r="AQ36" s="19" t="s">
        <v>96</v>
      </c>
      <c r="AR36" s="19">
        <v>1290000000</v>
      </c>
      <c r="AS36" s="19">
        <v>0</v>
      </c>
      <c r="AT36" s="19">
        <v>0</v>
      </c>
      <c r="AU36" s="19">
        <v>0</v>
      </c>
      <c r="AV36" s="19">
        <v>0</v>
      </c>
      <c r="AW36" s="19">
        <v>0</v>
      </c>
      <c r="AX36" s="19" t="s">
        <v>4</v>
      </c>
      <c r="AY36" s="19">
        <v>0</v>
      </c>
      <c r="AZ36" s="19">
        <v>23050000</v>
      </c>
      <c r="BA36" s="19">
        <v>0</v>
      </c>
      <c r="BB36" s="19">
        <v>95000000</v>
      </c>
      <c r="BC36" s="19" t="s">
        <v>4</v>
      </c>
      <c r="BD36" s="19" t="s">
        <v>128</v>
      </c>
      <c r="BE36" s="19">
        <v>269929256</v>
      </c>
      <c r="BF36" s="19">
        <v>0</v>
      </c>
      <c r="BG36" s="19"/>
      <c r="BH36" s="19">
        <v>0</v>
      </c>
      <c r="BI36" s="19"/>
      <c r="BJ36" s="19">
        <v>0</v>
      </c>
      <c r="BK36" s="19">
        <v>1143015929</v>
      </c>
      <c r="BL36" s="19">
        <v>0</v>
      </c>
      <c r="BM36" s="19">
        <v>0</v>
      </c>
      <c r="BN36" s="19">
        <v>0</v>
      </c>
      <c r="BO36" s="19">
        <v>0</v>
      </c>
      <c r="BP36" s="19" t="s">
        <v>96</v>
      </c>
      <c r="BQ36" s="19" t="s">
        <v>4</v>
      </c>
      <c r="BR36" s="19">
        <v>39981396</v>
      </c>
      <c r="BS36" s="19">
        <v>0</v>
      </c>
      <c r="BT36" s="19">
        <v>0</v>
      </c>
      <c r="BU36" s="19">
        <v>0</v>
      </c>
      <c r="BV36" s="19">
        <v>0</v>
      </c>
      <c r="BW36" s="19">
        <v>0</v>
      </c>
      <c r="BX36" s="19">
        <v>0</v>
      </c>
      <c r="BY36" s="19">
        <v>104228253</v>
      </c>
      <c r="BZ36" s="19"/>
      <c r="CA36" s="19">
        <v>487500000</v>
      </c>
      <c r="CB36" s="19">
        <v>0</v>
      </c>
      <c r="CC36" s="19"/>
      <c r="CD36" s="19">
        <v>43419518</v>
      </c>
      <c r="CE36" s="19">
        <v>0</v>
      </c>
      <c r="CF36" s="19">
        <v>491540642</v>
      </c>
      <c r="CG36" s="19">
        <v>0</v>
      </c>
      <c r="CH36" s="19">
        <v>0</v>
      </c>
      <c r="CI36" s="19" t="s">
        <v>128</v>
      </c>
      <c r="CJ36" s="19"/>
      <c r="CK36" s="19">
        <v>0</v>
      </c>
      <c r="CL36" s="19">
        <v>0</v>
      </c>
      <c r="CM36" s="19"/>
      <c r="CN36" s="19">
        <v>0</v>
      </c>
      <c r="CO36" s="19">
        <v>0</v>
      </c>
      <c r="CP36" s="19"/>
      <c r="CQ36" s="19" t="s">
        <v>96</v>
      </c>
      <c r="CR36" s="19">
        <v>0</v>
      </c>
      <c r="CS36" s="19">
        <v>2096683486</v>
      </c>
      <c r="CT36" s="19">
        <v>19796700166</v>
      </c>
      <c r="CU36" s="19"/>
      <c r="CV36" s="19"/>
      <c r="CW36" s="19"/>
      <c r="CX36" s="19">
        <v>3852603670</v>
      </c>
      <c r="CY36" s="19" t="s">
        <v>96</v>
      </c>
      <c r="CZ36" s="19"/>
      <c r="DA36" s="19">
        <v>0</v>
      </c>
      <c r="DB36" s="19"/>
      <c r="DC36" s="19">
        <v>9870000</v>
      </c>
      <c r="DD36" s="19">
        <v>0</v>
      </c>
      <c r="DE36" s="19"/>
      <c r="DF36" s="19">
        <v>0</v>
      </c>
      <c r="DG36" s="19">
        <v>0</v>
      </c>
      <c r="DH36" s="19">
        <v>170619720</v>
      </c>
      <c r="DI36" s="19">
        <v>0</v>
      </c>
      <c r="DJ36" s="19"/>
      <c r="DK36" s="19">
        <v>3764598297</v>
      </c>
      <c r="DL36" s="19">
        <v>70083000</v>
      </c>
      <c r="DM36" s="19">
        <v>0</v>
      </c>
      <c r="DN36" s="19">
        <v>0</v>
      </c>
      <c r="DO36" s="19">
        <v>0</v>
      </c>
      <c r="DP36" s="19">
        <v>0</v>
      </c>
      <c r="DQ36" s="19"/>
      <c r="DR36" s="19">
        <v>693400280</v>
      </c>
      <c r="DS36" s="19">
        <v>0</v>
      </c>
      <c r="DT36" s="19">
        <v>0</v>
      </c>
      <c r="DU36" s="19"/>
      <c r="DV36" s="19"/>
      <c r="DW36" s="19">
        <v>0</v>
      </c>
      <c r="DX36" s="19">
        <v>6463978320</v>
      </c>
      <c r="DY36" s="19">
        <v>0</v>
      </c>
      <c r="DZ36" s="19">
        <v>0</v>
      </c>
      <c r="EA36" s="19"/>
      <c r="EB36" s="19">
        <v>0</v>
      </c>
      <c r="EC36" s="19"/>
      <c r="ED36" s="19"/>
      <c r="EE36" s="19">
        <v>0</v>
      </c>
      <c r="EF36" s="19">
        <v>0</v>
      </c>
      <c r="EG36" s="19">
        <v>14763065509</v>
      </c>
      <c r="EH36" s="19">
        <v>0</v>
      </c>
      <c r="EI36" s="19">
        <v>8727064270</v>
      </c>
      <c r="EJ36" s="19">
        <v>0</v>
      </c>
      <c r="EK36" s="19">
        <v>2597347038</v>
      </c>
      <c r="EL36" s="19"/>
      <c r="EM36" s="19">
        <v>0</v>
      </c>
      <c r="EN36" s="19"/>
      <c r="EO36" s="19">
        <v>0</v>
      </c>
      <c r="EP36" s="19"/>
      <c r="EQ36" s="19"/>
      <c r="ER36" s="19">
        <v>0</v>
      </c>
      <c r="ES36" s="19"/>
      <c r="ET36" s="19">
        <v>5133694518</v>
      </c>
      <c r="EU36" s="19">
        <v>1339996500</v>
      </c>
      <c r="EV36" s="19">
        <v>0</v>
      </c>
      <c r="EW36" s="19">
        <v>0</v>
      </c>
      <c r="EX36" s="19"/>
      <c r="EY36" s="19">
        <v>0</v>
      </c>
      <c r="EZ36" s="19">
        <v>0</v>
      </c>
      <c r="FA36" s="19">
        <v>0</v>
      </c>
      <c r="FB36" s="19"/>
      <c r="FC36" s="19"/>
      <c r="FD36" s="19">
        <v>0</v>
      </c>
      <c r="FE36" s="19"/>
      <c r="FF36" s="19">
        <v>0</v>
      </c>
      <c r="FG36" s="19"/>
      <c r="FH36" s="19">
        <v>0</v>
      </c>
      <c r="FI36" s="19" t="s">
        <v>96</v>
      </c>
      <c r="FJ36" s="19">
        <v>0</v>
      </c>
      <c r="FK36" s="19">
        <v>0</v>
      </c>
      <c r="FL36" s="19">
        <v>197784700</v>
      </c>
      <c r="FM36" s="19">
        <v>124943946</v>
      </c>
      <c r="FN36" s="19">
        <v>1260022416</v>
      </c>
      <c r="FO36" s="19">
        <v>0</v>
      </c>
      <c r="FP36" s="19">
        <v>38850630</v>
      </c>
      <c r="FQ36" s="19">
        <v>28527000</v>
      </c>
      <c r="FR36" s="19">
        <v>0</v>
      </c>
      <c r="FS36" s="19">
        <v>0</v>
      </c>
      <c r="FT36" s="19">
        <v>2216143690</v>
      </c>
      <c r="FU36" s="19">
        <v>0</v>
      </c>
      <c r="FV36" s="19">
        <v>700909581</v>
      </c>
      <c r="FW36" s="19"/>
      <c r="FX36" s="19">
        <v>122756004</v>
      </c>
      <c r="FY36" s="19">
        <v>2519361169</v>
      </c>
      <c r="FZ36" s="19">
        <v>1038902680</v>
      </c>
      <c r="GA36" s="19"/>
      <c r="GB36" s="19">
        <v>0</v>
      </c>
      <c r="GC36" s="19">
        <v>0</v>
      </c>
      <c r="GD36" s="19" t="s">
        <v>96</v>
      </c>
      <c r="GE36" s="19">
        <v>278414523</v>
      </c>
      <c r="GF36" s="19">
        <v>4000000</v>
      </c>
      <c r="GG36" s="19">
        <v>2705043068</v>
      </c>
      <c r="GH36" s="19">
        <v>96657000</v>
      </c>
      <c r="GI36" s="19">
        <v>0</v>
      </c>
      <c r="GJ36" s="19">
        <v>15140310</v>
      </c>
      <c r="GK36" s="19">
        <v>95000000</v>
      </c>
      <c r="GL36" s="19" t="s">
        <v>96</v>
      </c>
      <c r="GM36" s="19"/>
      <c r="GN36" s="19">
        <v>0</v>
      </c>
      <c r="GO36" s="19">
        <v>1045963150</v>
      </c>
      <c r="GP36" s="19">
        <v>0</v>
      </c>
      <c r="GQ36" s="19">
        <v>299823810</v>
      </c>
      <c r="GR36" s="19">
        <v>449370857</v>
      </c>
      <c r="GS36" s="19">
        <v>17394203</v>
      </c>
      <c r="GT36" s="19">
        <v>19646000</v>
      </c>
      <c r="GU36" s="19">
        <v>0</v>
      </c>
      <c r="GV36" s="19">
        <v>0</v>
      </c>
      <c r="GW36" s="19">
        <v>17609035714</v>
      </c>
      <c r="GX36" s="19">
        <v>0</v>
      </c>
      <c r="GY36" s="19">
        <v>2891466612</v>
      </c>
      <c r="GZ36" s="19">
        <v>0</v>
      </c>
      <c r="HA36" s="19">
        <v>2325983607</v>
      </c>
      <c r="HB36" s="19"/>
      <c r="HC36" s="19">
        <v>666343520</v>
      </c>
      <c r="HD36" s="19">
        <v>0</v>
      </c>
      <c r="HE36" s="19">
        <v>65793561</v>
      </c>
      <c r="HF36" s="19"/>
      <c r="HG36" s="19">
        <v>0</v>
      </c>
      <c r="HH36" s="19"/>
      <c r="HI36" s="19">
        <v>2355167961</v>
      </c>
      <c r="HJ36" s="19">
        <v>0</v>
      </c>
      <c r="HK36" s="19">
        <v>2970836012</v>
      </c>
      <c r="HL36" s="19">
        <v>0</v>
      </c>
      <c r="HM36" s="19">
        <v>0</v>
      </c>
      <c r="HN36" s="19"/>
      <c r="HO36" s="19">
        <v>0</v>
      </c>
      <c r="HP36" s="19">
        <v>0</v>
      </c>
      <c r="HQ36" s="19"/>
      <c r="HR36" s="19">
        <v>0</v>
      </c>
      <c r="HS36" s="19">
        <v>99986500</v>
      </c>
      <c r="HT36" s="19"/>
      <c r="HU36" s="19">
        <v>6867627195</v>
      </c>
      <c r="HV36" s="19">
        <v>5000000</v>
      </c>
      <c r="HW36" s="19">
        <v>87901667412</v>
      </c>
      <c r="HX36" s="19">
        <v>200000000</v>
      </c>
      <c r="HY36" s="19" t="s">
        <v>172</v>
      </c>
      <c r="HZ36" s="19">
        <v>0</v>
      </c>
      <c r="IA36" s="19"/>
      <c r="IB36" s="19">
        <v>12359500</v>
      </c>
      <c r="IC36" s="19">
        <v>0</v>
      </c>
      <c r="ID36" s="19">
        <v>0</v>
      </c>
      <c r="IE36" s="19" t="s">
        <v>96</v>
      </c>
      <c r="IF36" s="19">
        <v>0</v>
      </c>
      <c r="IG36" s="19">
        <v>0</v>
      </c>
      <c r="IH36" s="19">
        <v>87356800</v>
      </c>
      <c r="II36" s="19"/>
      <c r="IJ36" s="19">
        <v>325174612</v>
      </c>
      <c r="IK36" s="19">
        <v>0</v>
      </c>
      <c r="IL36" s="19">
        <v>0</v>
      </c>
      <c r="IM36" s="19">
        <v>399246500</v>
      </c>
      <c r="IN36" s="19">
        <v>71852742</v>
      </c>
      <c r="IO36" s="19">
        <v>0</v>
      </c>
      <c r="IP36" s="19">
        <v>0</v>
      </c>
      <c r="IQ36" s="19">
        <v>37500000</v>
      </c>
      <c r="IR36" s="19">
        <v>0</v>
      </c>
      <c r="IS36" s="19">
        <v>0</v>
      </c>
      <c r="IT36" s="19">
        <v>0</v>
      </c>
    </row>
    <row r="37" spans="1:254">
      <c r="A37" s="7" t="s">
        <v>94</v>
      </c>
      <c r="B37" s="8" t="s">
        <v>31</v>
      </c>
      <c r="C37" s="19">
        <v>0</v>
      </c>
      <c r="D37" s="19">
        <v>0</v>
      </c>
      <c r="E37" s="19">
        <v>0</v>
      </c>
      <c r="F37" s="19">
        <v>0</v>
      </c>
      <c r="G37" s="19">
        <v>0</v>
      </c>
      <c r="H37" s="19">
        <v>0</v>
      </c>
      <c r="I37" s="19">
        <v>-606240</v>
      </c>
      <c r="J37" s="19" t="s">
        <v>4</v>
      </c>
      <c r="K37" s="19">
        <v>0</v>
      </c>
      <c r="L37" s="19" t="s">
        <v>96</v>
      </c>
      <c r="M37" s="19" t="s">
        <v>96</v>
      </c>
      <c r="N37" s="19">
        <v>0</v>
      </c>
      <c r="O37" s="19">
        <v>0</v>
      </c>
      <c r="P37" s="19">
        <v>0</v>
      </c>
      <c r="Q37" s="19">
        <v>0</v>
      </c>
      <c r="R37" s="19">
        <v>0</v>
      </c>
      <c r="S37" s="19">
        <v>0</v>
      </c>
      <c r="T37" s="19" t="s">
        <v>96</v>
      </c>
      <c r="U37" s="19">
        <v>3400000</v>
      </c>
      <c r="V37" s="19" t="s">
        <v>172</v>
      </c>
      <c r="W37" s="19">
        <v>0</v>
      </c>
      <c r="X37" s="19">
        <v>0</v>
      </c>
      <c r="Y37" s="19">
        <v>0</v>
      </c>
      <c r="Z37" s="19">
        <v>0</v>
      </c>
      <c r="AA37" s="19">
        <v>0</v>
      </c>
      <c r="AB37" s="19">
        <v>0</v>
      </c>
      <c r="AC37" s="19">
        <v>0</v>
      </c>
      <c r="AD37" s="19">
        <v>-816900</v>
      </c>
      <c r="AE37" s="19">
        <v>0</v>
      </c>
      <c r="AF37" s="19">
        <v>0</v>
      </c>
      <c r="AG37" s="19">
        <v>0</v>
      </c>
      <c r="AH37" s="19">
        <v>0</v>
      </c>
      <c r="AI37" s="19">
        <v>0</v>
      </c>
      <c r="AJ37" s="19">
        <v>0</v>
      </c>
      <c r="AK37" s="19">
        <v>0</v>
      </c>
      <c r="AL37" s="19">
        <v>0</v>
      </c>
      <c r="AM37" s="19" t="s">
        <v>4</v>
      </c>
      <c r="AN37" s="19"/>
      <c r="AO37" s="19">
        <v>0</v>
      </c>
      <c r="AP37" s="19"/>
      <c r="AQ37" s="19" t="s">
        <v>96</v>
      </c>
      <c r="AR37" s="19">
        <v>0</v>
      </c>
      <c r="AS37" s="19">
        <v>0</v>
      </c>
      <c r="AT37" s="19">
        <v>0</v>
      </c>
      <c r="AU37" s="19">
        <v>-6836980</v>
      </c>
      <c r="AV37" s="19">
        <v>0</v>
      </c>
      <c r="AW37" s="19">
        <v>0</v>
      </c>
      <c r="AX37" s="19" t="s">
        <v>4</v>
      </c>
      <c r="AY37" s="19">
        <v>0</v>
      </c>
      <c r="AZ37" s="19"/>
      <c r="BA37" s="19">
        <v>0</v>
      </c>
      <c r="BB37" s="19">
        <v>0</v>
      </c>
      <c r="BC37" s="19" t="s">
        <v>4</v>
      </c>
      <c r="BD37" s="19" t="s">
        <v>128</v>
      </c>
      <c r="BE37" s="19">
        <v>0</v>
      </c>
      <c r="BF37" s="19">
        <v>0</v>
      </c>
      <c r="BG37" s="19"/>
      <c r="BH37" s="19">
        <v>0</v>
      </c>
      <c r="BI37" s="19">
        <v>-99999000</v>
      </c>
      <c r="BJ37" s="19">
        <v>0</v>
      </c>
      <c r="BK37" s="19">
        <v>0</v>
      </c>
      <c r="BL37" s="19">
        <v>0</v>
      </c>
      <c r="BM37" s="19">
        <v>0</v>
      </c>
      <c r="BN37" s="19">
        <v>0</v>
      </c>
      <c r="BO37" s="19">
        <v>0</v>
      </c>
      <c r="BP37" s="19" t="s">
        <v>96</v>
      </c>
      <c r="BQ37" s="19" t="s">
        <v>4</v>
      </c>
      <c r="BR37" s="19">
        <v>0</v>
      </c>
      <c r="BS37" s="19">
        <v>0</v>
      </c>
      <c r="BT37" s="19">
        <v>0</v>
      </c>
      <c r="BU37" s="19">
        <v>0</v>
      </c>
      <c r="BV37" s="19">
        <v>0</v>
      </c>
      <c r="BW37" s="19">
        <v>0</v>
      </c>
      <c r="BX37" s="19">
        <v>0</v>
      </c>
      <c r="BY37" s="19">
        <v>0</v>
      </c>
      <c r="BZ37" s="19"/>
      <c r="CA37" s="19"/>
      <c r="CB37" s="19">
        <v>0</v>
      </c>
      <c r="CC37" s="19"/>
      <c r="CD37" s="19"/>
      <c r="CE37" s="19">
        <v>0</v>
      </c>
      <c r="CF37" s="19"/>
      <c r="CG37" s="19">
        <v>0</v>
      </c>
      <c r="CH37" s="19">
        <v>0</v>
      </c>
      <c r="CI37" s="19" t="s">
        <v>128</v>
      </c>
      <c r="CJ37" s="19"/>
      <c r="CK37" s="19">
        <v>0</v>
      </c>
      <c r="CL37" s="19">
        <v>0</v>
      </c>
      <c r="CM37" s="19"/>
      <c r="CN37" s="19">
        <v>0</v>
      </c>
      <c r="CO37" s="19">
        <v>0</v>
      </c>
      <c r="CP37" s="19">
        <v>-21756240</v>
      </c>
      <c r="CQ37" s="19" t="s">
        <v>96</v>
      </c>
      <c r="CR37" s="19">
        <v>0</v>
      </c>
      <c r="CS37" s="19"/>
      <c r="CT37" s="19">
        <v>0</v>
      </c>
      <c r="CU37" s="19"/>
      <c r="CV37" s="19"/>
      <c r="CW37" s="19"/>
      <c r="CX37" s="19"/>
      <c r="CY37" s="19" t="s">
        <v>96</v>
      </c>
      <c r="CZ37" s="19"/>
      <c r="DA37" s="19">
        <v>0</v>
      </c>
      <c r="DB37" s="19"/>
      <c r="DC37" s="19"/>
      <c r="DD37" s="19">
        <v>0</v>
      </c>
      <c r="DE37" s="19"/>
      <c r="DF37" s="19">
        <v>0</v>
      </c>
      <c r="DG37" s="19">
        <v>0</v>
      </c>
      <c r="DH37" s="19">
        <v>0</v>
      </c>
      <c r="DI37" s="19">
        <v>0</v>
      </c>
      <c r="DJ37" s="19"/>
      <c r="DK37" s="19">
        <v>0</v>
      </c>
      <c r="DL37" s="19"/>
      <c r="DM37" s="19">
        <v>0</v>
      </c>
      <c r="DN37" s="19">
        <v>0</v>
      </c>
      <c r="DO37" s="19">
        <v>0</v>
      </c>
      <c r="DP37" s="19">
        <v>0</v>
      </c>
      <c r="DQ37" s="19"/>
      <c r="DR37" s="19">
        <v>0</v>
      </c>
      <c r="DS37" s="19">
        <v>0</v>
      </c>
      <c r="DT37" s="19">
        <v>0</v>
      </c>
      <c r="DU37" s="19"/>
      <c r="DV37" s="19"/>
      <c r="DW37" s="19">
        <v>0</v>
      </c>
      <c r="DX37" s="19"/>
      <c r="DY37" s="19">
        <v>0</v>
      </c>
      <c r="DZ37" s="19">
        <v>0</v>
      </c>
      <c r="EA37" s="19"/>
      <c r="EB37" s="19">
        <v>0</v>
      </c>
      <c r="EC37" s="19"/>
      <c r="ED37" s="19"/>
      <c r="EE37" s="19">
        <v>0</v>
      </c>
      <c r="EF37" s="19">
        <v>0</v>
      </c>
      <c r="EG37" s="19">
        <v>0</v>
      </c>
      <c r="EH37" s="19">
        <v>0</v>
      </c>
      <c r="EI37" s="19">
        <v>0</v>
      </c>
      <c r="EJ37" s="19">
        <v>0</v>
      </c>
      <c r="EK37" s="19">
        <v>0</v>
      </c>
      <c r="EL37" s="19"/>
      <c r="EM37" s="19">
        <v>0</v>
      </c>
      <c r="EN37" s="19"/>
      <c r="EO37" s="19">
        <v>0</v>
      </c>
      <c r="EP37" s="19"/>
      <c r="EQ37" s="19"/>
      <c r="ER37" s="19">
        <v>0</v>
      </c>
      <c r="ES37" s="19">
        <v>-8724240</v>
      </c>
      <c r="ET37" s="19">
        <v>0</v>
      </c>
      <c r="EU37" s="19"/>
      <c r="EV37" s="19">
        <v>0</v>
      </c>
      <c r="EW37" s="19">
        <v>0</v>
      </c>
      <c r="EX37" s="19"/>
      <c r="EY37" s="19">
        <v>0</v>
      </c>
      <c r="EZ37" s="19">
        <v>0</v>
      </c>
      <c r="FA37" s="19">
        <v>0</v>
      </c>
      <c r="FB37" s="19"/>
      <c r="FC37" s="19"/>
      <c r="FD37" s="19">
        <v>0</v>
      </c>
      <c r="FE37" s="19"/>
      <c r="FF37" s="19">
        <v>0</v>
      </c>
      <c r="FG37" s="19"/>
      <c r="FH37" s="19">
        <v>0</v>
      </c>
      <c r="FI37" s="19" t="s">
        <v>96</v>
      </c>
      <c r="FJ37" s="19">
        <v>0</v>
      </c>
      <c r="FK37" s="19">
        <v>0</v>
      </c>
      <c r="FL37" s="19">
        <v>0</v>
      </c>
      <c r="FM37" s="19">
        <v>0</v>
      </c>
      <c r="FN37" s="19"/>
      <c r="FO37" s="19">
        <v>0</v>
      </c>
      <c r="FP37" s="19">
        <v>-4589351</v>
      </c>
      <c r="FQ37" s="19"/>
      <c r="FR37" s="19">
        <v>0</v>
      </c>
      <c r="FS37" s="19">
        <v>0</v>
      </c>
      <c r="FT37" s="19">
        <v>0</v>
      </c>
      <c r="FU37" s="19">
        <v>0</v>
      </c>
      <c r="FV37" s="19">
        <v>0</v>
      </c>
      <c r="FW37" s="19"/>
      <c r="FX37" s="19">
        <v>0</v>
      </c>
      <c r="FY37" s="19">
        <v>0</v>
      </c>
      <c r="FZ37" s="19"/>
      <c r="GA37" s="19">
        <v>-1461113</v>
      </c>
      <c r="GB37" s="19">
        <v>-2323050</v>
      </c>
      <c r="GC37" s="19">
        <v>0</v>
      </c>
      <c r="GD37" s="19" t="s">
        <v>96</v>
      </c>
      <c r="GE37" s="19">
        <v>0</v>
      </c>
      <c r="GF37" s="19">
        <v>0</v>
      </c>
      <c r="GG37" s="19"/>
      <c r="GH37" s="19">
        <v>0</v>
      </c>
      <c r="GI37" s="19">
        <v>0</v>
      </c>
      <c r="GJ37" s="19"/>
      <c r="GK37" s="19">
        <v>0</v>
      </c>
      <c r="GL37" s="19" t="s">
        <v>96</v>
      </c>
      <c r="GM37" s="19"/>
      <c r="GN37" s="19">
        <v>-1044000</v>
      </c>
      <c r="GO37" s="19">
        <v>0</v>
      </c>
      <c r="GP37" s="19">
        <v>0</v>
      </c>
      <c r="GQ37" s="19">
        <v>0</v>
      </c>
      <c r="GR37" s="19">
        <v>0</v>
      </c>
      <c r="GS37" s="19">
        <v>0</v>
      </c>
      <c r="GT37" s="19">
        <v>0</v>
      </c>
      <c r="GU37" s="19">
        <v>0</v>
      </c>
      <c r="GV37" s="19">
        <v>-5609230</v>
      </c>
      <c r="GW37" s="19"/>
      <c r="GX37" s="19">
        <v>0</v>
      </c>
      <c r="GY37" s="19">
        <v>0</v>
      </c>
      <c r="GZ37" s="19">
        <v>0</v>
      </c>
      <c r="HA37" s="19">
        <v>0</v>
      </c>
      <c r="HB37" s="19"/>
      <c r="HC37" s="19">
        <v>0</v>
      </c>
      <c r="HD37" s="19">
        <v>-4192909</v>
      </c>
      <c r="HE37" s="19">
        <v>0</v>
      </c>
      <c r="HF37" s="19">
        <v>-900000</v>
      </c>
      <c r="HG37" s="19">
        <v>0</v>
      </c>
      <c r="HH37" s="19"/>
      <c r="HI37" s="19">
        <v>0</v>
      </c>
      <c r="HJ37" s="19">
        <v>0</v>
      </c>
      <c r="HK37" s="19">
        <v>0</v>
      </c>
      <c r="HL37" s="19">
        <v>0</v>
      </c>
      <c r="HM37" s="19">
        <v>0</v>
      </c>
      <c r="HN37" s="19"/>
      <c r="HO37" s="19">
        <v>-640000</v>
      </c>
      <c r="HP37" s="19">
        <v>0</v>
      </c>
      <c r="HQ37" s="19"/>
      <c r="HR37" s="19">
        <v>0</v>
      </c>
      <c r="HS37" s="19">
        <v>0</v>
      </c>
      <c r="HT37" s="19"/>
      <c r="HU37" s="19">
        <v>0</v>
      </c>
      <c r="HV37" s="19">
        <v>600000</v>
      </c>
      <c r="HW37" s="19"/>
      <c r="HX37" s="19">
        <v>0</v>
      </c>
      <c r="HY37" s="19" t="s">
        <v>172</v>
      </c>
      <c r="HZ37" s="19">
        <v>0</v>
      </c>
      <c r="IA37" s="19"/>
      <c r="IB37" s="19">
        <v>0</v>
      </c>
      <c r="IC37" s="19">
        <v>-914000</v>
      </c>
      <c r="ID37" s="19">
        <v>0</v>
      </c>
      <c r="IE37" s="19" t="s">
        <v>96</v>
      </c>
      <c r="IF37" s="19">
        <v>0</v>
      </c>
      <c r="IG37" s="19">
        <v>0</v>
      </c>
      <c r="IH37" s="19"/>
      <c r="II37" s="19"/>
      <c r="IJ37" s="19">
        <v>0</v>
      </c>
      <c r="IK37" s="19">
        <v>0</v>
      </c>
      <c r="IL37" s="19">
        <v>0</v>
      </c>
      <c r="IM37" s="19">
        <v>0</v>
      </c>
      <c r="IN37" s="19">
        <v>0</v>
      </c>
      <c r="IO37" s="19">
        <v>0</v>
      </c>
      <c r="IP37" s="19">
        <v>0</v>
      </c>
      <c r="IQ37" s="19"/>
      <c r="IR37" s="19">
        <v>0</v>
      </c>
      <c r="IS37" s="19">
        <v>0</v>
      </c>
      <c r="IT37" s="19">
        <v>0</v>
      </c>
    </row>
    <row r="38" spans="1:254">
      <c r="A38" s="7" t="s">
        <v>94</v>
      </c>
      <c r="B38" s="8" t="s">
        <v>56</v>
      </c>
      <c r="C38" s="19">
        <v>0</v>
      </c>
      <c r="D38" s="19">
        <v>0</v>
      </c>
      <c r="E38" s="19">
        <v>0</v>
      </c>
      <c r="F38" s="19">
        <v>0</v>
      </c>
      <c r="G38" s="19">
        <v>0</v>
      </c>
      <c r="H38" s="19">
        <v>0</v>
      </c>
      <c r="I38" s="19"/>
      <c r="J38" s="19" t="s">
        <v>4</v>
      </c>
      <c r="K38" s="19">
        <v>0</v>
      </c>
      <c r="L38" s="19" t="s">
        <v>96</v>
      </c>
      <c r="M38" s="19" t="s">
        <v>96</v>
      </c>
      <c r="N38" s="19">
        <v>0</v>
      </c>
      <c r="O38" s="19">
        <v>0</v>
      </c>
      <c r="P38" s="19">
        <v>0</v>
      </c>
      <c r="Q38" s="19">
        <v>0</v>
      </c>
      <c r="R38" s="19">
        <v>0</v>
      </c>
      <c r="S38" s="19">
        <v>0</v>
      </c>
      <c r="T38" s="19" t="s">
        <v>96</v>
      </c>
      <c r="U38" s="19">
        <v>0</v>
      </c>
      <c r="V38" s="19" t="s">
        <v>172</v>
      </c>
      <c r="W38" s="19">
        <v>0</v>
      </c>
      <c r="X38" s="19">
        <v>0</v>
      </c>
      <c r="Y38" s="19">
        <v>0</v>
      </c>
      <c r="Z38" s="19">
        <v>0</v>
      </c>
      <c r="AA38" s="19">
        <v>0</v>
      </c>
      <c r="AB38" s="19">
        <v>0</v>
      </c>
      <c r="AC38" s="19">
        <v>0</v>
      </c>
      <c r="AD38" s="19"/>
      <c r="AE38" s="19">
        <v>0</v>
      </c>
      <c r="AF38" s="19">
        <v>0</v>
      </c>
      <c r="AG38" s="19">
        <v>0</v>
      </c>
      <c r="AH38" s="19">
        <v>0</v>
      </c>
      <c r="AI38" s="19">
        <v>0</v>
      </c>
      <c r="AJ38" s="19">
        <v>0</v>
      </c>
      <c r="AK38" s="19">
        <v>0</v>
      </c>
      <c r="AL38" s="19">
        <v>0</v>
      </c>
      <c r="AM38" s="19" t="s">
        <v>4</v>
      </c>
      <c r="AN38" s="19"/>
      <c r="AO38" s="19">
        <v>0</v>
      </c>
      <c r="AP38" s="19"/>
      <c r="AQ38" s="19" t="s">
        <v>96</v>
      </c>
      <c r="AR38" s="19">
        <v>0</v>
      </c>
      <c r="AS38" s="19">
        <v>0</v>
      </c>
      <c r="AT38" s="19">
        <v>0</v>
      </c>
      <c r="AU38" s="19"/>
      <c r="AV38" s="19">
        <v>0</v>
      </c>
      <c r="AW38" s="19">
        <v>0</v>
      </c>
      <c r="AX38" s="19" t="s">
        <v>4</v>
      </c>
      <c r="AY38" s="19">
        <v>0</v>
      </c>
      <c r="AZ38" s="19"/>
      <c r="BA38" s="19">
        <v>0</v>
      </c>
      <c r="BB38" s="19">
        <v>0</v>
      </c>
      <c r="BC38" s="19" t="s">
        <v>4</v>
      </c>
      <c r="BD38" s="19" t="s">
        <v>128</v>
      </c>
      <c r="BE38" s="19">
        <v>0</v>
      </c>
      <c r="BF38" s="19">
        <v>0</v>
      </c>
      <c r="BG38" s="19"/>
      <c r="BH38" s="19">
        <v>0</v>
      </c>
      <c r="BI38" s="19"/>
      <c r="BJ38" s="19">
        <v>0</v>
      </c>
      <c r="BK38" s="19">
        <v>0</v>
      </c>
      <c r="BL38" s="19">
        <v>0</v>
      </c>
      <c r="BM38" s="19">
        <v>0</v>
      </c>
      <c r="BN38" s="19">
        <v>0</v>
      </c>
      <c r="BO38" s="19">
        <v>0</v>
      </c>
      <c r="BP38" s="19" t="s">
        <v>96</v>
      </c>
      <c r="BQ38" s="19" t="s">
        <v>4</v>
      </c>
      <c r="BR38" s="19">
        <v>0</v>
      </c>
      <c r="BS38" s="19">
        <v>0</v>
      </c>
      <c r="BT38" s="19">
        <v>0</v>
      </c>
      <c r="BU38" s="19">
        <v>0</v>
      </c>
      <c r="BV38" s="19">
        <v>0</v>
      </c>
      <c r="BW38" s="19">
        <v>0</v>
      </c>
      <c r="BX38" s="19">
        <v>0</v>
      </c>
      <c r="BY38" s="19">
        <v>0</v>
      </c>
      <c r="BZ38" s="19"/>
      <c r="CA38" s="19"/>
      <c r="CB38" s="19">
        <v>0</v>
      </c>
      <c r="CC38" s="19"/>
      <c r="CD38" s="19"/>
      <c r="CE38" s="19">
        <v>0</v>
      </c>
      <c r="CF38" s="19"/>
      <c r="CG38" s="19">
        <v>0</v>
      </c>
      <c r="CH38" s="19">
        <v>0</v>
      </c>
      <c r="CI38" s="19" t="s">
        <v>128</v>
      </c>
      <c r="CJ38" s="19"/>
      <c r="CK38" s="19">
        <v>0</v>
      </c>
      <c r="CL38" s="19">
        <v>0</v>
      </c>
      <c r="CM38" s="19"/>
      <c r="CN38" s="19">
        <v>0</v>
      </c>
      <c r="CO38" s="19">
        <v>0</v>
      </c>
      <c r="CP38" s="19"/>
      <c r="CQ38" s="19" t="s">
        <v>96</v>
      </c>
      <c r="CR38" s="19">
        <v>0</v>
      </c>
      <c r="CS38" s="19"/>
      <c r="CT38" s="19">
        <v>0</v>
      </c>
      <c r="CU38" s="19">
        <v>5359845</v>
      </c>
      <c r="CV38" s="19"/>
      <c r="CW38" s="19"/>
      <c r="CX38" s="19"/>
      <c r="CY38" s="19" t="s">
        <v>96</v>
      </c>
      <c r="CZ38" s="19"/>
      <c r="DA38" s="19">
        <v>0</v>
      </c>
      <c r="DB38" s="19"/>
      <c r="DC38" s="19"/>
      <c r="DD38" s="19">
        <v>0</v>
      </c>
      <c r="DE38" s="19"/>
      <c r="DF38" s="19">
        <v>0</v>
      </c>
      <c r="DG38" s="19">
        <v>0</v>
      </c>
      <c r="DH38" s="19">
        <v>0</v>
      </c>
      <c r="DI38" s="19">
        <v>0</v>
      </c>
      <c r="DJ38" s="19"/>
      <c r="DK38" s="19">
        <v>0</v>
      </c>
      <c r="DL38" s="19"/>
      <c r="DM38" s="19">
        <v>0</v>
      </c>
      <c r="DN38" s="19">
        <v>0</v>
      </c>
      <c r="DO38" s="19">
        <v>0</v>
      </c>
      <c r="DP38" s="19">
        <v>0</v>
      </c>
      <c r="DQ38" s="19"/>
      <c r="DR38" s="19">
        <v>0</v>
      </c>
      <c r="DS38" s="19">
        <v>0</v>
      </c>
      <c r="DT38" s="19">
        <v>0</v>
      </c>
      <c r="DU38" s="19"/>
      <c r="DV38" s="19"/>
      <c r="DW38" s="19">
        <v>0</v>
      </c>
      <c r="DX38" s="19"/>
      <c r="DY38" s="19">
        <v>0</v>
      </c>
      <c r="DZ38" s="19">
        <v>0</v>
      </c>
      <c r="EA38" s="19"/>
      <c r="EB38" s="19">
        <v>0</v>
      </c>
      <c r="EC38" s="19"/>
      <c r="ED38" s="19"/>
      <c r="EE38" s="19">
        <v>0</v>
      </c>
      <c r="EF38" s="19">
        <v>0</v>
      </c>
      <c r="EG38" s="19">
        <v>0</v>
      </c>
      <c r="EH38" s="19">
        <v>0</v>
      </c>
      <c r="EI38" s="19">
        <v>0</v>
      </c>
      <c r="EJ38" s="19">
        <v>0</v>
      </c>
      <c r="EK38" s="19">
        <v>0</v>
      </c>
      <c r="EL38" s="19"/>
      <c r="EM38" s="19">
        <v>0</v>
      </c>
      <c r="EN38" s="19"/>
      <c r="EO38" s="19">
        <v>0</v>
      </c>
      <c r="EP38" s="19"/>
      <c r="EQ38" s="19"/>
      <c r="ER38" s="19">
        <v>0</v>
      </c>
      <c r="ES38" s="19"/>
      <c r="ET38" s="19">
        <v>0</v>
      </c>
      <c r="EU38" s="19"/>
      <c r="EV38" s="19">
        <v>0</v>
      </c>
      <c r="EW38" s="19">
        <v>0</v>
      </c>
      <c r="EX38" s="19"/>
      <c r="EY38" s="19">
        <v>0</v>
      </c>
      <c r="EZ38" s="19">
        <v>0</v>
      </c>
      <c r="FA38" s="19">
        <v>0</v>
      </c>
      <c r="FB38" s="19"/>
      <c r="FC38" s="19"/>
      <c r="FD38" s="19">
        <v>0</v>
      </c>
      <c r="FE38" s="19"/>
      <c r="FF38" s="19">
        <v>0</v>
      </c>
      <c r="FG38" s="19"/>
      <c r="FH38" s="19">
        <v>0</v>
      </c>
      <c r="FI38" s="19" t="s">
        <v>96</v>
      </c>
      <c r="FJ38" s="19">
        <v>0</v>
      </c>
      <c r="FK38" s="19">
        <v>0</v>
      </c>
      <c r="FL38" s="19">
        <v>0</v>
      </c>
      <c r="FM38" s="19">
        <v>0</v>
      </c>
      <c r="FN38" s="19"/>
      <c r="FO38" s="19">
        <v>0</v>
      </c>
      <c r="FP38" s="19"/>
      <c r="FQ38" s="19"/>
      <c r="FR38" s="19">
        <v>0</v>
      </c>
      <c r="FS38" s="19">
        <v>0</v>
      </c>
      <c r="FT38" s="19">
        <v>0</v>
      </c>
      <c r="FU38" s="19">
        <v>0</v>
      </c>
      <c r="FV38" s="19">
        <v>0</v>
      </c>
      <c r="FW38" s="19"/>
      <c r="FX38" s="19">
        <v>0</v>
      </c>
      <c r="FY38" s="19">
        <v>0</v>
      </c>
      <c r="FZ38" s="19"/>
      <c r="GA38" s="19"/>
      <c r="GB38" s="19"/>
      <c r="GC38" s="19">
        <v>0</v>
      </c>
      <c r="GD38" s="19" t="s">
        <v>96</v>
      </c>
      <c r="GE38" s="19">
        <v>0</v>
      </c>
      <c r="GF38" s="19">
        <v>0</v>
      </c>
      <c r="GG38" s="19"/>
      <c r="GH38" s="19">
        <v>0</v>
      </c>
      <c r="GI38" s="19">
        <v>0</v>
      </c>
      <c r="GJ38" s="19"/>
      <c r="GK38" s="19"/>
      <c r="GL38" s="19" t="s">
        <v>96</v>
      </c>
      <c r="GM38" s="19"/>
      <c r="GN38" s="19">
        <v>0</v>
      </c>
      <c r="GO38" s="19">
        <v>0</v>
      </c>
      <c r="GP38" s="19">
        <v>0</v>
      </c>
      <c r="GQ38" s="19">
        <v>0</v>
      </c>
      <c r="GR38" s="19">
        <v>0</v>
      </c>
      <c r="GS38" s="19">
        <v>0</v>
      </c>
      <c r="GT38" s="19">
        <v>0</v>
      </c>
      <c r="GU38" s="19">
        <v>0</v>
      </c>
      <c r="GV38" s="19">
        <v>0</v>
      </c>
      <c r="GW38" s="19"/>
      <c r="GX38" s="19">
        <v>0</v>
      </c>
      <c r="GY38" s="19">
        <v>0</v>
      </c>
      <c r="GZ38" s="19">
        <v>0</v>
      </c>
      <c r="HA38" s="19">
        <v>0</v>
      </c>
      <c r="HB38" s="19"/>
      <c r="HC38" s="19">
        <v>0</v>
      </c>
      <c r="HD38" s="19">
        <v>0</v>
      </c>
      <c r="HE38" s="19">
        <v>0</v>
      </c>
      <c r="HF38" s="19"/>
      <c r="HG38" s="19">
        <v>0</v>
      </c>
      <c r="HH38" s="19"/>
      <c r="HI38" s="19">
        <v>0</v>
      </c>
      <c r="HJ38" s="19">
        <v>0</v>
      </c>
      <c r="HK38" s="19">
        <v>0</v>
      </c>
      <c r="HL38" s="19">
        <v>0</v>
      </c>
      <c r="HM38" s="19">
        <v>0</v>
      </c>
      <c r="HN38" s="19"/>
      <c r="HO38" s="19">
        <v>0</v>
      </c>
      <c r="HP38" s="19">
        <v>0</v>
      </c>
      <c r="HQ38" s="19"/>
      <c r="HR38" s="19">
        <v>0</v>
      </c>
      <c r="HS38" s="19">
        <v>0</v>
      </c>
      <c r="HT38" s="19"/>
      <c r="HU38" s="19">
        <v>0</v>
      </c>
      <c r="HV38" s="19">
        <v>0</v>
      </c>
      <c r="HW38" s="19">
        <v>-1047811529</v>
      </c>
      <c r="HX38" s="19">
        <v>138552</v>
      </c>
      <c r="HY38" s="19" t="s">
        <v>172</v>
      </c>
      <c r="HZ38" s="19">
        <v>0</v>
      </c>
      <c r="IA38" s="19"/>
      <c r="IB38" s="19">
        <v>0</v>
      </c>
      <c r="IC38" s="19">
        <v>0</v>
      </c>
      <c r="ID38" s="19">
        <v>0</v>
      </c>
      <c r="IE38" s="19" t="s">
        <v>96</v>
      </c>
      <c r="IF38" s="19">
        <v>0</v>
      </c>
      <c r="IG38" s="19">
        <v>0</v>
      </c>
      <c r="IH38" s="19"/>
      <c r="II38" s="19"/>
      <c r="IJ38" s="19">
        <v>0</v>
      </c>
      <c r="IK38" s="19">
        <v>0</v>
      </c>
      <c r="IL38" s="19">
        <v>0</v>
      </c>
      <c r="IM38" s="19">
        <v>0</v>
      </c>
      <c r="IN38" s="19">
        <v>0</v>
      </c>
      <c r="IO38" s="19">
        <v>0</v>
      </c>
      <c r="IP38" s="19">
        <v>0</v>
      </c>
      <c r="IQ38" s="19"/>
      <c r="IR38" s="19">
        <v>0</v>
      </c>
      <c r="IS38" s="19">
        <v>0</v>
      </c>
      <c r="IT38" s="19">
        <v>0</v>
      </c>
    </row>
    <row r="39" spans="1:254">
      <c r="A39" s="7" t="s">
        <v>94</v>
      </c>
      <c r="B39" s="8" t="s">
        <v>82</v>
      </c>
      <c r="C39" s="19">
        <v>265708311</v>
      </c>
      <c r="D39" s="19">
        <v>821960599</v>
      </c>
      <c r="E39" s="19">
        <v>372502270</v>
      </c>
      <c r="F39" s="19">
        <v>802054483</v>
      </c>
      <c r="G39" s="19">
        <v>-230388</v>
      </c>
      <c r="H39" s="19">
        <v>244871107</v>
      </c>
      <c r="I39" s="19">
        <v>752439826</v>
      </c>
      <c r="J39" s="19" t="s">
        <v>4</v>
      </c>
      <c r="K39" s="19">
        <v>-165204795</v>
      </c>
      <c r="L39" s="19" t="s">
        <v>96</v>
      </c>
      <c r="M39" s="19" t="s">
        <v>96</v>
      </c>
      <c r="N39" s="19">
        <v>-44691212</v>
      </c>
      <c r="O39" s="19">
        <v>-47837742</v>
      </c>
      <c r="P39" s="19">
        <v>375659808</v>
      </c>
      <c r="Q39" s="19">
        <v>46449777</v>
      </c>
      <c r="R39" s="19">
        <v>-38815365</v>
      </c>
      <c r="S39" s="19">
        <v>728611838</v>
      </c>
      <c r="T39" s="19" t="s">
        <v>96</v>
      </c>
      <c r="U39" s="19">
        <v>329293834</v>
      </c>
      <c r="V39" s="19" t="s">
        <v>172</v>
      </c>
      <c r="W39" s="19">
        <v>-833843605</v>
      </c>
      <c r="X39" s="19">
        <v>2874812082</v>
      </c>
      <c r="Y39" s="19">
        <v>36076219</v>
      </c>
      <c r="Z39" s="19">
        <v>-88970443</v>
      </c>
      <c r="AA39" s="19">
        <v>1594034797</v>
      </c>
      <c r="AB39" s="19">
        <v>75740183</v>
      </c>
      <c r="AC39" s="19">
        <v>570715937</v>
      </c>
      <c r="AD39" s="19">
        <v>445550964</v>
      </c>
      <c r="AE39" s="19">
        <v>574929534</v>
      </c>
      <c r="AF39" s="19">
        <v>341300394</v>
      </c>
      <c r="AG39" s="19">
        <v>-1291755824</v>
      </c>
      <c r="AH39" s="19">
        <v>596987299</v>
      </c>
      <c r="AI39" s="19">
        <v>-642906711</v>
      </c>
      <c r="AJ39" s="19">
        <v>278499223</v>
      </c>
      <c r="AK39" s="19">
        <v>1332604240</v>
      </c>
      <c r="AL39" s="19">
        <v>153774655</v>
      </c>
      <c r="AM39" s="19" t="s">
        <v>4</v>
      </c>
      <c r="AN39" s="19">
        <v>300334611</v>
      </c>
      <c r="AO39" s="19">
        <v>-2313533804</v>
      </c>
      <c r="AP39" s="19">
        <v>-711182689</v>
      </c>
      <c r="AQ39" s="19" t="s">
        <v>96</v>
      </c>
      <c r="AR39" s="19">
        <v>-371534276</v>
      </c>
      <c r="AS39" s="19">
        <v>-260600741</v>
      </c>
      <c r="AT39" s="19">
        <v>215335001</v>
      </c>
      <c r="AU39" s="19">
        <v>-712118150</v>
      </c>
      <c r="AV39" s="19">
        <v>154866872</v>
      </c>
      <c r="AW39" s="19">
        <v>110238628</v>
      </c>
      <c r="AX39" s="19" t="s">
        <v>4</v>
      </c>
      <c r="AY39" s="19">
        <v>44180309</v>
      </c>
      <c r="AZ39" s="19">
        <v>69229631</v>
      </c>
      <c r="BA39" s="19">
        <v>-401834475</v>
      </c>
      <c r="BB39" s="19">
        <v>-149714186</v>
      </c>
      <c r="BC39" s="19" t="s">
        <v>4</v>
      </c>
      <c r="BD39" s="19" t="s">
        <v>128</v>
      </c>
      <c r="BE39" s="19">
        <v>239471684</v>
      </c>
      <c r="BF39" s="19">
        <v>644564394</v>
      </c>
      <c r="BG39" s="19">
        <v>-1898296538</v>
      </c>
      <c r="BH39" s="19">
        <v>63604612</v>
      </c>
      <c r="BI39" s="19">
        <v>626806784</v>
      </c>
      <c r="BJ39" s="19">
        <v>172414695</v>
      </c>
      <c r="BK39" s="19">
        <v>-666112499</v>
      </c>
      <c r="BL39" s="19">
        <v>259716252</v>
      </c>
      <c r="BM39" s="19">
        <v>356559476</v>
      </c>
      <c r="BN39" s="19">
        <v>221621250</v>
      </c>
      <c r="BO39" s="19">
        <v>-94273971</v>
      </c>
      <c r="BP39" s="19" t="s">
        <v>96</v>
      </c>
      <c r="BQ39" s="19" t="s">
        <v>4</v>
      </c>
      <c r="BR39" s="19">
        <v>3354084108</v>
      </c>
      <c r="BS39" s="19">
        <v>-24963561</v>
      </c>
      <c r="BT39" s="19">
        <v>-70282227</v>
      </c>
      <c r="BU39" s="19">
        <v>-88689106</v>
      </c>
      <c r="BV39" s="19">
        <v>255641149</v>
      </c>
      <c r="BW39" s="19">
        <v>8334542</v>
      </c>
      <c r="BX39" s="19">
        <v>166554174</v>
      </c>
      <c r="BY39" s="19">
        <v>-1686543327</v>
      </c>
      <c r="BZ39" s="19">
        <v>1890629742</v>
      </c>
      <c r="CA39" s="19">
        <v>-211072241</v>
      </c>
      <c r="CB39" s="19">
        <v>21817411</v>
      </c>
      <c r="CC39" s="19">
        <v>-30273779</v>
      </c>
      <c r="CD39" s="19">
        <v>302269252</v>
      </c>
      <c r="CE39" s="19">
        <v>207086063</v>
      </c>
      <c r="CF39" s="19">
        <v>-2066768875</v>
      </c>
      <c r="CG39" s="19">
        <v>135992481</v>
      </c>
      <c r="CH39" s="19">
        <v>296767461</v>
      </c>
      <c r="CI39" s="19" t="s">
        <v>128</v>
      </c>
      <c r="CJ39" s="19">
        <v>40404633</v>
      </c>
      <c r="CK39" s="19">
        <v>-176312377</v>
      </c>
      <c r="CL39" s="19">
        <v>-25810898</v>
      </c>
      <c r="CM39" s="19">
        <v>1947024760</v>
      </c>
      <c r="CN39" s="19">
        <v>-24735020</v>
      </c>
      <c r="CO39" s="19">
        <v>89138593</v>
      </c>
      <c r="CP39" s="19">
        <v>168290581</v>
      </c>
      <c r="CQ39" s="19" t="s">
        <v>96</v>
      </c>
      <c r="CR39" s="19">
        <v>452459673</v>
      </c>
      <c r="CS39" s="19">
        <v>1154967078</v>
      </c>
      <c r="CT39" s="19">
        <v>-9093677941</v>
      </c>
      <c r="CU39" s="19">
        <v>263539286</v>
      </c>
      <c r="CV39" s="19">
        <v>-243956615</v>
      </c>
      <c r="CW39" s="19">
        <v>762232038</v>
      </c>
      <c r="CX39" s="19">
        <v>-4809522453</v>
      </c>
      <c r="CY39" s="19" t="s">
        <v>96</v>
      </c>
      <c r="CZ39" s="19">
        <v>1102181889</v>
      </c>
      <c r="DA39" s="19">
        <v>258448936</v>
      </c>
      <c r="DB39" s="19">
        <v>478872368</v>
      </c>
      <c r="DC39" s="19">
        <v>-64128125</v>
      </c>
      <c r="DD39" s="19">
        <v>-77850649</v>
      </c>
      <c r="DE39" s="19">
        <v>680654681</v>
      </c>
      <c r="DF39" s="19">
        <v>8743504</v>
      </c>
      <c r="DG39" s="19">
        <v>-265254</v>
      </c>
      <c r="DH39" s="19">
        <v>-250920341</v>
      </c>
      <c r="DI39" s="19">
        <v>619434839</v>
      </c>
      <c r="DJ39" s="19">
        <v>148323854</v>
      </c>
      <c r="DK39" s="19">
        <v>1140094180</v>
      </c>
      <c r="DL39" s="19">
        <v>-68431387</v>
      </c>
      <c r="DM39" s="19">
        <v>127267367</v>
      </c>
      <c r="DN39" s="19">
        <v>1508714</v>
      </c>
      <c r="DO39" s="19">
        <v>29380258</v>
      </c>
      <c r="DP39" s="19">
        <v>731475617</v>
      </c>
      <c r="DQ39" s="19">
        <v>68574368</v>
      </c>
      <c r="DR39" s="19">
        <v>-259160621</v>
      </c>
      <c r="DS39" s="19">
        <v>249068259</v>
      </c>
      <c r="DT39" s="19">
        <v>957313273</v>
      </c>
      <c r="DU39" s="19">
        <v>114171472</v>
      </c>
      <c r="DV39" s="19">
        <v>1863542976</v>
      </c>
      <c r="DW39" s="19">
        <v>737651686</v>
      </c>
      <c r="DX39" s="19">
        <v>1632761054</v>
      </c>
      <c r="DY39" s="19">
        <v>99947301</v>
      </c>
      <c r="DZ39" s="19">
        <v>451059484</v>
      </c>
      <c r="EA39" s="19">
        <v>93752909</v>
      </c>
      <c r="EB39" s="19">
        <v>1350890105</v>
      </c>
      <c r="EC39" s="19">
        <v>-44367904</v>
      </c>
      <c r="ED39" s="19">
        <v>23635879</v>
      </c>
      <c r="EE39" s="19">
        <v>151993320</v>
      </c>
      <c r="EF39" s="19">
        <v>865758154</v>
      </c>
      <c r="EG39" s="19">
        <v>-12521260692</v>
      </c>
      <c r="EH39" s="19">
        <v>-5959440</v>
      </c>
      <c r="EI39" s="19">
        <v>-5768305814</v>
      </c>
      <c r="EJ39" s="19">
        <v>73885120</v>
      </c>
      <c r="EK39" s="19">
        <v>-1211699380</v>
      </c>
      <c r="EL39" s="19">
        <v>2161770103</v>
      </c>
      <c r="EM39" s="19">
        <v>750128622</v>
      </c>
      <c r="EN39" s="19">
        <v>2003730659</v>
      </c>
      <c r="EO39" s="19">
        <v>179729960</v>
      </c>
      <c r="EP39" s="19">
        <v>-112653874</v>
      </c>
      <c r="EQ39" s="19">
        <v>1007642265</v>
      </c>
      <c r="ER39" s="19">
        <v>-430469205</v>
      </c>
      <c r="ES39" s="19">
        <v>-307304097</v>
      </c>
      <c r="ET39" s="19">
        <v>-1015895470</v>
      </c>
      <c r="EU39" s="19">
        <v>-262236716</v>
      </c>
      <c r="EV39" s="19">
        <v>60500896</v>
      </c>
      <c r="EW39" s="19">
        <v>-34999928</v>
      </c>
      <c r="EX39" s="19">
        <v>787617583</v>
      </c>
      <c r="EY39" s="19">
        <v>1804574567</v>
      </c>
      <c r="EZ39" s="19">
        <v>-255298556</v>
      </c>
      <c r="FA39" s="19">
        <v>-149950537</v>
      </c>
      <c r="FB39" s="19">
        <v>-112719503</v>
      </c>
      <c r="FC39" s="19">
        <v>-2335951</v>
      </c>
      <c r="FD39" s="19">
        <v>121612448</v>
      </c>
      <c r="FE39" s="19">
        <v>1204777660</v>
      </c>
      <c r="FF39" s="19">
        <v>131740119</v>
      </c>
      <c r="FG39" s="19">
        <v>466136076</v>
      </c>
      <c r="FH39" s="19">
        <v>243584600</v>
      </c>
      <c r="FI39" s="19" t="s">
        <v>96</v>
      </c>
      <c r="FJ39" s="19">
        <v>189801525</v>
      </c>
      <c r="FK39" s="19">
        <v>-22390382</v>
      </c>
      <c r="FL39" s="19">
        <v>-223486267</v>
      </c>
      <c r="FM39" s="19">
        <v>-251794207</v>
      </c>
      <c r="FN39" s="19">
        <v>-717801982</v>
      </c>
      <c r="FO39" s="19">
        <v>-27913916</v>
      </c>
      <c r="FP39" s="19">
        <v>36374248</v>
      </c>
      <c r="FQ39" s="19">
        <v>-244218186</v>
      </c>
      <c r="FR39" s="19">
        <v>27324086</v>
      </c>
      <c r="FS39" s="19">
        <v>-136062495</v>
      </c>
      <c r="FT39" s="19">
        <v>1344380202</v>
      </c>
      <c r="FU39" s="19">
        <v>-3537054</v>
      </c>
      <c r="FV39" s="19">
        <v>504729146</v>
      </c>
      <c r="FW39" s="19">
        <v>-41786429</v>
      </c>
      <c r="FX39" s="19">
        <v>-458614009</v>
      </c>
      <c r="FY39" s="19">
        <v>-2645682437</v>
      </c>
      <c r="FZ39" s="19">
        <v>-1221898008</v>
      </c>
      <c r="GA39" s="19">
        <v>-392477191</v>
      </c>
      <c r="GB39" s="19">
        <v>-78680835</v>
      </c>
      <c r="GC39" s="19">
        <v>127601736</v>
      </c>
      <c r="GD39" s="19" t="s">
        <v>96</v>
      </c>
      <c r="GE39" s="19">
        <v>-270154803</v>
      </c>
      <c r="GF39" s="19">
        <v>27983594</v>
      </c>
      <c r="GG39" s="19">
        <v>-1343790761</v>
      </c>
      <c r="GH39" s="19">
        <v>-366219038</v>
      </c>
      <c r="GI39" s="19">
        <v>-1774379</v>
      </c>
      <c r="GJ39" s="19">
        <v>91075917</v>
      </c>
      <c r="GK39" s="19">
        <v>-136646175</v>
      </c>
      <c r="GL39" s="19" t="s">
        <v>96</v>
      </c>
      <c r="GM39" s="19">
        <v>-13552074</v>
      </c>
      <c r="GN39" s="19">
        <v>-304001160</v>
      </c>
      <c r="GO39" s="19">
        <v>-3335357298</v>
      </c>
      <c r="GP39" s="19">
        <v>1363453555</v>
      </c>
      <c r="GQ39" s="19">
        <v>68731049</v>
      </c>
      <c r="GR39" s="19">
        <v>766885143</v>
      </c>
      <c r="GS39" s="19">
        <v>-82745013</v>
      </c>
      <c r="GT39" s="19">
        <v>-366135422</v>
      </c>
      <c r="GU39" s="19">
        <v>19426769</v>
      </c>
      <c r="GV39" s="19">
        <v>1011090876</v>
      </c>
      <c r="GW39" s="19">
        <v>-4571011858</v>
      </c>
      <c r="GX39" s="19">
        <v>153114110</v>
      </c>
      <c r="GY39" s="19">
        <v>-2674355486</v>
      </c>
      <c r="GZ39" s="19">
        <v>560515717</v>
      </c>
      <c r="HA39" s="19">
        <v>-2594594845</v>
      </c>
      <c r="HB39" s="19">
        <v>222534189</v>
      </c>
      <c r="HC39" s="19">
        <v>-786564702</v>
      </c>
      <c r="HD39" s="19">
        <v>66312277</v>
      </c>
      <c r="HE39" s="19">
        <v>-435920687</v>
      </c>
      <c r="HF39" s="19">
        <v>580144042</v>
      </c>
      <c r="HG39" s="19">
        <v>86512200</v>
      </c>
      <c r="HH39" s="19"/>
      <c r="HI39" s="19">
        <v>-1532849066</v>
      </c>
      <c r="HJ39" s="19">
        <v>353208690</v>
      </c>
      <c r="HK39" s="19">
        <v>-2594036298</v>
      </c>
      <c r="HL39" s="19">
        <v>773052472</v>
      </c>
      <c r="HM39" s="19">
        <v>55200989</v>
      </c>
      <c r="HN39" s="19">
        <v>-160435553</v>
      </c>
      <c r="HO39" s="19">
        <v>607694282</v>
      </c>
      <c r="HP39" s="19">
        <v>154024218</v>
      </c>
      <c r="HQ39" s="19">
        <v>22700398</v>
      </c>
      <c r="HR39" s="19">
        <v>377564976</v>
      </c>
      <c r="HS39" s="19">
        <v>127059159</v>
      </c>
      <c r="HT39" s="19">
        <v>-114109863</v>
      </c>
      <c r="HU39" s="19">
        <v>-5577629706</v>
      </c>
      <c r="HV39" s="19">
        <v>1769695</v>
      </c>
      <c r="HW39" s="19">
        <v>-77517938713</v>
      </c>
      <c r="HX39" s="19">
        <v>247497998</v>
      </c>
      <c r="HY39" s="19" t="s">
        <v>172</v>
      </c>
      <c r="HZ39" s="19">
        <v>1081474669</v>
      </c>
      <c r="IA39" s="19">
        <v>595818327</v>
      </c>
      <c r="IB39" s="19">
        <v>-16429395</v>
      </c>
      <c r="IC39" s="19">
        <v>116049367</v>
      </c>
      <c r="ID39" s="19">
        <v>-4645765</v>
      </c>
      <c r="IE39" s="19" t="s">
        <v>96</v>
      </c>
      <c r="IF39" s="19">
        <v>87272510</v>
      </c>
      <c r="IG39" s="19">
        <v>-10996636</v>
      </c>
      <c r="IH39" s="19">
        <v>391150718</v>
      </c>
      <c r="II39" s="19">
        <v>-76487904</v>
      </c>
      <c r="IJ39" s="19">
        <v>-221733846</v>
      </c>
      <c r="IK39" s="19">
        <v>27899396</v>
      </c>
      <c r="IL39" s="19">
        <v>31181441</v>
      </c>
      <c r="IM39" s="19">
        <v>-113731843</v>
      </c>
      <c r="IN39" s="19">
        <v>22767190</v>
      </c>
      <c r="IO39" s="19">
        <v>84265163</v>
      </c>
      <c r="IP39" s="19">
        <v>160615119</v>
      </c>
      <c r="IQ39" s="19">
        <v>650029147</v>
      </c>
      <c r="IR39" s="19">
        <v>474246056</v>
      </c>
      <c r="IS39" s="19">
        <v>296131334</v>
      </c>
      <c r="IT39" s="19">
        <v>276661889</v>
      </c>
    </row>
    <row r="40" spans="1:254">
      <c r="A40" s="9" t="s">
        <v>3</v>
      </c>
      <c r="B40" s="10" t="s">
        <v>85</v>
      </c>
      <c r="C40" s="19">
        <v>1613832346</v>
      </c>
      <c r="D40" s="19">
        <v>3121894992</v>
      </c>
      <c r="E40" s="19">
        <v>1166086599</v>
      </c>
      <c r="F40" s="19">
        <v>2905547600</v>
      </c>
      <c r="G40" s="19">
        <v>548696444</v>
      </c>
      <c r="H40" s="19">
        <v>10459945076</v>
      </c>
      <c r="I40" s="19">
        <v>8574491999</v>
      </c>
      <c r="J40" s="19" t="s">
        <v>4</v>
      </c>
      <c r="K40" s="19">
        <v>2683739133</v>
      </c>
      <c r="L40" s="19" t="s">
        <v>96</v>
      </c>
      <c r="M40" s="19" t="s">
        <v>96</v>
      </c>
      <c r="N40" s="19">
        <v>626935574</v>
      </c>
      <c r="O40" s="19">
        <v>8377030234</v>
      </c>
      <c r="P40" s="19">
        <v>5637722754</v>
      </c>
      <c r="Q40" s="19">
        <v>228525003</v>
      </c>
      <c r="R40" s="19">
        <v>363523791</v>
      </c>
      <c r="S40" s="19">
        <v>11394811499</v>
      </c>
      <c r="T40" s="19" t="s">
        <v>96</v>
      </c>
      <c r="U40" s="19">
        <v>1763905583</v>
      </c>
      <c r="V40" s="19" t="s">
        <v>172</v>
      </c>
      <c r="W40" s="19">
        <v>1320139352</v>
      </c>
      <c r="X40" s="19">
        <v>2501736222</v>
      </c>
      <c r="Y40" s="19">
        <v>725454239</v>
      </c>
      <c r="Z40" s="19">
        <v>790993752</v>
      </c>
      <c r="AA40" s="19">
        <v>3790412250</v>
      </c>
      <c r="AB40" s="19">
        <v>80997841</v>
      </c>
      <c r="AC40" s="19">
        <v>1547234440</v>
      </c>
      <c r="AD40" s="19">
        <v>4334749593</v>
      </c>
      <c r="AE40" s="19">
        <v>586003412</v>
      </c>
      <c r="AF40" s="19">
        <v>362725821</v>
      </c>
      <c r="AG40" s="19">
        <v>195898000</v>
      </c>
      <c r="AH40" s="19">
        <v>2227447697</v>
      </c>
      <c r="AI40" s="19">
        <v>1119648484</v>
      </c>
      <c r="AJ40" s="19">
        <v>729125689</v>
      </c>
      <c r="AK40" s="19">
        <v>4375016685</v>
      </c>
      <c r="AL40" s="19">
        <v>831441899</v>
      </c>
      <c r="AM40" s="19" t="s">
        <v>4</v>
      </c>
      <c r="AN40" s="19">
        <v>1004542932</v>
      </c>
      <c r="AO40" s="19">
        <v>1908927586</v>
      </c>
      <c r="AP40" s="19">
        <v>853415721</v>
      </c>
      <c r="AQ40" s="19" t="s">
        <v>96</v>
      </c>
      <c r="AR40" s="19">
        <v>719301097</v>
      </c>
      <c r="AS40" s="19">
        <v>618418384</v>
      </c>
      <c r="AT40" s="19">
        <v>710715479</v>
      </c>
      <c r="AU40" s="19">
        <v>1148252227</v>
      </c>
      <c r="AV40" s="19">
        <v>108007981</v>
      </c>
      <c r="AW40" s="19">
        <v>427150679</v>
      </c>
      <c r="AX40" s="19" t="s">
        <v>4</v>
      </c>
      <c r="AY40" s="19">
        <v>1025447529</v>
      </c>
      <c r="AZ40" s="19">
        <v>829038839</v>
      </c>
      <c r="BA40" s="19">
        <v>7158758881</v>
      </c>
      <c r="BB40" s="19">
        <v>60619185</v>
      </c>
      <c r="BC40" s="19" t="s">
        <v>4</v>
      </c>
      <c r="BD40" s="19" t="s">
        <v>128</v>
      </c>
      <c r="BE40" s="19">
        <v>1046576950</v>
      </c>
      <c r="BF40" s="19">
        <v>831220411</v>
      </c>
      <c r="BG40" s="19">
        <v>2667840320</v>
      </c>
      <c r="BH40" s="19">
        <v>652769338</v>
      </c>
      <c r="BI40" s="19">
        <v>562232856</v>
      </c>
      <c r="BJ40" s="19">
        <v>530428064</v>
      </c>
      <c r="BK40" s="19">
        <v>427715269</v>
      </c>
      <c r="BL40" s="19">
        <v>1726104076</v>
      </c>
      <c r="BM40" s="19">
        <v>1306543468</v>
      </c>
      <c r="BN40" s="19">
        <v>171273150</v>
      </c>
      <c r="BO40" s="19">
        <v>331800177</v>
      </c>
      <c r="BP40" s="19" t="s">
        <v>96</v>
      </c>
      <c r="BQ40" s="19" t="s">
        <v>4</v>
      </c>
      <c r="BR40" s="19">
        <v>5588143994</v>
      </c>
      <c r="BS40" s="19">
        <v>123991656</v>
      </c>
      <c r="BT40" s="19">
        <v>52234539</v>
      </c>
      <c r="BU40" s="19">
        <v>643041690</v>
      </c>
      <c r="BV40" s="19">
        <v>314850158</v>
      </c>
      <c r="BW40" s="19">
        <v>43465546</v>
      </c>
      <c r="BX40" s="19">
        <v>487011860</v>
      </c>
      <c r="BY40" s="19">
        <v>6205870267</v>
      </c>
      <c r="BZ40" s="19">
        <v>2318066888</v>
      </c>
      <c r="CA40" s="19">
        <v>2024003978</v>
      </c>
      <c r="CB40" s="19">
        <v>360299297</v>
      </c>
      <c r="CC40" s="19">
        <v>1847885367</v>
      </c>
      <c r="CD40" s="19">
        <v>2049891942</v>
      </c>
      <c r="CE40" s="19">
        <v>92873400</v>
      </c>
      <c r="CF40" s="19">
        <v>292835028</v>
      </c>
      <c r="CG40" s="19">
        <v>916995480</v>
      </c>
      <c r="CH40" s="19">
        <v>499086460</v>
      </c>
      <c r="CI40" s="19" t="s">
        <v>128</v>
      </c>
      <c r="CJ40" s="19">
        <v>331701475</v>
      </c>
      <c r="CK40" s="19">
        <v>3429873890</v>
      </c>
      <c r="CL40" s="19">
        <v>688190322</v>
      </c>
      <c r="CM40" s="19">
        <v>7897584875</v>
      </c>
      <c r="CN40" s="19">
        <v>163349995</v>
      </c>
      <c r="CO40" s="19">
        <v>127489380</v>
      </c>
      <c r="CP40" s="19">
        <v>4096382011</v>
      </c>
      <c r="CQ40" s="19" t="s">
        <v>96</v>
      </c>
      <c r="CR40" s="19">
        <v>2269306055</v>
      </c>
      <c r="CS40" s="19">
        <v>2704731974</v>
      </c>
      <c r="CT40" s="19">
        <v>3092582064</v>
      </c>
      <c r="CU40" s="19">
        <v>190963203</v>
      </c>
      <c r="CV40" s="19">
        <v>162786870</v>
      </c>
      <c r="CW40" s="19">
        <v>2263274879</v>
      </c>
      <c r="CX40" s="19">
        <v>1900562370</v>
      </c>
      <c r="CY40" s="19" t="s">
        <v>96</v>
      </c>
      <c r="CZ40" s="19">
        <v>4648644078</v>
      </c>
      <c r="DA40" s="19">
        <v>1361165551</v>
      </c>
      <c r="DB40" s="19">
        <v>488496256</v>
      </c>
      <c r="DC40" s="19">
        <v>14997459</v>
      </c>
      <c r="DD40" s="19">
        <v>76728846</v>
      </c>
      <c r="DE40" s="19">
        <v>1810728250</v>
      </c>
      <c r="DF40" s="19">
        <v>73134008</v>
      </c>
      <c r="DG40" s="19">
        <v>301334978</v>
      </c>
      <c r="DH40" s="19">
        <v>770828554</v>
      </c>
      <c r="DI40" s="19">
        <v>4678324643</v>
      </c>
      <c r="DJ40" s="19">
        <v>320220001</v>
      </c>
      <c r="DK40" s="19">
        <v>15154078866</v>
      </c>
      <c r="DL40" s="19">
        <v>250607841</v>
      </c>
      <c r="DM40" s="19">
        <v>2076753242</v>
      </c>
      <c r="DN40" s="19">
        <v>1922206372</v>
      </c>
      <c r="DO40" s="19">
        <v>183455327</v>
      </c>
      <c r="DP40" s="19">
        <v>2206723539</v>
      </c>
      <c r="DQ40" s="19">
        <v>236715525</v>
      </c>
      <c r="DR40" s="19">
        <v>1517975530</v>
      </c>
      <c r="DS40" s="19">
        <v>1048442881</v>
      </c>
      <c r="DT40" s="19">
        <v>1452491288</v>
      </c>
      <c r="DU40" s="19">
        <v>273164863</v>
      </c>
      <c r="DV40" s="19">
        <v>5078779224</v>
      </c>
      <c r="DW40" s="19">
        <v>1320147650</v>
      </c>
      <c r="DX40" s="19">
        <v>6326574844</v>
      </c>
      <c r="DY40" s="19">
        <v>522213000</v>
      </c>
      <c r="DZ40" s="19">
        <v>1418884546</v>
      </c>
      <c r="EA40" s="19">
        <v>107939134</v>
      </c>
      <c r="EB40" s="19">
        <v>8652433518</v>
      </c>
      <c r="EC40" s="19">
        <v>1013143199</v>
      </c>
      <c r="ED40" s="19">
        <v>73502998</v>
      </c>
      <c r="EE40" s="19">
        <v>823090652</v>
      </c>
      <c r="EF40" s="19">
        <v>2032611570</v>
      </c>
      <c r="EG40" s="19">
        <v>734265788</v>
      </c>
      <c r="EH40" s="19">
        <v>348174185</v>
      </c>
      <c r="EI40" s="19">
        <v>7362812617</v>
      </c>
      <c r="EJ40" s="19">
        <v>176047820</v>
      </c>
      <c r="EK40" s="19">
        <v>892765426</v>
      </c>
      <c r="EL40" s="19">
        <v>6401054541</v>
      </c>
      <c r="EM40" s="19">
        <v>708569834</v>
      </c>
      <c r="EN40" s="19">
        <v>7209016923</v>
      </c>
      <c r="EO40" s="19">
        <v>1729115007</v>
      </c>
      <c r="EP40" s="19">
        <v>920604745</v>
      </c>
      <c r="EQ40" s="19">
        <v>5765066741</v>
      </c>
      <c r="ER40" s="19">
        <v>7400975582</v>
      </c>
      <c r="ES40" s="19">
        <v>1394568212</v>
      </c>
      <c r="ET40" s="19">
        <v>624741387</v>
      </c>
      <c r="EU40" s="19">
        <v>2381007385</v>
      </c>
      <c r="EV40" s="19">
        <v>276502851</v>
      </c>
      <c r="EW40" s="19">
        <v>1048814769</v>
      </c>
      <c r="EX40" s="19">
        <v>1306016964</v>
      </c>
      <c r="EY40" s="19">
        <v>6357946253</v>
      </c>
      <c r="EZ40" s="19">
        <v>1049132103</v>
      </c>
      <c r="FA40" s="19">
        <v>1094734617</v>
      </c>
      <c r="FB40" s="19">
        <v>425496037</v>
      </c>
      <c r="FC40" s="19">
        <v>1567272043</v>
      </c>
      <c r="FD40" s="19">
        <v>501410158</v>
      </c>
      <c r="FE40" s="19">
        <v>26475631845</v>
      </c>
      <c r="FF40" s="19">
        <v>759973248</v>
      </c>
      <c r="FG40" s="19">
        <v>3722814310</v>
      </c>
      <c r="FH40" s="19">
        <v>780509888</v>
      </c>
      <c r="FI40" s="19" t="s">
        <v>96</v>
      </c>
      <c r="FJ40" s="19">
        <v>442106256</v>
      </c>
      <c r="FK40" s="19">
        <v>2223852432</v>
      </c>
      <c r="FL40" s="19">
        <v>184408647</v>
      </c>
      <c r="FM40" s="19">
        <v>452746259</v>
      </c>
      <c r="FN40" s="19">
        <v>181952880</v>
      </c>
      <c r="FO40" s="19">
        <v>45850590</v>
      </c>
      <c r="FP40" s="19">
        <v>251806911</v>
      </c>
      <c r="FQ40" s="19">
        <v>62743183</v>
      </c>
      <c r="FR40" s="19">
        <v>288232685</v>
      </c>
      <c r="FS40" s="19">
        <v>328863486</v>
      </c>
      <c r="FT40" s="19">
        <v>4220291668</v>
      </c>
      <c r="FU40" s="19">
        <v>16303182</v>
      </c>
      <c r="FV40" s="19">
        <v>2970522439</v>
      </c>
      <c r="FW40" s="19">
        <v>97955396</v>
      </c>
      <c r="FX40" s="19">
        <v>131139820</v>
      </c>
      <c r="FY40" s="19">
        <v>2087560945</v>
      </c>
      <c r="FZ40" s="19">
        <v>752239208</v>
      </c>
      <c r="GA40" s="19">
        <v>362551700</v>
      </c>
      <c r="GB40" s="19">
        <v>77608321</v>
      </c>
      <c r="GC40" s="19">
        <v>226020579</v>
      </c>
      <c r="GD40" s="19" t="s">
        <v>96</v>
      </c>
      <c r="GE40" s="19">
        <v>767213251</v>
      </c>
      <c r="GF40" s="19">
        <v>746855043</v>
      </c>
      <c r="GG40" s="19">
        <v>814012444</v>
      </c>
      <c r="GH40" s="19">
        <v>274305723</v>
      </c>
      <c r="GI40" s="19">
        <v>270520907</v>
      </c>
      <c r="GJ40" s="19">
        <v>1156837486</v>
      </c>
      <c r="GK40" s="19">
        <v>214010717</v>
      </c>
      <c r="GL40" s="19" t="s">
        <v>96</v>
      </c>
      <c r="GM40" s="19">
        <v>230047495</v>
      </c>
      <c r="GN40" s="19">
        <v>764361270</v>
      </c>
      <c r="GO40" s="19">
        <v>35832949</v>
      </c>
      <c r="GP40" s="19">
        <v>7502871156</v>
      </c>
      <c r="GQ40" s="19">
        <v>198515678</v>
      </c>
      <c r="GR40" s="19">
        <v>1582146160</v>
      </c>
      <c r="GS40" s="19">
        <v>224489078</v>
      </c>
      <c r="GT40" s="19">
        <v>784409354</v>
      </c>
      <c r="GU40" s="19">
        <v>358056884</v>
      </c>
      <c r="GV40" s="19">
        <v>5759620282</v>
      </c>
      <c r="GW40" s="19">
        <v>1774453362</v>
      </c>
      <c r="GX40" s="19">
        <v>2169058378</v>
      </c>
      <c r="GY40" s="19">
        <v>295319504</v>
      </c>
      <c r="GZ40" s="19">
        <v>1360370307</v>
      </c>
      <c r="HA40" s="19">
        <v>1203409439</v>
      </c>
      <c r="HB40" s="19">
        <v>359388665</v>
      </c>
      <c r="HC40" s="19">
        <v>800373470</v>
      </c>
      <c r="HD40" s="19">
        <v>235166734</v>
      </c>
      <c r="HE40" s="19">
        <v>725731497</v>
      </c>
      <c r="HF40" s="19">
        <v>5923432585</v>
      </c>
      <c r="HG40" s="19">
        <v>155852972</v>
      </c>
      <c r="HH40" s="19">
        <v>0</v>
      </c>
      <c r="HI40" s="19">
        <v>364034545</v>
      </c>
      <c r="HJ40" s="19">
        <v>1220569119</v>
      </c>
      <c r="HK40" s="19">
        <v>1383095984</v>
      </c>
      <c r="HL40" s="19">
        <v>1097775638</v>
      </c>
      <c r="HM40" s="19">
        <v>814727821</v>
      </c>
      <c r="HN40" s="19">
        <v>95369352</v>
      </c>
      <c r="HO40" s="19">
        <v>2025110457</v>
      </c>
      <c r="HP40" s="19">
        <v>771855602</v>
      </c>
      <c r="HQ40" s="19">
        <v>962302686</v>
      </c>
      <c r="HR40" s="19">
        <v>8514368107</v>
      </c>
      <c r="HS40" s="19">
        <v>544392479</v>
      </c>
      <c r="HT40" s="19">
        <v>188151904</v>
      </c>
      <c r="HU40" s="19">
        <v>215693561</v>
      </c>
      <c r="HV40" s="19">
        <v>176393106</v>
      </c>
      <c r="HW40" s="19">
        <v>9099922985</v>
      </c>
      <c r="HX40" s="19">
        <v>1810491880</v>
      </c>
      <c r="HY40" s="19" t="s">
        <v>172</v>
      </c>
      <c r="HZ40" s="19">
        <v>3271744365</v>
      </c>
      <c r="IA40" s="19">
        <v>705388051</v>
      </c>
      <c r="IB40" s="19">
        <v>1041735678</v>
      </c>
      <c r="IC40" s="19">
        <v>1018890134</v>
      </c>
      <c r="ID40" s="19">
        <v>491730426</v>
      </c>
      <c r="IE40" s="19" t="s">
        <v>96</v>
      </c>
      <c r="IF40" s="19">
        <v>370456340</v>
      </c>
      <c r="IG40" s="19">
        <v>150060207</v>
      </c>
      <c r="IH40" s="19">
        <v>2519698974</v>
      </c>
      <c r="II40" s="19">
        <v>348253135</v>
      </c>
      <c r="IJ40" s="19">
        <v>896325821</v>
      </c>
      <c r="IK40" s="19">
        <v>611331350</v>
      </c>
      <c r="IL40" s="19">
        <v>336983958</v>
      </c>
      <c r="IM40" s="19">
        <v>155577275</v>
      </c>
      <c r="IN40" s="19">
        <v>523216332</v>
      </c>
      <c r="IO40" s="19">
        <v>942927867</v>
      </c>
      <c r="IP40" s="19">
        <v>1974307274</v>
      </c>
      <c r="IQ40" s="19">
        <v>3965877560</v>
      </c>
      <c r="IR40" s="19">
        <v>1289494086</v>
      </c>
      <c r="IS40" s="19">
        <v>1938459780</v>
      </c>
      <c r="IT40" s="19">
        <v>856457637</v>
      </c>
    </row>
    <row r="41" spans="1:254">
      <c r="A41" s="9" t="s">
        <v>3</v>
      </c>
      <c r="B41" s="15" t="s">
        <v>12</v>
      </c>
      <c r="C41" s="19">
        <v>0</v>
      </c>
      <c r="D41" s="19"/>
      <c r="E41" s="19"/>
      <c r="F41" s="19">
        <v>146833522</v>
      </c>
      <c r="G41" s="19">
        <v>0</v>
      </c>
      <c r="H41" s="19"/>
      <c r="I41" s="19">
        <v>0</v>
      </c>
      <c r="J41" s="19" t="s">
        <v>4</v>
      </c>
      <c r="K41" s="19"/>
      <c r="L41" s="19" t="s">
        <v>96</v>
      </c>
      <c r="M41" s="19" t="s">
        <v>96</v>
      </c>
      <c r="N41" s="19">
        <v>20402005</v>
      </c>
      <c r="O41" s="19"/>
      <c r="P41" s="19"/>
      <c r="Q41" s="19"/>
      <c r="R41" s="19">
        <v>119331559</v>
      </c>
      <c r="S41" s="19">
        <v>60987465</v>
      </c>
      <c r="T41" s="19" t="s">
        <v>96</v>
      </c>
      <c r="U41" s="19">
        <v>4583076</v>
      </c>
      <c r="V41" s="19" t="s">
        <v>172</v>
      </c>
      <c r="W41" s="19"/>
      <c r="X41" s="19"/>
      <c r="Y41" s="19"/>
      <c r="Z41" s="19">
        <v>12375000</v>
      </c>
      <c r="AA41" s="19"/>
      <c r="AB41" s="19"/>
      <c r="AC41" s="19"/>
      <c r="AD41" s="19"/>
      <c r="AE41" s="19"/>
      <c r="AF41" s="19"/>
      <c r="AG41" s="19"/>
      <c r="AH41" s="19">
        <v>1029279674</v>
      </c>
      <c r="AI41" s="19">
        <v>1117248484</v>
      </c>
      <c r="AJ41" s="19">
        <v>729125689</v>
      </c>
      <c r="AK41" s="19">
        <v>3686150215</v>
      </c>
      <c r="AL41" s="19">
        <v>33837715</v>
      </c>
      <c r="AM41" s="19" t="s">
        <v>4</v>
      </c>
      <c r="AN41" s="19"/>
      <c r="AO41" s="19">
        <v>19926039</v>
      </c>
      <c r="AP41" s="19"/>
      <c r="AQ41" s="19" t="s">
        <v>96</v>
      </c>
      <c r="AR41" s="19">
        <v>719301097</v>
      </c>
      <c r="AS41" s="19"/>
      <c r="AT41" s="19"/>
      <c r="AU41" s="19"/>
      <c r="AV41" s="19"/>
      <c r="AW41" s="19"/>
      <c r="AX41" s="19" t="s">
        <v>4</v>
      </c>
      <c r="AY41" s="19"/>
      <c r="AZ41" s="19"/>
      <c r="BA41" s="19">
        <v>6904752865</v>
      </c>
      <c r="BB41" s="19"/>
      <c r="BC41" s="19" t="s">
        <v>4</v>
      </c>
      <c r="BD41" s="19" t="s">
        <v>128</v>
      </c>
      <c r="BE41" s="19"/>
      <c r="BF41" s="19">
        <v>260874324</v>
      </c>
      <c r="BG41" s="19">
        <v>263278908</v>
      </c>
      <c r="BH41" s="19">
        <v>0</v>
      </c>
      <c r="BI41" s="19">
        <v>498669321</v>
      </c>
      <c r="BJ41" s="19">
        <v>137019014</v>
      </c>
      <c r="BK41" s="19">
        <v>427715269</v>
      </c>
      <c r="BL41" s="19">
        <v>1726104076</v>
      </c>
      <c r="BM41" s="19"/>
      <c r="BN41" s="19"/>
      <c r="BO41" s="19">
        <v>211628682</v>
      </c>
      <c r="BP41" s="19" t="s">
        <v>96</v>
      </c>
      <c r="BQ41" s="19" t="s">
        <v>4</v>
      </c>
      <c r="BR41" s="19"/>
      <c r="BS41" s="19">
        <v>19544199</v>
      </c>
      <c r="BT41" s="19">
        <v>26187237</v>
      </c>
      <c r="BU41" s="19"/>
      <c r="BV41" s="19"/>
      <c r="BW41" s="19"/>
      <c r="BX41" s="19"/>
      <c r="BY41" s="19">
        <v>6205870267</v>
      </c>
      <c r="BZ41" s="19">
        <v>2318066888</v>
      </c>
      <c r="CA41" s="19"/>
      <c r="CB41" s="19">
        <v>129089642</v>
      </c>
      <c r="CC41" s="19">
        <v>1843125367</v>
      </c>
      <c r="CD41" s="19"/>
      <c r="CE41" s="19"/>
      <c r="CF41" s="19"/>
      <c r="CG41" s="19"/>
      <c r="CH41" s="19">
        <v>173747256</v>
      </c>
      <c r="CI41" s="19" t="s">
        <v>128</v>
      </c>
      <c r="CJ41" s="19">
        <v>219350483</v>
      </c>
      <c r="CK41" s="19">
        <v>0</v>
      </c>
      <c r="CL41" s="19"/>
      <c r="CM41" s="19"/>
      <c r="CN41" s="19"/>
      <c r="CO41" s="19"/>
      <c r="CP41" s="19">
        <v>837909907</v>
      </c>
      <c r="CQ41" s="19" t="s">
        <v>96</v>
      </c>
      <c r="CR41" s="19"/>
      <c r="CS41" s="19"/>
      <c r="CT41" s="19">
        <v>38126064</v>
      </c>
      <c r="CU41" s="19"/>
      <c r="CV41" s="19">
        <v>162786870</v>
      </c>
      <c r="CW41" s="19"/>
      <c r="CX41" s="19">
        <v>280729</v>
      </c>
      <c r="CY41" s="19" t="s">
        <v>96</v>
      </c>
      <c r="CZ41" s="19">
        <v>83181373</v>
      </c>
      <c r="DA41" s="19">
        <v>116171212</v>
      </c>
      <c r="DB41" s="19">
        <v>94607836</v>
      </c>
      <c r="DC41" s="19"/>
      <c r="DD41" s="19">
        <v>2375654</v>
      </c>
      <c r="DE41" s="19"/>
      <c r="DF41" s="19">
        <v>14911191</v>
      </c>
      <c r="DG41" s="19"/>
      <c r="DH41" s="19">
        <v>7759227</v>
      </c>
      <c r="DI41" s="19">
        <v>121240920</v>
      </c>
      <c r="DJ41" s="19"/>
      <c r="DK41" s="19">
        <v>300707452</v>
      </c>
      <c r="DL41" s="19"/>
      <c r="DM41" s="19">
        <v>2012846682</v>
      </c>
      <c r="DN41" s="19">
        <v>568625019</v>
      </c>
      <c r="DO41" s="19"/>
      <c r="DP41" s="19"/>
      <c r="DQ41" s="19"/>
      <c r="DR41" s="19"/>
      <c r="DS41" s="19"/>
      <c r="DT41" s="19">
        <v>531376744</v>
      </c>
      <c r="DU41" s="19">
        <v>265127658</v>
      </c>
      <c r="DV41" s="19"/>
      <c r="DW41" s="19">
        <v>14991395</v>
      </c>
      <c r="DX41" s="19"/>
      <c r="DY41" s="19"/>
      <c r="DZ41" s="19"/>
      <c r="EA41" s="19"/>
      <c r="EB41" s="19"/>
      <c r="EC41" s="19"/>
      <c r="ED41" s="19"/>
      <c r="EE41" s="19"/>
      <c r="EF41" s="19"/>
      <c r="EG41" s="19">
        <v>12913636</v>
      </c>
      <c r="EH41" s="19"/>
      <c r="EI41" s="19"/>
      <c r="EJ41" s="19"/>
      <c r="EK41" s="19"/>
      <c r="EL41" s="19"/>
      <c r="EM41" s="19"/>
      <c r="EN41" s="19"/>
      <c r="EO41" s="19"/>
      <c r="EP41" s="19">
        <v>358367634</v>
      </c>
      <c r="EQ41" s="19"/>
      <c r="ER41" s="19"/>
      <c r="ES41" s="19">
        <v>1371867721</v>
      </c>
      <c r="ET41" s="19"/>
      <c r="EU41" s="19"/>
      <c r="EV41" s="19">
        <v>276502851</v>
      </c>
      <c r="EW41" s="19">
        <v>828675923</v>
      </c>
      <c r="EX41" s="19">
        <v>54301475</v>
      </c>
      <c r="EY41" s="19"/>
      <c r="EZ41" s="19">
        <v>30461111</v>
      </c>
      <c r="FA41" s="19"/>
      <c r="FB41" s="19">
        <v>256618154</v>
      </c>
      <c r="FC41" s="19"/>
      <c r="FD41" s="19"/>
      <c r="FE41" s="19">
        <v>26475631845</v>
      </c>
      <c r="FF41" s="19"/>
      <c r="FG41" s="19">
        <v>351608066</v>
      </c>
      <c r="FH41" s="19">
        <v>190885558</v>
      </c>
      <c r="FI41" s="19" t="s">
        <v>96</v>
      </c>
      <c r="FJ41" s="19">
        <v>33549999</v>
      </c>
      <c r="FK41" s="19">
        <v>879534464</v>
      </c>
      <c r="FL41" s="19">
        <v>184408647</v>
      </c>
      <c r="FM41" s="19">
        <v>193959216</v>
      </c>
      <c r="FN41" s="19">
        <v>78900000</v>
      </c>
      <c r="FO41" s="19"/>
      <c r="FP41" s="19">
        <v>251008820</v>
      </c>
      <c r="FQ41" s="19"/>
      <c r="FR41" s="19">
        <v>288232685</v>
      </c>
      <c r="FS41" s="19"/>
      <c r="FT41" s="19"/>
      <c r="FU41" s="19"/>
      <c r="FV41" s="19"/>
      <c r="FW41" s="19">
        <v>81797084</v>
      </c>
      <c r="FX41" s="19">
        <v>131139820</v>
      </c>
      <c r="FY41" s="19">
        <v>1825097631</v>
      </c>
      <c r="FZ41" s="19"/>
      <c r="GA41" s="19"/>
      <c r="GB41" s="19">
        <v>77608321</v>
      </c>
      <c r="GC41" s="19"/>
      <c r="GD41" s="19" t="s">
        <v>96</v>
      </c>
      <c r="GE41" s="19">
        <v>676304160</v>
      </c>
      <c r="GF41" s="19"/>
      <c r="GG41" s="19">
        <v>488407466</v>
      </c>
      <c r="GH41" s="19">
        <v>213049301</v>
      </c>
      <c r="GI41" s="19">
        <v>98813180</v>
      </c>
      <c r="GJ41" s="19"/>
      <c r="GK41" s="19"/>
      <c r="GL41" s="19" t="s">
        <v>96</v>
      </c>
      <c r="GM41" s="19"/>
      <c r="GN41" s="19">
        <v>4516506</v>
      </c>
      <c r="GO41" s="19"/>
      <c r="GP41" s="19">
        <v>1387771483</v>
      </c>
      <c r="GQ41" s="19"/>
      <c r="GR41" s="19">
        <v>550431077</v>
      </c>
      <c r="GS41" s="19"/>
      <c r="GT41" s="19">
        <v>0</v>
      </c>
      <c r="GU41" s="19"/>
      <c r="GV41" s="19">
        <v>147328493</v>
      </c>
      <c r="GW41" s="19">
        <v>108486167</v>
      </c>
      <c r="GX41" s="19">
        <v>190810405</v>
      </c>
      <c r="GY41" s="19"/>
      <c r="GZ41" s="19">
        <v>3756426</v>
      </c>
      <c r="HA41" s="19">
        <v>1037296225</v>
      </c>
      <c r="HB41" s="19"/>
      <c r="HC41" s="19"/>
      <c r="HD41" s="19"/>
      <c r="HE41" s="19">
        <v>725731497</v>
      </c>
      <c r="HF41" s="19"/>
      <c r="HG41" s="19"/>
      <c r="HH41" s="19"/>
      <c r="HI41" s="19"/>
      <c r="HJ41" s="19">
        <v>385149064</v>
      </c>
      <c r="HK41" s="19">
        <v>458621200</v>
      </c>
      <c r="HL41" s="19"/>
      <c r="HM41" s="19">
        <v>814727821</v>
      </c>
      <c r="HN41" s="19"/>
      <c r="HO41" s="19"/>
      <c r="HP41" s="19">
        <v>490425973</v>
      </c>
      <c r="HQ41" s="19"/>
      <c r="HR41" s="19"/>
      <c r="HS41" s="19"/>
      <c r="HT41" s="19">
        <v>42840995</v>
      </c>
      <c r="HU41" s="19"/>
      <c r="HV41" s="19">
        <v>176393106</v>
      </c>
      <c r="HW41" s="19"/>
      <c r="HX41" s="19">
        <v>44024357</v>
      </c>
      <c r="HY41" s="19" t="s">
        <v>172</v>
      </c>
      <c r="HZ41" s="19"/>
      <c r="IA41" s="19"/>
      <c r="IB41" s="19">
        <v>274860157</v>
      </c>
      <c r="IC41" s="19"/>
      <c r="ID41" s="19">
        <v>491730426</v>
      </c>
      <c r="IE41" s="19" t="s">
        <v>96</v>
      </c>
      <c r="IF41" s="19"/>
      <c r="IG41" s="19">
        <v>150060207</v>
      </c>
      <c r="IH41" s="19">
        <v>1171746150</v>
      </c>
      <c r="II41" s="19"/>
      <c r="IJ41" s="19">
        <v>896325821</v>
      </c>
      <c r="IK41" s="19">
        <v>119295905</v>
      </c>
      <c r="IL41" s="19">
        <v>238353155</v>
      </c>
      <c r="IM41" s="19"/>
      <c r="IN41" s="19"/>
      <c r="IO41" s="19">
        <v>356106413</v>
      </c>
      <c r="IP41" s="19">
        <v>1590912168</v>
      </c>
      <c r="IQ41" s="19"/>
      <c r="IR41" s="19">
        <v>112050189</v>
      </c>
      <c r="IS41" s="19"/>
      <c r="IT41" s="19">
        <v>16136890</v>
      </c>
    </row>
    <row r="42" spans="1:254">
      <c r="A42" s="9" t="s">
        <v>3</v>
      </c>
      <c r="B42" s="15" t="s">
        <v>22</v>
      </c>
      <c r="C42" s="19">
        <v>0</v>
      </c>
      <c r="D42" s="19"/>
      <c r="E42" s="19">
        <v>184228927</v>
      </c>
      <c r="F42" s="19"/>
      <c r="G42" s="19">
        <v>548696444</v>
      </c>
      <c r="H42" s="19"/>
      <c r="I42" s="19">
        <v>0</v>
      </c>
      <c r="J42" s="19" t="s">
        <v>4</v>
      </c>
      <c r="K42" s="19">
        <v>2683739133</v>
      </c>
      <c r="L42" s="19" t="s">
        <v>96</v>
      </c>
      <c r="M42" s="19" t="s">
        <v>96</v>
      </c>
      <c r="N42" s="19">
        <v>368970025</v>
      </c>
      <c r="O42" s="19"/>
      <c r="P42" s="19"/>
      <c r="Q42" s="19">
        <v>122436503</v>
      </c>
      <c r="R42" s="19"/>
      <c r="S42" s="19">
        <v>11333824034</v>
      </c>
      <c r="T42" s="19" t="s">
        <v>96</v>
      </c>
      <c r="U42" s="19"/>
      <c r="V42" s="19" t="s">
        <v>172</v>
      </c>
      <c r="W42" s="19">
        <v>941415812</v>
      </c>
      <c r="X42" s="19"/>
      <c r="Y42" s="19"/>
      <c r="Z42" s="19">
        <v>230555412</v>
      </c>
      <c r="AA42" s="19">
        <v>3736528622</v>
      </c>
      <c r="AB42" s="19"/>
      <c r="AC42" s="19">
        <v>1542790773</v>
      </c>
      <c r="AD42" s="19">
        <v>4246725933</v>
      </c>
      <c r="AE42" s="19">
        <v>226623420</v>
      </c>
      <c r="AF42" s="19"/>
      <c r="AG42" s="19"/>
      <c r="AH42" s="19"/>
      <c r="AI42" s="19"/>
      <c r="AJ42" s="19"/>
      <c r="AK42" s="19">
        <v>532706496</v>
      </c>
      <c r="AL42" s="19">
        <v>8199735</v>
      </c>
      <c r="AM42" s="19" t="s">
        <v>4</v>
      </c>
      <c r="AN42" s="19">
        <v>13776729</v>
      </c>
      <c r="AO42" s="19"/>
      <c r="AP42" s="19"/>
      <c r="AQ42" s="19" t="s">
        <v>96</v>
      </c>
      <c r="AR42" s="19"/>
      <c r="AS42" s="19"/>
      <c r="AT42" s="19"/>
      <c r="AU42" s="19"/>
      <c r="AV42" s="19"/>
      <c r="AW42" s="19">
        <v>185033566</v>
      </c>
      <c r="AX42" s="19" t="s">
        <v>4</v>
      </c>
      <c r="AY42" s="19">
        <v>201833745</v>
      </c>
      <c r="AZ42" s="19">
        <v>829038839</v>
      </c>
      <c r="BA42" s="19">
        <v>254006016</v>
      </c>
      <c r="BB42" s="19"/>
      <c r="BC42" s="19" t="s">
        <v>4</v>
      </c>
      <c r="BD42" s="19" t="s">
        <v>128</v>
      </c>
      <c r="BE42" s="19">
        <v>1046576950</v>
      </c>
      <c r="BF42" s="19">
        <v>570346087</v>
      </c>
      <c r="BG42" s="19">
        <v>1529775536</v>
      </c>
      <c r="BH42" s="19">
        <v>652769338</v>
      </c>
      <c r="BI42" s="19"/>
      <c r="BJ42" s="19">
        <v>223905366</v>
      </c>
      <c r="BK42" s="19"/>
      <c r="BL42" s="19"/>
      <c r="BM42" s="19">
        <v>857193005</v>
      </c>
      <c r="BN42" s="19"/>
      <c r="BO42" s="19">
        <v>55316293</v>
      </c>
      <c r="BP42" s="19" t="s">
        <v>96</v>
      </c>
      <c r="BQ42" s="19" t="s">
        <v>4</v>
      </c>
      <c r="BR42" s="19">
        <v>5588143994</v>
      </c>
      <c r="BS42" s="19"/>
      <c r="BT42" s="19"/>
      <c r="BU42" s="19">
        <v>643041690</v>
      </c>
      <c r="BV42" s="19"/>
      <c r="BW42" s="19"/>
      <c r="BX42" s="19"/>
      <c r="BY42" s="19"/>
      <c r="BZ42" s="19"/>
      <c r="CA42" s="19"/>
      <c r="CB42" s="19"/>
      <c r="CC42" s="19"/>
      <c r="CD42" s="19"/>
      <c r="CE42" s="19">
        <v>92873400</v>
      </c>
      <c r="CF42" s="19">
        <v>292835028</v>
      </c>
      <c r="CG42" s="19"/>
      <c r="CH42" s="19">
        <v>325339204</v>
      </c>
      <c r="CI42" s="19" t="s">
        <v>128</v>
      </c>
      <c r="CJ42" s="19">
        <v>112350992</v>
      </c>
      <c r="CK42" s="19">
        <v>3429873890</v>
      </c>
      <c r="CL42" s="19">
        <v>688190322</v>
      </c>
      <c r="CM42" s="19">
        <v>43147530</v>
      </c>
      <c r="CN42" s="19"/>
      <c r="CO42" s="19"/>
      <c r="CP42" s="19">
        <v>169757718</v>
      </c>
      <c r="CQ42" s="19" t="s">
        <v>96</v>
      </c>
      <c r="CR42" s="19"/>
      <c r="CS42" s="19">
        <v>2207822884</v>
      </c>
      <c r="CT42" s="19"/>
      <c r="CU42" s="19"/>
      <c r="CV42" s="19"/>
      <c r="CW42" s="19"/>
      <c r="CX42" s="19"/>
      <c r="CY42" s="19" t="s">
        <v>96</v>
      </c>
      <c r="CZ42" s="19"/>
      <c r="DA42" s="19"/>
      <c r="DB42" s="19">
        <v>389888420</v>
      </c>
      <c r="DC42" s="19"/>
      <c r="DD42" s="19"/>
      <c r="DE42" s="19"/>
      <c r="DF42" s="19"/>
      <c r="DG42" s="19"/>
      <c r="DH42" s="19">
        <v>3333400</v>
      </c>
      <c r="DI42" s="19">
        <v>4464220727</v>
      </c>
      <c r="DJ42" s="19"/>
      <c r="DK42" s="19">
        <v>6372948482</v>
      </c>
      <c r="DL42" s="19"/>
      <c r="DM42" s="19"/>
      <c r="DN42" s="19">
        <v>591753680</v>
      </c>
      <c r="DO42" s="19"/>
      <c r="DP42" s="19">
        <v>2206723539</v>
      </c>
      <c r="DQ42" s="19">
        <v>202954357</v>
      </c>
      <c r="DR42" s="19">
        <v>1400444534</v>
      </c>
      <c r="DS42" s="19"/>
      <c r="DT42" s="19"/>
      <c r="DU42" s="19"/>
      <c r="DV42" s="19"/>
      <c r="DW42" s="19">
        <v>1305156255</v>
      </c>
      <c r="DX42" s="19"/>
      <c r="DY42" s="19"/>
      <c r="DZ42" s="19">
        <v>1418884546</v>
      </c>
      <c r="EA42" s="19"/>
      <c r="EB42" s="19">
        <v>9012274</v>
      </c>
      <c r="EC42" s="19">
        <v>985477739</v>
      </c>
      <c r="ED42" s="19"/>
      <c r="EE42" s="19">
        <v>539678230</v>
      </c>
      <c r="EF42" s="19">
        <v>2032611570</v>
      </c>
      <c r="EG42" s="19">
        <v>529913382</v>
      </c>
      <c r="EH42" s="19"/>
      <c r="EI42" s="19">
        <v>4431906</v>
      </c>
      <c r="EJ42" s="19"/>
      <c r="EK42" s="19"/>
      <c r="EL42" s="19">
        <v>6401054541</v>
      </c>
      <c r="EM42" s="19">
        <v>580236314</v>
      </c>
      <c r="EN42" s="19"/>
      <c r="EO42" s="19"/>
      <c r="EP42" s="19"/>
      <c r="EQ42" s="19"/>
      <c r="ER42" s="19"/>
      <c r="ES42" s="19"/>
      <c r="ET42" s="19"/>
      <c r="EU42" s="19"/>
      <c r="EV42" s="19"/>
      <c r="EW42" s="19">
        <v>119660923</v>
      </c>
      <c r="EX42" s="19"/>
      <c r="EY42" s="19"/>
      <c r="EZ42" s="19">
        <v>736877621</v>
      </c>
      <c r="FA42" s="19"/>
      <c r="FB42" s="19">
        <v>168877883</v>
      </c>
      <c r="FC42" s="19">
        <v>1562677143</v>
      </c>
      <c r="FD42" s="19">
        <v>501410158</v>
      </c>
      <c r="FE42" s="19"/>
      <c r="FF42" s="19"/>
      <c r="FG42" s="19">
        <v>2911108386</v>
      </c>
      <c r="FH42" s="19">
        <v>325765834</v>
      </c>
      <c r="FI42" s="19" t="s">
        <v>96</v>
      </c>
      <c r="FJ42" s="19"/>
      <c r="FK42" s="19">
        <v>853032576</v>
      </c>
      <c r="FL42" s="19"/>
      <c r="FM42" s="19"/>
      <c r="FN42" s="19"/>
      <c r="FO42" s="19"/>
      <c r="FP42" s="19"/>
      <c r="FQ42" s="19">
        <v>62743183</v>
      </c>
      <c r="FR42" s="19"/>
      <c r="FS42" s="19">
        <v>247458040</v>
      </c>
      <c r="FT42" s="19">
        <v>4220291668</v>
      </c>
      <c r="FU42" s="19"/>
      <c r="FV42" s="19"/>
      <c r="FW42" s="19"/>
      <c r="FX42" s="19"/>
      <c r="FY42" s="19"/>
      <c r="FZ42" s="19"/>
      <c r="GA42" s="19"/>
      <c r="GB42" s="19"/>
      <c r="GC42" s="19"/>
      <c r="GD42" s="19" t="s">
        <v>96</v>
      </c>
      <c r="GE42" s="19"/>
      <c r="GF42" s="19">
        <v>681194434</v>
      </c>
      <c r="GG42" s="19">
        <v>325604978</v>
      </c>
      <c r="GH42" s="19">
        <v>61256422</v>
      </c>
      <c r="GI42" s="19">
        <v>56400142</v>
      </c>
      <c r="GJ42" s="19"/>
      <c r="GK42" s="19">
        <v>206010717</v>
      </c>
      <c r="GL42" s="19" t="s">
        <v>96</v>
      </c>
      <c r="GM42" s="19"/>
      <c r="GN42" s="19"/>
      <c r="GO42" s="19">
        <v>35832949</v>
      </c>
      <c r="GP42" s="19">
        <v>5027512366</v>
      </c>
      <c r="GQ42" s="19">
        <v>107777548</v>
      </c>
      <c r="GR42" s="19">
        <v>1031715083</v>
      </c>
      <c r="GS42" s="19"/>
      <c r="GT42" s="19"/>
      <c r="GU42" s="19"/>
      <c r="GV42" s="19"/>
      <c r="GW42" s="19">
        <v>926672835</v>
      </c>
      <c r="GX42" s="19">
        <v>1976031612</v>
      </c>
      <c r="GY42" s="19">
        <v>105189504</v>
      </c>
      <c r="GZ42" s="19">
        <v>1008176713</v>
      </c>
      <c r="HA42" s="19"/>
      <c r="HB42" s="19"/>
      <c r="HC42" s="19">
        <v>800373470</v>
      </c>
      <c r="HD42" s="19">
        <v>169620734</v>
      </c>
      <c r="HE42" s="19"/>
      <c r="HF42" s="19"/>
      <c r="HG42" s="19">
        <v>122329082</v>
      </c>
      <c r="HH42" s="19"/>
      <c r="HI42" s="19"/>
      <c r="HJ42" s="19">
        <v>663342259</v>
      </c>
      <c r="HK42" s="19">
        <v>874688688</v>
      </c>
      <c r="HL42" s="19">
        <v>149556938</v>
      </c>
      <c r="HM42" s="19"/>
      <c r="HN42" s="19"/>
      <c r="HO42" s="19">
        <v>1227502959</v>
      </c>
      <c r="HP42" s="19">
        <v>5211451</v>
      </c>
      <c r="HQ42" s="19"/>
      <c r="HR42" s="19">
        <v>8514368107</v>
      </c>
      <c r="HS42" s="19">
        <v>180877233</v>
      </c>
      <c r="HT42" s="19"/>
      <c r="HU42" s="19"/>
      <c r="HV42" s="19"/>
      <c r="HW42" s="19"/>
      <c r="HX42" s="19">
        <v>1760966371</v>
      </c>
      <c r="HY42" s="19" t="s">
        <v>172</v>
      </c>
      <c r="HZ42" s="19">
        <f>2376839055+72613664</f>
        <v>2449452719</v>
      </c>
      <c r="IA42" s="19"/>
      <c r="IB42" s="19"/>
      <c r="IC42" s="19"/>
      <c r="ID42" s="19"/>
      <c r="IE42" s="19" t="s">
        <v>96</v>
      </c>
      <c r="IF42" s="19"/>
      <c r="IG42" s="19"/>
      <c r="IH42" s="19"/>
      <c r="II42" s="19">
        <v>136316345</v>
      </c>
      <c r="IJ42" s="19"/>
      <c r="IK42" s="19">
        <v>387492107</v>
      </c>
      <c r="IL42" s="19">
        <v>97628983</v>
      </c>
      <c r="IM42" s="19"/>
      <c r="IN42" s="19"/>
      <c r="IO42" s="19">
        <v>586821454</v>
      </c>
      <c r="IP42" s="19"/>
      <c r="IQ42" s="19"/>
      <c r="IR42" s="19"/>
      <c r="IS42" s="19">
        <v>1938459780</v>
      </c>
      <c r="IT42" s="19">
        <v>13728875</v>
      </c>
    </row>
    <row r="43" spans="1:254">
      <c r="A43" s="9" t="s">
        <v>3</v>
      </c>
      <c r="B43" s="15" t="s">
        <v>28</v>
      </c>
      <c r="C43" s="19">
        <v>1611374164</v>
      </c>
      <c r="D43" s="19">
        <v>3106479592</v>
      </c>
      <c r="E43" s="19">
        <v>953981326</v>
      </c>
      <c r="F43" s="19">
        <v>2735998972</v>
      </c>
      <c r="G43" s="19">
        <v>0</v>
      </c>
      <c r="H43" s="19"/>
      <c r="I43" s="19">
        <v>8574491999</v>
      </c>
      <c r="J43" s="19" t="s">
        <v>4</v>
      </c>
      <c r="K43" s="19"/>
      <c r="L43" s="19" t="s">
        <v>96</v>
      </c>
      <c r="M43" s="19" t="s">
        <v>96</v>
      </c>
      <c r="N43" s="19"/>
      <c r="O43" s="19">
        <v>8377030234</v>
      </c>
      <c r="P43" s="19">
        <v>5610512344</v>
      </c>
      <c r="Q43" s="19">
        <v>106088500</v>
      </c>
      <c r="R43" s="19">
        <v>244192232</v>
      </c>
      <c r="S43" s="19"/>
      <c r="T43" s="19" t="s">
        <v>96</v>
      </c>
      <c r="U43" s="19">
        <v>1759172507</v>
      </c>
      <c r="V43" s="19" t="s">
        <v>172</v>
      </c>
      <c r="W43" s="19">
        <v>378723540</v>
      </c>
      <c r="X43" s="19">
        <v>2255567799</v>
      </c>
      <c r="Y43" s="19">
        <v>718631966</v>
      </c>
      <c r="Z43" s="19">
        <v>375471380</v>
      </c>
      <c r="AA43" s="19"/>
      <c r="AB43" s="19">
        <v>80997841</v>
      </c>
      <c r="AC43" s="19"/>
      <c r="AD43" s="19"/>
      <c r="AE43" s="19"/>
      <c r="AF43" s="19">
        <v>360419215</v>
      </c>
      <c r="AG43" s="19">
        <v>195898000</v>
      </c>
      <c r="AH43" s="19">
        <v>1198168023</v>
      </c>
      <c r="AI43" s="19"/>
      <c r="AJ43" s="19"/>
      <c r="AK43" s="19"/>
      <c r="AL43" s="19">
        <v>642979367</v>
      </c>
      <c r="AM43" s="19" t="s">
        <v>4</v>
      </c>
      <c r="AN43" s="19">
        <v>988266203</v>
      </c>
      <c r="AO43" s="19"/>
      <c r="AP43" s="19">
        <v>853415721</v>
      </c>
      <c r="AQ43" s="19" t="s">
        <v>96</v>
      </c>
      <c r="AR43" s="19"/>
      <c r="AS43" s="19">
        <v>511810698</v>
      </c>
      <c r="AT43" s="19">
        <v>696879092</v>
      </c>
      <c r="AU43" s="19">
        <v>939005647</v>
      </c>
      <c r="AV43" s="19">
        <v>108007981</v>
      </c>
      <c r="AW43" s="19">
        <v>241692480</v>
      </c>
      <c r="AX43" s="19" t="s">
        <v>4</v>
      </c>
      <c r="AY43" s="19">
        <v>823613784</v>
      </c>
      <c r="AZ43" s="19"/>
      <c r="BA43" s="19"/>
      <c r="BB43" s="19">
        <v>60619185</v>
      </c>
      <c r="BC43" s="19" t="s">
        <v>4</v>
      </c>
      <c r="BD43" s="19" t="s">
        <v>128</v>
      </c>
      <c r="BE43" s="19"/>
      <c r="BF43" s="19"/>
      <c r="BG43" s="19">
        <v>8523092</v>
      </c>
      <c r="BH43" s="19"/>
      <c r="BI43" s="19"/>
      <c r="BJ43" s="19">
        <v>94190583</v>
      </c>
      <c r="BK43" s="19"/>
      <c r="BL43" s="19"/>
      <c r="BM43" s="19">
        <v>449350463</v>
      </c>
      <c r="BN43" s="19">
        <v>171273150</v>
      </c>
      <c r="BO43" s="19"/>
      <c r="BP43" s="19" t="s">
        <v>96</v>
      </c>
      <c r="BQ43" s="19" t="s">
        <v>4</v>
      </c>
      <c r="BR43" s="19"/>
      <c r="BS43" s="19"/>
      <c r="BT43" s="19">
        <v>1623014</v>
      </c>
      <c r="BU43" s="19"/>
      <c r="BV43" s="19">
        <v>98929250</v>
      </c>
      <c r="BW43" s="19">
        <v>27465546</v>
      </c>
      <c r="BX43" s="19">
        <v>148647000</v>
      </c>
      <c r="BY43" s="19"/>
      <c r="BZ43" s="19"/>
      <c r="CA43" s="19">
        <v>2008828225</v>
      </c>
      <c r="CB43" s="19">
        <v>231209655</v>
      </c>
      <c r="CC43" s="19"/>
      <c r="CD43" s="19"/>
      <c r="CE43" s="19"/>
      <c r="CF43" s="19"/>
      <c r="CG43" s="19">
        <v>75006420</v>
      </c>
      <c r="CH43" s="19"/>
      <c r="CI43" s="19" t="s">
        <v>128</v>
      </c>
      <c r="CJ43" s="19"/>
      <c r="CK43" s="19"/>
      <c r="CL43" s="19"/>
      <c r="CM43" s="19">
        <v>7854437345</v>
      </c>
      <c r="CN43" s="19">
        <v>75065683</v>
      </c>
      <c r="CO43" s="19">
        <v>127489380</v>
      </c>
      <c r="CP43" s="19">
        <v>3088714386</v>
      </c>
      <c r="CQ43" s="19" t="s">
        <v>96</v>
      </c>
      <c r="CR43" s="19">
        <v>2269306055</v>
      </c>
      <c r="CS43" s="19"/>
      <c r="CT43" s="19">
        <v>3054456000</v>
      </c>
      <c r="CU43" s="19">
        <v>190963203</v>
      </c>
      <c r="CV43" s="19"/>
      <c r="CW43" s="19">
        <v>2263274879</v>
      </c>
      <c r="CX43" s="19">
        <v>1888281641</v>
      </c>
      <c r="CY43" s="19" t="s">
        <v>96</v>
      </c>
      <c r="CZ43" s="19">
        <v>4562747705</v>
      </c>
      <c r="DA43" s="19">
        <v>1244994339</v>
      </c>
      <c r="DB43" s="19"/>
      <c r="DC43" s="19">
        <v>14997459</v>
      </c>
      <c r="DD43" s="19">
        <v>48215456</v>
      </c>
      <c r="DE43" s="19">
        <v>1810728250</v>
      </c>
      <c r="DF43" s="19">
        <v>58222817</v>
      </c>
      <c r="DG43" s="19">
        <v>301026111</v>
      </c>
      <c r="DH43" s="19">
        <v>759735927</v>
      </c>
      <c r="DI43" s="19"/>
      <c r="DJ43" s="19">
        <v>285220001</v>
      </c>
      <c r="DK43" s="19">
        <v>8432406424</v>
      </c>
      <c r="DL43" s="19">
        <v>250607841</v>
      </c>
      <c r="DM43" s="19"/>
      <c r="DN43" s="19"/>
      <c r="DO43" s="19">
        <v>183455327</v>
      </c>
      <c r="DP43" s="19"/>
      <c r="DQ43" s="19"/>
      <c r="DR43" s="19"/>
      <c r="DS43" s="19"/>
      <c r="DT43" s="19">
        <v>921114544</v>
      </c>
      <c r="DU43" s="19"/>
      <c r="DV43" s="19">
        <v>628768068</v>
      </c>
      <c r="DW43" s="19"/>
      <c r="DX43" s="19">
        <v>1420000</v>
      </c>
      <c r="DY43" s="19"/>
      <c r="DZ43" s="19"/>
      <c r="EA43" s="19">
        <v>107939134</v>
      </c>
      <c r="EB43" s="19">
        <v>102912500</v>
      </c>
      <c r="EC43" s="19"/>
      <c r="ED43" s="19"/>
      <c r="EE43" s="19"/>
      <c r="EF43" s="19"/>
      <c r="EG43" s="19"/>
      <c r="EH43" s="19">
        <v>113068570</v>
      </c>
      <c r="EI43" s="19">
        <v>7358380711</v>
      </c>
      <c r="EJ43" s="19">
        <v>40434187</v>
      </c>
      <c r="EK43" s="19"/>
      <c r="EL43" s="19"/>
      <c r="EM43" s="19"/>
      <c r="EN43" s="19">
        <v>88558960</v>
      </c>
      <c r="EO43" s="19"/>
      <c r="EP43" s="19"/>
      <c r="EQ43" s="19"/>
      <c r="ER43" s="19">
        <v>7399675582</v>
      </c>
      <c r="ES43" s="19"/>
      <c r="ET43" s="19">
        <v>624741387</v>
      </c>
      <c r="EU43" s="19">
        <v>2035406176</v>
      </c>
      <c r="EV43" s="19"/>
      <c r="EW43" s="19">
        <v>15943670</v>
      </c>
      <c r="EX43" s="19"/>
      <c r="EY43" s="19">
        <v>199450260</v>
      </c>
      <c r="EZ43" s="19">
        <v>5681367</v>
      </c>
      <c r="FA43" s="19"/>
      <c r="FB43" s="19"/>
      <c r="FC43" s="19"/>
      <c r="FD43" s="19"/>
      <c r="FE43" s="19"/>
      <c r="FF43" s="19"/>
      <c r="FG43" s="19"/>
      <c r="FH43" s="19">
        <v>263858496</v>
      </c>
      <c r="FI43" s="19" t="s">
        <v>96</v>
      </c>
      <c r="FJ43" s="19"/>
      <c r="FK43" s="19">
        <v>62000909</v>
      </c>
      <c r="FL43" s="19"/>
      <c r="FM43" s="19">
        <v>208360874</v>
      </c>
      <c r="FN43" s="19"/>
      <c r="FO43" s="19"/>
      <c r="FP43" s="19"/>
      <c r="FQ43" s="19"/>
      <c r="FR43" s="19"/>
      <c r="FS43" s="19">
        <v>81405446</v>
      </c>
      <c r="FT43" s="19"/>
      <c r="FU43" s="19">
        <v>16303182</v>
      </c>
      <c r="FV43" s="19"/>
      <c r="FW43" s="19">
        <v>16158312</v>
      </c>
      <c r="FX43" s="19"/>
      <c r="FY43" s="19">
        <v>262463314</v>
      </c>
      <c r="FZ43" s="19">
        <v>752239208</v>
      </c>
      <c r="GA43" s="19"/>
      <c r="GB43" s="19"/>
      <c r="GC43" s="19">
        <v>206114859</v>
      </c>
      <c r="GD43" s="19" t="s">
        <v>96</v>
      </c>
      <c r="GE43" s="19">
        <v>90909091</v>
      </c>
      <c r="GF43" s="19"/>
      <c r="GG43" s="19"/>
      <c r="GH43" s="19"/>
      <c r="GI43" s="19">
        <v>115307585</v>
      </c>
      <c r="GJ43" s="19"/>
      <c r="GK43" s="19">
        <v>8000000</v>
      </c>
      <c r="GL43" s="19" t="s">
        <v>96</v>
      </c>
      <c r="GM43" s="19"/>
      <c r="GN43" s="19"/>
      <c r="GO43" s="19"/>
      <c r="GP43" s="19"/>
      <c r="GQ43" s="19"/>
      <c r="GR43" s="19">
        <v>0</v>
      </c>
      <c r="GS43" s="19">
        <v>124272728</v>
      </c>
      <c r="GT43" s="19">
        <v>168478906</v>
      </c>
      <c r="GU43" s="19">
        <v>226322764</v>
      </c>
      <c r="GV43" s="19">
        <v>5216405663</v>
      </c>
      <c r="GW43" s="19">
        <v>739294360</v>
      </c>
      <c r="GX43" s="19"/>
      <c r="GY43" s="19"/>
      <c r="GZ43" s="19">
        <v>273392626</v>
      </c>
      <c r="HA43" s="19"/>
      <c r="HB43" s="19">
        <v>359388665</v>
      </c>
      <c r="HC43" s="19"/>
      <c r="HD43" s="19"/>
      <c r="HE43" s="19"/>
      <c r="HF43" s="19">
        <v>5923432585</v>
      </c>
      <c r="HG43" s="19">
        <v>33523890</v>
      </c>
      <c r="HH43" s="19"/>
      <c r="HI43" s="19">
        <v>352484545</v>
      </c>
      <c r="HJ43" s="19"/>
      <c r="HK43" s="19"/>
      <c r="HL43" s="19">
        <v>14786940</v>
      </c>
      <c r="HM43" s="19"/>
      <c r="HN43" s="19"/>
      <c r="HO43" s="19">
        <v>797607498</v>
      </c>
      <c r="HP43" s="19">
        <v>276218178</v>
      </c>
      <c r="HQ43" s="19">
        <v>961007465</v>
      </c>
      <c r="HR43" s="19"/>
      <c r="HS43" s="19">
        <v>363515246</v>
      </c>
      <c r="HT43" s="19"/>
      <c r="HU43" s="19"/>
      <c r="HV43" s="19"/>
      <c r="HW43" s="19">
        <v>9012520620</v>
      </c>
      <c r="HX43" s="19"/>
      <c r="HY43" s="19" t="s">
        <v>172</v>
      </c>
      <c r="HZ43" s="19">
        <f>16961455+341909</f>
        <v>17303364</v>
      </c>
      <c r="IA43" s="19">
        <v>53324731</v>
      </c>
      <c r="IB43" s="19">
        <v>766875521</v>
      </c>
      <c r="IC43" s="19">
        <v>1018890134</v>
      </c>
      <c r="ID43" s="19"/>
      <c r="IE43" s="19" t="s">
        <v>96</v>
      </c>
      <c r="IF43" s="19">
        <v>343216340</v>
      </c>
      <c r="IG43" s="19"/>
      <c r="IH43" s="19">
        <v>1246270326</v>
      </c>
      <c r="II43" s="19"/>
      <c r="IJ43" s="19"/>
      <c r="IK43" s="19"/>
      <c r="IL43" s="19"/>
      <c r="IM43" s="19">
        <v>155577275</v>
      </c>
      <c r="IN43" s="19">
        <v>108578562</v>
      </c>
      <c r="IO43" s="19"/>
      <c r="IP43" s="19">
        <v>383395106</v>
      </c>
      <c r="IQ43" s="19">
        <v>3504650836</v>
      </c>
      <c r="IR43" s="19">
        <v>1177443897</v>
      </c>
      <c r="IS43" s="19"/>
      <c r="IT43" s="19">
        <v>826591872</v>
      </c>
    </row>
    <row r="44" spans="1:254">
      <c r="A44" s="9" t="s">
        <v>3</v>
      </c>
      <c r="B44" s="15" t="s">
        <v>24</v>
      </c>
      <c r="C44" s="19">
        <v>2458182</v>
      </c>
      <c r="D44" s="19">
        <v>15415400</v>
      </c>
      <c r="E44" s="19">
        <v>27876346</v>
      </c>
      <c r="F44" s="19">
        <v>22715106</v>
      </c>
      <c r="G44" s="19">
        <v>0</v>
      </c>
      <c r="H44" s="19">
        <v>10459945076</v>
      </c>
      <c r="I44" s="19">
        <v>0</v>
      </c>
      <c r="J44" s="19" t="s">
        <v>4</v>
      </c>
      <c r="K44" s="19"/>
      <c r="L44" s="19" t="s">
        <v>96</v>
      </c>
      <c r="M44" s="19" t="s">
        <v>96</v>
      </c>
      <c r="N44" s="19">
        <v>237563544</v>
      </c>
      <c r="O44" s="19"/>
      <c r="P44" s="19">
        <v>27210410</v>
      </c>
      <c r="Q44" s="19"/>
      <c r="R44" s="19"/>
      <c r="S44" s="19"/>
      <c r="T44" s="19" t="s">
        <v>96</v>
      </c>
      <c r="U44" s="19">
        <v>150000</v>
      </c>
      <c r="V44" s="19" t="s">
        <v>172</v>
      </c>
      <c r="W44" s="19"/>
      <c r="X44" s="19">
        <v>246168423</v>
      </c>
      <c r="Y44" s="19">
        <v>6822273</v>
      </c>
      <c r="Z44" s="19">
        <v>172591960</v>
      </c>
      <c r="AA44" s="19">
        <v>53883628</v>
      </c>
      <c r="AB44" s="19"/>
      <c r="AC44" s="19">
        <v>4443667</v>
      </c>
      <c r="AD44" s="19">
        <v>88023660</v>
      </c>
      <c r="AE44" s="19">
        <v>359379992</v>
      </c>
      <c r="AF44" s="19">
        <v>2306606</v>
      </c>
      <c r="AG44" s="19"/>
      <c r="AH44" s="19"/>
      <c r="AI44" s="19">
        <v>2400000</v>
      </c>
      <c r="AJ44" s="19"/>
      <c r="AK44" s="19">
        <v>156159974</v>
      </c>
      <c r="AL44" s="19">
        <v>146425082</v>
      </c>
      <c r="AM44" s="19" t="s">
        <v>4</v>
      </c>
      <c r="AN44" s="19">
        <v>2500000</v>
      </c>
      <c r="AO44" s="19">
        <v>1889001547</v>
      </c>
      <c r="AP44" s="19"/>
      <c r="AQ44" s="19" t="s">
        <v>96</v>
      </c>
      <c r="AR44" s="19"/>
      <c r="AS44" s="19">
        <v>106607686</v>
      </c>
      <c r="AT44" s="19">
        <v>13836387</v>
      </c>
      <c r="AU44" s="19">
        <v>209246580</v>
      </c>
      <c r="AV44" s="19"/>
      <c r="AW44" s="19">
        <v>424633</v>
      </c>
      <c r="AX44" s="19" t="s">
        <v>4</v>
      </c>
      <c r="AY44" s="19"/>
      <c r="AZ44" s="19"/>
      <c r="BA44" s="19"/>
      <c r="BB44" s="19"/>
      <c r="BC44" s="19" t="s">
        <v>4</v>
      </c>
      <c r="BD44" s="19" t="s">
        <v>128</v>
      </c>
      <c r="BE44" s="19"/>
      <c r="BF44" s="19"/>
      <c r="BG44" s="19">
        <v>866262784</v>
      </c>
      <c r="BH44" s="19"/>
      <c r="BI44" s="19">
        <v>63563535</v>
      </c>
      <c r="BJ44" s="19">
        <v>75313101</v>
      </c>
      <c r="BK44" s="19"/>
      <c r="BL44" s="19"/>
      <c r="BM44" s="19"/>
      <c r="BN44" s="19"/>
      <c r="BO44" s="19">
        <v>64855202</v>
      </c>
      <c r="BP44" s="19" t="s">
        <v>96</v>
      </c>
      <c r="BQ44" s="19" t="s">
        <v>4</v>
      </c>
      <c r="BR44" s="19"/>
      <c r="BS44" s="19">
        <v>104447457</v>
      </c>
      <c r="BT44" s="19">
        <v>24424288</v>
      </c>
      <c r="BU44" s="19"/>
      <c r="BV44" s="19">
        <v>215920908</v>
      </c>
      <c r="BW44" s="19">
        <v>16000000</v>
      </c>
      <c r="BX44" s="19">
        <v>338364860</v>
      </c>
      <c r="BY44" s="19"/>
      <c r="BZ44" s="19"/>
      <c r="CA44" s="19">
        <v>15175753</v>
      </c>
      <c r="CB44" s="19"/>
      <c r="CC44" s="19">
        <v>4760000</v>
      </c>
      <c r="CD44" s="19"/>
      <c r="CE44" s="19"/>
      <c r="CF44" s="19"/>
      <c r="CG44" s="19">
        <v>841989060</v>
      </c>
      <c r="CH44" s="19"/>
      <c r="CI44" s="19" t="s">
        <v>128</v>
      </c>
      <c r="CJ44" s="19"/>
      <c r="CK44" s="19"/>
      <c r="CL44" s="19"/>
      <c r="CM44" s="19"/>
      <c r="CN44" s="19">
        <v>88284312</v>
      </c>
      <c r="CO44" s="19"/>
      <c r="CP44" s="19"/>
      <c r="CQ44" s="19" t="s">
        <v>96</v>
      </c>
      <c r="CR44" s="19"/>
      <c r="CS44" s="19">
        <v>496909090</v>
      </c>
      <c r="CT44" s="19"/>
      <c r="CU44" s="19"/>
      <c r="CV44" s="19"/>
      <c r="CW44" s="19"/>
      <c r="CX44" s="19">
        <v>12000000</v>
      </c>
      <c r="CY44" s="19" t="s">
        <v>96</v>
      </c>
      <c r="CZ44" s="19">
        <v>2715000</v>
      </c>
      <c r="DA44" s="19"/>
      <c r="DB44" s="19">
        <v>4000000</v>
      </c>
      <c r="DC44" s="19"/>
      <c r="DD44" s="19">
        <v>26137736</v>
      </c>
      <c r="DE44" s="19"/>
      <c r="DF44" s="19"/>
      <c r="DG44" s="19">
        <v>308867</v>
      </c>
      <c r="DH44" s="19"/>
      <c r="DI44" s="19">
        <v>92862996</v>
      </c>
      <c r="DJ44" s="19">
        <v>35000000</v>
      </c>
      <c r="DK44" s="19">
        <v>48016508</v>
      </c>
      <c r="DL44" s="19"/>
      <c r="DM44" s="19">
        <v>63906560</v>
      </c>
      <c r="DN44" s="19">
        <v>761827673</v>
      </c>
      <c r="DO44" s="19"/>
      <c r="DP44" s="19"/>
      <c r="DQ44" s="19">
        <v>33761168</v>
      </c>
      <c r="DR44" s="19">
        <v>117530996</v>
      </c>
      <c r="DS44" s="19">
        <v>1048442881</v>
      </c>
      <c r="DT44" s="19"/>
      <c r="DU44" s="19">
        <v>8037205</v>
      </c>
      <c r="DV44" s="19">
        <v>4450011156</v>
      </c>
      <c r="DW44" s="19"/>
      <c r="DX44" s="19">
        <v>6325154844</v>
      </c>
      <c r="DY44" s="19">
        <v>522213000</v>
      </c>
      <c r="DZ44" s="19"/>
      <c r="EA44" s="19"/>
      <c r="EB44" s="19">
        <v>8540508744</v>
      </c>
      <c r="EC44" s="19">
        <v>27665460</v>
      </c>
      <c r="ED44" s="19">
        <v>73502998</v>
      </c>
      <c r="EE44" s="19">
        <v>283412422</v>
      </c>
      <c r="EF44" s="19"/>
      <c r="EG44" s="19">
        <v>191438770</v>
      </c>
      <c r="EH44" s="19">
        <v>235105615</v>
      </c>
      <c r="EI44" s="19"/>
      <c r="EJ44" s="19">
        <v>135613633</v>
      </c>
      <c r="EK44" s="19">
        <v>892765426</v>
      </c>
      <c r="EL44" s="19"/>
      <c r="EM44" s="19">
        <v>128333520</v>
      </c>
      <c r="EN44" s="19">
        <v>7120457963</v>
      </c>
      <c r="EO44" s="19">
        <v>1729115007</v>
      </c>
      <c r="EP44" s="19">
        <v>562237111</v>
      </c>
      <c r="EQ44" s="19">
        <v>5765066741</v>
      </c>
      <c r="ER44" s="19">
        <v>1300000</v>
      </c>
      <c r="ES44" s="19">
        <v>22700491</v>
      </c>
      <c r="ET44" s="19"/>
      <c r="EU44" s="19">
        <v>345601209</v>
      </c>
      <c r="EV44" s="19"/>
      <c r="EW44" s="19">
        <v>84534253</v>
      </c>
      <c r="EX44" s="19">
        <v>1251715489</v>
      </c>
      <c r="EY44" s="19">
        <v>6158495993</v>
      </c>
      <c r="EZ44" s="19">
        <v>276112004</v>
      </c>
      <c r="FA44" s="19">
        <v>1094734617</v>
      </c>
      <c r="FB44" s="19"/>
      <c r="FC44" s="19">
        <v>4594900</v>
      </c>
      <c r="FD44" s="19"/>
      <c r="FE44" s="19"/>
      <c r="FF44" s="19">
        <v>759973248</v>
      </c>
      <c r="FG44" s="19">
        <v>460097858</v>
      </c>
      <c r="FH44" s="19"/>
      <c r="FI44" s="19" t="s">
        <v>96</v>
      </c>
      <c r="FJ44" s="19">
        <v>408556257</v>
      </c>
      <c r="FK44" s="19">
        <v>429284483</v>
      </c>
      <c r="FL44" s="19"/>
      <c r="FM44" s="19">
        <v>50426169</v>
      </c>
      <c r="FN44" s="19">
        <v>103052880</v>
      </c>
      <c r="FO44" s="19">
        <v>45850590</v>
      </c>
      <c r="FP44" s="19">
        <v>798091</v>
      </c>
      <c r="FQ44" s="19"/>
      <c r="FR44" s="19"/>
      <c r="FS44" s="19"/>
      <c r="FT44" s="19"/>
      <c r="FU44" s="19"/>
      <c r="FV44" s="19">
        <v>2970522439</v>
      </c>
      <c r="FW44" s="19"/>
      <c r="FX44" s="19"/>
      <c r="FY44" s="19"/>
      <c r="FZ44" s="19"/>
      <c r="GA44" s="19">
        <v>362551700</v>
      </c>
      <c r="GB44" s="19"/>
      <c r="GC44" s="19">
        <v>19905720</v>
      </c>
      <c r="GD44" s="19" t="s">
        <v>96</v>
      </c>
      <c r="GE44" s="19"/>
      <c r="GF44" s="19">
        <v>65660609</v>
      </c>
      <c r="GG44" s="19"/>
      <c r="GH44" s="19"/>
      <c r="GI44" s="19"/>
      <c r="GJ44" s="19">
        <v>1156837486</v>
      </c>
      <c r="GK44" s="19"/>
      <c r="GL44" s="19" t="s">
        <v>96</v>
      </c>
      <c r="GM44" s="19">
        <v>230047495</v>
      </c>
      <c r="GN44" s="19">
        <v>759844764</v>
      </c>
      <c r="GO44" s="19"/>
      <c r="GP44" s="19">
        <v>1087587307</v>
      </c>
      <c r="GQ44" s="19">
        <v>90738130</v>
      </c>
      <c r="GR44" s="19"/>
      <c r="GS44" s="19">
        <v>100216350</v>
      </c>
      <c r="GT44" s="19">
        <v>615930448</v>
      </c>
      <c r="GU44" s="19">
        <v>131734120</v>
      </c>
      <c r="GV44" s="19">
        <v>395886126</v>
      </c>
      <c r="GW44" s="19"/>
      <c r="GX44" s="19">
        <v>2216361</v>
      </c>
      <c r="GY44" s="19">
        <v>190130000</v>
      </c>
      <c r="GZ44" s="19">
        <v>75044542</v>
      </c>
      <c r="HA44" s="19">
        <v>166113214</v>
      </c>
      <c r="HB44" s="19"/>
      <c r="HC44" s="19"/>
      <c r="HD44" s="19">
        <v>65546000</v>
      </c>
      <c r="HE44" s="19"/>
      <c r="HF44" s="19"/>
      <c r="HG44" s="19"/>
      <c r="HH44" s="19"/>
      <c r="HI44" s="19">
        <v>11550000</v>
      </c>
      <c r="HJ44" s="19">
        <v>172077796</v>
      </c>
      <c r="HK44" s="19">
        <v>49786096</v>
      </c>
      <c r="HL44" s="19">
        <v>933431760</v>
      </c>
      <c r="HM44" s="19"/>
      <c r="HN44" s="19">
        <v>95369352</v>
      </c>
      <c r="HO44" s="19"/>
      <c r="HP44" s="19"/>
      <c r="HQ44" s="19">
        <v>1295221</v>
      </c>
      <c r="HR44" s="19"/>
      <c r="HS44" s="19"/>
      <c r="HT44" s="19">
        <v>145310909</v>
      </c>
      <c r="HU44" s="19">
        <v>215693561</v>
      </c>
      <c r="HV44" s="19"/>
      <c r="HW44" s="19">
        <v>87402365</v>
      </c>
      <c r="HX44" s="19">
        <v>5501152</v>
      </c>
      <c r="HY44" s="19" t="s">
        <v>172</v>
      </c>
      <c r="HZ44" s="19">
        <v>804988282</v>
      </c>
      <c r="IA44" s="19">
        <v>652063320</v>
      </c>
      <c r="IB44" s="19"/>
      <c r="IC44" s="19"/>
      <c r="ID44" s="19"/>
      <c r="IE44" s="19" t="s">
        <v>96</v>
      </c>
      <c r="IF44" s="19">
        <v>27240000</v>
      </c>
      <c r="IG44" s="19"/>
      <c r="IH44" s="19">
        <v>101682498</v>
      </c>
      <c r="II44" s="19">
        <v>211936790</v>
      </c>
      <c r="IJ44" s="19"/>
      <c r="IK44" s="19">
        <v>104543338</v>
      </c>
      <c r="IL44" s="19">
        <v>1001820</v>
      </c>
      <c r="IM44" s="19"/>
      <c r="IN44" s="19">
        <v>414637770</v>
      </c>
      <c r="IO44" s="19"/>
      <c r="IP44" s="19"/>
      <c r="IQ44" s="19">
        <v>461226724</v>
      </c>
      <c r="IR44" s="19"/>
      <c r="IS44" s="19"/>
      <c r="IT44" s="19"/>
    </row>
    <row r="45" spans="1:254">
      <c r="A45" s="9" t="s">
        <v>3</v>
      </c>
      <c r="B45" s="10" t="s">
        <v>144</v>
      </c>
      <c r="C45" s="19">
        <v>0</v>
      </c>
      <c r="D45" s="19">
        <v>3249105468</v>
      </c>
      <c r="E45" s="19">
        <v>905030092</v>
      </c>
      <c r="F45" s="19">
        <v>127745174</v>
      </c>
      <c r="G45" s="19">
        <v>292867347</v>
      </c>
      <c r="H45" s="19">
        <v>0</v>
      </c>
      <c r="I45" s="19">
        <v>0</v>
      </c>
      <c r="J45" s="19" t="s">
        <v>4</v>
      </c>
      <c r="K45" s="19">
        <v>2677492063</v>
      </c>
      <c r="L45" s="19" t="s">
        <v>96</v>
      </c>
      <c r="M45" s="19" t="s">
        <v>96</v>
      </c>
      <c r="N45" s="19">
        <v>379449640</v>
      </c>
      <c r="O45" s="19">
        <v>501675026</v>
      </c>
      <c r="P45" s="19">
        <v>639382340</v>
      </c>
      <c r="Q45" s="19">
        <v>89470185</v>
      </c>
      <c r="R45" s="19">
        <v>75603973</v>
      </c>
      <c r="S45" s="19">
        <v>8176751739</v>
      </c>
      <c r="T45" s="19" t="s">
        <v>96</v>
      </c>
      <c r="U45" s="19">
        <v>2690742</v>
      </c>
      <c r="V45" s="19" t="s">
        <v>172</v>
      </c>
      <c r="W45" s="19">
        <v>215735593</v>
      </c>
      <c r="X45" s="19">
        <v>1267904831</v>
      </c>
      <c r="Y45" s="19">
        <v>0</v>
      </c>
      <c r="Z45" s="19">
        <v>9821038</v>
      </c>
      <c r="AA45" s="19">
        <v>3103046087</v>
      </c>
      <c r="AB45" s="19">
        <v>0</v>
      </c>
      <c r="AC45" s="19">
        <v>1215563969</v>
      </c>
      <c r="AD45" s="19">
        <v>3742679465</v>
      </c>
      <c r="AE45" s="19">
        <v>294077813</v>
      </c>
      <c r="AF45" s="19">
        <v>0</v>
      </c>
      <c r="AG45" s="19">
        <v>0</v>
      </c>
      <c r="AH45" s="19">
        <v>567257607</v>
      </c>
      <c r="AI45" s="19">
        <v>1065523406</v>
      </c>
      <c r="AJ45" s="19">
        <v>285532599</v>
      </c>
      <c r="AK45" s="19">
        <v>3792458427</v>
      </c>
      <c r="AL45" s="19">
        <v>0</v>
      </c>
      <c r="AM45" s="19" t="s">
        <v>4</v>
      </c>
      <c r="AN45" s="19">
        <v>7952037</v>
      </c>
      <c r="AO45" s="19">
        <v>434352154</v>
      </c>
      <c r="AP45" s="19"/>
      <c r="AQ45" s="19" t="s">
        <v>96</v>
      </c>
      <c r="AR45" s="19">
        <v>190259057</v>
      </c>
      <c r="AS45" s="19">
        <v>0</v>
      </c>
      <c r="AT45" s="19">
        <v>206209385</v>
      </c>
      <c r="AU45" s="19">
        <v>0</v>
      </c>
      <c r="AV45" s="19">
        <v>0</v>
      </c>
      <c r="AW45" s="19">
        <v>178220259</v>
      </c>
      <c r="AX45" s="19" t="s">
        <v>4</v>
      </c>
      <c r="AY45" s="19">
        <v>196217641</v>
      </c>
      <c r="AZ45" s="19">
        <v>440614459</v>
      </c>
      <c r="BA45" s="19">
        <v>6028028780</v>
      </c>
      <c r="BB45" s="19">
        <v>0</v>
      </c>
      <c r="BC45" s="19" t="s">
        <v>4</v>
      </c>
      <c r="BD45" s="19" t="s">
        <v>128</v>
      </c>
      <c r="BE45" s="19">
        <v>828904720</v>
      </c>
      <c r="BF45" s="19">
        <v>760605514</v>
      </c>
      <c r="BG45" s="19">
        <v>1064989012</v>
      </c>
      <c r="BH45" s="19">
        <v>486393241</v>
      </c>
      <c r="BI45" s="19">
        <v>56293737</v>
      </c>
      <c r="BJ45" s="19">
        <v>245047133</v>
      </c>
      <c r="BK45" s="19">
        <v>745388758</v>
      </c>
      <c r="BL45" s="19">
        <v>107720036</v>
      </c>
      <c r="BM45" s="19">
        <v>449788162</v>
      </c>
      <c r="BN45" s="19">
        <v>175103693</v>
      </c>
      <c r="BO45" s="19">
        <v>228992909</v>
      </c>
      <c r="BP45" s="19" t="s">
        <v>96</v>
      </c>
      <c r="BQ45" s="19" t="s">
        <v>4</v>
      </c>
      <c r="BR45" s="19">
        <v>2447773718</v>
      </c>
      <c r="BS45" s="19">
        <v>8567401</v>
      </c>
      <c r="BT45" s="19">
        <v>13109122</v>
      </c>
      <c r="BU45" s="19">
        <v>272978559</v>
      </c>
      <c r="BV45" s="19">
        <v>0</v>
      </c>
      <c r="BW45" s="19">
        <v>0</v>
      </c>
      <c r="BX45" s="19">
        <v>0</v>
      </c>
      <c r="BY45" s="19">
        <v>5200863389</v>
      </c>
      <c r="BZ45" s="19">
        <v>854509666</v>
      </c>
      <c r="CA45" s="19"/>
      <c r="CB45" s="19">
        <v>25810009</v>
      </c>
      <c r="CC45" s="19">
        <v>1624105570</v>
      </c>
      <c r="CD45" s="19">
        <v>2041769612</v>
      </c>
      <c r="CE45" s="19">
        <v>82448359</v>
      </c>
      <c r="CF45" s="19">
        <v>225014838</v>
      </c>
      <c r="CG45" s="19">
        <v>0</v>
      </c>
      <c r="CH45" s="19">
        <v>276312219</v>
      </c>
      <c r="CI45" s="19" t="s">
        <v>128</v>
      </c>
      <c r="CJ45" s="19">
        <v>235245818</v>
      </c>
      <c r="CK45" s="19">
        <v>2623259532</v>
      </c>
      <c r="CL45" s="19">
        <v>581336562</v>
      </c>
      <c r="CM45" s="19"/>
      <c r="CN45" s="19">
        <v>0</v>
      </c>
      <c r="CO45" s="19">
        <v>0</v>
      </c>
      <c r="CP45" s="19">
        <v>663703804</v>
      </c>
      <c r="CQ45" s="19" t="s">
        <v>96</v>
      </c>
      <c r="CR45" s="19">
        <v>1825445900</v>
      </c>
      <c r="CS45" s="19">
        <v>440142499</v>
      </c>
      <c r="CT45" s="19">
        <v>33251776</v>
      </c>
      <c r="CU45" s="19">
        <v>0</v>
      </c>
      <c r="CV45" s="19">
        <v>50300565</v>
      </c>
      <c r="CW45" s="19">
        <v>381464189</v>
      </c>
      <c r="CX45" s="19">
        <v>9871110</v>
      </c>
      <c r="CY45" s="19" t="s">
        <v>96</v>
      </c>
      <c r="CZ45" s="19">
        <v>49522077</v>
      </c>
      <c r="DA45" s="19">
        <v>12903751</v>
      </c>
      <c r="DB45" s="19">
        <v>216549305</v>
      </c>
      <c r="DC45" s="19">
        <v>0</v>
      </c>
      <c r="DD45" s="19">
        <v>7558384</v>
      </c>
      <c r="DE45" s="19">
        <v>0</v>
      </c>
      <c r="DF45" s="19">
        <v>10385030</v>
      </c>
      <c r="DG45" s="19">
        <v>0</v>
      </c>
      <c r="DH45" s="19">
        <v>406200927</v>
      </c>
      <c r="DI45" s="19">
        <v>3978088650</v>
      </c>
      <c r="DJ45" s="19">
        <v>0</v>
      </c>
      <c r="DK45" s="19">
        <v>13357596027</v>
      </c>
      <c r="DL45" s="19">
        <v>0</v>
      </c>
      <c r="DM45" s="19">
        <v>1633213037</v>
      </c>
      <c r="DN45" s="19">
        <v>1599708202</v>
      </c>
      <c r="DO45" s="19">
        <v>0</v>
      </c>
      <c r="DP45" s="19">
        <v>1610999598</v>
      </c>
      <c r="DQ45" s="19">
        <v>159996507</v>
      </c>
      <c r="DR45" s="19">
        <v>668218808</v>
      </c>
      <c r="DS45" s="19">
        <v>0</v>
      </c>
      <c r="DT45" s="19">
        <v>102734644</v>
      </c>
      <c r="DU45" s="19">
        <v>0</v>
      </c>
      <c r="DV45" s="19">
        <v>694500574</v>
      </c>
      <c r="DW45" s="19">
        <v>863374329</v>
      </c>
      <c r="DX45" s="19">
        <v>0</v>
      </c>
      <c r="DY45" s="19">
        <v>69789442</v>
      </c>
      <c r="DZ45" s="19">
        <v>1128837770</v>
      </c>
      <c r="EA45" s="19">
        <v>0</v>
      </c>
      <c r="EB45" s="19">
        <v>171676129</v>
      </c>
      <c r="EC45" s="19">
        <v>544851829</v>
      </c>
      <c r="ED45" s="19">
        <v>0</v>
      </c>
      <c r="EE45" s="19">
        <v>634376964</v>
      </c>
      <c r="EF45" s="19">
        <v>915944358</v>
      </c>
      <c r="EG45" s="19">
        <v>640023406</v>
      </c>
      <c r="EH45" s="19">
        <v>132598920</v>
      </c>
      <c r="EI45" s="19">
        <v>7807081898</v>
      </c>
      <c r="EJ45" s="19">
        <v>0</v>
      </c>
      <c r="EK45" s="19">
        <v>0</v>
      </c>
      <c r="EL45" s="19">
        <v>4947410098</v>
      </c>
      <c r="EM45" s="19">
        <v>473212021</v>
      </c>
      <c r="EN45" s="19">
        <v>0</v>
      </c>
      <c r="EO45" s="19">
        <v>567519930</v>
      </c>
      <c r="EP45" s="19">
        <v>173872917</v>
      </c>
      <c r="EQ45" s="19">
        <v>0</v>
      </c>
      <c r="ER45" s="19">
        <v>241944939</v>
      </c>
      <c r="ES45" s="19">
        <v>738984156</v>
      </c>
      <c r="ET45" s="19">
        <v>0</v>
      </c>
      <c r="EU45" s="19">
        <v>0</v>
      </c>
      <c r="EV45" s="19">
        <v>109891296</v>
      </c>
      <c r="EW45" s="19">
        <v>828149348</v>
      </c>
      <c r="EX45" s="19">
        <v>53409650</v>
      </c>
      <c r="EY45" s="19">
        <v>0</v>
      </c>
      <c r="EZ45" s="19">
        <v>140898200</v>
      </c>
      <c r="FA45" s="19">
        <v>571505641</v>
      </c>
      <c r="FB45" s="19">
        <v>399048136</v>
      </c>
      <c r="FC45" s="19">
        <v>1413174476</v>
      </c>
      <c r="FD45" s="19">
        <v>270137580</v>
      </c>
      <c r="FE45" s="19">
        <v>20666092795</v>
      </c>
      <c r="FF45" s="19">
        <v>0</v>
      </c>
      <c r="FG45" s="19">
        <v>2986979911</v>
      </c>
      <c r="FH45" s="19">
        <v>255245968</v>
      </c>
      <c r="FI45" s="19" t="s">
        <v>96</v>
      </c>
      <c r="FJ45" s="19">
        <v>26524852</v>
      </c>
      <c r="FK45" s="19">
        <v>1111773473</v>
      </c>
      <c r="FL45" s="19">
        <v>430973627</v>
      </c>
      <c r="FM45" s="19">
        <v>118328585</v>
      </c>
      <c r="FN45" s="19">
        <v>78109200</v>
      </c>
      <c r="FO45" s="19">
        <v>0</v>
      </c>
      <c r="FP45" s="19">
        <v>0</v>
      </c>
      <c r="FQ45" s="19">
        <v>65045841</v>
      </c>
      <c r="FR45" s="19">
        <v>564782</v>
      </c>
      <c r="FS45" s="19">
        <v>78164525</v>
      </c>
      <c r="FT45" s="19">
        <v>2286070551</v>
      </c>
      <c r="FU45" s="19">
        <v>0</v>
      </c>
      <c r="FV45" s="19">
        <v>1221309780</v>
      </c>
      <c r="FW45" s="19">
        <v>55652402</v>
      </c>
      <c r="FX45" s="19">
        <v>0</v>
      </c>
      <c r="FY45" s="19">
        <v>452936666</v>
      </c>
      <c r="FZ45" s="19">
        <v>846433789</v>
      </c>
      <c r="GA45" s="19">
        <v>0</v>
      </c>
      <c r="GB45" s="19">
        <v>36318618</v>
      </c>
      <c r="GC45" s="19">
        <v>0</v>
      </c>
      <c r="GD45" s="19" t="s">
        <v>96</v>
      </c>
      <c r="GE45" s="19">
        <v>223276046</v>
      </c>
      <c r="GF45" s="19">
        <v>518311990</v>
      </c>
      <c r="GG45" s="19">
        <v>836665234</v>
      </c>
      <c r="GH45" s="19">
        <v>90776095</v>
      </c>
      <c r="GI45" s="19">
        <v>118589379</v>
      </c>
      <c r="GJ45" s="19">
        <v>395002261</v>
      </c>
      <c r="GK45" s="19">
        <v>129644736</v>
      </c>
      <c r="GL45" s="19" t="s">
        <v>96</v>
      </c>
      <c r="GM45" s="19"/>
      <c r="GN45" s="19">
        <v>4885545</v>
      </c>
      <c r="GO45" s="19">
        <v>37462263</v>
      </c>
      <c r="GP45" s="19">
        <v>6128755328</v>
      </c>
      <c r="GQ45" s="19">
        <v>102303464</v>
      </c>
      <c r="GR45" s="19">
        <v>744108779</v>
      </c>
      <c r="GS45" s="19">
        <v>0</v>
      </c>
      <c r="GT45" s="19">
        <v>249158335</v>
      </c>
      <c r="GU45" s="19">
        <v>0</v>
      </c>
      <c r="GV45" s="19">
        <v>112898763</v>
      </c>
      <c r="GW45" s="19">
        <v>1038251031</v>
      </c>
      <c r="GX45" s="19">
        <v>1724627804</v>
      </c>
      <c r="GY45" s="19">
        <v>1066013890</v>
      </c>
      <c r="GZ45" s="19">
        <v>526369920</v>
      </c>
      <c r="HA45" s="19">
        <v>505777746</v>
      </c>
      <c r="HB45" s="19"/>
      <c r="HC45" s="19">
        <v>526947382</v>
      </c>
      <c r="HD45" s="19">
        <v>145141064</v>
      </c>
      <c r="HE45" s="19">
        <v>441750512</v>
      </c>
      <c r="HF45" s="19"/>
      <c r="HG45" s="19">
        <v>32851640</v>
      </c>
      <c r="HH45" s="19">
        <v>0</v>
      </c>
      <c r="HI45" s="19">
        <v>0</v>
      </c>
      <c r="HJ45" s="19">
        <v>1018968355</v>
      </c>
      <c r="HK45" s="19">
        <v>1090757267</v>
      </c>
      <c r="HL45" s="19">
        <v>574243331</v>
      </c>
      <c r="HM45" s="19">
        <v>35138525</v>
      </c>
      <c r="HN45" s="19">
        <v>0</v>
      </c>
      <c r="HO45" s="19">
        <v>1245818311</v>
      </c>
      <c r="HP45" s="19">
        <v>331902053</v>
      </c>
      <c r="HQ45" s="19"/>
      <c r="HR45" s="19">
        <v>7130533745</v>
      </c>
      <c r="HS45" s="19">
        <v>107133496</v>
      </c>
      <c r="HT45" s="19">
        <v>22920000</v>
      </c>
      <c r="HU45" s="19">
        <v>0</v>
      </c>
      <c r="HV45" s="19">
        <v>66269828</v>
      </c>
      <c r="HW45" s="19"/>
      <c r="HX45" s="19">
        <v>1316431711</v>
      </c>
      <c r="HY45" s="19" t="s">
        <v>172</v>
      </c>
      <c r="HZ45" s="19">
        <v>2722308805</v>
      </c>
      <c r="IA45" s="19"/>
      <c r="IB45" s="19">
        <v>69558938</v>
      </c>
      <c r="IC45" s="19">
        <v>547673524</v>
      </c>
      <c r="ID45" s="19">
        <v>137964115</v>
      </c>
      <c r="IE45" s="19" t="s">
        <v>96</v>
      </c>
      <c r="IF45" s="19">
        <v>379195594</v>
      </c>
      <c r="IG45" s="19">
        <v>16856500</v>
      </c>
      <c r="IH45" s="19">
        <v>1810889094</v>
      </c>
      <c r="II45" s="19">
        <v>111905120</v>
      </c>
      <c r="IJ45" s="19">
        <v>232852439</v>
      </c>
      <c r="IK45" s="19">
        <v>322055736</v>
      </c>
      <c r="IL45" s="19">
        <v>182717114</v>
      </c>
      <c r="IM45" s="19">
        <v>261102129</v>
      </c>
      <c r="IN45" s="19">
        <v>0</v>
      </c>
      <c r="IO45" s="19">
        <v>284867344</v>
      </c>
      <c r="IP45" s="19">
        <v>1089536969</v>
      </c>
      <c r="IQ45" s="19"/>
      <c r="IR45" s="19">
        <v>423119671</v>
      </c>
      <c r="IS45" s="19">
        <v>1342814782</v>
      </c>
      <c r="IT45" s="19">
        <v>35725664</v>
      </c>
    </row>
    <row r="46" spans="1:254">
      <c r="A46" s="9" t="s">
        <v>3</v>
      </c>
      <c r="B46" s="15" t="s">
        <v>67</v>
      </c>
      <c r="C46" s="19">
        <v>0</v>
      </c>
      <c r="D46" s="19">
        <v>0</v>
      </c>
      <c r="E46" s="19">
        <v>0</v>
      </c>
      <c r="F46" s="19">
        <v>127745174</v>
      </c>
      <c r="G46" s="19">
        <v>0</v>
      </c>
      <c r="H46" s="19"/>
      <c r="I46" s="19"/>
      <c r="J46" s="19" t="s">
        <v>4</v>
      </c>
      <c r="K46" s="19"/>
      <c r="L46" s="19" t="s">
        <v>96</v>
      </c>
      <c r="M46" s="19" t="s">
        <v>96</v>
      </c>
      <c r="N46" s="19">
        <v>38005080</v>
      </c>
      <c r="O46" s="19"/>
      <c r="P46" s="19"/>
      <c r="Q46" s="19">
        <v>0</v>
      </c>
      <c r="R46" s="19">
        <v>75603973</v>
      </c>
      <c r="S46" s="19">
        <v>55847365</v>
      </c>
      <c r="T46" s="19" t="s">
        <v>96</v>
      </c>
      <c r="U46" s="19">
        <v>2690742</v>
      </c>
      <c r="V46" s="19" t="s">
        <v>172</v>
      </c>
      <c r="W46" s="19"/>
      <c r="X46" s="19"/>
      <c r="Y46" s="19"/>
      <c r="Z46" s="19">
        <v>9821038</v>
      </c>
      <c r="AA46" s="19"/>
      <c r="AB46" s="19"/>
      <c r="AC46" s="19"/>
      <c r="AD46" s="19"/>
      <c r="AE46" s="19"/>
      <c r="AF46" s="19"/>
      <c r="AG46" s="19"/>
      <c r="AH46" s="19">
        <v>567257607</v>
      </c>
      <c r="AI46" s="19">
        <v>1065523406</v>
      </c>
      <c r="AJ46" s="19">
        <v>285532599</v>
      </c>
      <c r="AK46" s="19">
        <v>3129540635</v>
      </c>
      <c r="AL46" s="19">
        <v>0</v>
      </c>
      <c r="AM46" s="19" t="s">
        <v>4</v>
      </c>
      <c r="AN46" s="19"/>
      <c r="AO46" s="19">
        <v>13895000</v>
      </c>
      <c r="AP46" s="19"/>
      <c r="AQ46" s="19" t="s">
        <v>96</v>
      </c>
      <c r="AR46" s="19">
        <v>190259057</v>
      </c>
      <c r="AS46" s="19"/>
      <c r="AT46" s="19"/>
      <c r="AU46" s="19"/>
      <c r="AV46" s="19"/>
      <c r="AW46" s="19"/>
      <c r="AX46" s="19" t="s">
        <v>4</v>
      </c>
      <c r="AY46" s="19"/>
      <c r="AZ46" s="19"/>
      <c r="BA46" s="19">
        <v>5829279976</v>
      </c>
      <c r="BB46" s="19"/>
      <c r="BC46" s="19" t="s">
        <v>4</v>
      </c>
      <c r="BD46" s="19" t="s">
        <v>128</v>
      </c>
      <c r="BE46" s="19"/>
      <c r="BF46" s="19">
        <v>251323366</v>
      </c>
      <c r="BG46" s="19">
        <v>177600455</v>
      </c>
      <c r="BH46" s="19"/>
      <c r="BI46" s="19">
        <v>56293737</v>
      </c>
      <c r="BJ46" s="19">
        <v>112465079</v>
      </c>
      <c r="BK46" s="19"/>
      <c r="BL46" s="19">
        <v>107720036</v>
      </c>
      <c r="BM46" s="19">
        <v>17456594</v>
      </c>
      <c r="BN46" s="19"/>
      <c r="BO46" s="19">
        <v>189869174</v>
      </c>
      <c r="BP46" s="19" t="s">
        <v>96</v>
      </c>
      <c r="BQ46" s="19" t="s">
        <v>4</v>
      </c>
      <c r="BR46" s="19"/>
      <c r="BS46" s="19">
        <v>8567401</v>
      </c>
      <c r="BT46" s="19">
        <v>13109122</v>
      </c>
      <c r="BU46" s="19"/>
      <c r="BV46" s="19"/>
      <c r="BW46" s="19"/>
      <c r="BX46" s="19"/>
      <c r="BY46" s="19">
        <v>5200863389</v>
      </c>
      <c r="BZ46" s="19">
        <v>854509666</v>
      </c>
      <c r="CA46" s="19"/>
      <c r="CB46" s="19">
        <v>25810009</v>
      </c>
      <c r="CC46" s="19">
        <v>1624105570</v>
      </c>
      <c r="CD46" s="19"/>
      <c r="CE46" s="19"/>
      <c r="CF46" s="19"/>
      <c r="CG46" s="19"/>
      <c r="CH46" s="19">
        <v>128009617</v>
      </c>
      <c r="CI46" s="19" t="s">
        <v>128</v>
      </c>
      <c r="CJ46" s="19">
        <v>78517324</v>
      </c>
      <c r="CK46" s="19">
        <v>0</v>
      </c>
      <c r="CL46" s="19"/>
      <c r="CM46" s="19"/>
      <c r="CN46" s="19"/>
      <c r="CO46" s="19">
        <v>0</v>
      </c>
      <c r="CP46" s="19">
        <v>541767734</v>
      </c>
      <c r="CQ46" s="19" t="s">
        <v>96</v>
      </c>
      <c r="CR46" s="19"/>
      <c r="CS46" s="19"/>
      <c r="CT46" s="19">
        <v>33251776</v>
      </c>
      <c r="CU46" s="19"/>
      <c r="CV46" s="19">
        <v>50300565</v>
      </c>
      <c r="CW46" s="19">
        <v>381464189</v>
      </c>
      <c r="CX46" s="19"/>
      <c r="CY46" s="19" t="s">
        <v>96</v>
      </c>
      <c r="CZ46" s="19">
        <v>49522077</v>
      </c>
      <c r="DA46" s="19">
        <v>12903751</v>
      </c>
      <c r="DB46" s="19">
        <v>26545414</v>
      </c>
      <c r="DC46" s="19"/>
      <c r="DD46" s="19">
        <v>7558384</v>
      </c>
      <c r="DE46" s="19"/>
      <c r="DF46" s="19">
        <v>10385030</v>
      </c>
      <c r="DG46" s="19"/>
      <c r="DH46" s="19">
        <v>3370723</v>
      </c>
      <c r="DI46" s="19">
        <v>95193503</v>
      </c>
      <c r="DJ46" s="19"/>
      <c r="DK46" s="19">
        <v>239420081</v>
      </c>
      <c r="DL46" s="19"/>
      <c r="DM46" s="19">
        <v>1633213037</v>
      </c>
      <c r="DN46" s="19">
        <v>513715628</v>
      </c>
      <c r="DO46" s="19"/>
      <c r="DP46" s="19"/>
      <c r="DQ46" s="19"/>
      <c r="DR46" s="19">
        <v>0</v>
      </c>
      <c r="DS46" s="19"/>
      <c r="DT46" s="19">
        <v>102734644</v>
      </c>
      <c r="DU46" s="19"/>
      <c r="DV46" s="19"/>
      <c r="DW46" s="19">
        <v>135036437</v>
      </c>
      <c r="DX46" s="19"/>
      <c r="DY46" s="19"/>
      <c r="DZ46" s="19"/>
      <c r="EA46" s="19"/>
      <c r="EB46" s="19"/>
      <c r="EC46" s="19"/>
      <c r="ED46" s="19"/>
      <c r="EE46" s="19"/>
      <c r="EF46" s="19">
        <v>2815940</v>
      </c>
      <c r="EG46" s="19">
        <v>9650000</v>
      </c>
      <c r="EH46" s="19"/>
      <c r="EI46" s="19">
        <v>28196160</v>
      </c>
      <c r="EJ46" s="19"/>
      <c r="EK46" s="19"/>
      <c r="EL46" s="19"/>
      <c r="EM46" s="19"/>
      <c r="EN46" s="19"/>
      <c r="EO46" s="19"/>
      <c r="EP46" s="19"/>
      <c r="EQ46" s="19"/>
      <c r="ER46" s="19"/>
      <c r="ES46" s="19">
        <v>738984156</v>
      </c>
      <c r="ET46" s="19"/>
      <c r="EU46" s="19"/>
      <c r="EV46" s="19">
        <v>109891296</v>
      </c>
      <c r="EW46" s="19">
        <v>770642628</v>
      </c>
      <c r="EX46" s="19">
        <v>53409650</v>
      </c>
      <c r="EY46" s="19"/>
      <c r="EZ46" s="19">
        <v>30310381</v>
      </c>
      <c r="FA46" s="19">
        <v>14095224</v>
      </c>
      <c r="FB46" s="19">
        <v>212183059</v>
      </c>
      <c r="FC46" s="19"/>
      <c r="FD46" s="19"/>
      <c r="FE46" s="19">
        <v>20666092795</v>
      </c>
      <c r="FF46" s="19"/>
      <c r="FG46" s="19">
        <v>280715509</v>
      </c>
      <c r="FH46" s="19">
        <v>121272298</v>
      </c>
      <c r="FI46" s="19" t="s">
        <v>96</v>
      </c>
      <c r="FJ46" s="19">
        <v>26524852</v>
      </c>
      <c r="FK46" s="19">
        <v>542021767</v>
      </c>
      <c r="FL46" s="19"/>
      <c r="FM46" s="19">
        <v>118328585</v>
      </c>
      <c r="FN46" s="19">
        <v>78109200</v>
      </c>
      <c r="FO46" s="19"/>
      <c r="FP46" s="19"/>
      <c r="FQ46" s="19"/>
      <c r="FR46" s="19">
        <v>564782</v>
      </c>
      <c r="FS46" s="19">
        <v>0</v>
      </c>
      <c r="FT46" s="19"/>
      <c r="FU46" s="19"/>
      <c r="FV46" s="19"/>
      <c r="FW46" s="19">
        <v>45570322</v>
      </c>
      <c r="FX46" s="19"/>
      <c r="FY46" s="19">
        <v>452936666</v>
      </c>
      <c r="FZ46" s="19"/>
      <c r="GA46" s="19"/>
      <c r="GB46" s="19">
        <v>36318618</v>
      </c>
      <c r="GC46" s="19"/>
      <c r="GD46" s="19" t="s">
        <v>96</v>
      </c>
      <c r="GE46" s="19">
        <v>223276046</v>
      </c>
      <c r="GF46" s="19"/>
      <c r="GG46" s="19">
        <v>98428051</v>
      </c>
      <c r="GH46" s="19">
        <v>90776095</v>
      </c>
      <c r="GI46" s="19">
        <v>75597813</v>
      </c>
      <c r="GJ46" s="19"/>
      <c r="GK46" s="19"/>
      <c r="GL46" s="19" t="s">
        <v>96</v>
      </c>
      <c r="GM46" s="19"/>
      <c r="GN46" s="19">
        <v>4885545</v>
      </c>
      <c r="GO46" s="19">
        <v>0</v>
      </c>
      <c r="GP46" s="19">
        <v>1788902089</v>
      </c>
      <c r="GQ46" s="19"/>
      <c r="GR46" s="19">
        <v>137527303</v>
      </c>
      <c r="GS46" s="19"/>
      <c r="GT46" s="19">
        <v>249158335</v>
      </c>
      <c r="GU46" s="19"/>
      <c r="GV46" s="19">
        <v>112898763</v>
      </c>
      <c r="GW46" s="19">
        <v>145949757</v>
      </c>
      <c r="GX46" s="19">
        <v>178627429</v>
      </c>
      <c r="GY46" s="19"/>
      <c r="GZ46" s="19">
        <v>0</v>
      </c>
      <c r="HA46" s="19">
        <v>505777746</v>
      </c>
      <c r="HB46" s="19"/>
      <c r="HC46" s="19">
        <v>0</v>
      </c>
      <c r="HD46" s="19"/>
      <c r="HE46" s="19">
        <v>441750512</v>
      </c>
      <c r="HF46" s="19"/>
      <c r="HG46" s="19"/>
      <c r="HH46" s="19"/>
      <c r="HI46" s="19"/>
      <c r="HJ46" s="19">
        <v>360416872</v>
      </c>
      <c r="HK46" s="19">
        <v>269806518</v>
      </c>
      <c r="HL46" s="19"/>
      <c r="HM46" s="19">
        <v>35138525</v>
      </c>
      <c r="HN46" s="19"/>
      <c r="HO46" s="19"/>
      <c r="HP46" s="19">
        <v>328261400</v>
      </c>
      <c r="HQ46" s="19"/>
      <c r="HR46" s="19"/>
      <c r="HS46" s="19"/>
      <c r="HT46" s="19">
        <v>22920000</v>
      </c>
      <c r="HU46" s="19"/>
      <c r="HV46" s="19">
        <v>66269828</v>
      </c>
      <c r="HW46" s="19"/>
      <c r="HX46" s="19">
        <v>40697521</v>
      </c>
      <c r="HY46" s="19" t="s">
        <v>172</v>
      </c>
      <c r="HZ46" s="19"/>
      <c r="IA46" s="19"/>
      <c r="IB46" s="19">
        <v>69558938</v>
      </c>
      <c r="IC46" s="19">
        <v>71043200</v>
      </c>
      <c r="ID46" s="19">
        <v>137964115</v>
      </c>
      <c r="IE46" s="19" t="s">
        <v>96</v>
      </c>
      <c r="IF46" s="19">
        <v>83862067</v>
      </c>
      <c r="IG46" s="19">
        <v>16856500</v>
      </c>
      <c r="IH46" s="19">
        <v>785688203</v>
      </c>
      <c r="II46" s="19"/>
      <c r="IJ46" s="19">
        <v>232852439</v>
      </c>
      <c r="IK46" s="19">
        <v>89554006</v>
      </c>
      <c r="IL46" s="19">
        <v>128127922</v>
      </c>
      <c r="IM46" s="19"/>
      <c r="IN46" s="19"/>
      <c r="IO46" s="19">
        <v>81374966</v>
      </c>
      <c r="IP46" s="19">
        <v>1089536969</v>
      </c>
      <c r="IQ46" s="19"/>
      <c r="IR46" s="19">
        <v>76003842</v>
      </c>
      <c r="IS46" s="19"/>
      <c r="IT46" s="19">
        <v>19636953</v>
      </c>
    </row>
    <row r="47" spans="1:254">
      <c r="A47" s="9" t="s">
        <v>3</v>
      </c>
      <c r="B47" s="15" t="s">
        <v>72</v>
      </c>
      <c r="C47" s="19">
        <v>0</v>
      </c>
      <c r="D47" s="19">
        <v>3249105468</v>
      </c>
      <c r="E47" s="19">
        <v>905030092</v>
      </c>
      <c r="F47" s="19">
        <v>0</v>
      </c>
      <c r="G47" s="19">
        <v>292867347</v>
      </c>
      <c r="H47" s="19"/>
      <c r="I47" s="19"/>
      <c r="J47" s="19" t="s">
        <v>4</v>
      </c>
      <c r="K47" s="19">
        <v>2677492063</v>
      </c>
      <c r="L47" s="19" t="s">
        <v>96</v>
      </c>
      <c r="M47" s="19" t="s">
        <v>96</v>
      </c>
      <c r="N47" s="19">
        <v>341444560</v>
      </c>
      <c r="O47" s="19"/>
      <c r="P47" s="19"/>
      <c r="Q47" s="19">
        <v>89470185</v>
      </c>
      <c r="R47" s="19"/>
      <c r="S47" s="19">
        <v>8120904374</v>
      </c>
      <c r="T47" s="19" t="s">
        <v>96</v>
      </c>
      <c r="U47" s="19"/>
      <c r="V47" s="19" t="s">
        <v>172</v>
      </c>
      <c r="W47" s="19">
        <v>215735593</v>
      </c>
      <c r="X47" s="19"/>
      <c r="Y47" s="19"/>
      <c r="Z47" s="19"/>
      <c r="AA47" s="19">
        <v>3103046087</v>
      </c>
      <c r="AB47" s="19"/>
      <c r="AC47" s="19">
        <v>1215563969</v>
      </c>
      <c r="AD47" s="19">
        <v>3742679465</v>
      </c>
      <c r="AE47" s="19">
        <v>187691449</v>
      </c>
      <c r="AF47" s="19"/>
      <c r="AG47" s="19"/>
      <c r="AH47" s="19"/>
      <c r="AI47" s="19"/>
      <c r="AJ47" s="19"/>
      <c r="AK47" s="19">
        <v>572261228</v>
      </c>
      <c r="AL47" s="19">
        <v>0</v>
      </c>
      <c r="AM47" s="19" t="s">
        <v>4</v>
      </c>
      <c r="AN47" s="19">
        <v>7952037</v>
      </c>
      <c r="AO47" s="19"/>
      <c r="AP47" s="19"/>
      <c r="AQ47" s="19" t="s">
        <v>96</v>
      </c>
      <c r="AR47" s="19"/>
      <c r="AS47" s="19"/>
      <c r="AT47" s="19">
        <v>206209385</v>
      </c>
      <c r="AU47" s="19"/>
      <c r="AV47" s="19"/>
      <c r="AW47" s="19">
        <v>178220259</v>
      </c>
      <c r="AX47" s="19" t="s">
        <v>4</v>
      </c>
      <c r="AY47" s="19">
        <v>196217641</v>
      </c>
      <c r="AZ47" s="19">
        <v>440614459</v>
      </c>
      <c r="BA47" s="19">
        <v>198748804</v>
      </c>
      <c r="BB47" s="19"/>
      <c r="BC47" s="19" t="s">
        <v>4</v>
      </c>
      <c r="BD47" s="19" t="s">
        <v>128</v>
      </c>
      <c r="BE47" s="19">
        <v>828904720</v>
      </c>
      <c r="BF47" s="19">
        <v>509282148</v>
      </c>
      <c r="BG47" s="19">
        <v>884611902</v>
      </c>
      <c r="BH47" s="19">
        <v>486393241</v>
      </c>
      <c r="BI47" s="19"/>
      <c r="BJ47" s="19">
        <v>132582054</v>
      </c>
      <c r="BK47" s="19">
        <v>745388758</v>
      </c>
      <c r="BL47" s="19"/>
      <c r="BM47" s="19">
        <v>432331568</v>
      </c>
      <c r="BN47" s="19"/>
      <c r="BO47" s="19">
        <v>39123735</v>
      </c>
      <c r="BP47" s="19" t="s">
        <v>96</v>
      </c>
      <c r="BQ47" s="19" t="s">
        <v>4</v>
      </c>
      <c r="BR47" s="19">
        <v>2447773718</v>
      </c>
      <c r="BS47" s="19"/>
      <c r="BT47" s="19"/>
      <c r="BU47" s="19">
        <v>272978559</v>
      </c>
      <c r="BV47" s="19"/>
      <c r="BW47" s="19"/>
      <c r="BX47" s="19"/>
      <c r="BY47" s="19"/>
      <c r="BZ47" s="19"/>
      <c r="CA47" s="19"/>
      <c r="CB47" s="19"/>
      <c r="CC47" s="19"/>
      <c r="CD47" s="19">
        <v>2041769612</v>
      </c>
      <c r="CE47" s="19">
        <v>82448359</v>
      </c>
      <c r="CF47" s="19">
        <v>225014838</v>
      </c>
      <c r="CG47" s="19"/>
      <c r="CH47" s="19">
        <v>148302602</v>
      </c>
      <c r="CI47" s="19" t="s">
        <v>128</v>
      </c>
      <c r="CJ47" s="19">
        <v>156728494</v>
      </c>
      <c r="CK47" s="19">
        <v>2623259532</v>
      </c>
      <c r="CL47" s="19">
        <v>581336562</v>
      </c>
      <c r="CM47" s="19"/>
      <c r="CN47" s="19"/>
      <c r="CO47" s="19"/>
      <c r="CP47" s="19">
        <v>121936070</v>
      </c>
      <c r="CQ47" s="19" t="s">
        <v>96</v>
      </c>
      <c r="CR47" s="19"/>
      <c r="CS47" s="19">
        <v>440142499</v>
      </c>
      <c r="CT47" s="19"/>
      <c r="CU47" s="19"/>
      <c r="CV47" s="19"/>
      <c r="CW47" s="19"/>
      <c r="CX47" s="19"/>
      <c r="CY47" s="19" t="s">
        <v>96</v>
      </c>
      <c r="CZ47" s="19"/>
      <c r="DA47" s="19"/>
      <c r="DB47" s="19">
        <v>190003891</v>
      </c>
      <c r="DC47" s="19"/>
      <c r="DD47" s="19"/>
      <c r="DE47" s="19"/>
      <c r="DF47" s="19"/>
      <c r="DG47" s="19"/>
      <c r="DH47" s="19">
        <v>850335</v>
      </c>
      <c r="DI47" s="19">
        <v>3882895147</v>
      </c>
      <c r="DJ47" s="19"/>
      <c r="DK47" s="19">
        <v>5662791130</v>
      </c>
      <c r="DL47" s="19"/>
      <c r="DM47" s="19"/>
      <c r="DN47" s="19">
        <v>1085992574</v>
      </c>
      <c r="DO47" s="19"/>
      <c r="DP47" s="19">
        <v>1610999598</v>
      </c>
      <c r="DQ47" s="19">
        <v>159996507</v>
      </c>
      <c r="DR47" s="19">
        <v>668218808</v>
      </c>
      <c r="DS47" s="19"/>
      <c r="DT47" s="19"/>
      <c r="DU47" s="19"/>
      <c r="DV47" s="19"/>
      <c r="DW47" s="19">
        <v>728337892</v>
      </c>
      <c r="DX47" s="19"/>
      <c r="DY47" s="19">
        <v>69789442</v>
      </c>
      <c r="DZ47" s="19"/>
      <c r="EA47" s="19"/>
      <c r="EB47" s="19">
        <v>171676129</v>
      </c>
      <c r="EC47" s="19">
        <v>544851829</v>
      </c>
      <c r="ED47" s="19"/>
      <c r="EE47" s="19">
        <v>634376964</v>
      </c>
      <c r="EF47" s="19">
        <v>913128418</v>
      </c>
      <c r="EG47" s="19">
        <v>581409170</v>
      </c>
      <c r="EH47" s="19"/>
      <c r="EI47" s="19"/>
      <c r="EJ47" s="19"/>
      <c r="EK47" s="19"/>
      <c r="EL47" s="19">
        <v>4947410098</v>
      </c>
      <c r="EM47" s="19">
        <v>473212021</v>
      </c>
      <c r="EN47" s="19"/>
      <c r="EO47" s="19">
        <v>567519930</v>
      </c>
      <c r="EP47" s="19">
        <v>173872917</v>
      </c>
      <c r="EQ47" s="19"/>
      <c r="ER47" s="19"/>
      <c r="ES47" s="19"/>
      <c r="ET47" s="19"/>
      <c r="EU47" s="19"/>
      <c r="EV47" s="19"/>
      <c r="EW47" s="19">
        <v>57506720</v>
      </c>
      <c r="EX47" s="19"/>
      <c r="EY47" s="19"/>
      <c r="EZ47" s="19">
        <v>110587819</v>
      </c>
      <c r="FA47" s="19"/>
      <c r="FB47" s="19">
        <v>186865077</v>
      </c>
      <c r="FC47" s="19">
        <v>1413174476</v>
      </c>
      <c r="FD47" s="19">
        <v>270137580</v>
      </c>
      <c r="FE47" s="19"/>
      <c r="FF47" s="19"/>
      <c r="FG47" s="19">
        <v>2706264402</v>
      </c>
      <c r="FH47" s="19">
        <v>133973670</v>
      </c>
      <c r="FI47" s="19" t="s">
        <v>96</v>
      </c>
      <c r="FJ47" s="19"/>
      <c r="FK47" s="19">
        <v>569751706</v>
      </c>
      <c r="FL47" s="19">
        <v>430973627</v>
      </c>
      <c r="FM47" s="19"/>
      <c r="FN47" s="19"/>
      <c r="FO47" s="19"/>
      <c r="FP47" s="19"/>
      <c r="FQ47" s="19">
        <v>65045841</v>
      </c>
      <c r="FR47" s="19"/>
      <c r="FS47" s="19">
        <v>78164525</v>
      </c>
      <c r="FT47" s="19">
        <v>2286070551</v>
      </c>
      <c r="FU47" s="19"/>
      <c r="FV47" s="19"/>
      <c r="FW47" s="19">
        <v>10082080</v>
      </c>
      <c r="FX47" s="19"/>
      <c r="FY47" s="19"/>
      <c r="FZ47" s="19"/>
      <c r="GA47" s="19"/>
      <c r="GB47" s="19"/>
      <c r="GC47" s="19"/>
      <c r="GD47" s="19" t="s">
        <v>96</v>
      </c>
      <c r="GE47" s="19"/>
      <c r="GF47" s="19">
        <v>518311990</v>
      </c>
      <c r="GG47" s="19">
        <v>738237183</v>
      </c>
      <c r="GH47" s="19"/>
      <c r="GI47" s="19">
        <v>42991566</v>
      </c>
      <c r="GJ47" s="19"/>
      <c r="GK47" s="19">
        <v>129644736</v>
      </c>
      <c r="GL47" s="19" t="s">
        <v>96</v>
      </c>
      <c r="GM47" s="19"/>
      <c r="GN47" s="19"/>
      <c r="GO47" s="19">
        <v>37462263</v>
      </c>
      <c r="GP47" s="19">
        <v>4339853239</v>
      </c>
      <c r="GQ47" s="19">
        <v>102303464</v>
      </c>
      <c r="GR47" s="19">
        <v>606581476</v>
      </c>
      <c r="GS47" s="19"/>
      <c r="GT47" s="19"/>
      <c r="GU47" s="19"/>
      <c r="GV47" s="19"/>
      <c r="GW47" s="19">
        <v>760322525</v>
      </c>
      <c r="GX47" s="19">
        <v>1546000375</v>
      </c>
      <c r="GY47" s="19">
        <v>1066013890</v>
      </c>
      <c r="GZ47" s="19">
        <v>526369920</v>
      </c>
      <c r="HA47" s="19"/>
      <c r="HB47" s="19"/>
      <c r="HC47" s="19">
        <v>526947382</v>
      </c>
      <c r="HD47" s="19">
        <v>145141064</v>
      </c>
      <c r="HE47" s="19"/>
      <c r="HF47" s="19"/>
      <c r="HG47" s="19">
        <v>32851640</v>
      </c>
      <c r="HH47" s="19"/>
      <c r="HI47" s="19"/>
      <c r="HJ47" s="19">
        <v>658551483</v>
      </c>
      <c r="HK47" s="19">
        <v>820950749</v>
      </c>
      <c r="HL47" s="19">
        <v>574243331</v>
      </c>
      <c r="HM47" s="19"/>
      <c r="HN47" s="19"/>
      <c r="HO47" s="19">
        <v>1111915244</v>
      </c>
      <c r="HP47" s="19">
        <v>3640653</v>
      </c>
      <c r="HQ47" s="19"/>
      <c r="HR47" s="19">
        <v>7130533745</v>
      </c>
      <c r="HS47" s="19">
        <v>107133496</v>
      </c>
      <c r="HT47" s="19"/>
      <c r="HU47" s="19"/>
      <c r="HV47" s="19"/>
      <c r="HW47" s="19"/>
      <c r="HX47" s="19">
        <v>1275734190</v>
      </c>
      <c r="HY47" s="19" t="s">
        <v>172</v>
      </c>
      <c r="HZ47" s="19"/>
      <c r="IA47" s="19"/>
      <c r="IB47" s="19"/>
      <c r="IC47" s="19">
        <v>476630324</v>
      </c>
      <c r="ID47" s="19"/>
      <c r="IE47" s="19" t="s">
        <v>96</v>
      </c>
      <c r="IF47" s="19"/>
      <c r="IG47" s="19"/>
      <c r="IH47" s="19"/>
      <c r="II47" s="19">
        <v>111905120</v>
      </c>
      <c r="IJ47" s="19"/>
      <c r="IK47" s="19">
        <v>232501730</v>
      </c>
      <c r="IL47" s="19">
        <v>54589192</v>
      </c>
      <c r="IM47" s="19"/>
      <c r="IN47" s="19"/>
      <c r="IO47" s="19">
        <v>203492378</v>
      </c>
      <c r="IP47" s="19"/>
      <c r="IQ47" s="19"/>
      <c r="IR47" s="19"/>
      <c r="IS47" s="19">
        <v>1342814782</v>
      </c>
      <c r="IT47" s="19">
        <v>16088711</v>
      </c>
    </row>
    <row r="48" spans="1:254">
      <c r="A48" s="9" t="s">
        <v>3</v>
      </c>
      <c r="B48" s="15" t="s">
        <v>63</v>
      </c>
      <c r="C48" s="19">
        <v>0</v>
      </c>
      <c r="D48" s="19">
        <v>0</v>
      </c>
      <c r="E48" s="19">
        <v>0</v>
      </c>
      <c r="F48" s="19">
        <v>0</v>
      </c>
      <c r="G48" s="19">
        <v>0</v>
      </c>
      <c r="H48" s="19"/>
      <c r="I48" s="19"/>
      <c r="J48" s="19" t="s">
        <v>4</v>
      </c>
      <c r="K48" s="19"/>
      <c r="L48" s="19" t="s">
        <v>96</v>
      </c>
      <c r="M48" s="19" t="s">
        <v>96</v>
      </c>
      <c r="N48" s="19"/>
      <c r="O48" s="19">
        <v>501675026</v>
      </c>
      <c r="P48" s="19">
        <v>639382340</v>
      </c>
      <c r="Q48" s="19"/>
      <c r="R48" s="19"/>
      <c r="S48" s="19"/>
      <c r="T48" s="19" t="s">
        <v>96</v>
      </c>
      <c r="U48" s="19"/>
      <c r="V48" s="19" t="s">
        <v>172</v>
      </c>
      <c r="W48" s="19"/>
      <c r="X48" s="19">
        <v>1267904831</v>
      </c>
      <c r="Y48" s="19"/>
      <c r="Z48" s="19"/>
      <c r="AA48" s="19"/>
      <c r="AB48" s="19"/>
      <c r="AC48" s="19"/>
      <c r="AD48" s="19"/>
      <c r="AE48" s="19"/>
      <c r="AF48" s="19"/>
      <c r="AG48" s="19"/>
      <c r="AH48" s="19"/>
      <c r="AI48" s="19"/>
      <c r="AJ48" s="19"/>
      <c r="AK48" s="19"/>
      <c r="AL48" s="19"/>
      <c r="AM48" s="19" t="s">
        <v>4</v>
      </c>
      <c r="AN48" s="19"/>
      <c r="AO48" s="19"/>
      <c r="AP48" s="19"/>
      <c r="AQ48" s="19" t="s">
        <v>96</v>
      </c>
      <c r="AR48" s="19"/>
      <c r="AS48" s="19"/>
      <c r="AT48" s="19"/>
      <c r="AU48" s="19"/>
      <c r="AV48" s="19"/>
      <c r="AW48" s="19"/>
      <c r="AX48" s="19" t="s">
        <v>4</v>
      </c>
      <c r="AY48" s="19"/>
      <c r="AZ48" s="19"/>
      <c r="BA48" s="19"/>
      <c r="BB48" s="19"/>
      <c r="BC48" s="19" t="s">
        <v>4</v>
      </c>
      <c r="BD48" s="19" t="s">
        <v>128</v>
      </c>
      <c r="BE48" s="19"/>
      <c r="BF48" s="19"/>
      <c r="BG48" s="19">
        <v>2776655</v>
      </c>
      <c r="BH48" s="19"/>
      <c r="BI48" s="19"/>
      <c r="BJ48" s="19"/>
      <c r="BK48" s="19"/>
      <c r="BL48" s="19"/>
      <c r="BM48" s="19"/>
      <c r="BN48" s="19">
        <v>175103693</v>
      </c>
      <c r="BO48" s="19"/>
      <c r="BP48" s="19" t="s">
        <v>96</v>
      </c>
      <c r="BQ48" s="19" t="s">
        <v>4</v>
      </c>
      <c r="BR48" s="19"/>
      <c r="BS48" s="19"/>
      <c r="BT48" s="19"/>
      <c r="BU48" s="19"/>
      <c r="BV48" s="19"/>
      <c r="BW48" s="19"/>
      <c r="BX48" s="19"/>
      <c r="BY48" s="19"/>
      <c r="BZ48" s="19"/>
      <c r="CA48" s="19"/>
      <c r="CB48" s="19"/>
      <c r="CC48" s="19"/>
      <c r="CD48" s="19"/>
      <c r="CE48" s="19"/>
      <c r="CF48" s="19"/>
      <c r="CG48" s="19"/>
      <c r="CH48" s="19"/>
      <c r="CI48" s="19" t="s">
        <v>128</v>
      </c>
      <c r="CJ48" s="19"/>
      <c r="CK48" s="19"/>
      <c r="CL48" s="19"/>
      <c r="CM48" s="19"/>
      <c r="CN48" s="19"/>
      <c r="CO48" s="19"/>
      <c r="CP48" s="19"/>
      <c r="CQ48" s="19" t="s">
        <v>96</v>
      </c>
      <c r="CR48" s="19">
        <v>1825445900</v>
      </c>
      <c r="CS48" s="19"/>
      <c r="CT48" s="19"/>
      <c r="CU48" s="19"/>
      <c r="CV48" s="19"/>
      <c r="CW48" s="19"/>
      <c r="CX48" s="19"/>
      <c r="CY48" s="19" t="s">
        <v>96</v>
      </c>
      <c r="CZ48" s="19"/>
      <c r="DA48" s="19"/>
      <c r="DB48" s="19"/>
      <c r="DC48" s="19"/>
      <c r="DD48" s="19"/>
      <c r="DE48" s="19"/>
      <c r="DF48" s="19"/>
      <c r="DG48" s="19"/>
      <c r="DH48" s="19">
        <v>401979869</v>
      </c>
      <c r="DI48" s="19"/>
      <c r="DJ48" s="19"/>
      <c r="DK48" s="19">
        <v>7455384816</v>
      </c>
      <c r="DL48" s="19"/>
      <c r="DM48" s="19"/>
      <c r="DN48" s="19"/>
      <c r="DO48" s="19"/>
      <c r="DP48" s="19"/>
      <c r="DQ48" s="19"/>
      <c r="DR48" s="19"/>
      <c r="DS48" s="19"/>
      <c r="DT48" s="19"/>
      <c r="DU48" s="19"/>
      <c r="DV48" s="19">
        <v>694500574</v>
      </c>
      <c r="DW48" s="19"/>
      <c r="DX48" s="19"/>
      <c r="DY48" s="19"/>
      <c r="DZ48" s="19">
        <v>1128837770</v>
      </c>
      <c r="EA48" s="19"/>
      <c r="EB48" s="19"/>
      <c r="EC48" s="19"/>
      <c r="ED48" s="19"/>
      <c r="EE48" s="19"/>
      <c r="EF48" s="19"/>
      <c r="EG48" s="19"/>
      <c r="EH48" s="19"/>
      <c r="EI48" s="19">
        <v>7778885738</v>
      </c>
      <c r="EJ48" s="19"/>
      <c r="EK48" s="19"/>
      <c r="EL48" s="19"/>
      <c r="EM48" s="19"/>
      <c r="EN48" s="19"/>
      <c r="EO48" s="19"/>
      <c r="EP48" s="19"/>
      <c r="EQ48" s="19"/>
      <c r="ER48" s="19">
        <v>241944939</v>
      </c>
      <c r="ES48" s="19"/>
      <c r="ET48" s="19"/>
      <c r="EU48" s="19"/>
      <c r="EV48" s="19"/>
      <c r="EW48" s="19"/>
      <c r="EX48" s="19"/>
      <c r="EY48" s="19"/>
      <c r="EZ48" s="19"/>
      <c r="FA48" s="19"/>
      <c r="FB48" s="19"/>
      <c r="FC48" s="19"/>
      <c r="FD48" s="19"/>
      <c r="FE48" s="19"/>
      <c r="FF48" s="19"/>
      <c r="FG48" s="19"/>
      <c r="FH48" s="19"/>
      <c r="FI48" s="19" t="s">
        <v>96</v>
      </c>
      <c r="FJ48" s="19"/>
      <c r="FK48" s="19"/>
      <c r="FL48" s="19"/>
      <c r="FM48" s="19"/>
      <c r="FN48" s="19"/>
      <c r="FO48" s="19"/>
      <c r="FP48" s="19"/>
      <c r="FQ48" s="19"/>
      <c r="FR48" s="19"/>
      <c r="FS48" s="19"/>
      <c r="FT48" s="19"/>
      <c r="FU48" s="19"/>
      <c r="FV48" s="19"/>
      <c r="FW48" s="19"/>
      <c r="FX48" s="19"/>
      <c r="FY48" s="19"/>
      <c r="FZ48" s="19">
        <v>846433789</v>
      </c>
      <c r="GA48" s="19"/>
      <c r="GB48" s="19"/>
      <c r="GC48" s="19"/>
      <c r="GD48" s="19" t="s">
        <v>96</v>
      </c>
      <c r="GE48" s="19"/>
      <c r="GF48" s="19"/>
      <c r="GG48" s="19"/>
      <c r="GH48" s="19"/>
      <c r="GI48" s="19"/>
      <c r="GJ48" s="19"/>
      <c r="GK48" s="19"/>
      <c r="GL48" s="19" t="s">
        <v>96</v>
      </c>
      <c r="GM48" s="19"/>
      <c r="GN48" s="19"/>
      <c r="GO48" s="19"/>
      <c r="GP48" s="19"/>
      <c r="GQ48" s="19"/>
      <c r="GR48" s="19"/>
      <c r="GS48" s="19"/>
      <c r="GT48" s="19"/>
      <c r="GU48" s="19"/>
      <c r="GV48" s="19"/>
      <c r="GW48" s="19">
        <v>131978749</v>
      </c>
      <c r="GX48" s="19"/>
      <c r="GY48" s="19"/>
      <c r="GZ48" s="19"/>
      <c r="HA48" s="19"/>
      <c r="HB48" s="19"/>
      <c r="HC48" s="19"/>
      <c r="HD48" s="19"/>
      <c r="HE48" s="19"/>
      <c r="HF48" s="19"/>
      <c r="HG48" s="19"/>
      <c r="HH48" s="19"/>
      <c r="HI48" s="19"/>
      <c r="HJ48" s="19"/>
      <c r="HK48" s="19"/>
      <c r="HL48" s="19"/>
      <c r="HM48" s="19"/>
      <c r="HN48" s="19"/>
      <c r="HO48" s="19">
        <v>133903067</v>
      </c>
      <c r="HP48" s="19"/>
      <c r="HQ48" s="19"/>
      <c r="HR48" s="19"/>
      <c r="HS48" s="19"/>
      <c r="HT48" s="19"/>
      <c r="HU48" s="19"/>
      <c r="HV48" s="19"/>
      <c r="HW48" s="19"/>
      <c r="HX48" s="19"/>
      <c r="HY48" s="19" t="s">
        <v>172</v>
      </c>
      <c r="HZ48" s="19"/>
      <c r="IA48" s="19"/>
      <c r="IB48" s="19"/>
      <c r="IC48" s="19"/>
      <c r="ID48" s="19"/>
      <c r="IE48" s="19" t="s">
        <v>96</v>
      </c>
      <c r="IF48" s="19">
        <v>284270131</v>
      </c>
      <c r="IG48" s="19"/>
      <c r="IH48" s="19">
        <v>1025200891</v>
      </c>
      <c r="II48" s="19"/>
      <c r="IJ48" s="19"/>
      <c r="IK48" s="19"/>
      <c r="IL48" s="19"/>
      <c r="IM48" s="19">
        <v>261102129</v>
      </c>
      <c r="IN48" s="19"/>
      <c r="IO48" s="19"/>
      <c r="IP48" s="19"/>
      <c r="IQ48" s="19"/>
      <c r="IR48" s="19">
        <v>347115829</v>
      </c>
      <c r="IS48" s="19"/>
      <c r="IT48" s="19"/>
    </row>
    <row r="49" spans="1:254">
      <c r="A49" s="9" t="s">
        <v>3</v>
      </c>
      <c r="B49" s="15" t="s">
        <v>64</v>
      </c>
      <c r="C49" s="19">
        <v>0</v>
      </c>
      <c r="D49" s="19">
        <v>0</v>
      </c>
      <c r="E49" s="19">
        <v>0</v>
      </c>
      <c r="F49" s="19">
        <v>0</v>
      </c>
      <c r="G49" s="19">
        <v>0</v>
      </c>
      <c r="H49" s="19"/>
      <c r="I49" s="19"/>
      <c r="J49" s="19" t="s">
        <v>4</v>
      </c>
      <c r="K49" s="19"/>
      <c r="L49" s="19" t="s">
        <v>96</v>
      </c>
      <c r="M49" s="19" t="s">
        <v>96</v>
      </c>
      <c r="N49" s="19"/>
      <c r="O49" s="19"/>
      <c r="P49" s="19"/>
      <c r="Q49" s="19"/>
      <c r="R49" s="19"/>
      <c r="S49" s="19"/>
      <c r="T49" s="19" t="s">
        <v>96</v>
      </c>
      <c r="U49" s="19"/>
      <c r="V49" s="19" t="s">
        <v>172</v>
      </c>
      <c r="W49" s="19"/>
      <c r="X49" s="19"/>
      <c r="Y49" s="19"/>
      <c r="Z49" s="19"/>
      <c r="AA49" s="19"/>
      <c r="AB49" s="19"/>
      <c r="AC49" s="19"/>
      <c r="AD49" s="19"/>
      <c r="AE49" s="19">
        <v>106386364</v>
      </c>
      <c r="AF49" s="19"/>
      <c r="AG49" s="19"/>
      <c r="AH49" s="19"/>
      <c r="AI49" s="19"/>
      <c r="AJ49" s="19"/>
      <c r="AK49" s="19">
        <v>90656564</v>
      </c>
      <c r="AL49" s="19"/>
      <c r="AM49" s="19" t="s">
        <v>4</v>
      </c>
      <c r="AN49" s="19"/>
      <c r="AO49" s="19">
        <v>420457154</v>
      </c>
      <c r="AP49" s="19"/>
      <c r="AQ49" s="19" t="s">
        <v>96</v>
      </c>
      <c r="AR49" s="19"/>
      <c r="AS49" s="19"/>
      <c r="AT49" s="19"/>
      <c r="AU49" s="19"/>
      <c r="AV49" s="19"/>
      <c r="AW49" s="19"/>
      <c r="AX49" s="19" t="s">
        <v>4</v>
      </c>
      <c r="AY49" s="19"/>
      <c r="AZ49" s="19"/>
      <c r="BA49" s="19"/>
      <c r="BB49" s="19"/>
      <c r="BC49" s="19" t="s">
        <v>4</v>
      </c>
      <c r="BD49" s="19" t="s">
        <v>128</v>
      </c>
      <c r="BE49" s="19"/>
      <c r="BF49" s="19"/>
      <c r="BG49" s="19"/>
      <c r="BH49" s="19"/>
      <c r="BI49" s="19"/>
      <c r="BJ49" s="19"/>
      <c r="BK49" s="19"/>
      <c r="BL49" s="19"/>
      <c r="BM49" s="19"/>
      <c r="BN49" s="19"/>
      <c r="BO49" s="19"/>
      <c r="BP49" s="19" t="s">
        <v>96</v>
      </c>
      <c r="BQ49" s="19" t="s">
        <v>4</v>
      </c>
      <c r="BR49" s="19"/>
      <c r="BS49" s="19"/>
      <c r="BT49" s="19"/>
      <c r="BU49" s="19"/>
      <c r="BV49" s="19"/>
      <c r="BW49" s="19"/>
      <c r="BX49" s="19"/>
      <c r="BY49" s="19"/>
      <c r="BZ49" s="19"/>
      <c r="CA49" s="19"/>
      <c r="CB49" s="19"/>
      <c r="CC49" s="19"/>
      <c r="CD49" s="19"/>
      <c r="CE49" s="19"/>
      <c r="CF49" s="19"/>
      <c r="CG49" s="19"/>
      <c r="CH49" s="19"/>
      <c r="CI49" s="19" t="s">
        <v>128</v>
      </c>
      <c r="CJ49" s="19"/>
      <c r="CK49" s="19"/>
      <c r="CL49" s="19"/>
      <c r="CM49" s="19"/>
      <c r="CN49" s="19"/>
      <c r="CO49" s="19"/>
      <c r="CP49" s="19"/>
      <c r="CQ49" s="19" t="s">
        <v>96</v>
      </c>
      <c r="CR49" s="19"/>
      <c r="CS49" s="19"/>
      <c r="CT49" s="19"/>
      <c r="CU49" s="19"/>
      <c r="CV49" s="19"/>
      <c r="CW49" s="19"/>
      <c r="CX49" s="19">
        <v>9871110</v>
      </c>
      <c r="CY49" s="19" t="s">
        <v>96</v>
      </c>
      <c r="CZ49" s="19"/>
      <c r="DA49" s="19"/>
      <c r="DB49" s="19"/>
      <c r="DC49" s="19"/>
      <c r="DD49" s="19"/>
      <c r="DE49" s="19"/>
      <c r="DF49" s="19"/>
      <c r="DG49" s="19"/>
      <c r="DH49" s="19"/>
      <c r="DI49" s="19"/>
      <c r="DJ49" s="19"/>
      <c r="DK49" s="19"/>
      <c r="DL49" s="19"/>
      <c r="DM49" s="19"/>
      <c r="DN49" s="19"/>
      <c r="DO49" s="19"/>
      <c r="DP49" s="19"/>
      <c r="DQ49" s="19"/>
      <c r="DR49" s="19"/>
      <c r="DS49" s="19"/>
      <c r="DT49" s="19"/>
      <c r="DU49" s="19"/>
      <c r="DV49" s="19"/>
      <c r="DW49" s="19"/>
      <c r="DX49" s="19"/>
      <c r="DY49" s="19"/>
      <c r="DZ49" s="19"/>
      <c r="EA49" s="19"/>
      <c r="EB49" s="19"/>
      <c r="EC49" s="19"/>
      <c r="ED49" s="19"/>
      <c r="EE49" s="19"/>
      <c r="EF49" s="19"/>
      <c r="EG49" s="19">
        <v>48964236</v>
      </c>
      <c r="EH49" s="19">
        <v>132598920</v>
      </c>
      <c r="EI49" s="19"/>
      <c r="EJ49" s="19"/>
      <c r="EK49" s="19"/>
      <c r="EL49" s="19"/>
      <c r="EM49" s="19"/>
      <c r="EN49" s="19"/>
      <c r="EO49" s="19"/>
      <c r="EP49" s="19"/>
      <c r="EQ49" s="19"/>
      <c r="ER49" s="19"/>
      <c r="ES49" s="19"/>
      <c r="ET49" s="19"/>
      <c r="EU49" s="19"/>
      <c r="EV49" s="19"/>
      <c r="EW49" s="19"/>
      <c r="EX49" s="19"/>
      <c r="EY49" s="19"/>
      <c r="EZ49" s="19"/>
      <c r="FA49" s="19">
        <v>557410417</v>
      </c>
      <c r="FB49" s="19"/>
      <c r="FC49" s="19"/>
      <c r="FD49" s="19"/>
      <c r="FE49" s="19"/>
      <c r="FF49" s="19"/>
      <c r="FG49" s="19"/>
      <c r="FH49" s="19"/>
      <c r="FI49" s="19" t="s">
        <v>96</v>
      </c>
      <c r="FJ49" s="19"/>
      <c r="FK49" s="19"/>
      <c r="FL49" s="19"/>
      <c r="FM49" s="19"/>
      <c r="FN49" s="19"/>
      <c r="FO49" s="19"/>
      <c r="FP49" s="19"/>
      <c r="FQ49" s="19"/>
      <c r="FR49" s="19"/>
      <c r="FS49" s="19"/>
      <c r="FT49" s="19"/>
      <c r="FU49" s="19"/>
      <c r="FV49" s="19">
        <v>1221309780</v>
      </c>
      <c r="FW49" s="19"/>
      <c r="FX49" s="19"/>
      <c r="FY49" s="19"/>
      <c r="FZ49" s="19"/>
      <c r="GA49" s="19"/>
      <c r="GB49" s="19"/>
      <c r="GC49" s="19"/>
      <c r="GD49" s="19" t="s">
        <v>96</v>
      </c>
      <c r="GE49" s="19"/>
      <c r="GF49" s="19"/>
      <c r="GG49" s="19"/>
      <c r="GH49" s="19"/>
      <c r="GI49" s="19"/>
      <c r="GJ49" s="19">
        <v>395002261</v>
      </c>
      <c r="GK49" s="19"/>
      <c r="GL49" s="19" t="s">
        <v>96</v>
      </c>
      <c r="GM49" s="19"/>
      <c r="GN49" s="19"/>
      <c r="GO49" s="19"/>
      <c r="GP49" s="19"/>
      <c r="GQ49" s="19"/>
      <c r="GR49" s="19"/>
      <c r="GS49" s="19"/>
      <c r="GT49" s="19"/>
      <c r="GU49" s="19"/>
      <c r="GV49" s="19"/>
      <c r="GW49" s="19"/>
      <c r="GX49" s="19"/>
      <c r="GY49" s="19"/>
      <c r="GZ49" s="19"/>
      <c r="HA49" s="19"/>
      <c r="HB49" s="19"/>
      <c r="HC49" s="19"/>
      <c r="HD49" s="19"/>
      <c r="HE49" s="19"/>
      <c r="HF49" s="19"/>
      <c r="HG49" s="19"/>
      <c r="HH49" s="19"/>
      <c r="HI49" s="19"/>
      <c r="HJ49" s="19"/>
      <c r="HK49" s="19"/>
      <c r="HL49" s="19"/>
      <c r="HM49" s="19"/>
      <c r="HN49" s="19"/>
      <c r="HO49" s="19"/>
      <c r="HP49" s="19"/>
      <c r="HQ49" s="19"/>
      <c r="HR49" s="19"/>
      <c r="HS49" s="19"/>
      <c r="HT49" s="19"/>
      <c r="HU49" s="19"/>
      <c r="HV49" s="19"/>
      <c r="HW49" s="19"/>
      <c r="HX49" s="19"/>
      <c r="HY49" s="19" t="s">
        <v>172</v>
      </c>
      <c r="HZ49" s="19">
        <v>2722308805</v>
      </c>
      <c r="IA49" s="19"/>
      <c r="IB49" s="19"/>
      <c r="IC49" s="19"/>
      <c r="ID49" s="19"/>
      <c r="IE49" s="19" t="s">
        <v>96</v>
      </c>
      <c r="IF49" s="19">
        <v>11063396</v>
      </c>
      <c r="IG49" s="19"/>
      <c r="IH49" s="19"/>
      <c r="II49" s="19"/>
      <c r="IJ49" s="19"/>
      <c r="IK49" s="19"/>
      <c r="IL49" s="19"/>
      <c r="IM49" s="19"/>
      <c r="IN49" s="19"/>
      <c r="IO49" s="19"/>
      <c r="IP49" s="19"/>
      <c r="IQ49" s="19"/>
      <c r="IR49" s="19"/>
      <c r="IS49" s="19"/>
      <c r="IT49" s="19"/>
    </row>
    <row r="50" spans="1:254">
      <c r="A50" s="9" t="s">
        <v>3</v>
      </c>
      <c r="B50" s="10" t="s">
        <v>14</v>
      </c>
      <c r="C50" s="19">
        <v>1613832346</v>
      </c>
      <c r="D50" s="19">
        <v>-127210476</v>
      </c>
      <c r="E50" s="19">
        <v>261056507</v>
      </c>
      <c r="F50" s="19">
        <v>2777802426</v>
      </c>
      <c r="G50" s="19">
        <v>255829097</v>
      </c>
      <c r="H50" s="19">
        <v>10459945076</v>
      </c>
      <c r="I50" s="19">
        <v>8574491999</v>
      </c>
      <c r="J50" s="19" t="s">
        <v>4</v>
      </c>
      <c r="K50" s="19">
        <v>6247070</v>
      </c>
      <c r="L50" s="19" t="s">
        <v>96</v>
      </c>
      <c r="M50" s="19" t="s">
        <v>96</v>
      </c>
      <c r="N50" s="19">
        <v>247485934</v>
      </c>
      <c r="O50" s="19">
        <v>7875355208</v>
      </c>
      <c r="P50" s="19">
        <v>4998340414</v>
      </c>
      <c r="Q50" s="19">
        <v>139054818</v>
      </c>
      <c r="R50" s="19">
        <v>287919818</v>
      </c>
      <c r="S50" s="19">
        <v>3218059760</v>
      </c>
      <c r="T50" s="19" t="s">
        <v>96</v>
      </c>
      <c r="U50" s="19">
        <v>1761214841</v>
      </c>
      <c r="V50" s="19" t="s">
        <v>172</v>
      </c>
      <c r="W50" s="19">
        <v>1104403759</v>
      </c>
      <c r="X50" s="19">
        <v>1233831391</v>
      </c>
      <c r="Y50" s="19">
        <v>725454239</v>
      </c>
      <c r="Z50" s="19">
        <v>781172714</v>
      </c>
      <c r="AA50" s="19">
        <v>687366163</v>
      </c>
      <c r="AB50" s="19">
        <v>80997841</v>
      </c>
      <c r="AC50" s="19">
        <v>331670471</v>
      </c>
      <c r="AD50" s="19">
        <v>592070128</v>
      </c>
      <c r="AE50" s="19">
        <v>291925599</v>
      </c>
      <c r="AF50" s="19">
        <v>362725821</v>
      </c>
      <c r="AG50" s="19">
        <v>195898000</v>
      </c>
      <c r="AH50" s="19">
        <v>1660190090</v>
      </c>
      <c r="AI50" s="19">
        <v>54125078</v>
      </c>
      <c r="AJ50" s="19">
        <v>443593090</v>
      </c>
      <c r="AK50" s="19">
        <v>582558258</v>
      </c>
      <c r="AL50" s="19">
        <v>831441899</v>
      </c>
      <c r="AM50" s="19" t="s">
        <v>4</v>
      </c>
      <c r="AN50" s="19">
        <v>996590895</v>
      </c>
      <c r="AO50" s="19">
        <v>1474575432</v>
      </c>
      <c r="AP50" s="19">
        <v>853415721</v>
      </c>
      <c r="AQ50" s="19" t="s">
        <v>96</v>
      </c>
      <c r="AR50" s="19">
        <v>529042040</v>
      </c>
      <c r="AS50" s="19">
        <v>618418384</v>
      </c>
      <c r="AT50" s="19">
        <v>504506094</v>
      </c>
      <c r="AU50" s="19">
        <v>1148252227</v>
      </c>
      <c r="AV50" s="19">
        <v>108007981</v>
      </c>
      <c r="AW50" s="19">
        <v>248930420</v>
      </c>
      <c r="AX50" s="19" t="s">
        <v>4</v>
      </c>
      <c r="AY50" s="19">
        <v>829229888</v>
      </c>
      <c r="AZ50" s="19">
        <v>388424380</v>
      </c>
      <c r="BA50" s="19">
        <v>1130730101</v>
      </c>
      <c r="BB50" s="19">
        <v>60619185</v>
      </c>
      <c r="BC50" s="19" t="s">
        <v>4</v>
      </c>
      <c r="BD50" s="19" t="s">
        <v>128</v>
      </c>
      <c r="BE50" s="19">
        <v>217672230</v>
      </c>
      <c r="BF50" s="19">
        <v>70614897</v>
      </c>
      <c r="BG50" s="19">
        <v>1602851308</v>
      </c>
      <c r="BH50" s="19">
        <v>166376097</v>
      </c>
      <c r="BI50" s="19">
        <v>505939119</v>
      </c>
      <c r="BJ50" s="19">
        <v>285380931</v>
      </c>
      <c r="BK50" s="19">
        <v>-317673489</v>
      </c>
      <c r="BL50" s="19">
        <v>1618384040</v>
      </c>
      <c r="BM50" s="19">
        <v>856755306</v>
      </c>
      <c r="BN50" s="19">
        <v>-3830543</v>
      </c>
      <c r="BO50" s="19">
        <v>102807268</v>
      </c>
      <c r="BP50" s="19" t="s">
        <v>96</v>
      </c>
      <c r="BQ50" s="19" t="s">
        <v>4</v>
      </c>
      <c r="BR50" s="19">
        <v>3140370276</v>
      </c>
      <c r="BS50" s="19">
        <v>115424255</v>
      </c>
      <c r="BT50" s="19">
        <v>39125417</v>
      </c>
      <c r="BU50" s="19">
        <v>370063131</v>
      </c>
      <c r="BV50" s="19">
        <v>314850158</v>
      </c>
      <c r="BW50" s="19">
        <v>43465546</v>
      </c>
      <c r="BX50" s="19">
        <v>487011860</v>
      </c>
      <c r="BY50" s="19">
        <v>1005006878</v>
      </c>
      <c r="BZ50" s="19">
        <v>1463557222</v>
      </c>
      <c r="CA50" s="19">
        <v>2024003978</v>
      </c>
      <c r="CB50" s="19">
        <v>334489288</v>
      </c>
      <c r="CC50" s="19">
        <v>223779797</v>
      </c>
      <c r="CD50" s="19">
        <v>8122330</v>
      </c>
      <c r="CE50" s="19">
        <v>10425041</v>
      </c>
      <c r="CF50" s="19">
        <v>67820190</v>
      </c>
      <c r="CG50" s="19">
        <v>916995480</v>
      </c>
      <c r="CH50" s="19">
        <v>222774241</v>
      </c>
      <c r="CI50" s="19" t="s">
        <v>128</v>
      </c>
      <c r="CJ50" s="19">
        <v>96455657</v>
      </c>
      <c r="CK50" s="19">
        <v>806614358</v>
      </c>
      <c r="CL50" s="19">
        <v>106853760</v>
      </c>
      <c r="CM50" s="19">
        <v>7897584875</v>
      </c>
      <c r="CN50" s="19">
        <v>163349995</v>
      </c>
      <c r="CO50" s="19">
        <v>127489380</v>
      </c>
      <c r="CP50" s="19">
        <v>3432678207</v>
      </c>
      <c r="CQ50" s="19" t="s">
        <v>96</v>
      </c>
      <c r="CR50" s="19">
        <v>443860155</v>
      </c>
      <c r="CS50" s="19">
        <v>2264589475</v>
      </c>
      <c r="CT50" s="19">
        <v>3059330288</v>
      </c>
      <c r="CU50" s="19">
        <v>190963203</v>
      </c>
      <c r="CV50" s="19">
        <v>112486305</v>
      </c>
      <c r="CW50" s="19">
        <v>1881810690</v>
      </c>
      <c r="CX50" s="19">
        <v>1890691260</v>
      </c>
      <c r="CY50" s="19" t="s">
        <v>96</v>
      </c>
      <c r="CZ50" s="19">
        <v>4599122001</v>
      </c>
      <c r="DA50" s="19">
        <v>1348261800</v>
      </c>
      <c r="DB50" s="19">
        <v>271946951</v>
      </c>
      <c r="DC50" s="19">
        <v>14997459</v>
      </c>
      <c r="DD50" s="19">
        <v>69170462</v>
      </c>
      <c r="DE50" s="19">
        <v>1810728250</v>
      </c>
      <c r="DF50" s="19">
        <v>62748978</v>
      </c>
      <c r="DG50" s="19">
        <v>301334978</v>
      </c>
      <c r="DH50" s="19">
        <v>364627627</v>
      </c>
      <c r="DI50" s="19">
        <v>700235993</v>
      </c>
      <c r="DJ50" s="19">
        <v>320220001</v>
      </c>
      <c r="DK50" s="19">
        <v>1796482839</v>
      </c>
      <c r="DL50" s="19">
        <v>250607841</v>
      </c>
      <c r="DM50" s="19">
        <v>443540205</v>
      </c>
      <c r="DN50" s="19">
        <v>322498170</v>
      </c>
      <c r="DO50" s="19">
        <v>183455327</v>
      </c>
      <c r="DP50" s="19">
        <v>595723941</v>
      </c>
      <c r="DQ50" s="19">
        <v>76719018</v>
      </c>
      <c r="DR50" s="19">
        <v>849756722</v>
      </c>
      <c r="DS50" s="19">
        <v>1048442881</v>
      </c>
      <c r="DT50" s="19">
        <v>1349756644</v>
      </c>
      <c r="DU50" s="19">
        <v>273164863</v>
      </c>
      <c r="DV50" s="19">
        <v>4384278650</v>
      </c>
      <c r="DW50" s="19">
        <v>456773321</v>
      </c>
      <c r="DX50" s="19">
        <v>6326574844</v>
      </c>
      <c r="DY50" s="19">
        <v>452423558</v>
      </c>
      <c r="DZ50" s="19">
        <v>290046776</v>
      </c>
      <c r="EA50" s="19">
        <v>107939134</v>
      </c>
      <c r="EB50" s="19">
        <v>8480757389</v>
      </c>
      <c r="EC50" s="19">
        <v>468291370</v>
      </c>
      <c r="ED50" s="19">
        <v>73502998</v>
      </c>
      <c r="EE50" s="19">
        <v>188713688</v>
      </c>
      <c r="EF50" s="19">
        <v>1116667212</v>
      </c>
      <c r="EG50" s="19">
        <v>94242382</v>
      </c>
      <c r="EH50" s="19">
        <v>215575265</v>
      </c>
      <c r="EI50" s="19">
        <v>-444269281</v>
      </c>
      <c r="EJ50" s="19">
        <v>176047820</v>
      </c>
      <c r="EK50" s="19">
        <v>892765426</v>
      </c>
      <c r="EL50" s="19">
        <v>1453644443</v>
      </c>
      <c r="EM50" s="19">
        <v>235357813</v>
      </c>
      <c r="EN50" s="19">
        <v>7209016923</v>
      </c>
      <c r="EO50" s="19">
        <v>1161595077</v>
      </c>
      <c r="EP50" s="19">
        <v>746731828</v>
      </c>
      <c r="EQ50" s="19">
        <v>5765066741</v>
      </c>
      <c r="ER50" s="19">
        <v>7159030643</v>
      </c>
      <c r="ES50" s="19">
        <v>655584056</v>
      </c>
      <c r="ET50" s="19">
        <v>624741387</v>
      </c>
      <c r="EU50" s="19">
        <v>2381007385</v>
      </c>
      <c r="EV50" s="19">
        <v>166611555</v>
      </c>
      <c r="EW50" s="19">
        <v>220665421</v>
      </c>
      <c r="EX50" s="19">
        <v>1252607314</v>
      </c>
      <c r="EY50" s="19">
        <v>6357946253</v>
      </c>
      <c r="EZ50" s="19">
        <v>908233903</v>
      </c>
      <c r="FA50" s="19">
        <v>523228976</v>
      </c>
      <c r="FB50" s="19">
        <v>26447901</v>
      </c>
      <c r="FC50" s="19">
        <v>154097567</v>
      </c>
      <c r="FD50" s="19">
        <v>231272578</v>
      </c>
      <c r="FE50" s="19">
        <v>5809539050</v>
      </c>
      <c r="FF50" s="19">
        <v>759973248</v>
      </c>
      <c r="FG50" s="19">
        <v>735834399</v>
      </c>
      <c r="FH50" s="19">
        <v>525263920</v>
      </c>
      <c r="FI50" s="19" t="s">
        <v>96</v>
      </c>
      <c r="FJ50" s="19">
        <v>415581404</v>
      </c>
      <c r="FK50" s="19">
        <v>1112078959</v>
      </c>
      <c r="FL50" s="19">
        <v>-246564980</v>
      </c>
      <c r="FM50" s="19">
        <v>334417674</v>
      </c>
      <c r="FN50" s="19">
        <v>103843680</v>
      </c>
      <c r="FO50" s="19">
        <v>45850590</v>
      </c>
      <c r="FP50" s="19">
        <v>251806911</v>
      </c>
      <c r="FQ50" s="19">
        <v>-2302658</v>
      </c>
      <c r="FR50" s="19">
        <v>287667903</v>
      </c>
      <c r="FS50" s="19">
        <v>250698961</v>
      </c>
      <c r="FT50" s="19">
        <v>1934221117</v>
      </c>
      <c r="FU50" s="19">
        <v>16303182</v>
      </c>
      <c r="FV50" s="19">
        <v>1749212659</v>
      </c>
      <c r="FW50" s="19">
        <v>42302994</v>
      </c>
      <c r="FX50" s="19">
        <v>131139820</v>
      </c>
      <c r="FY50" s="19">
        <v>1634624279</v>
      </c>
      <c r="FZ50" s="19">
        <v>-94194581</v>
      </c>
      <c r="GA50" s="19">
        <v>362551700</v>
      </c>
      <c r="GB50" s="19">
        <v>41289703</v>
      </c>
      <c r="GC50" s="19">
        <v>226020579</v>
      </c>
      <c r="GD50" s="19" t="s">
        <v>96</v>
      </c>
      <c r="GE50" s="19">
        <v>543937205</v>
      </c>
      <c r="GF50" s="19">
        <v>228543053</v>
      </c>
      <c r="GG50" s="19">
        <v>-22652790</v>
      </c>
      <c r="GH50" s="19">
        <v>183529628</v>
      </c>
      <c r="GI50" s="19">
        <v>151931528</v>
      </c>
      <c r="GJ50" s="19">
        <v>761835225</v>
      </c>
      <c r="GK50" s="19">
        <v>84365981</v>
      </c>
      <c r="GL50" s="19" t="s">
        <v>96</v>
      </c>
      <c r="GM50" s="19">
        <v>230047495</v>
      </c>
      <c r="GN50" s="19">
        <v>759475725</v>
      </c>
      <c r="GO50" s="19">
        <v>-1629314</v>
      </c>
      <c r="GP50" s="19">
        <v>1374115828</v>
      </c>
      <c r="GQ50" s="19">
        <v>96212214</v>
      </c>
      <c r="GR50" s="19">
        <v>838037381</v>
      </c>
      <c r="GS50" s="19">
        <v>224489078</v>
      </c>
      <c r="GT50" s="19">
        <v>535251019</v>
      </c>
      <c r="GU50" s="19">
        <v>358056884</v>
      </c>
      <c r="GV50" s="19">
        <v>5646721519</v>
      </c>
      <c r="GW50" s="19">
        <v>736202331</v>
      </c>
      <c r="GX50" s="19">
        <v>444430574</v>
      </c>
      <c r="GY50" s="19">
        <v>-770694386</v>
      </c>
      <c r="GZ50" s="19">
        <v>834000387</v>
      </c>
      <c r="HA50" s="19">
        <v>697631693</v>
      </c>
      <c r="HB50" s="19">
        <v>359388665</v>
      </c>
      <c r="HC50" s="19">
        <v>273426088</v>
      </c>
      <c r="HD50" s="19">
        <v>90025670</v>
      </c>
      <c r="HE50" s="19">
        <v>283980985</v>
      </c>
      <c r="HF50" s="19">
        <v>5923432585</v>
      </c>
      <c r="HG50" s="19">
        <v>123001332</v>
      </c>
      <c r="HH50" s="19">
        <v>0</v>
      </c>
      <c r="HI50" s="19">
        <v>364034545</v>
      </c>
      <c r="HJ50" s="19">
        <v>201600764</v>
      </c>
      <c r="HK50" s="19">
        <v>292338717</v>
      </c>
      <c r="HL50" s="19">
        <v>523532307</v>
      </c>
      <c r="HM50" s="19">
        <v>779589296</v>
      </c>
      <c r="HN50" s="19">
        <v>95369352</v>
      </c>
      <c r="HO50" s="19">
        <v>779292146</v>
      </c>
      <c r="HP50" s="19">
        <v>439953549</v>
      </c>
      <c r="HQ50" s="19">
        <v>962302686</v>
      </c>
      <c r="HR50" s="19">
        <v>1383834362</v>
      </c>
      <c r="HS50" s="19">
        <v>437258983</v>
      </c>
      <c r="HT50" s="19">
        <v>165231904</v>
      </c>
      <c r="HU50" s="19">
        <v>215693561</v>
      </c>
      <c r="HV50" s="19">
        <v>110123278</v>
      </c>
      <c r="HW50" s="19">
        <v>9099922985</v>
      </c>
      <c r="HX50" s="19">
        <v>494060169</v>
      </c>
      <c r="HY50" s="19" t="s">
        <v>172</v>
      </c>
      <c r="HZ50" s="19">
        <v>549435560</v>
      </c>
      <c r="IA50" s="19">
        <v>705388051</v>
      </c>
      <c r="IB50" s="19">
        <v>972176740</v>
      </c>
      <c r="IC50" s="19">
        <v>471216610</v>
      </c>
      <c r="ID50" s="19">
        <v>353766311</v>
      </c>
      <c r="IE50" s="19" t="s">
        <v>96</v>
      </c>
      <c r="IF50" s="19">
        <v>-8739254</v>
      </c>
      <c r="IG50" s="19">
        <v>133203707</v>
      </c>
      <c r="IH50" s="19">
        <v>708809880</v>
      </c>
      <c r="II50" s="19">
        <v>236348015</v>
      </c>
      <c r="IJ50" s="19">
        <v>663473382</v>
      </c>
      <c r="IK50" s="19">
        <v>289275614</v>
      </c>
      <c r="IL50" s="19">
        <v>154266844</v>
      </c>
      <c r="IM50" s="19">
        <v>-105524854</v>
      </c>
      <c r="IN50" s="19">
        <v>523216332</v>
      </c>
      <c r="IO50" s="19">
        <v>658060523</v>
      </c>
      <c r="IP50" s="19">
        <v>884770305</v>
      </c>
      <c r="IQ50" s="19">
        <v>3965877560</v>
      </c>
      <c r="IR50" s="19">
        <v>866374415</v>
      </c>
      <c r="IS50" s="19">
        <v>595644998</v>
      </c>
      <c r="IT50" s="19">
        <v>820731973</v>
      </c>
    </row>
    <row r="51" spans="1:254">
      <c r="A51" s="9" t="s">
        <v>3</v>
      </c>
      <c r="B51" s="10" t="s">
        <v>102</v>
      </c>
      <c r="C51" s="19">
        <v>1767563605</v>
      </c>
      <c r="D51" s="19">
        <v>648079565</v>
      </c>
      <c r="E51" s="19">
        <v>370147217</v>
      </c>
      <c r="F51" s="19">
        <v>2672917027</v>
      </c>
      <c r="G51" s="19">
        <v>259295874</v>
      </c>
      <c r="H51" s="19">
        <v>10500602166</v>
      </c>
      <c r="I51" s="19">
        <v>8531697219</v>
      </c>
      <c r="J51" s="19" t="s">
        <v>4</v>
      </c>
      <c r="K51" s="19">
        <v>1037012981</v>
      </c>
      <c r="L51" s="19" t="s">
        <v>96</v>
      </c>
      <c r="M51" s="19" t="s">
        <v>96</v>
      </c>
      <c r="N51" s="19">
        <v>744112611</v>
      </c>
      <c r="O51" s="19">
        <v>8344801959</v>
      </c>
      <c r="P51" s="19">
        <v>5184645565</v>
      </c>
      <c r="Q51" s="19">
        <v>200256983</v>
      </c>
      <c r="R51" s="19">
        <v>287387372</v>
      </c>
      <c r="S51" s="19">
        <v>3479690979</v>
      </c>
      <c r="T51" s="19" t="s">
        <v>96</v>
      </c>
      <c r="U51" s="19">
        <v>1858753964</v>
      </c>
      <c r="V51" s="19" t="s">
        <v>172</v>
      </c>
      <c r="W51" s="19">
        <v>1118506251</v>
      </c>
      <c r="X51" s="19">
        <v>960585834</v>
      </c>
      <c r="Y51" s="19">
        <v>810288220</v>
      </c>
      <c r="Z51" s="19">
        <v>787708199</v>
      </c>
      <c r="AA51" s="19">
        <v>346629824</v>
      </c>
      <c r="AB51" s="19">
        <v>302277990</v>
      </c>
      <c r="AC51" s="19">
        <v>214953865</v>
      </c>
      <c r="AD51" s="19">
        <v>363338559</v>
      </c>
      <c r="AE51" s="19">
        <v>355761143</v>
      </c>
      <c r="AF51" s="19">
        <v>427445846</v>
      </c>
      <c r="AG51" s="19">
        <v>659802585</v>
      </c>
      <c r="AH51" s="19">
        <v>1591489634</v>
      </c>
      <c r="AI51" s="19">
        <v>435619935</v>
      </c>
      <c r="AJ51" s="19">
        <v>552619243</v>
      </c>
      <c r="AK51" s="19">
        <v>484150790</v>
      </c>
      <c r="AL51" s="19">
        <v>927146034</v>
      </c>
      <c r="AM51" s="19" t="s">
        <v>4</v>
      </c>
      <c r="AN51" s="19">
        <v>962305362</v>
      </c>
      <c r="AO51" s="19">
        <v>1757282111</v>
      </c>
      <c r="AP51" s="19">
        <v>960759267</v>
      </c>
      <c r="AQ51" s="19" t="s">
        <v>96</v>
      </c>
      <c r="AR51" s="19">
        <v>915736579</v>
      </c>
      <c r="AS51" s="19">
        <v>1593746452</v>
      </c>
      <c r="AT51" s="19">
        <v>453256338</v>
      </c>
      <c r="AU51" s="19">
        <v>1323238960</v>
      </c>
      <c r="AV51" s="19">
        <v>152732897</v>
      </c>
      <c r="AW51" s="19">
        <v>216658208</v>
      </c>
      <c r="AX51" s="19" t="s">
        <v>4</v>
      </c>
      <c r="AY51" s="19">
        <v>826909715</v>
      </c>
      <c r="AZ51" s="19">
        <v>379714039</v>
      </c>
      <c r="BA51" s="19">
        <v>2147056744</v>
      </c>
      <c r="BB51" s="19">
        <v>200398419</v>
      </c>
      <c r="BC51" s="19" t="s">
        <v>4</v>
      </c>
      <c r="BD51" s="19" t="s">
        <v>128</v>
      </c>
      <c r="BE51" s="19">
        <v>137313279</v>
      </c>
      <c r="BF51" s="19">
        <v>346437068</v>
      </c>
      <c r="BG51" s="19">
        <v>1854584098</v>
      </c>
      <c r="BH51" s="19">
        <v>119837234</v>
      </c>
      <c r="BI51" s="19">
        <v>515794064</v>
      </c>
      <c r="BJ51" s="19">
        <v>285529298</v>
      </c>
      <c r="BK51" s="19">
        <v>703777390</v>
      </c>
      <c r="BL51" s="19">
        <v>1451851580</v>
      </c>
      <c r="BM51" s="19">
        <v>876428425</v>
      </c>
      <c r="BN51" s="19">
        <v>62737294</v>
      </c>
      <c r="BO51" s="19">
        <v>200042974</v>
      </c>
      <c r="BP51" s="19" t="s">
        <v>96</v>
      </c>
      <c r="BQ51" s="19" t="s">
        <v>4</v>
      </c>
      <c r="BR51" s="19">
        <v>1294337506</v>
      </c>
      <c r="BS51" s="19">
        <v>153230323</v>
      </c>
      <c r="BT51" s="19">
        <v>71749794</v>
      </c>
      <c r="BU51" s="19">
        <v>545835332</v>
      </c>
      <c r="BV51" s="19">
        <v>347307529</v>
      </c>
      <c r="BW51" s="19">
        <v>123105440</v>
      </c>
      <c r="BX51" s="19">
        <v>485839411</v>
      </c>
      <c r="BY51" s="19">
        <v>2739301918</v>
      </c>
      <c r="BZ51" s="19">
        <v>639289492</v>
      </c>
      <c r="CA51" s="19">
        <v>2287417916</v>
      </c>
      <c r="CB51" s="19">
        <v>328664607</v>
      </c>
      <c r="CC51" s="19">
        <v>263178853</v>
      </c>
      <c r="CD51" s="19">
        <v>508925233</v>
      </c>
      <c r="CE51" s="19">
        <v>51432379</v>
      </c>
      <c r="CF51" s="19">
        <v>576170610</v>
      </c>
      <c r="CG51" s="19">
        <v>973653016</v>
      </c>
      <c r="CH51" s="19">
        <v>217200396</v>
      </c>
      <c r="CI51" s="19" t="s">
        <v>128</v>
      </c>
      <c r="CJ51" s="19">
        <v>94069524</v>
      </c>
      <c r="CK51" s="19">
        <v>1006404187</v>
      </c>
      <c r="CL51" s="19">
        <v>220439866</v>
      </c>
      <c r="CM51" s="19">
        <v>7884255542</v>
      </c>
      <c r="CN51" s="19">
        <v>213962415</v>
      </c>
      <c r="CO51" s="19">
        <v>202111264</v>
      </c>
      <c r="CP51" s="19">
        <v>3345336920</v>
      </c>
      <c r="CQ51" s="19" t="s">
        <v>96</v>
      </c>
      <c r="CR51" s="19">
        <v>468360304</v>
      </c>
      <c r="CS51" s="19">
        <v>988410278</v>
      </c>
      <c r="CT51" s="19">
        <v>7981936137</v>
      </c>
      <c r="CU51" s="19">
        <v>431005359</v>
      </c>
      <c r="CV51" s="19">
        <v>123425649</v>
      </c>
      <c r="CW51" s="19">
        <v>1844475627</v>
      </c>
      <c r="CX51" s="19">
        <v>2956353626</v>
      </c>
      <c r="CY51" s="19" t="s">
        <v>96</v>
      </c>
      <c r="CZ51" s="19">
        <v>3769560434</v>
      </c>
      <c r="DA51" s="19">
        <v>1211005329</v>
      </c>
      <c r="DB51" s="19">
        <v>256944754</v>
      </c>
      <c r="DC51" s="19">
        <v>38342628</v>
      </c>
      <c r="DD51" s="19">
        <v>151343528</v>
      </c>
      <c r="DE51" s="19">
        <v>1305185119</v>
      </c>
      <c r="DF51" s="19">
        <v>101299727</v>
      </c>
      <c r="DG51" s="19">
        <v>686574442</v>
      </c>
      <c r="DH51" s="19">
        <v>461043503</v>
      </c>
      <c r="DI51" s="19">
        <v>566836079</v>
      </c>
      <c r="DJ51" s="19">
        <v>297464314</v>
      </c>
      <c r="DK51" s="19">
        <v>1310965796</v>
      </c>
      <c r="DL51" s="19">
        <v>398155412</v>
      </c>
      <c r="DM51" s="19">
        <v>384222621</v>
      </c>
      <c r="DN51" s="19">
        <v>261960568</v>
      </c>
      <c r="DO51" s="19">
        <v>206007867</v>
      </c>
      <c r="DP51" s="19">
        <v>365156393</v>
      </c>
      <c r="DQ51" s="19">
        <v>70107018</v>
      </c>
      <c r="DR51" s="19">
        <v>972808544</v>
      </c>
      <c r="DS51" s="19">
        <v>863070389</v>
      </c>
      <c r="DT51" s="19">
        <v>1328904785</v>
      </c>
      <c r="DU51" s="19">
        <v>265690128</v>
      </c>
      <c r="DV51" s="19">
        <v>195877688</v>
      </c>
      <c r="DW51" s="19">
        <v>566681479</v>
      </c>
      <c r="DX51" s="19">
        <v>5896075879</v>
      </c>
      <c r="DY51" s="19">
        <v>467926354</v>
      </c>
      <c r="DZ51" s="19">
        <v>282443573</v>
      </c>
      <c r="EA51" s="19">
        <v>156715787</v>
      </c>
      <c r="EB51" s="19">
        <v>8341771511</v>
      </c>
      <c r="EC51" s="19">
        <v>491942784</v>
      </c>
      <c r="ED51" s="19">
        <v>368367559</v>
      </c>
      <c r="EE51" s="19">
        <v>136160734</v>
      </c>
      <c r="EF51" s="19">
        <v>499204999</v>
      </c>
      <c r="EG51" s="19">
        <v>2523790168</v>
      </c>
      <c r="EH51" s="19">
        <v>70868560</v>
      </c>
      <c r="EI51" s="19">
        <v>2052008558</v>
      </c>
      <c r="EJ51" s="19">
        <v>571079477</v>
      </c>
      <c r="EK51" s="19">
        <v>1652265390</v>
      </c>
      <c r="EL51" s="19">
        <v>634375207</v>
      </c>
      <c r="EM51" s="19">
        <v>210871932</v>
      </c>
      <c r="EN51" s="19">
        <v>7890650461</v>
      </c>
      <c r="EO51" s="19">
        <v>1205539326</v>
      </c>
      <c r="EP51" s="19">
        <v>877483875</v>
      </c>
      <c r="EQ51" s="19">
        <v>5489791136</v>
      </c>
      <c r="ER51" s="19">
        <v>7683431887</v>
      </c>
      <c r="ES51" s="19">
        <v>633014330</v>
      </c>
      <c r="ET51" s="19">
        <v>1553768368</v>
      </c>
      <c r="EU51" s="19">
        <v>1804936046</v>
      </c>
      <c r="EV51" s="19">
        <v>136241648</v>
      </c>
      <c r="EW51" s="19">
        <v>225884270</v>
      </c>
      <c r="EX51" s="19">
        <v>1260764757</v>
      </c>
      <c r="EY51" s="19">
        <v>6278726620</v>
      </c>
      <c r="EZ51" s="19">
        <v>968089297</v>
      </c>
      <c r="FA51" s="19">
        <v>615361642</v>
      </c>
      <c r="FB51" s="19">
        <v>143161731</v>
      </c>
      <c r="FC51" s="19">
        <v>379680524</v>
      </c>
      <c r="FD51" s="19">
        <v>228179839</v>
      </c>
      <c r="FE51" s="19">
        <v>5141988479</v>
      </c>
      <c r="FF51" s="19">
        <v>690644508</v>
      </c>
      <c r="FG51" s="19">
        <v>663840092</v>
      </c>
      <c r="FH51" s="19">
        <v>476947804</v>
      </c>
      <c r="FI51" s="19" t="s">
        <v>96</v>
      </c>
      <c r="FJ51" s="19">
        <v>370428398</v>
      </c>
      <c r="FK51" s="19">
        <v>1372342933</v>
      </c>
      <c r="FL51" s="19">
        <v>122480095</v>
      </c>
      <c r="FM51" s="19">
        <v>509215827</v>
      </c>
      <c r="FN51" s="19">
        <v>570516467</v>
      </c>
      <c r="FO51" s="19">
        <v>85315851</v>
      </c>
      <c r="FP51" s="19">
        <v>283428255</v>
      </c>
      <c r="FQ51" s="19">
        <v>152001403</v>
      </c>
      <c r="FR51" s="19">
        <v>467944600</v>
      </c>
      <c r="FS51" s="19">
        <v>564024906</v>
      </c>
      <c r="FT51" s="19">
        <v>1053070485</v>
      </c>
      <c r="FU51" s="19">
        <v>29370952</v>
      </c>
      <c r="FV51" s="19">
        <v>1196361773</v>
      </c>
      <c r="FW51" s="19">
        <v>81849707</v>
      </c>
      <c r="FX51" s="19">
        <v>379736839</v>
      </c>
      <c r="FY51" s="19">
        <v>3704323002</v>
      </c>
      <c r="FZ51" s="19">
        <v>808969912</v>
      </c>
      <c r="GA51" s="19">
        <v>1022493390</v>
      </c>
      <c r="GB51" s="19">
        <v>359353834</v>
      </c>
      <c r="GC51" s="19">
        <v>210336534</v>
      </c>
      <c r="GD51" s="19" t="s">
        <v>96</v>
      </c>
      <c r="GE51" s="19">
        <v>849534185</v>
      </c>
      <c r="GF51" s="19">
        <v>273013847</v>
      </c>
      <c r="GG51" s="19">
        <v>1268430740</v>
      </c>
      <c r="GH51" s="19">
        <v>237613737</v>
      </c>
      <c r="GI51" s="19">
        <v>124774503</v>
      </c>
      <c r="GJ51" s="19">
        <v>865056999</v>
      </c>
      <c r="GK51" s="19">
        <v>351670333</v>
      </c>
      <c r="GL51" s="19" t="s">
        <v>96</v>
      </c>
      <c r="GM51" s="19">
        <v>478005737</v>
      </c>
      <c r="GN51" s="19">
        <v>1040452618</v>
      </c>
      <c r="GO51" s="19">
        <v>321831113</v>
      </c>
      <c r="GP51" s="19">
        <v>1056040162</v>
      </c>
      <c r="GQ51" s="19">
        <v>88394979</v>
      </c>
      <c r="GR51" s="19">
        <v>989178893</v>
      </c>
      <c r="GS51" s="19">
        <v>403626139</v>
      </c>
      <c r="GT51" s="19">
        <v>735050423</v>
      </c>
      <c r="GU51" s="19">
        <v>303712084</v>
      </c>
      <c r="GV51" s="19">
        <v>5548190219</v>
      </c>
      <c r="GW51" s="19">
        <v>3668678927</v>
      </c>
      <c r="GX51" s="19">
        <v>365283512</v>
      </c>
      <c r="GY51" s="19">
        <v>1527184594</v>
      </c>
      <c r="GZ51" s="19">
        <v>575947486</v>
      </c>
      <c r="HA51" s="19">
        <v>1962602800</v>
      </c>
      <c r="HB51" s="19">
        <v>638019955</v>
      </c>
      <c r="HC51" s="19">
        <v>570891667</v>
      </c>
      <c r="HD51" s="19">
        <v>522951238</v>
      </c>
      <c r="HE51" s="19">
        <v>385450951</v>
      </c>
      <c r="HF51" s="19">
        <v>6231325870</v>
      </c>
      <c r="HG51" s="19">
        <v>192677099</v>
      </c>
      <c r="HH51" s="19"/>
      <c r="HI51" s="19">
        <v>1666008153</v>
      </c>
      <c r="HJ51" s="19">
        <v>166000654</v>
      </c>
      <c r="HK51" s="19">
        <v>1291804383</v>
      </c>
      <c r="HL51" s="19">
        <v>430638175</v>
      </c>
      <c r="HM51" s="19">
        <v>782967450</v>
      </c>
      <c r="HN51" s="19">
        <v>142253896</v>
      </c>
      <c r="HO51" s="19">
        <v>567827115</v>
      </c>
      <c r="HP51" s="19">
        <v>940188214</v>
      </c>
      <c r="HQ51" s="19">
        <v>912879510</v>
      </c>
      <c r="HR51" s="19">
        <v>1502262357</v>
      </c>
      <c r="HS51" s="19">
        <v>519110052</v>
      </c>
      <c r="HT51" s="19">
        <v>170370467</v>
      </c>
      <c r="HU51" s="19">
        <v>4179809041</v>
      </c>
      <c r="HV51" s="19">
        <v>116617517</v>
      </c>
      <c r="HW51" s="19">
        <v>29397625933</v>
      </c>
      <c r="HX51" s="19">
        <v>365809720</v>
      </c>
      <c r="HY51" s="19" t="s">
        <v>172</v>
      </c>
      <c r="HZ51" s="19">
        <v>144314316</v>
      </c>
      <c r="IA51" s="19">
        <v>172521418</v>
      </c>
      <c r="IB51" s="19">
        <v>1138370900</v>
      </c>
      <c r="IC51" s="19">
        <v>414644690</v>
      </c>
      <c r="ID51" s="19">
        <v>405915522</v>
      </c>
      <c r="IE51" s="19" t="s">
        <v>96</v>
      </c>
      <c r="IF51" s="19">
        <v>82655290</v>
      </c>
      <c r="IG51" s="19">
        <v>131843006</v>
      </c>
      <c r="IH51" s="19">
        <v>491096902</v>
      </c>
      <c r="II51" s="19">
        <v>235000622</v>
      </c>
      <c r="IJ51" s="19">
        <v>686716181</v>
      </c>
      <c r="IK51" s="19">
        <v>331044264</v>
      </c>
      <c r="IL51" s="19">
        <v>138487937</v>
      </c>
      <c r="IM51" s="19">
        <v>298286409</v>
      </c>
      <c r="IN51" s="19">
        <v>545397746</v>
      </c>
      <c r="IO51" s="19">
        <v>422783250</v>
      </c>
      <c r="IP51" s="19">
        <v>1155074746</v>
      </c>
      <c r="IQ51" s="19">
        <v>3724260475</v>
      </c>
      <c r="IR51" s="19">
        <v>633316190</v>
      </c>
      <c r="IS51" s="19">
        <v>396066324</v>
      </c>
      <c r="IT51" s="19">
        <v>614139178</v>
      </c>
    </row>
    <row r="52" spans="1:254">
      <c r="A52" s="9" t="s">
        <v>3</v>
      </c>
      <c r="B52" s="15" t="s">
        <v>26</v>
      </c>
      <c r="C52" s="19">
        <v>1516657249</v>
      </c>
      <c r="D52" s="19">
        <v>528143760</v>
      </c>
      <c r="E52" s="19">
        <v>195464400</v>
      </c>
      <c r="F52" s="19">
        <v>2100730488</v>
      </c>
      <c r="G52" s="19">
        <v>129698134</v>
      </c>
      <c r="H52" s="19">
        <v>6515598596</v>
      </c>
      <c r="I52" s="19">
        <v>7227300375</v>
      </c>
      <c r="J52" s="19" t="s">
        <v>4</v>
      </c>
      <c r="K52" s="19">
        <v>695804469</v>
      </c>
      <c r="L52" s="19" t="s">
        <v>96</v>
      </c>
      <c r="M52" s="19" t="s">
        <v>96</v>
      </c>
      <c r="N52" s="19">
        <v>387777776</v>
      </c>
      <c r="O52" s="19">
        <v>5936825918</v>
      </c>
      <c r="P52" s="19">
        <v>3880592897</v>
      </c>
      <c r="Q52" s="19">
        <v>103651892</v>
      </c>
      <c r="R52" s="19">
        <v>115818121</v>
      </c>
      <c r="S52" s="19">
        <v>880588471</v>
      </c>
      <c r="T52" s="19" t="s">
        <v>96</v>
      </c>
      <c r="U52" s="19">
        <v>1211017989</v>
      </c>
      <c r="V52" s="19" t="s">
        <v>172</v>
      </c>
      <c r="W52" s="19">
        <v>210068945</v>
      </c>
      <c r="X52" s="19">
        <v>491154880</v>
      </c>
      <c r="Y52" s="19">
        <v>379433825</v>
      </c>
      <c r="Z52" s="19">
        <v>355156779</v>
      </c>
      <c r="AA52" s="19">
        <v>190409672</v>
      </c>
      <c r="AB52" s="19">
        <v>90522290</v>
      </c>
      <c r="AC52" s="19">
        <v>99497273</v>
      </c>
      <c r="AD52" s="19">
        <v>110691300</v>
      </c>
      <c r="AE52" s="19">
        <v>78686722</v>
      </c>
      <c r="AF52" s="19">
        <v>229922088</v>
      </c>
      <c r="AG52" s="19">
        <v>344057410</v>
      </c>
      <c r="AH52" s="19">
        <v>632546249</v>
      </c>
      <c r="AI52" s="19">
        <v>243787287</v>
      </c>
      <c r="AJ52" s="19">
        <v>340663832</v>
      </c>
      <c r="AK52" s="19">
        <v>195889010</v>
      </c>
      <c r="AL52" s="19">
        <v>400050377</v>
      </c>
      <c r="AM52" s="19" t="s">
        <v>4</v>
      </c>
      <c r="AN52" s="19">
        <v>424647670</v>
      </c>
      <c r="AO52" s="19">
        <v>897244149</v>
      </c>
      <c r="AP52" s="19">
        <v>515426334</v>
      </c>
      <c r="AQ52" s="19" t="s">
        <v>96</v>
      </c>
      <c r="AR52" s="19">
        <v>490209391</v>
      </c>
      <c r="AS52" s="19">
        <v>316705198</v>
      </c>
      <c r="AT52" s="19">
        <v>361811247</v>
      </c>
      <c r="AU52" s="19">
        <v>664676960</v>
      </c>
      <c r="AV52" s="19">
        <v>33932810</v>
      </c>
      <c r="AW52" s="19">
        <v>166441165</v>
      </c>
      <c r="AX52" s="19" t="s">
        <v>4</v>
      </c>
      <c r="AY52" s="19">
        <v>576905776</v>
      </c>
      <c r="AZ52" s="19">
        <v>170744649</v>
      </c>
      <c r="BA52" s="19">
        <v>1308524558</v>
      </c>
      <c r="BB52" s="19">
        <v>154356050</v>
      </c>
      <c r="BC52" s="19" t="s">
        <v>4</v>
      </c>
      <c r="BD52" s="19" t="s">
        <v>128</v>
      </c>
      <c r="BE52" s="19">
        <v>28038772</v>
      </c>
      <c r="BF52" s="19">
        <v>92146502</v>
      </c>
      <c r="BG52" s="19">
        <v>510246048</v>
      </c>
      <c r="BH52" s="19">
        <v>103926565</v>
      </c>
      <c r="BI52" s="19">
        <v>300132880</v>
      </c>
      <c r="BJ52" s="19">
        <v>197101400</v>
      </c>
      <c r="BK52" s="19">
        <v>292177584</v>
      </c>
      <c r="BL52" s="19">
        <v>573174498</v>
      </c>
      <c r="BM52" s="19">
        <v>679796133</v>
      </c>
      <c r="BN52" s="19">
        <v>57031460</v>
      </c>
      <c r="BO52" s="19">
        <v>30873000</v>
      </c>
      <c r="BP52" s="19" t="s">
        <v>96</v>
      </c>
      <c r="BQ52" s="19" t="s">
        <v>4</v>
      </c>
      <c r="BR52" s="19">
        <v>638083206</v>
      </c>
      <c r="BS52" s="19">
        <v>98852050</v>
      </c>
      <c r="BT52" s="19">
        <v>41987980</v>
      </c>
      <c r="BU52" s="19">
        <v>289737922</v>
      </c>
      <c r="BV52" s="19">
        <v>120830793</v>
      </c>
      <c r="BW52" s="19">
        <v>203750323</v>
      </c>
      <c r="BX52" s="19">
        <v>225703409</v>
      </c>
      <c r="BY52" s="19">
        <v>1559199690</v>
      </c>
      <c r="BZ52" s="19">
        <v>230482390</v>
      </c>
      <c r="CA52" s="19">
        <v>1197132445</v>
      </c>
      <c r="CB52" s="19">
        <v>153587052</v>
      </c>
      <c r="CC52" s="19">
        <v>130458370</v>
      </c>
      <c r="CD52" s="19">
        <v>304245025</v>
      </c>
      <c r="CE52" s="19">
        <v>47900000</v>
      </c>
      <c r="CF52" s="19">
        <v>373687589</v>
      </c>
      <c r="CG52" s="19">
        <v>860851918</v>
      </c>
      <c r="CH52" s="19">
        <v>137600233</v>
      </c>
      <c r="CI52" s="19" t="s">
        <v>128</v>
      </c>
      <c r="CJ52" s="19">
        <v>36000000</v>
      </c>
      <c r="CK52" s="19">
        <v>673493078</v>
      </c>
      <c r="CL52" s="19">
        <v>57775514</v>
      </c>
      <c r="CM52" s="19">
        <v>7468705233</v>
      </c>
      <c r="CN52" s="19">
        <v>118594677</v>
      </c>
      <c r="CO52" s="19">
        <v>122797008</v>
      </c>
      <c r="CP52" s="19">
        <v>532534964</v>
      </c>
      <c r="CQ52" s="19" t="s">
        <v>96</v>
      </c>
      <c r="CR52" s="19">
        <v>293915110</v>
      </c>
      <c r="CS52" s="19">
        <v>221068562</v>
      </c>
      <c r="CT52" s="19">
        <v>2202840227</v>
      </c>
      <c r="CU52" s="19">
        <v>300652401</v>
      </c>
      <c r="CV52" s="19">
        <v>27362476</v>
      </c>
      <c r="CW52" s="19">
        <v>1219483022</v>
      </c>
      <c r="CX52" s="19">
        <v>1479834880</v>
      </c>
      <c r="CY52" s="19" t="s">
        <v>96</v>
      </c>
      <c r="CZ52" s="19">
        <v>777808244</v>
      </c>
      <c r="DA52" s="19">
        <v>564761180</v>
      </c>
      <c r="DB52" s="19">
        <v>213316248</v>
      </c>
      <c r="DC52" s="19">
        <v>22208660</v>
      </c>
      <c r="DD52" s="19">
        <v>92402388</v>
      </c>
      <c r="DE52" s="19">
        <v>859789929</v>
      </c>
      <c r="DF52" s="19">
        <v>84362953</v>
      </c>
      <c r="DG52" s="19">
        <v>351405339</v>
      </c>
      <c r="DH52" s="19">
        <v>274482790</v>
      </c>
      <c r="DI52" s="19">
        <v>130125670</v>
      </c>
      <c r="DJ52" s="19">
        <v>140130414</v>
      </c>
      <c r="DK52" s="19">
        <v>300201471</v>
      </c>
      <c r="DL52" s="19">
        <v>173363499</v>
      </c>
      <c r="DM52" s="19">
        <v>238352327</v>
      </c>
      <c r="DN52" s="19">
        <v>95810020</v>
      </c>
      <c r="DO52" s="19">
        <v>172672792</v>
      </c>
      <c r="DP52" s="19">
        <v>116185731</v>
      </c>
      <c r="DQ52" s="19">
        <v>52908666</v>
      </c>
      <c r="DR52" s="19">
        <v>263542582</v>
      </c>
      <c r="DS52" s="19">
        <v>740930399</v>
      </c>
      <c r="DT52" s="19">
        <v>549741428</v>
      </c>
      <c r="DU52" s="19">
        <v>218476397</v>
      </c>
      <c r="DV52" s="19">
        <v>81915780</v>
      </c>
      <c r="DW52" s="19">
        <v>426600467</v>
      </c>
      <c r="DX52" s="19">
        <v>2618749264</v>
      </c>
      <c r="DY52" s="19">
        <v>504453606</v>
      </c>
      <c r="DZ52" s="19">
        <v>208350565</v>
      </c>
      <c r="EA52" s="19">
        <v>135750000</v>
      </c>
      <c r="EB52" s="19">
        <v>7648554681</v>
      </c>
      <c r="EC52" s="19">
        <v>148735150</v>
      </c>
      <c r="ED52" s="19">
        <v>259136432</v>
      </c>
      <c r="EE52" s="19">
        <v>85915756</v>
      </c>
      <c r="EF52" s="19">
        <v>224399755</v>
      </c>
      <c r="EG52" s="19">
        <v>1305202638</v>
      </c>
      <c r="EH52" s="19">
        <v>58250000</v>
      </c>
      <c r="EI52" s="19">
        <v>832485096</v>
      </c>
      <c r="EJ52" s="19">
        <v>260790342</v>
      </c>
      <c r="EK52" s="19">
        <v>790196533</v>
      </c>
      <c r="EL52" s="19">
        <v>303023039</v>
      </c>
      <c r="EM52" s="19">
        <v>137205384</v>
      </c>
      <c r="EN52" s="19">
        <v>5623705704</v>
      </c>
      <c r="EO52" s="19">
        <v>822727111</v>
      </c>
      <c r="EP52" s="19">
        <v>670980471</v>
      </c>
      <c r="EQ52" s="19">
        <v>4570153473</v>
      </c>
      <c r="ER52" s="19">
        <v>6758779909</v>
      </c>
      <c r="ES52" s="19">
        <v>364244453</v>
      </c>
      <c r="ET52" s="19">
        <v>504083785</v>
      </c>
      <c r="EU52" s="19">
        <v>665467142</v>
      </c>
      <c r="EV52" s="19">
        <v>123720355</v>
      </c>
      <c r="EW52" s="19">
        <v>141099570</v>
      </c>
      <c r="EX52" s="19">
        <v>263054278</v>
      </c>
      <c r="EY52" s="19">
        <v>5281598382</v>
      </c>
      <c r="EZ52" s="19">
        <v>305544528</v>
      </c>
      <c r="FA52" s="19">
        <v>516641245</v>
      </c>
      <c r="FB52" s="19">
        <v>145856512</v>
      </c>
      <c r="FC52" s="19">
        <v>157245830</v>
      </c>
      <c r="FD52" s="19">
        <v>170428478</v>
      </c>
      <c r="FE52" s="19">
        <v>1769263558</v>
      </c>
      <c r="FF52" s="19">
        <v>319809220</v>
      </c>
      <c r="FG52" s="19">
        <v>364877779</v>
      </c>
      <c r="FH52" s="19">
        <v>253927209</v>
      </c>
      <c r="FI52" s="19" t="s">
        <v>96</v>
      </c>
      <c r="FJ52" s="19">
        <v>165446838</v>
      </c>
      <c r="FK52" s="19">
        <v>1039776565</v>
      </c>
      <c r="FL52" s="19">
        <v>3102179</v>
      </c>
      <c r="FM52" s="19">
        <v>202091063</v>
      </c>
      <c r="FN52" s="19">
        <v>298262965</v>
      </c>
      <c r="FO52" s="19">
        <v>35544000</v>
      </c>
      <c r="FP52" s="19">
        <v>226973873</v>
      </c>
      <c r="FQ52" s="19">
        <v>109079262</v>
      </c>
      <c r="FR52" s="19">
        <v>309421173</v>
      </c>
      <c r="FS52" s="19">
        <v>323268326</v>
      </c>
      <c r="FT52" s="19">
        <v>137481663</v>
      </c>
      <c r="FU52" s="19">
        <v>21170410</v>
      </c>
      <c r="FV52" s="19">
        <v>656807301</v>
      </c>
      <c r="FW52" s="19">
        <v>20436830</v>
      </c>
      <c r="FX52" s="19">
        <v>225697714</v>
      </c>
      <c r="FY52" s="19">
        <v>1008006843</v>
      </c>
      <c r="FZ52" s="19">
        <v>439064094</v>
      </c>
      <c r="GA52" s="19">
        <v>724086177</v>
      </c>
      <c r="GB52" s="19">
        <v>149259173</v>
      </c>
      <c r="GC52" s="19">
        <v>108454167</v>
      </c>
      <c r="GD52" s="19" t="s">
        <v>96</v>
      </c>
      <c r="GE52" s="19">
        <v>266128255</v>
      </c>
      <c r="GF52" s="19">
        <v>93156595</v>
      </c>
      <c r="GG52" s="19">
        <v>291488295</v>
      </c>
      <c r="GH52" s="19">
        <v>162339221</v>
      </c>
      <c r="GI52" s="19">
        <v>8400000</v>
      </c>
      <c r="GJ52" s="19">
        <v>567886940</v>
      </c>
      <c r="GK52" s="19">
        <v>112595497</v>
      </c>
      <c r="GL52" s="19" t="s">
        <v>96</v>
      </c>
      <c r="GM52" s="19">
        <v>101529800</v>
      </c>
      <c r="GN52" s="19">
        <v>114941827</v>
      </c>
      <c r="GO52" s="19">
        <v>176800718</v>
      </c>
      <c r="GP52" s="19">
        <v>250866417</v>
      </c>
      <c r="GQ52" s="19">
        <v>45600000</v>
      </c>
      <c r="GR52" s="19">
        <v>328601935</v>
      </c>
      <c r="GS52" s="19">
        <v>301067910</v>
      </c>
      <c r="GT52" s="19">
        <v>465570332</v>
      </c>
      <c r="GU52" s="19">
        <v>178199603</v>
      </c>
      <c r="GV52" s="19">
        <v>4712900196</v>
      </c>
      <c r="GW52" s="19">
        <v>1749522607</v>
      </c>
      <c r="GX52" s="19">
        <v>291817146</v>
      </c>
      <c r="GY52" s="19">
        <v>662384649</v>
      </c>
      <c r="GZ52" s="19">
        <v>288373949</v>
      </c>
      <c r="HA52" s="19">
        <v>760935267</v>
      </c>
      <c r="HB52" s="19">
        <v>308495877</v>
      </c>
      <c r="HC52" s="19">
        <v>266261545</v>
      </c>
      <c r="HD52" s="19">
        <v>172118484</v>
      </c>
      <c r="HE52" s="19">
        <v>140478465</v>
      </c>
      <c r="HF52" s="19">
        <v>5574019119</v>
      </c>
      <c r="HG52" s="19">
        <v>195471984</v>
      </c>
      <c r="HH52" s="19"/>
      <c r="HI52" s="19">
        <v>1037936214</v>
      </c>
      <c r="HJ52" s="19">
        <v>40800000</v>
      </c>
      <c r="HK52" s="19">
        <v>854950815</v>
      </c>
      <c r="HL52" s="19">
        <v>99649330</v>
      </c>
      <c r="HM52" s="19">
        <v>296658290</v>
      </c>
      <c r="HN52" s="19">
        <v>79548880</v>
      </c>
      <c r="HO52" s="19">
        <v>550566212</v>
      </c>
      <c r="HP52" s="19">
        <v>725516274</v>
      </c>
      <c r="HQ52" s="19">
        <v>1112041882</v>
      </c>
      <c r="HR52" s="19">
        <v>2594266179</v>
      </c>
      <c r="HS52" s="19">
        <v>401998837</v>
      </c>
      <c r="HT52" s="19">
        <v>230690150</v>
      </c>
      <c r="HU52" s="19">
        <v>1106192695</v>
      </c>
      <c r="HV52" s="19">
        <v>96163800</v>
      </c>
      <c r="HW52" s="19">
        <v>8956928280</v>
      </c>
      <c r="HX52" s="19">
        <v>129987466</v>
      </c>
      <c r="HY52" s="19" t="s">
        <v>172</v>
      </c>
      <c r="HZ52" s="19">
        <v>190204945</v>
      </c>
      <c r="IA52" s="19">
        <v>169425436</v>
      </c>
      <c r="IB52" s="19">
        <v>656274091</v>
      </c>
      <c r="IC52" s="19">
        <v>463844901</v>
      </c>
      <c r="ID52" s="19">
        <v>353647240</v>
      </c>
      <c r="IE52" s="19" t="s">
        <v>96</v>
      </c>
      <c r="IF52" s="19">
        <v>62742820</v>
      </c>
      <c r="IG52" s="19">
        <v>100122614</v>
      </c>
      <c r="IH52" s="19">
        <v>131896527</v>
      </c>
      <c r="II52" s="19">
        <v>53825806</v>
      </c>
      <c r="IJ52" s="19">
        <v>665564527</v>
      </c>
      <c r="IK52" s="19">
        <v>145533135</v>
      </c>
      <c r="IL52" s="19">
        <v>42413091</v>
      </c>
      <c r="IM52" s="19">
        <v>191090874</v>
      </c>
      <c r="IN52" s="19">
        <v>306467064</v>
      </c>
      <c r="IO52" s="19">
        <v>139907013</v>
      </c>
      <c r="IP52" s="19">
        <v>546817327</v>
      </c>
      <c r="IQ52" s="19">
        <v>256900871</v>
      </c>
      <c r="IR52" s="19">
        <v>295818268</v>
      </c>
      <c r="IS52" s="19">
        <v>157739936</v>
      </c>
      <c r="IT52" s="19">
        <v>475971461</v>
      </c>
    </row>
    <row r="53" spans="1:254">
      <c r="A53" s="9" t="s">
        <v>3</v>
      </c>
      <c r="B53" s="15" t="s">
        <v>35</v>
      </c>
      <c r="C53" s="19"/>
      <c r="D53" s="19">
        <v>-571533620</v>
      </c>
      <c r="E53" s="19"/>
      <c r="F53" s="19"/>
      <c r="G53" s="19">
        <v>-23745860</v>
      </c>
      <c r="H53" s="19"/>
      <c r="I53" s="19">
        <v>-330152156</v>
      </c>
      <c r="J53" s="19" t="s">
        <v>4</v>
      </c>
      <c r="K53" s="19"/>
      <c r="L53" s="19" t="s">
        <v>96</v>
      </c>
      <c r="M53" s="19" t="s">
        <v>96</v>
      </c>
      <c r="N53" s="19"/>
      <c r="O53" s="19"/>
      <c r="P53" s="19"/>
      <c r="Q53" s="19">
        <v>-28272580</v>
      </c>
      <c r="R53" s="19">
        <v>-6732670</v>
      </c>
      <c r="S53" s="19"/>
      <c r="T53" s="19" t="s">
        <v>96</v>
      </c>
      <c r="U53" s="19"/>
      <c r="V53" s="19" t="s">
        <v>172</v>
      </c>
      <c r="W53" s="19">
        <v>-29643966</v>
      </c>
      <c r="X53" s="19"/>
      <c r="Y53" s="19"/>
      <c r="Z53" s="19"/>
      <c r="AA53" s="19"/>
      <c r="AB53" s="19"/>
      <c r="AC53" s="19"/>
      <c r="AD53" s="19"/>
      <c r="AE53" s="19"/>
      <c r="AF53" s="19">
        <v>-41468890</v>
      </c>
      <c r="AG53" s="19"/>
      <c r="AH53" s="19"/>
      <c r="AI53" s="19"/>
      <c r="AJ53" s="19">
        <v>-25176364</v>
      </c>
      <c r="AK53" s="19"/>
      <c r="AL53" s="19"/>
      <c r="AM53" s="19" t="s">
        <v>4</v>
      </c>
      <c r="AN53" s="19"/>
      <c r="AO53" s="19"/>
      <c r="AP53" s="19"/>
      <c r="AQ53" s="19" t="s">
        <v>96</v>
      </c>
      <c r="AR53" s="19">
        <v>-131121023</v>
      </c>
      <c r="AS53" s="19"/>
      <c r="AT53" s="19"/>
      <c r="AU53" s="19"/>
      <c r="AV53" s="19"/>
      <c r="AW53" s="19">
        <v>-77598290</v>
      </c>
      <c r="AX53" s="19" t="s">
        <v>4</v>
      </c>
      <c r="AY53" s="19"/>
      <c r="AZ53" s="19"/>
      <c r="BA53" s="19">
        <v>-77007500</v>
      </c>
      <c r="BB53" s="19"/>
      <c r="BC53" s="19" t="s">
        <v>4</v>
      </c>
      <c r="BD53" s="19" t="s">
        <v>128</v>
      </c>
      <c r="BE53" s="19"/>
      <c r="BF53" s="19"/>
      <c r="BG53" s="19"/>
      <c r="BH53" s="19">
        <v>-40303600</v>
      </c>
      <c r="BI53" s="19"/>
      <c r="BJ53" s="19">
        <v>-50612120</v>
      </c>
      <c r="BK53" s="19"/>
      <c r="BL53" s="19"/>
      <c r="BM53" s="19">
        <v>-194307220</v>
      </c>
      <c r="BN53" s="19"/>
      <c r="BO53" s="19"/>
      <c r="BP53" s="19" t="s">
        <v>96</v>
      </c>
      <c r="BQ53" s="19" t="s">
        <v>4</v>
      </c>
      <c r="BR53" s="19">
        <v>-82393810</v>
      </c>
      <c r="BS53" s="19">
        <v>-35250000</v>
      </c>
      <c r="BT53" s="19"/>
      <c r="BU53" s="19"/>
      <c r="BV53" s="19">
        <v>-15982200</v>
      </c>
      <c r="BW53" s="19">
        <v>-133802160</v>
      </c>
      <c r="BX53" s="19">
        <v>-49298380</v>
      </c>
      <c r="BY53" s="19">
        <v>-15158540</v>
      </c>
      <c r="BZ53" s="19"/>
      <c r="CA53" s="19">
        <v>-169110170</v>
      </c>
      <c r="CB53" s="19">
        <v>-47504860</v>
      </c>
      <c r="CC53" s="19"/>
      <c r="CD53" s="19"/>
      <c r="CE53" s="19">
        <v>-12280000</v>
      </c>
      <c r="CF53" s="19"/>
      <c r="CG53" s="19"/>
      <c r="CH53" s="19">
        <v>-52162000</v>
      </c>
      <c r="CI53" s="19" t="s">
        <v>128</v>
      </c>
      <c r="CJ53" s="19"/>
      <c r="CK53" s="19">
        <v>-263502110</v>
      </c>
      <c r="CL53" s="19"/>
      <c r="CM53" s="19">
        <v>-613271620</v>
      </c>
      <c r="CN53" s="19">
        <v>-33286340</v>
      </c>
      <c r="CO53" s="19"/>
      <c r="CP53" s="19">
        <v>-30497180</v>
      </c>
      <c r="CQ53" s="19" t="s">
        <v>96</v>
      </c>
      <c r="CR53" s="19">
        <v>-24040660</v>
      </c>
      <c r="CS53" s="19"/>
      <c r="CT53" s="19"/>
      <c r="CU53" s="19">
        <v>-153643140</v>
      </c>
      <c r="CV53" s="19"/>
      <c r="CW53" s="19">
        <v>-52184696</v>
      </c>
      <c r="CX53" s="19"/>
      <c r="CY53" s="19" t="s">
        <v>96</v>
      </c>
      <c r="CZ53" s="19">
        <v>-8658040</v>
      </c>
      <c r="DA53" s="19">
        <v>-304444290</v>
      </c>
      <c r="DB53" s="19"/>
      <c r="DC53" s="19"/>
      <c r="DD53" s="19">
        <v>-18403330</v>
      </c>
      <c r="DE53" s="19"/>
      <c r="DF53" s="19">
        <v>-22425410</v>
      </c>
      <c r="DG53" s="19">
        <v>-165317120</v>
      </c>
      <c r="DH53" s="19">
        <v>-31686330</v>
      </c>
      <c r="DI53" s="19"/>
      <c r="DJ53" s="19">
        <v>-54240000</v>
      </c>
      <c r="DK53" s="19">
        <v>-58468680</v>
      </c>
      <c r="DL53" s="19"/>
      <c r="DM53" s="19"/>
      <c r="DN53" s="19"/>
      <c r="DO53" s="19"/>
      <c r="DP53" s="19"/>
      <c r="DQ53" s="19">
        <v>-18505140</v>
      </c>
      <c r="DR53" s="19">
        <v>-75646830</v>
      </c>
      <c r="DS53" s="19">
        <v>-74008760</v>
      </c>
      <c r="DT53" s="19">
        <v>-60002610</v>
      </c>
      <c r="DU53" s="19">
        <v>-155412078</v>
      </c>
      <c r="DV53" s="19"/>
      <c r="DW53" s="19"/>
      <c r="DX53" s="19">
        <v>-283006290</v>
      </c>
      <c r="DY53" s="19">
        <v>-153902290</v>
      </c>
      <c r="DZ53" s="19"/>
      <c r="EA53" s="19">
        <v>-29702270</v>
      </c>
      <c r="EB53" s="19">
        <v>-38088240</v>
      </c>
      <c r="EC53" s="19"/>
      <c r="ED53" s="19"/>
      <c r="EE53" s="19"/>
      <c r="EF53" s="19"/>
      <c r="EG53" s="19"/>
      <c r="EH53" s="19"/>
      <c r="EI53" s="19"/>
      <c r="EJ53" s="19">
        <v>-11193230</v>
      </c>
      <c r="EK53" s="19"/>
      <c r="EL53" s="19"/>
      <c r="EM53" s="19">
        <v>-51000000</v>
      </c>
      <c r="EN53" s="19">
        <v>-23697740</v>
      </c>
      <c r="EO53" s="19">
        <v>-275321850</v>
      </c>
      <c r="EP53" s="19"/>
      <c r="EQ53" s="19"/>
      <c r="ER53" s="19"/>
      <c r="ES53" s="19">
        <v>-57093190</v>
      </c>
      <c r="ET53" s="19"/>
      <c r="EU53" s="19"/>
      <c r="EV53" s="19">
        <v>-59673100</v>
      </c>
      <c r="EW53" s="19">
        <v>-45548150</v>
      </c>
      <c r="EX53" s="19">
        <v>-110705750</v>
      </c>
      <c r="EY53" s="19">
        <v>-319216880</v>
      </c>
      <c r="EZ53" s="19"/>
      <c r="FA53" s="19">
        <v>-12843750</v>
      </c>
      <c r="FB53" s="19">
        <v>-59263237</v>
      </c>
      <c r="FC53" s="19"/>
      <c r="FD53" s="19">
        <v>-14851000</v>
      </c>
      <c r="FE53" s="19">
        <v>-41789280</v>
      </c>
      <c r="FF53" s="19">
        <v>-17676000</v>
      </c>
      <c r="FG53" s="19">
        <v>-28124406</v>
      </c>
      <c r="FH53" s="19">
        <v>-58992520</v>
      </c>
      <c r="FI53" s="19" t="s">
        <v>96</v>
      </c>
      <c r="FJ53" s="19">
        <v>-30000000</v>
      </c>
      <c r="FK53" s="19">
        <v>-14000000</v>
      </c>
      <c r="FL53" s="19"/>
      <c r="FM53" s="19"/>
      <c r="FN53" s="19"/>
      <c r="FO53" s="19"/>
      <c r="FP53" s="19">
        <v>-54706660</v>
      </c>
      <c r="FQ53" s="19"/>
      <c r="FR53" s="19"/>
      <c r="FS53" s="19"/>
      <c r="FT53" s="19"/>
      <c r="FU53" s="19"/>
      <c r="FV53" s="19"/>
      <c r="FW53" s="19"/>
      <c r="FX53" s="19"/>
      <c r="FY53" s="19"/>
      <c r="FZ53" s="19"/>
      <c r="GA53" s="19">
        <v>-118961333</v>
      </c>
      <c r="GB53" s="19"/>
      <c r="GC53" s="19">
        <v>-7808450</v>
      </c>
      <c r="GD53" s="19" t="s">
        <v>96</v>
      </c>
      <c r="GE53" s="19"/>
      <c r="GF53" s="19"/>
      <c r="GG53" s="19"/>
      <c r="GH53" s="19">
        <v>-21066000</v>
      </c>
      <c r="GI53" s="19">
        <v>-10000000</v>
      </c>
      <c r="GJ53" s="19"/>
      <c r="GK53" s="19"/>
      <c r="GL53" s="19" t="s">
        <v>96</v>
      </c>
      <c r="GM53" s="19"/>
      <c r="GN53" s="19"/>
      <c r="GO53" s="19"/>
      <c r="GP53" s="19">
        <v>-42050000</v>
      </c>
      <c r="GQ53" s="19"/>
      <c r="GR53" s="19"/>
      <c r="GS53" s="19">
        <v>-47006520</v>
      </c>
      <c r="GT53" s="19">
        <v>-78864200</v>
      </c>
      <c r="GU53" s="19">
        <v>-11055074</v>
      </c>
      <c r="GV53" s="19"/>
      <c r="GW53" s="19"/>
      <c r="GX53" s="19">
        <v>-174503150</v>
      </c>
      <c r="GY53" s="19"/>
      <c r="GZ53" s="19">
        <v>-148326018</v>
      </c>
      <c r="HA53" s="19"/>
      <c r="HB53" s="19"/>
      <c r="HC53" s="19"/>
      <c r="HD53" s="19"/>
      <c r="HE53" s="19"/>
      <c r="HF53" s="19"/>
      <c r="HG53" s="19">
        <v>-88168180</v>
      </c>
      <c r="HH53" s="19"/>
      <c r="HI53" s="19"/>
      <c r="HJ53" s="19"/>
      <c r="HK53" s="19"/>
      <c r="HL53" s="19"/>
      <c r="HM53" s="19"/>
      <c r="HN53" s="19"/>
      <c r="HO53" s="19">
        <v>-153218490</v>
      </c>
      <c r="HP53" s="19">
        <v>-112890290</v>
      </c>
      <c r="HQ53" s="19">
        <v>-300603810</v>
      </c>
      <c r="HR53" s="19">
        <v>-1787519706</v>
      </c>
      <c r="HS53" s="19">
        <v>-229758210</v>
      </c>
      <c r="HT53" s="19">
        <v>-134478410</v>
      </c>
      <c r="HU53" s="19"/>
      <c r="HV53" s="19">
        <v>-24731020</v>
      </c>
      <c r="HW53" s="19"/>
      <c r="HX53" s="19">
        <v>-21400000</v>
      </c>
      <c r="HY53" s="19" t="s">
        <v>172</v>
      </c>
      <c r="HZ53" s="19">
        <v>-104462480</v>
      </c>
      <c r="IA53" s="19">
        <v>-111281930</v>
      </c>
      <c r="IB53" s="19"/>
      <c r="IC53" s="19">
        <v>-293971309</v>
      </c>
      <c r="ID53" s="19">
        <v>-28172050</v>
      </c>
      <c r="IE53" s="19" t="s">
        <v>96</v>
      </c>
      <c r="IF53" s="19">
        <v>0</v>
      </c>
      <c r="IG53" s="19">
        <v>-27125450</v>
      </c>
      <c r="IH53" s="19"/>
      <c r="II53" s="19"/>
      <c r="IJ53" s="19">
        <v>-186779200</v>
      </c>
      <c r="IK53" s="19"/>
      <c r="IL53" s="19"/>
      <c r="IM53" s="19"/>
      <c r="IN53" s="19"/>
      <c r="IO53" s="19">
        <v>-52601120</v>
      </c>
      <c r="IP53" s="19"/>
      <c r="IQ53" s="19"/>
      <c r="IR53" s="19">
        <v>-6377000</v>
      </c>
      <c r="IS53" s="19"/>
      <c r="IT53" s="19">
        <v>-100509540</v>
      </c>
    </row>
    <row r="54" spans="1:254">
      <c r="A54" s="9" t="s">
        <v>3</v>
      </c>
      <c r="B54" s="15" t="s">
        <v>73</v>
      </c>
      <c r="C54" s="19">
        <v>5885251</v>
      </c>
      <c r="D54" s="19">
        <v>109605059</v>
      </c>
      <c r="E54" s="19">
        <v>27428930</v>
      </c>
      <c r="F54" s="19">
        <v>46657552</v>
      </c>
      <c r="G54" s="19">
        <v>3660667</v>
      </c>
      <c r="H54" s="19">
        <v>6764482</v>
      </c>
      <c r="I54" s="19"/>
      <c r="J54" s="19" t="s">
        <v>4</v>
      </c>
      <c r="K54" s="19">
        <v>27287928</v>
      </c>
      <c r="L54" s="19" t="s">
        <v>96</v>
      </c>
      <c r="M54" s="19" t="s">
        <v>96</v>
      </c>
      <c r="N54" s="19">
        <v>30074552</v>
      </c>
      <c r="O54" s="19">
        <v>486173143</v>
      </c>
      <c r="P54" s="19">
        <v>95792957</v>
      </c>
      <c r="Q54" s="19">
        <v>59866820</v>
      </c>
      <c r="R54" s="19">
        <v>5828232</v>
      </c>
      <c r="S54" s="19">
        <v>621170065</v>
      </c>
      <c r="T54" s="19" t="s">
        <v>96</v>
      </c>
      <c r="U54" s="19">
        <v>249440127</v>
      </c>
      <c r="V54" s="19" t="s">
        <v>172</v>
      </c>
      <c r="W54" s="19">
        <v>0</v>
      </c>
      <c r="X54" s="19">
        <v>68481881</v>
      </c>
      <c r="Y54" s="19">
        <v>1757273</v>
      </c>
      <c r="Z54" s="19">
        <v>32803680</v>
      </c>
      <c r="AA54" s="19">
        <v>37085575</v>
      </c>
      <c r="AB54" s="19">
        <v>8564846</v>
      </c>
      <c r="AC54" s="19">
        <v>26886242</v>
      </c>
      <c r="AD54" s="19">
        <v>1213852</v>
      </c>
      <c r="AE54" s="19">
        <v>70827992</v>
      </c>
      <c r="AF54" s="19">
        <v>32693600</v>
      </c>
      <c r="AG54" s="19"/>
      <c r="AH54" s="19">
        <v>112533297</v>
      </c>
      <c r="AI54" s="19"/>
      <c r="AJ54" s="19">
        <v>6332381</v>
      </c>
      <c r="AK54" s="19">
        <v>27882746</v>
      </c>
      <c r="AL54" s="19">
        <v>23056909</v>
      </c>
      <c r="AM54" s="19" t="s">
        <v>4</v>
      </c>
      <c r="AN54" s="19">
        <v>61982543</v>
      </c>
      <c r="AO54" s="19">
        <v>47865780</v>
      </c>
      <c r="AP54" s="19">
        <v>8978825</v>
      </c>
      <c r="AQ54" s="19" t="s">
        <v>96</v>
      </c>
      <c r="AR54" s="19">
        <v>95401357</v>
      </c>
      <c r="AS54" s="19"/>
      <c r="AT54" s="19"/>
      <c r="AU54" s="19">
        <v>600000</v>
      </c>
      <c r="AV54" s="19">
        <v>25711224</v>
      </c>
      <c r="AW54" s="19">
        <v>29743193</v>
      </c>
      <c r="AX54" s="19" t="s">
        <v>4</v>
      </c>
      <c r="AY54" s="19">
        <v>9645006</v>
      </c>
      <c r="AZ54" s="19">
        <v>6941366</v>
      </c>
      <c r="BA54" s="19">
        <v>17330664</v>
      </c>
      <c r="BB54" s="19"/>
      <c r="BC54" s="19" t="s">
        <v>4</v>
      </c>
      <c r="BD54" s="19" t="s">
        <v>128</v>
      </c>
      <c r="BE54" s="19">
        <v>7418739</v>
      </c>
      <c r="BF54" s="19">
        <v>167252308</v>
      </c>
      <c r="BG54" s="19">
        <v>11725335</v>
      </c>
      <c r="BH54" s="19">
        <v>474600</v>
      </c>
      <c r="BI54" s="19">
        <v>44773274</v>
      </c>
      <c r="BJ54" s="19">
        <v>3361254</v>
      </c>
      <c r="BK54" s="19">
        <v>26807439</v>
      </c>
      <c r="BL54" s="19">
        <v>10584058</v>
      </c>
      <c r="BM54" s="19"/>
      <c r="BN54" s="19">
        <v>9561949</v>
      </c>
      <c r="BO54" s="19">
        <v>679268</v>
      </c>
      <c r="BP54" s="19" t="s">
        <v>96</v>
      </c>
      <c r="BQ54" s="19" t="s">
        <v>4</v>
      </c>
      <c r="BR54" s="19">
        <v>6281847</v>
      </c>
      <c r="BS54" s="19">
        <v>6520241</v>
      </c>
      <c r="BT54" s="19">
        <v>7250100</v>
      </c>
      <c r="BU54" s="19"/>
      <c r="BV54" s="19">
        <v>167030</v>
      </c>
      <c r="BW54" s="19">
        <v>2162769</v>
      </c>
      <c r="BX54" s="19">
        <v>0</v>
      </c>
      <c r="BY54" s="19">
        <v>53306093</v>
      </c>
      <c r="BZ54" s="19">
        <v>4044809</v>
      </c>
      <c r="CA54" s="19">
        <v>26137739</v>
      </c>
      <c r="CB54" s="19">
        <v>41223130</v>
      </c>
      <c r="CC54" s="19"/>
      <c r="CD54" s="19">
        <v>74626</v>
      </c>
      <c r="CE54" s="19"/>
      <c r="CF54" s="19">
        <v>423576</v>
      </c>
      <c r="CG54" s="19">
        <v>7592651</v>
      </c>
      <c r="CH54" s="19">
        <v>7230995</v>
      </c>
      <c r="CI54" s="19" t="s">
        <v>128</v>
      </c>
      <c r="CJ54" s="19">
        <v>125843</v>
      </c>
      <c r="CK54" s="19">
        <v>35728834</v>
      </c>
      <c r="CL54" s="19">
        <v>1716085</v>
      </c>
      <c r="CM54" s="19">
        <v>60272294</v>
      </c>
      <c r="CN54" s="19">
        <v>11226064</v>
      </c>
      <c r="CO54" s="19">
        <v>8891233</v>
      </c>
      <c r="CP54" s="19"/>
      <c r="CQ54" s="19" t="s">
        <v>96</v>
      </c>
      <c r="CR54" s="19">
        <v>14376848</v>
      </c>
      <c r="CS54" s="19">
        <v>238224503</v>
      </c>
      <c r="CT54" s="19">
        <v>32547998</v>
      </c>
      <c r="CU54" s="19">
        <v>5033178</v>
      </c>
      <c r="CV54" s="19"/>
      <c r="CW54" s="19">
        <v>84100752</v>
      </c>
      <c r="CX54" s="19">
        <v>57931788</v>
      </c>
      <c r="CY54" s="19" t="s">
        <v>96</v>
      </c>
      <c r="CZ54" s="19">
        <v>60938187</v>
      </c>
      <c r="DA54" s="19">
        <v>12723832</v>
      </c>
      <c r="DB54" s="19">
        <v>1934933</v>
      </c>
      <c r="DC54" s="19"/>
      <c r="DD54" s="19">
        <v>3281007</v>
      </c>
      <c r="DE54" s="19"/>
      <c r="DF54" s="19">
        <v>2742134</v>
      </c>
      <c r="DG54" s="19">
        <v>52756688</v>
      </c>
      <c r="DH54" s="19">
        <v>924310</v>
      </c>
      <c r="DI54" s="19">
        <v>63536335</v>
      </c>
      <c r="DJ54" s="19">
        <v>937210</v>
      </c>
      <c r="DK54" s="19">
        <v>198575121</v>
      </c>
      <c r="DL54" s="19">
        <v>13233795</v>
      </c>
      <c r="DM54" s="19">
        <v>10075437</v>
      </c>
      <c r="DN54" s="19">
        <v>16469575</v>
      </c>
      <c r="DO54" s="19"/>
      <c r="DP54" s="19">
        <v>26226888</v>
      </c>
      <c r="DQ54" s="19">
        <v>3934093</v>
      </c>
      <c r="DR54" s="19"/>
      <c r="DS54" s="19">
        <v>8825695</v>
      </c>
      <c r="DT54" s="19">
        <v>57026614</v>
      </c>
      <c r="DU54" s="19">
        <v>2987633</v>
      </c>
      <c r="DV54" s="19">
        <v>2801750</v>
      </c>
      <c r="DW54" s="19">
        <v>10789417</v>
      </c>
      <c r="DX54" s="19">
        <v>74544465</v>
      </c>
      <c r="DY54" s="19">
        <v>24132106</v>
      </c>
      <c r="DZ54" s="19">
        <v>77006</v>
      </c>
      <c r="EA54" s="19">
        <v>8312196</v>
      </c>
      <c r="EB54" s="19">
        <v>36808018</v>
      </c>
      <c r="EC54" s="19"/>
      <c r="ED54" s="19">
        <v>4746509</v>
      </c>
      <c r="EE54" s="19">
        <v>9433449</v>
      </c>
      <c r="EF54" s="19">
        <v>60240292</v>
      </c>
      <c r="EG54" s="19">
        <v>371083111</v>
      </c>
      <c r="EH54" s="19"/>
      <c r="EI54" s="19">
        <v>35461101</v>
      </c>
      <c r="EJ54" s="19">
        <v>2427475</v>
      </c>
      <c r="EK54" s="19">
        <v>0</v>
      </c>
      <c r="EL54" s="19"/>
      <c r="EM54" s="19">
        <v>4021343</v>
      </c>
      <c r="EN54" s="19">
        <v>52747278</v>
      </c>
      <c r="EO54" s="19">
        <v>60960106</v>
      </c>
      <c r="EP54" s="19"/>
      <c r="EQ54" s="19"/>
      <c r="ER54" s="19">
        <v>117485638</v>
      </c>
      <c r="ES54" s="19">
        <v>29931253</v>
      </c>
      <c r="ET54" s="19">
        <v>36525815</v>
      </c>
      <c r="EU54" s="19">
        <v>39697472</v>
      </c>
      <c r="EV54" s="19">
        <v>593383</v>
      </c>
      <c r="EW54" s="19">
        <v>997026</v>
      </c>
      <c r="EX54" s="19">
        <v>30865630</v>
      </c>
      <c r="EY54" s="19">
        <v>147811320</v>
      </c>
      <c r="EZ54" s="19">
        <v>34372619</v>
      </c>
      <c r="FA54" s="19"/>
      <c r="FB54" s="19"/>
      <c r="FC54" s="19"/>
      <c r="FD54" s="19">
        <v>11033554</v>
      </c>
      <c r="FE54" s="19">
        <v>142624384</v>
      </c>
      <c r="FF54" s="19"/>
      <c r="FG54" s="19">
        <v>11258919</v>
      </c>
      <c r="FH54" s="19">
        <v>29008119</v>
      </c>
      <c r="FI54" s="19" t="s">
        <v>96</v>
      </c>
      <c r="FJ54" s="19">
        <v>3042825</v>
      </c>
      <c r="FK54" s="19">
        <v>0</v>
      </c>
      <c r="FL54" s="19"/>
      <c r="FM54" s="19"/>
      <c r="FN54" s="19"/>
      <c r="FO54" s="19"/>
      <c r="FP54" s="19">
        <v>5586641</v>
      </c>
      <c r="FQ54" s="19">
        <v>20344964</v>
      </c>
      <c r="FR54" s="19"/>
      <c r="FS54" s="19"/>
      <c r="FT54" s="19">
        <v>12504520</v>
      </c>
      <c r="FU54" s="19"/>
      <c r="FV54" s="19">
        <v>66395022</v>
      </c>
      <c r="FW54" s="19">
        <v>2751742</v>
      </c>
      <c r="FX54" s="19">
        <v>1671771</v>
      </c>
      <c r="FY54" s="19">
        <v>82531517</v>
      </c>
      <c r="FZ54" s="19">
        <v>31500997</v>
      </c>
      <c r="GA54" s="19"/>
      <c r="GB54" s="19">
        <v>0</v>
      </c>
      <c r="GC54" s="19">
        <v>5180515</v>
      </c>
      <c r="GD54" s="19" t="s">
        <v>96</v>
      </c>
      <c r="GE54" s="19"/>
      <c r="GF54" s="19">
        <v>3459379</v>
      </c>
      <c r="GG54" s="19"/>
      <c r="GH54" s="19"/>
      <c r="GI54" s="19"/>
      <c r="GJ54" s="19"/>
      <c r="GK54" s="19">
        <v>9026989</v>
      </c>
      <c r="GL54" s="19" t="s">
        <v>96</v>
      </c>
      <c r="GM54" s="19">
        <v>16074047</v>
      </c>
      <c r="GN54" s="19"/>
      <c r="GO54" s="19"/>
      <c r="GP54" s="19">
        <v>159407161</v>
      </c>
      <c r="GQ54" s="19">
        <v>5801632</v>
      </c>
      <c r="GR54" s="19"/>
      <c r="GS54" s="19"/>
      <c r="GT54" s="19">
        <v>18256219</v>
      </c>
      <c r="GU54" s="19"/>
      <c r="GV54" s="19">
        <v>17032529</v>
      </c>
      <c r="GW54" s="19">
        <v>148740706</v>
      </c>
      <c r="GX54" s="19">
        <v>20103313</v>
      </c>
      <c r="GY54" s="19"/>
      <c r="GZ54" s="19">
        <v>41412941</v>
      </c>
      <c r="HA54" s="19">
        <v>0</v>
      </c>
      <c r="HB54" s="19"/>
      <c r="HC54" s="19">
        <v>532939</v>
      </c>
      <c r="HD54" s="19"/>
      <c r="HE54" s="19"/>
      <c r="HF54" s="19">
        <v>19375250</v>
      </c>
      <c r="HG54" s="19">
        <v>10264506</v>
      </c>
      <c r="HH54" s="19"/>
      <c r="HI54" s="19">
        <v>7570100</v>
      </c>
      <c r="HJ54" s="19"/>
      <c r="HK54" s="19">
        <v>33332840</v>
      </c>
      <c r="HL54" s="19">
        <v>1179515</v>
      </c>
      <c r="HM54" s="19"/>
      <c r="HN54" s="19">
        <v>10263262</v>
      </c>
      <c r="HO54" s="19">
        <v>26789870</v>
      </c>
      <c r="HP54" s="19">
        <v>3167030</v>
      </c>
      <c r="HQ54" s="19">
        <v>4051666</v>
      </c>
      <c r="HR54" s="19">
        <v>55018104</v>
      </c>
      <c r="HS54" s="19">
        <v>80854958</v>
      </c>
      <c r="HT54" s="19"/>
      <c r="HU54" s="19">
        <v>75045508</v>
      </c>
      <c r="HV54" s="19">
        <v>0</v>
      </c>
      <c r="HW54" s="19">
        <v>201832941</v>
      </c>
      <c r="HX54" s="19">
        <v>11483476</v>
      </c>
      <c r="HY54" s="19" t="s">
        <v>172</v>
      </c>
      <c r="HZ54" s="19">
        <v>1991182</v>
      </c>
      <c r="IA54" s="19">
        <v>13144124</v>
      </c>
      <c r="IB54" s="19">
        <v>33868865</v>
      </c>
      <c r="IC54" s="19"/>
      <c r="ID54" s="19">
        <v>6810049</v>
      </c>
      <c r="IE54" s="19" t="s">
        <v>96</v>
      </c>
      <c r="IF54" s="19">
        <v>1699059</v>
      </c>
      <c r="IG54" s="19">
        <v>393455</v>
      </c>
      <c r="IH54" s="19">
        <v>18502410</v>
      </c>
      <c r="II54" s="19"/>
      <c r="IJ54" s="19">
        <v>18434126</v>
      </c>
      <c r="IK54" s="19">
        <v>9912144</v>
      </c>
      <c r="IL54" s="19">
        <v>2805500</v>
      </c>
      <c r="IM54" s="19">
        <v>5551772</v>
      </c>
      <c r="IN54" s="19">
        <v>2485239</v>
      </c>
      <c r="IO54" s="19">
        <v>1412108</v>
      </c>
      <c r="IP54" s="19">
        <v>22073393</v>
      </c>
      <c r="IQ54" s="19">
        <v>5968899</v>
      </c>
      <c r="IR54" s="19">
        <v>21650137</v>
      </c>
      <c r="IS54" s="19">
        <v>12943827</v>
      </c>
      <c r="IT54" s="19">
        <v>33699822</v>
      </c>
    </row>
    <row r="55" spans="1:254">
      <c r="A55" s="9" t="s">
        <v>3</v>
      </c>
      <c r="B55" s="15" t="s">
        <v>58</v>
      </c>
      <c r="C55" s="19">
        <v>0</v>
      </c>
      <c r="D55" s="19">
        <v>0</v>
      </c>
      <c r="E55" s="19">
        <v>0</v>
      </c>
      <c r="F55" s="19">
        <v>0</v>
      </c>
      <c r="G55" s="19">
        <v>0</v>
      </c>
      <c r="H55" s="19"/>
      <c r="I55" s="19"/>
      <c r="J55" s="19" t="s">
        <v>4</v>
      </c>
      <c r="K55" s="19">
        <v>-1951162</v>
      </c>
      <c r="L55" s="19" t="s">
        <v>96</v>
      </c>
      <c r="M55" s="19" t="s">
        <v>96</v>
      </c>
      <c r="N55" s="19"/>
      <c r="O55" s="19"/>
      <c r="P55" s="19"/>
      <c r="Q55" s="19"/>
      <c r="R55" s="19"/>
      <c r="S55" s="19">
        <v>9048799</v>
      </c>
      <c r="T55" s="19" t="s">
        <v>96</v>
      </c>
      <c r="U55" s="19"/>
      <c r="V55" s="19" t="s">
        <v>172</v>
      </c>
      <c r="W55" s="19"/>
      <c r="X55" s="19"/>
      <c r="Y55" s="19"/>
      <c r="Z55" s="19"/>
      <c r="AA55" s="19"/>
      <c r="AB55" s="19"/>
      <c r="AC55" s="19"/>
      <c r="AD55" s="19"/>
      <c r="AE55" s="19"/>
      <c r="AF55" s="19"/>
      <c r="AG55" s="19"/>
      <c r="AH55" s="19"/>
      <c r="AI55" s="19"/>
      <c r="AJ55" s="19"/>
      <c r="AK55" s="19"/>
      <c r="AL55" s="19"/>
      <c r="AM55" s="19" t="s">
        <v>4</v>
      </c>
      <c r="AN55" s="19"/>
      <c r="AO55" s="19"/>
      <c r="AP55" s="19"/>
      <c r="AQ55" s="19" t="s">
        <v>96</v>
      </c>
      <c r="AR55" s="19"/>
      <c r="AS55" s="19"/>
      <c r="AT55" s="19"/>
      <c r="AU55" s="19"/>
      <c r="AV55" s="19">
        <v>351308</v>
      </c>
      <c r="AW55" s="19"/>
      <c r="AX55" s="19" t="s">
        <v>4</v>
      </c>
      <c r="AY55" s="19"/>
      <c r="AZ55" s="19"/>
      <c r="BA55" s="19"/>
      <c r="BB55" s="19"/>
      <c r="BC55" s="19" t="s">
        <v>4</v>
      </c>
      <c r="BD55" s="19" t="s">
        <v>128</v>
      </c>
      <c r="BE55" s="19"/>
      <c r="BF55" s="19"/>
      <c r="BG55" s="19"/>
      <c r="BH55" s="19"/>
      <c r="BI55" s="19">
        <v>278933</v>
      </c>
      <c r="BJ55" s="19">
        <v>3699633</v>
      </c>
      <c r="BK55" s="19">
        <v>7317137</v>
      </c>
      <c r="BL55" s="19"/>
      <c r="BM55" s="19"/>
      <c r="BN55" s="19"/>
      <c r="BO55" s="19">
        <v>47528</v>
      </c>
      <c r="BP55" s="19" t="s">
        <v>96</v>
      </c>
      <c r="BQ55" s="19" t="s">
        <v>4</v>
      </c>
      <c r="BR55" s="19"/>
      <c r="BS55" s="19"/>
      <c r="BT55" s="19"/>
      <c r="BU55" s="19"/>
      <c r="BV55" s="19"/>
      <c r="BW55" s="19"/>
      <c r="BX55" s="19"/>
      <c r="BY55" s="19"/>
      <c r="BZ55" s="19"/>
      <c r="CA55" s="19"/>
      <c r="CB55" s="19"/>
      <c r="CC55" s="19"/>
      <c r="CD55" s="19"/>
      <c r="CE55" s="19"/>
      <c r="CF55" s="19"/>
      <c r="CG55" s="19"/>
      <c r="CH55" s="19"/>
      <c r="CI55" s="19" t="s">
        <v>128</v>
      </c>
      <c r="CJ55" s="19">
        <v>237237</v>
      </c>
      <c r="CK55" s="19"/>
      <c r="CL55" s="19"/>
      <c r="CM55" s="19"/>
      <c r="CN55" s="19"/>
      <c r="CO55" s="19"/>
      <c r="CP55" s="19"/>
      <c r="CQ55" s="19" t="s">
        <v>96</v>
      </c>
      <c r="CR55" s="19">
        <v>1784080</v>
      </c>
      <c r="CS55" s="19">
        <v>67619683</v>
      </c>
      <c r="CT55" s="19"/>
      <c r="CU55" s="19"/>
      <c r="CV55" s="19"/>
      <c r="CW55" s="19"/>
      <c r="CX55" s="19"/>
      <c r="CY55" s="19" t="s">
        <v>96</v>
      </c>
      <c r="CZ55" s="19"/>
      <c r="DA55" s="19"/>
      <c r="DB55" s="19"/>
      <c r="DC55" s="19"/>
      <c r="DD55" s="19"/>
      <c r="DE55" s="19"/>
      <c r="DF55" s="19"/>
      <c r="DG55" s="19"/>
      <c r="DH55" s="19">
        <v>396467</v>
      </c>
      <c r="DI55" s="19">
        <v>46906</v>
      </c>
      <c r="DJ55" s="19"/>
      <c r="DK55" s="19"/>
      <c r="DL55" s="19"/>
      <c r="DM55" s="19">
        <v>4328601</v>
      </c>
      <c r="DN55" s="19"/>
      <c r="DO55" s="19"/>
      <c r="DP55" s="19">
        <v>1523179</v>
      </c>
      <c r="DQ55" s="19"/>
      <c r="DR55" s="19"/>
      <c r="DS55" s="19"/>
      <c r="DT55" s="19">
        <v>7040000</v>
      </c>
      <c r="DU55" s="19"/>
      <c r="DV55" s="19"/>
      <c r="DW55" s="19"/>
      <c r="DX55" s="19"/>
      <c r="DY55" s="19"/>
      <c r="DZ55" s="19"/>
      <c r="EA55" s="19"/>
      <c r="EB55" s="19">
        <v>4353320</v>
      </c>
      <c r="EC55" s="19"/>
      <c r="ED55" s="19"/>
      <c r="EE55" s="19"/>
      <c r="EF55" s="19"/>
      <c r="EG55" s="19">
        <v>-294355</v>
      </c>
      <c r="EH55" s="19"/>
      <c r="EI55" s="19">
        <v>107214327</v>
      </c>
      <c r="EJ55" s="19"/>
      <c r="EK55" s="19"/>
      <c r="EL55" s="19"/>
      <c r="EM55" s="19"/>
      <c r="EN55" s="19"/>
      <c r="EO55" s="19"/>
      <c r="EP55" s="19"/>
      <c r="EQ55" s="19"/>
      <c r="ER55" s="19"/>
      <c r="ES55" s="19"/>
      <c r="ET55" s="19"/>
      <c r="EU55" s="19"/>
      <c r="EV55" s="19"/>
      <c r="EW55" s="19"/>
      <c r="EX55" s="19"/>
      <c r="EY55" s="19"/>
      <c r="EZ55" s="19"/>
      <c r="FA55" s="19"/>
      <c r="FB55" s="19"/>
      <c r="FC55" s="19"/>
      <c r="FD55" s="19"/>
      <c r="FE55" s="19">
        <v>90089159</v>
      </c>
      <c r="FF55" s="19"/>
      <c r="FG55" s="19"/>
      <c r="FH55" s="19"/>
      <c r="FI55" s="19" t="s">
        <v>96</v>
      </c>
      <c r="FJ55" s="19"/>
      <c r="FK55" s="19"/>
      <c r="FL55" s="19"/>
      <c r="FM55" s="19">
        <v>68327</v>
      </c>
      <c r="FN55" s="19"/>
      <c r="FO55" s="19"/>
      <c r="FP55" s="19"/>
      <c r="FQ55" s="19"/>
      <c r="FR55" s="19"/>
      <c r="FS55" s="19"/>
      <c r="FT55" s="19"/>
      <c r="FU55" s="19"/>
      <c r="FV55" s="19">
        <v>8594795</v>
      </c>
      <c r="FW55" s="19"/>
      <c r="FX55" s="19"/>
      <c r="FY55" s="19"/>
      <c r="FZ55" s="19"/>
      <c r="GA55" s="19"/>
      <c r="GB55" s="19"/>
      <c r="GC55" s="19"/>
      <c r="GD55" s="19" t="s">
        <v>96</v>
      </c>
      <c r="GE55" s="19"/>
      <c r="GF55" s="19"/>
      <c r="GG55" s="19"/>
      <c r="GH55" s="19"/>
      <c r="GI55" s="19"/>
      <c r="GJ55" s="19"/>
      <c r="GK55" s="19"/>
      <c r="GL55" s="19" t="s">
        <v>96</v>
      </c>
      <c r="GM55" s="19"/>
      <c r="GN55" s="19"/>
      <c r="GO55" s="19"/>
      <c r="GP55" s="19">
        <v>0</v>
      </c>
      <c r="GQ55" s="19"/>
      <c r="GR55" s="19"/>
      <c r="GS55" s="19"/>
      <c r="GT55" s="19"/>
      <c r="GU55" s="19"/>
      <c r="GV55" s="19"/>
      <c r="GW55" s="19"/>
      <c r="GX55" s="19"/>
      <c r="GY55" s="19"/>
      <c r="GZ55" s="19"/>
      <c r="HA55" s="19"/>
      <c r="HB55" s="19"/>
      <c r="HC55" s="19"/>
      <c r="HD55" s="19"/>
      <c r="HE55" s="19"/>
      <c r="HF55" s="19">
        <v>2906624</v>
      </c>
      <c r="HG55" s="19"/>
      <c r="HH55" s="19"/>
      <c r="HI55" s="19">
        <v>2764803</v>
      </c>
      <c r="HJ55" s="19">
        <v>6850000</v>
      </c>
      <c r="HK55" s="19">
        <v>295035</v>
      </c>
      <c r="HL55" s="19"/>
      <c r="HM55" s="19"/>
      <c r="HN55" s="19"/>
      <c r="HO55" s="19"/>
      <c r="HP55" s="19"/>
      <c r="HQ55" s="19"/>
      <c r="HR55" s="19"/>
      <c r="HS55" s="19"/>
      <c r="HT55" s="19"/>
      <c r="HU55" s="19"/>
      <c r="HV55" s="19"/>
      <c r="HW55" s="19">
        <v>3101638167</v>
      </c>
      <c r="HX55" s="19">
        <v>848409</v>
      </c>
      <c r="HY55" s="19" t="s">
        <v>172</v>
      </c>
      <c r="HZ55" s="19"/>
      <c r="IA55" s="19"/>
      <c r="IB55" s="19"/>
      <c r="IC55" s="19"/>
      <c r="ID55" s="19"/>
      <c r="IE55" s="19" t="s">
        <v>96</v>
      </c>
      <c r="IF55" s="19"/>
      <c r="IG55" s="19"/>
      <c r="IH55" s="19"/>
      <c r="II55" s="19"/>
      <c r="IJ55" s="19"/>
      <c r="IK55" s="19"/>
      <c r="IL55" s="19"/>
      <c r="IM55" s="19"/>
      <c r="IN55" s="19"/>
      <c r="IO55" s="19"/>
      <c r="IP55" s="19"/>
      <c r="IQ55" s="19"/>
      <c r="IR55" s="19"/>
      <c r="IS55" s="19"/>
      <c r="IT55" s="19"/>
    </row>
    <row r="56" spans="1:254">
      <c r="A56" s="9" t="s">
        <v>3</v>
      </c>
      <c r="B56" s="15" t="s">
        <v>55</v>
      </c>
      <c r="C56" s="19">
        <v>671370</v>
      </c>
      <c r="D56" s="19">
        <v>10037090</v>
      </c>
      <c r="E56" s="19">
        <v>4398718</v>
      </c>
      <c r="F56" s="19">
        <v>55687770</v>
      </c>
      <c r="G56" s="19">
        <v>5672090</v>
      </c>
      <c r="H56" s="19">
        <v>15256060</v>
      </c>
      <c r="I56" s="19">
        <v>126059853</v>
      </c>
      <c r="J56" s="19" t="s">
        <v>4</v>
      </c>
      <c r="K56" s="19">
        <v>64788070</v>
      </c>
      <c r="L56" s="19" t="s">
        <v>96</v>
      </c>
      <c r="M56" s="19" t="s">
        <v>96</v>
      </c>
      <c r="N56" s="19">
        <v>19676880</v>
      </c>
      <c r="O56" s="19">
        <v>15844630</v>
      </c>
      <c r="P56" s="19">
        <v>42845750</v>
      </c>
      <c r="Q56" s="19">
        <v>5264885</v>
      </c>
      <c r="R56" s="19">
        <v>5852204</v>
      </c>
      <c r="S56" s="19">
        <v>83444159</v>
      </c>
      <c r="T56" s="19" t="s">
        <v>96</v>
      </c>
      <c r="U56" s="19">
        <v>639650</v>
      </c>
      <c r="V56" s="19" t="s">
        <v>172</v>
      </c>
      <c r="W56" s="19">
        <v>1247330</v>
      </c>
      <c r="X56" s="19">
        <v>34175526</v>
      </c>
      <c r="Y56" s="19">
        <v>27630315</v>
      </c>
      <c r="Z56" s="19">
        <v>40801277</v>
      </c>
      <c r="AA56" s="19">
        <v>20433771</v>
      </c>
      <c r="AB56" s="19">
        <v>3294285</v>
      </c>
      <c r="AC56" s="19">
        <v>16688080</v>
      </c>
      <c r="AD56" s="19">
        <v>82405069</v>
      </c>
      <c r="AE56" s="19">
        <v>16733513</v>
      </c>
      <c r="AF56" s="19">
        <v>6949061</v>
      </c>
      <c r="AG56" s="19">
        <v>15944610</v>
      </c>
      <c r="AH56" s="19">
        <v>18946650</v>
      </c>
      <c r="AI56" s="19">
        <v>11585599</v>
      </c>
      <c r="AJ56" s="19">
        <v>11251690</v>
      </c>
      <c r="AK56" s="19">
        <v>19003597</v>
      </c>
      <c r="AL56" s="19">
        <v>23895675</v>
      </c>
      <c r="AM56" s="19" t="s">
        <v>4</v>
      </c>
      <c r="AN56" s="19">
        <v>21569516</v>
      </c>
      <c r="AO56" s="19">
        <v>53762503</v>
      </c>
      <c r="AP56" s="19">
        <v>2165380</v>
      </c>
      <c r="AQ56" s="19" t="s">
        <v>96</v>
      </c>
      <c r="AR56" s="19">
        <v>16582950</v>
      </c>
      <c r="AS56" s="19">
        <v>25105684</v>
      </c>
      <c r="AT56" s="19">
        <v>21163543</v>
      </c>
      <c r="AU56" s="19">
        <v>32751503</v>
      </c>
      <c r="AV56" s="19">
        <v>1154920</v>
      </c>
      <c r="AW56" s="19">
        <v>9359017</v>
      </c>
      <c r="AX56" s="19" t="s">
        <v>4</v>
      </c>
      <c r="AY56" s="19">
        <v>21719190</v>
      </c>
      <c r="AZ56" s="19">
        <v>15671270</v>
      </c>
      <c r="BA56" s="19">
        <v>56528904</v>
      </c>
      <c r="BB56" s="19">
        <v>3752900</v>
      </c>
      <c r="BC56" s="19" t="s">
        <v>4</v>
      </c>
      <c r="BD56" s="19" t="s">
        <v>128</v>
      </c>
      <c r="BE56" s="19">
        <v>1382583</v>
      </c>
      <c r="BF56" s="19">
        <v>8252650</v>
      </c>
      <c r="BG56" s="19">
        <v>17090659</v>
      </c>
      <c r="BH56" s="19">
        <v>6688677</v>
      </c>
      <c r="BI56" s="19">
        <v>12821190</v>
      </c>
      <c r="BJ56" s="19">
        <v>14149035</v>
      </c>
      <c r="BK56" s="19">
        <v>19167275</v>
      </c>
      <c r="BL56" s="19">
        <v>37455500</v>
      </c>
      <c r="BM56" s="19">
        <v>27696782</v>
      </c>
      <c r="BN56" s="19">
        <v>1201884</v>
      </c>
      <c r="BO56" s="19">
        <v>175510</v>
      </c>
      <c r="BP56" s="19" t="s">
        <v>96</v>
      </c>
      <c r="BQ56" s="19" t="s">
        <v>4</v>
      </c>
      <c r="BR56" s="19">
        <v>35642634</v>
      </c>
      <c r="BS56" s="19">
        <v>2290310</v>
      </c>
      <c r="BT56" s="19">
        <v>3791938</v>
      </c>
      <c r="BU56" s="19">
        <v>8360800</v>
      </c>
      <c r="BV56" s="19">
        <v>4243011</v>
      </c>
      <c r="BW56" s="19">
        <v>8751150</v>
      </c>
      <c r="BX56" s="19">
        <v>7356870</v>
      </c>
      <c r="BY56" s="19">
        <v>50152670</v>
      </c>
      <c r="BZ56" s="19">
        <v>8186340</v>
      </c>
      <c r="CA56" s="19">
        <v>45510412</v>
      </c>
      <c r="CB56" s="19">
        <v>575050</v>
      </c>
      <c r="CC56" s="19"/>
      <c r="CD56" s="19">
        <v>66549370</v>
      </c>
      <c r="CE56" s="19">
        <v>130000</v>
      </c>
      <c r="CF56" s="19">
        <v>609260</v>
      </c>
      <c r="CG56" s="19">
        <v>1623250</v>
      </c>
      <c r="CH56" s="19">
        <v>5887066</v>
      </c>
      <c r="CI56" s="19" t="s">
        <v>128</v>
      </c>
      <c r="CJ56" s="19">
        <v>399100</v>
      </c>
      <c r="CK56" s="19">
        <v>43697943</v>
      </c>
      <c r="CL56" s="19">
        <v>1170450</v>
      </c>
      <c r="CM56" s="19">
        <v>13278941</v>
      </c>
      <c r="CN56" s="19">
        <v>3637090</v>
      </c>
      <c r="CO56" s="19">
        <v>5365920</v>
      </c>
      <c r="CP56" s="19">
        <v>23446779</v>
      </c>
      <c r="CQ56" s="19" t="s">
        <v>96</v>
      </c>
      <c r="CR56" s="19">
        <v>8375360</v>
      </c>
      <c r="CS56" s="19">
        <v>4383836</v>
      </c>
      <c r="CT56" s="19">
        <v>74490930</v>
      </c>
      <c r="CU56" s="19">
        <v>14208250</v>
      </c>
      <c r="CV56" s="19">
        <v>1198150</v>
      </c>
      <c r="CW56" s="19">
        <v>680070</v>
      </c>
      <c r="CX56" s="19">
        <v>64175410</v>
      </c>
      <c r="CY56" s="19" t="s">
        <v>96</v>
      </c>
      <c r="CZ56" s="19">
        <v>14999208</v>
      </c>
      <c r="DA56" s="19">
        <v>27119440</v>
      </c>
      <c r="DB56" s="19">
        <v>11452718</v>
      </c>
      <c r="DC56" s="19">
        <v>493583</v>
      </c>
      <c r="DD56" s="19">
        <v>3411770</v>
      </c>
      <c r="DE56" s="19">
        <v>46894328</v>
      </c>
      <c r="DF56" s="19">
        <v>3050450</v>
      </c>
      <c r="DG56" s="19">
        <v>15152956</v>
      </c>
      <c r="DH56" s="19">
        <v>12121880</v>
      </c>
      <c r="DI56" s="19">
        <v>16175354</v>
      </c>
      <c r="DJ56" s="19">
        <v>5449270</v>
      </c>
      <c r="DK56" s="19">
        <v>58502626</v>
      </c>
      <c r="DL56" s="19">
        <v>3032209</v>
      </c>
      <c r="DM56" s="19">
        <v>8946780</v>
      </c>
      <c r="DN56" s="19">
        <v>12064950</v>
      </c>
      <c r="DO56" s="19">
        <v>2275290</v>
      </c>
      <c r="DP56" s="19">
        <v>9719794</v>
      </c>
      <c r="DQ56" s="19">
        <v>3294889</v>
      </c>
      <c r="DR56" s="19">
        <v>15284090</v>
      </c>
      <c r="DS56" s="19">
        <v>18358120</v>
      </c>
      <c r="DT56" s="19">
        <v>1823030</v>
      </c>
      <c r="DU56" s="19">
        <v>1078890</v>
      </c>
      <c r="DV56" s="19">
        <v>263400</v>
      </c>
      <c r="DW56" s="19">
        <v>6509056</v>
      </c>
      <c r="DX56" s="19">
        <v>124499120</v>
      </c>
      <c r="DY56" s="19">
        <v>0</v>
      </c>
      <c r="DZ56" s="19">
        <v>13510960</v>
      </c>
      <c r="EA56" s="19">
        <v>1697013</v>
      </c>
      <c r="EB56" s="19">
        <v>72597929</v>
      </c>
      <c r="EC56" s="19">
        <v>2383133</v>
      </c>
      <c r="ED56" s="19">
        <v>993490</v>
      </c>
      <c r="EE56" s="19">
        <v>7487015</v>
      </c>
      <c r="EF56" s="19">
        <v>12969049</v>
      </c>
      <c r="EG56" s="19">
        <v>54578030</v>
      </c>
      <c r="EH56" s="19">
        <v>182250</v>
      </c>
      <c r="EI56" s="19">
        <v>2139363</v>
      </c>
      <c r="EJ56" s="19">
        <v>89780</v>
      </c>
      <c r="EK56" s="19">
        <v>28169050</v>
      </c>
      <c r="EL56" s="19">
        <v>58882990</v>
      </c>
      <c r="EM56" s="19">
        <v>5627230</v>
      </c>
      <c r="EN56" s="19">
        <v>110085510</v>
      </c>
      <c r="EO56" s="19">
        <v>30505860</v>
      </c>
      <c r="EP56" s="19">
        <v>27000291</v>
      </c>
      <c r="EQ56" s="19">
        <v>36328570</v>
      </c>
      <c r="ER56" s="19">
        <v>174825582</v>
      </c>
      <c r="ES56" s="19">
        <v>21688130</v>
      </c>
      <c r="ET56" s="19">
        <v>30875588</v>
      </c>
      <c r="EU56" s="19">
        <v>23923920</v>
      </c>
      <c r="EV56" s="19">
        <v>4505620</v>
      </c>
      <c r="EW56" s="19">
        <v>998167</v>
      </c>
      <c r="EX56" s="19">
        <v>14485255</v>
      </c>
      <c r="EY56" s="19">
        <v>149345380</v>
      </c>
      <c r="EZ56" s="19">
        <v>8308705</v>
      </c>
      <c r="FA56" s="19">
        <v>20614090</v>
      </c>
      <c r="FB56" s="19">
        <v>6032064</v>
      </c>
      <c r="FC56" s="19">
        <v>6361849</v>
      </c>
      <c r="FD56" s="19">
        <v>3887320</v>
      </c>
      <c r="FE56" s="19">
        <v>59583095</v>
      </c>
      <c r="FF56" s="19">
        <v>11035774</v>
      </c>
      <c r="FG56" s="19">
        <v>10452742</v>
      </c>
      <c r="FH56" s="19">
        <v>12127680</v>
      </c>
      <c r="FI56" s="19" t="s">
        <v>96</v>
      </c>
      <c r="FJ56" s="19">
        <v>1938998</v>
      </c>
      <c r="FK56" s="19">
        <v>45462713</v>
      </c>
      <c r="FL56" s="19">
        <v>866130</v>
      </c>
      <c r="FM56" s="19">
        <v>9306220</v>
      </c>
      <c r="FN56" s="19">
        <v>15648430</v>
      </c>
      <c r="FO56" s="19">
        <v>689660</v>
      </c>
      <c r="FP56" s="19">
        <v>12994631</v>
      </c>
      <c r="FQ56" s="19">
        <v>167281</v>
      </c>
      <c r="FR56" s="19">
        <v>11243790</v>
      </c>
      <c r="FS56" s="19">
        <v>5688860</v>
      </c>
      <c r="FT56" s="19">
        <v>8297470</v>
      </c>
      <c r="FU56" s="19">
        <v>1312821</v>
      </c>
      <c r="FV56" s="19">
        <v>188892760</v>
      </c>
      <c r="FW56" s="19">
        <v>4006659</v>
      </c>
      <c r="FX56" s="19">
        <v>178880</v>
      </c>
      <c r="FY56" s="19">
        <v>34430060</v>
      </c>
      <c r="FZ56" s="19">
        <v>10813765</v>
      </c>
      <c r="GA56" s="19">
        <v>27414150</v>
      </c>
      <c r="GB56" s="19">
        <v>10299297</v>
      </c>
      <c r="GC56" s="19">
        <v>5631339</v>
      </c>
      <c r="GD56" s="19" t="s">
        <v>96</v>
      </c>
      <c r="GE56" s="19">
        <v>13031570</v>
      </c>
      <c r="GF56" s="19">
        <v>6679530</v>
      </c>
      <c r="GG56" s="19">
        <v>22585139</v>
      </c>
      <c r="GH56" s="19">
        <v>10681755</v>
      </c>
      <c r="GI56" s="19">
        <v>1142400</v>
      </c>
      <c r="GJ56" s="19"/>
      <c r="GK56" s="19">
        <v>4789410</v>
      </c>
      <c r="GL56" s="19" t="s">
        <v>96</v>
      </c>
      <c r="GM56" s="19">
        <v>1517180</v>
      </c>
      <c r="GN56" s="19">
        <v>2377330</v>
      </c>
      <c r="GO56" s="19">
        <v>9515130</v>
      </c>
      <c r="GP56" s="19">
        <v>18927242</v>
      </c>
      <c r="GQ56" s="19">
        <v>1734530</v>
      </c>
      <c r="GR56" s="19">
        <v>16159790</v>
      </c>
      <c r="GS56" s="19">
        <v>9943133</v>
      </c>
      <c r="GT56" s="19">
        <v>19200664</v>
      </c>
      <c r="GU56" s="19">
        <v>6927450</v>
      </c>
      <c r="GV56" s="19">
        <v>38530467</v>
      </c>
      <c r="GW56" s="19">
        <v>58487069</v>
      </c>
      <c r="GX56" s="19">
        <v>404340</v>
      </c>
      <c r="GY56" s="19">
        <v>20119140</v>
      </c>
      <c r="GZ56" s="19">
        <v>11370928</v>
      </c>
      <c r="HA56" s="19">
        <v>26992077</v>
      </c>
      <c r="HB56" s="19">
        <v>230917</v>
      </c>
      <c r="HC56" s="19">
        <v>6444442</v>
      </c>
      <c r="HD56" s="19">
        <v>6135820</v>
      </c>
      <c r="HE56" s="19">
        <v>2157030</v>
      </c>
      <c r="HF56" s="19">
        <v>170043640</v>
      </c>
      <c r="HG56" s="19">
        <v>8548831</v>
      </c>
      <c r="HH56" s="19"/>
      <c r="HI56" s="19">
        <v>34330690</v>
      </c>
      <c r="HJ56" s="19">
        <v>1014190</v>
      </c>
      <c r="HK56" s="19">
        <v>33330260</v>
      </c>
      <c r="HL56" s="19">
        <v>3694500</v>
      </c>
      <c r="HM56" s="19">
        <v>16429007</v>
      </c>
      <c r="HN56" s="19">
        <v>3667300</v>
      </c>
      <c r="HO56" s="19">
        <v>1771640</v>
      </c>
      <c r="HP56" s="19">
        <v>39406486</v>
      </c>
      <c r="HQ56" s="19">
        <v>19161620</v>
      </c>
      <c r="HR56" s="19">
        <v>36386163</v>
      </c>
      <c r="HS56" s="19">
        <v>11413930</v>
      </c>
      <c r="HT56" s="19">
        <v>13136709</v>
      </c>
      <c r="HU56" s="19">
        <v>2463900</v>
      </c>
      <c r="HV56" s="19">
        <v>3143140</v>
      </c>
      <c r="HW56" s="19">
        <v>711681386</v>
      </c>
      <c r="HX56" s="19">
        <v>24635865</v>
      </c>
      <c r="HY56" s="19" t="s">
        <v>172</v>
      </c>
      <c r="HZ56" s="19">
        <v>941928</v>
      </c>
      <c r="IA56" s="19">
        <v>212020</v>
      </c>
      <c r="IB56" s="19">
        <v>26851023</v>
      </c>
      <c r="IC56" s="19">
        <v>24361330</v>
      </c>
      <c r="ID56" s="19">
        <v>12051990</v>
      </c>
      <c r="IE56" s="19" t="s">
        <v>96</v>
      </c>
      <c r="IF56" s="19">
        <v>2300880</v>
      </c>
      <c r="IG56" s="19">
        <v>2763952</v>
      </c>
      <c r="IH56" s="19">
        <v>18207266</v>
      </c>
      <c r="II56" s="19">
        <v>2993300</v>
      </c>
      <c r="IJ56" s="19">
        <v>1019260</v>
      </c>
      <c r="IK56" s="19">
        <v>10035250</v>
      </c>
      <c r="IL56" s="19">
        <v>7082984</v>
      </c>
      <c r="IM56" s="19">
        <v>11637150</v>
      </c>
      <c r="IN56" s="19">
        <v>14912860</v>
      </c>
      <c r="IO56" s="19">
        <v>4014615</v>
      </c>
      <c r="IP56" s="19">
        <v>16312640</v>
      </c>
      <c r="IQ56" s="19">
        <v>11435460</v>
      </c>
      <c r="IR56" s="19">
        <v>17094930</v>
      </c>
      <c r="IS56" s="19">
        <v>12965500</v>
      </c>
      <c r="IT56" s="19">
        <v>19951500</v>
      </c>
    </row>
    <row r="57" spans="1:254">
      <c r="A57" s="9" t="s">
        <v>3</v>
      </c>
      <c r="B57" s="15" t="s">
        <v>77</v>
      </c>
      <c r="C57" s="19">
        <v>244349735</v>
      </c>
      <c r="D57" s="19">
        <v>571827276</v>
      </c>
      <c r="E57" s="19">
        <v>142855169</v>
      </c>
      <c r="F57" s="19">
        <v>469841217</v>
      </c>
      <c r="G57" s="19">
        <v>144010843</v>
      </c>
      <c r="H57" s="19">
        <v>3962983028</v>
      </c>
      <c r="I57" s="19">
        <v>1508489147</v>
      </c>
      <c r="J57" s="19" t="s">
        <v>4</v>
      </c>
      <c r="K57" s="19">
        <v>251083676</v>
      </c>
      <c r="L57" s="19" t="s">
        <v>96</v>
      </c>
      <c r="M57" s="19" t="s">
        <v>96</v>
      </c>
      <c r="N57" s="19">
        <v>306583403</v>
      </c>
      <c r="O57" s="19">
        <v>1905958268</v>
      </c>
      <c r="P57" s="19">
        <v>1165413961</v>
      </c>
      <c r="Q57" s="19">
        <v>59745966</v>
      </c>
      <c r="R57" s="19">
        <v>166621485</v>
      </c>
      <c r="S57" s="19">
        <v>1885439485</v>
      </c>
      <c r="T57" s="19" t="s">
        <v>96</v>
      </c>
      <c r="U57" s="19">
        <v>397656198</v>
      </c>
      <c r="V57" s="19" t="s">
        <v>172</v>
      </c>
      <c r="W57" s="19">
        <v>936833942</v>
      </c>
      <c r="X57" s="19">
        <v>366773547</v>
      </c>
      <c r="Y57" s="19">
        <v>401466807</v>
      </c>
      <c r="Z57" s="19">
        <v>358946463</v>
      </c>
      <c r="AA57" s="19">
        <v>98700806</v>
      </c>
      <c r="AB57" s="19">
        <v>199896569</v>
      </c>
      <c r="AC57" s="19">
        <v>71882270</v>
      </c>
      <c r="AD57" s="19">
        <v>169028338</v>
      </c>
      <c r="AE57" s="19">
        <v>189512916</v>
      </c>
      <c r="AF57" s="19">
        <v>199349987</v>
      </c>
      <c r="AG57" s="19">
        <v>299800565</v>
      </c>
      <c r="AH57" s="19">
        <v>827463438</v>
      </c>
      <c r="AI57" s="19">
        <v>180247049</v>
      </c>
      <c r="AJ57" s="19">
        <v>219547704</v>
      </c>
      <c r="AK57" s="19">
        <v>241375437</v>
      </c>
      <c r="AL57" s="19">
        <v>480143073</v>
      </c>
      <c r="AM57" s="19" t="s">
        <v>4</v>
      </c>
      <c r="AN57" s="19">
        <v>454105633</v>
      </c>
      <c r="AO57" s="19">
        <v>758409679</v>
      </c>
      <c r="AP57" s="19">
        <v>434188728</v>
      </c>
      <c r="AQ57" s="19" t="s">
        <v>96</v>
      </c>
      <c r="AR57" s="19">
        <v>444663904</v>
      </c>
      <c r="AS57" s="19">
        <v>1251935570</v>
      </c>
      <c r="AT57" s="19">
        <v>70281548</v>
      </c>
      <c r="AU57" s="19">
        <v>625210497</v>
      </c>
      <c r="AV57" s="19">
        <v>91582635</v>
      </c>
      <c r="AW57" s="19">
        <v>88713123</v>
      </c>
      <c r="AX57" s="19" t="s">
        <v>4</v>
      </c>
      <c r="AY57" s="19">
        <v>218639743</v>
      </c>
      <c r="AZ57" s="19">
        <v>186356754</v>
      </c>
      <c r="BA57" s="19">
        <v>841680118</v>
      </c>
      <c r="BB57" s="19">
        <v>42289469</v>
      </c>
      <c r="BC57" s="19" t="s">
        <v>4</v>
      </c>
      <c r="BD57" s="19" t="s">
        <v>128</v>
      </c>
      <c r="BE57" s="19">
        <v>100473185</v>
      </c>
      <c r="BF57" s="19">
        <v>78785608</v>
      </c>
      <c r="BG57" s="19">
        <v>1315522056</v>
      </c>
      <c r="BH57" s="19">
        <v>49050992</v>
      </c>
      <c r="BI57" s="19">
        <v>157787787</v>
      </c>
      <c r="BJ57" s="19">
        <v>117830096</v>
      </c>
      <c r="BK57" s="19">
        <v>358307955</v>
      </c>
      <c r="BL57" s="19">
        <v>830637524</v>
      </c>
      <c r="BM57" s="19">
        <v>363242730</v>
      </c>
      <c r="BN57" s="19">
        <v>-5057999</v>
      </c>
      <c r="BO57" s="19">
        <v>168267668</v>
      </c>
      <c r="BP57" s="19" t="s">
        <v>96</v>
      </c>
      <c r="BQ57" s="19" t="s">
        <v>4</v>
      </c>
      <c r="BR57" s="19">
        <v>696723629</v>
      </c>
      <c r="BS57" s="19">
        <v>80817722</v>
      </c>
      <c r="BT57" s="19">
        <v>18719776</v>
      </c>
      <c r="BU57" s="19">
        <v>247736610</v>
      </c>
      <c r="BV57" s="19">
        <v>238048895</v>
      </c>
      <c r="BW57" s="19">
        <v>42243358</v>
      </c>
      <c r="BX57" s="19">
        <v>302077512</v>
      </c>
      <c r="BY57" s="19">
        <v>1091802005</v>
      </c>
      <c r="BZ57" s="19">
        <v>396575953</v>
      </c>
      <c r="CA57" s="19">
        <v>1187747490</v>
      </c>
      <c r="CB57" s="19">
        <v>180784235</v>
      </c>
      <c r="CC57" s="19">
        <v>132720483</v>
      </c>
      <c r="CD57" s="19">
        <v>138056212</v>
      </c>
      <c r="CE57" s="19">
        <v>15682379</v>
      </c>
      <c r="CF57" s="19">
        <v>201450185</v>
      </c>
      <c r="CG57" s="19">
        <v>103585197</v>
      </c>
      <c r="CH57" s="19">
        <v>118644102</v>
      </c>
      <c r="CI57" s="19" t="s">
        <v>128</v>
      </c>
      <c r="CJ57" s="19">
        <v>57307344</v>
      </c>
      <c r="CK57" s="19">
        <v>516986442</v>
      </c>
      <c r="CL57" s="19">
        <v>159777817</v>
      </c>
      <c r="CM57" s="19">
        <v>955270694</v>
      </c>
      <c r="CN57" s="19">
        <v>113790924</v>
      </c>
      <c r="CO57" s="19">
        <v>65057103</v>
      </c>
      <c r="CP57" s="19">
        <v>2819852357</v>
      </c>
      <c r="CQ57" s="19" t="s">
        <v>96</v>
      </c>
      <c r="CR57" s="19">
        <v>173949566</v>
      </c>
      <c r="CS57" s="19">
        <v>457113694</v>
      </c>
      <c r="CT57" s="19">
        <v>5672056982</v>
      </c>
      <c r="CU57" s="19">
        <v>264754670</v>
      </c>
      <c r="CV57" s="19">
        <v>94865023</v>
      </c>
      <c r="CW57" s="19">
        <v>592396479</v>
      </c>
      <c r="CX57" s="19">
        <v>1354411548</v>
      </c>
      <c r="CY57" s="19" t="s">
        <v>96</v>
      </c>
      <c r="CZ57" s="19">
        <v>2924472835</v>
      </c>
      <c r="DA57" s="19">
        <v>910845167</v>
      </c>
      <c r="DB57" s="19">
        <v>30240855</v>
      </c>
      <c r="DC57" s="19">
        <v>15640385</v>
      </c>
      <c r="DD57" s="19">
        <v>70651693</v>
      </c>
      <c r="DE57" s="19">
        <v>398500862</v>
      </c>
      <c r="DF57" s="19">
        <v>33569600</v>
      </c>
      <c r="DG57" s="19">
        <v>432576579</v>
      </c>
      <c r="DH57" s="19">
        <v>204804386</v>
      </c>
      <c r="DI57" s="19">
        <v>356951814</v>
      </c>
      <c r="DJ57" s="19">
        <v>205187420</v>
      </c>
      <c r="DK57" s="19">
        <v>812155258</v>
      </c>
      <c r="DL57" s="19">
        <v>208525909</v>
      </c>
      <c r="DM57" s="19">
        <v>122519476</v>
      </c>
      <c r="DN57" s="19">
        <v>137616023</v>
      </c>
      <c r="DO57" s="19">
        <v>31059785</v>
      </c>
      <c r="DP57" s="19">
        <v>211500801</v>
      </c>
      <c r="DQ57" s="19">
        <v>28474510</v>
      </c>
      <c r="DR57" s="19">
        <v>769628702</v>
      </c>
      <c r="DS57" s="19">
        <v>168964935</v>
      </c>
      <c r="DT57" s="19">
        <v>773276323</v>
      </c>
      <c r="DU57" s="19">
        <v>198559286</v>
      </c>
      <c r="DV57" s="19">
        <v>110896758</v>
      </c>
      <c r="DW57" s="19">
        <v>122782539</v>
      </c>
      <c r="DX57" s="19">
        <v>3361289320</v>
      </c>
      <c r="DY57" s="19">
        <v>93242932</v>
      </c>
      <c r="DZ57" s="19">
        <v>60505042</v>
      </c>
      <c r="EA57" s="19">
        <v>40658848</v>
      </c>
      <c r="EB57" s="19">
        <v>617545803</v>
      </c>
      <c r="EC57" s="19">
        <v>340824501</v>
      </c>
      <c r="ED57" s="19">
        <v>103491128</v>
      </c>
      <c r="EE57" s="19">
        <v>33324514</v>
      </c>
      <c r="EF57" s="19">
        <v>201595903</v>
      </c>
      <c r="EG57" s="19">
        <v>793220744</v>
      </c>
      <c r="EH57" s="19">
        <v>12436310</v>
      </c>
      <c r="EI57" s="19">
        <v>1074708671</v>
      </c>
      <c r="EJ57" s="19">
        <v>318965110</v>
      </c>
      <c r="EK57" s="19">
        <v>833899807</v>
      </c>
      <c r="EL57" s="19">
        <v>272469178</v>
      </c>
      <c r="EM57" s="19">
        <v>115017975</v>
      </c>
      <c r="EN57" s="19">
        <v>2127809709</v>
      </c>
      <c r="EO57" s="19">
        <v>566668099</v>
      </c>
      <c r="EP57" s="19">
        <v>179503113</v>
      </c>
      <c r="EQ57" s="19">
        <v>883309093</v>
      </c>
      <c r="ER57" s="19">
        <v>632340758</v>
      </c>
      <c r="ES57" s="19">
        <v>274243684</v>
      </c>
      <c r="ET57" s="19">
        <v>982283180</v>
      </c>
      <c r="EU57" s="19">
        <v>1075847512</v>
      </c>
      <c r="EV57" s="19">
        <v>67095390</v>
      </c>
      <c r="EW57" s="19">
        <v>128337657</v>
      </c>
      <c r="EX57" s="19">
        <v>1063065344</v>
      </c>
      <c r="EY57" s="19">
        <v>1019188418</v>
      </c>
      <c r="EZ57" s="19">
        <v>619863445</v>
      </c>
      <c r="FA57" s="19">
        <v>90950057</v>
      </c>
      <c r="FB57" s="19">
        <v>50536392</v>
      </c>
      <c r="FC57" s="19">
        <v>216072845</v>
      </c>
      <c r="FD57" s="19">
        <v>57681487</v>
      </c>
      <c r="FE57" s="19">
        <v>3122217563</v>
      </c>
      <c r="FF57" s="19">
        <v>377475514</v>
      </c>
      <c r="FG57" s="19">
        <v>305375058</v>
      </c>
      <c r="FH57" s="19">
        <v>240877316</v>
      </c>
      <c r="FI57" s="19" t="s">
        <v>96</v>
      </c>
      <c r="FJ57" s="19">
        <v>229999737</v>
      </c>
      <c r="FK57" s="19">
        <v>301103655</v>
      </c>
      <c r="FL57" s="19">
        <v>118511786</v>
      </c>
      <c r="FM57" s="19">
        <v>297750217</v>
      </c>
      <c r="FN57" s="19">
        <v>256605072</v>
      </c>
      <c r="FO57" s="19">
        <v>49082191</v>
      </c>
      <c r="FP57" s="19">
        <v>92579770</v>
      </c>
      <c r="FQ57" s="19">
        <v>22409896</v>
      </c>
      <c r="FR57" s="19">
        <v>147279637</v>
      </c>
      <c r="FS57" s="19">
        <v>235067720</v>
      </c>
      <c r="FT57" s="19">
        <v>894786832</v>
      </c>
      <c r="FU57" s="19">
        <v>6887721</v>
      </c>
      <c r="FV57" s="19">
        <v>275671895</v>
      </c>
      <c r="FW57" s="19">
        <v>54654476</v>
      </c>
      <c r="FX57" s="19">
        <v>152188474</v>
      </c>
      <c r="FY57" s="19">
        <v>2579354582</v>
      </c>
      <c r="FZ57" s="19">
        <v>327591056</v>
      </c>
      <c r="GA57" s="19">
        <v>389954396</v>
      </c>
      <c r="GB57" s="19">
        <v>199795364</v>
      </c>
      <c r="GC57" s="19">
        <v>98878963</v>
      </c>
      <c r="GD57" s="19" t="s">
        <v>96</v>
      </c>
      <c r="GE57" s="19">
        <v>570374360</v>
      </c>
      <c r="GF57" s="19">
        <v>169718343</v>
      </c>
      <c r="GG57" s="19">
        <v>954357306</v>
      </c>
      <c r="GH57" s="19">
        <v>85658761</v>
      </c>
      <c r="GI57" s="19">
        <v>125232103</v>
      </c>
      <c r="GJ57" s="19">
        <v>297170059</v>
      </c>
      <c r="GK57" s="19">
        <v>225258437</v>
      </c>
      <c r="GL57" s="19" t="s">
        <v>96</v>
      </c>
      <c r="GM57" s="19">
        <v>358884710</v>
      </c>
      <c r="GN57" s="19">
        <v>923133461</v>
      </c>
      <c r="GO57" s="19">
        <v>135515265</v>
      </c>
      <c r="GP57" s="19">
        <v>668889342</v>
      </c>
      <c r="GQ57" s="19">
        <v>35258817</v>
      </c>
      <c r="GR57" s="19">
        <v>644417168</v>
      </c>
      <c r="GS57" s="19">
        <v>139621616</v>
      </c>
      <c r="GT57" s="19">
        <v>310887408</v>
      </c>
      <c r="GU57" s="19">
        <v>129640105</v>
      </c>
      <c r="GV57" s="19">
        <v>779727027</v>
      </c>
      <c r="GW57" s="19">
        <v>1711928545</v>
      </c>
      <c r="GX57" s="19">
        <v>227461863</v>
      </c>
      <c r="GY57" s="19">
        <v>844680805</v>
      </c>
      <c r="GZ57" s="19">
        <v>383115686</v>
      </c>
      <c r="HA57" s="19">
        <v>1174675456</v>
      </c>
      <c r="HB57" s="19">
        <v>329293161</v>
      </c>
      <c r="HC57" s="19">
        <v>297652741</v>
      </c>
      <c r="HD57" s="19">
        <v>344696934</v>
      </c>
      <c r="HE57" s="19">
        <v>242815456</v>
      </c>
      <c r="HF57" s="19">
        <v>464981237</v>
      </c>
      <c r="HG57" s="19">
        <v>66559958</v>
      </c>
      <c r="HH57" s="19">
        <v>0</v>
      </c>
      <c r="HI57" s="19">
        <v>583406346</v>
      </c>
      <c r="HJ57" s="19">
        <v>117336464</v>
      </c>
      <c r="HK57" s="19">
        <v>369895433</v>
      </c>
      <c r="HL57" s="19">
        <v>326114830</v>
      </c>
      <c r="HM57" s="19">
        <v>469880153</v>
      </c>
      <c r="HN57" s="19">
        <v>48774454</v>
      </c>
      <c r="HO57" s="19">
        <v>141917883</v>
      </c>
      <c r="HP57" s="19">
        <v>284988714</v>
      </c>
      <c r="HQ57" s="19">
        <v>78228152</v>
      </c>
      <c r="HR57" s="19">
        <v>604111617</v>
      </c>
      <c r="HS57" s="19">
        <v>254600537</v>
      </c>
      <c r="HT57" s="19">
        <v>61022018</v>
      </c>
      <c r="HU57" s="19">
        <v>2996106938</v>
      </c>
      <c r="HV57" s="19">
        <v>42041597</v>
      </c>
      <c r="HW57" s="19">
        <v>16425545159</v>
      </c>
      <c r="HX57" s="19">
        <v>220254504</v>
      </c>
      <c r="HY57" s="19" t="s">
        <v>172</v>
      </c>
      <c r="HZ57" s="19">
        <v>55638741</v>
      </c>
      <c r="IA57" s="19">
        <v>101021768</v>
      </c>
      <c r="IB57" s="19">
        <v>421376921</v>
      </c>
      <c r="IC57" s="19">
        <v>220409768</v>
      </c>
      <c r="ID57" s="19">
        <v>61578293</v>
      </c>
      <c r="IE57" s="19" t="s">
        <v>96</v>
      </c>
      <c r="IF57" s="19">
        <v>15912531</v>
      </c>
      <c r="IG57" s="19">
        <v>55688435</v>
      </c>
      <c r="IH57" s="19">
        <v>322490699</v>
      </c>
      <c r="II57" s="19">
        <v>178181516</v>
      </c>
      <c r="IJ57" s="19">
        <v>188477468</v>
      </c>
      <c r="IK57" s="19">
        <v>165563735</v>
      </c>
      <c r="IL57" s="19">
        <v>86186362</v>
      </c>
      <c r="IM57" s="19">
        <v>90006613</v>
      </c>
      <c r="IN57" s="19">
        <v>221532583</v>
      </c>
      <c r="IO57" s="19">
        <v>330050634</v>
      </c>
      <c r="IP57" s="19">
        <v>569871386</v>
      </c>
      <c r="IQ57" s="19">
        <v>3449955245</v>
      </c>
      <c r="IR57" s="19">
        <v>305129855</v>
      </c>
      <c r="IS57" s="19">
        <v>212417061</v>
      </c>
      <c r="IT57" s="19">
        <v>185025935</v>
      </c>
    </row>
    <row r="58" spans="1:254">
      <c r="A58" s="9" t="s">
        <v>3</v>
      </c>
      <c r="B58" s="10" t="s">
        <v>87</v>
      </c>
      <c r="C58" s="19">
        <v>-153731259</v>
      </c>
      <c r="D58" s="19">
        <v>-775290041</v>
      </c>
      <c r="E58" s="19">
        <v>-109090710</v>
      </c>
      <c r="F58" s="19">
        <v>104885399</v>
      </c>
      <c r="G58" s="19">
        <v>-3466777</v>
      </c>
      <c r="H58" s="19">
        <v>-40657090</v>
      </c>
      <c r="I58" s="19">
        <v>42794780</v>
      </c>
      <c r="J58" s="19" t="s">
        <v>4</v>
      </c>
      <c r="K58" s="19">
        <v>-1030765911</v>
      </c>
      <c r="L58" s="19" t="s">
        <v>96</v>
      </c>
      <c r="M58" s="19" t="s">
        <v>96</v>
      </c>
      <c r="N58" s="19">
        <v>-496626677</v>
      </c>
      <c r="O58" s="19">
        <v>-469446751</v>
      </c>
      <c r="P58" s="19">
        <v>-186305151</v>
      </c>
      <c r="Q58" s="19">
        <v>-61202165</v>
      </c>
      <c r="R58" s="19">
        <v>532446</v>
      </c>
      <c r="S58" s="19">
        <v>-261631219</v>
      </c>
      <c r="T58" s="19" t="s">
        <v>96</v>
      </c>
      <c r="U58" s="19">
        <v>-97539123</v>
      </c>
      <c r="V58" s="19" t="s">
        <v>172</v>
      </c>
      <c r="W58" s="19">
        <v>-14102492</v>
      </c>
      <c r="X58" s="19">
        <v>273245557</v>
      </c>
      <c r="Y58" s="19">
        <v>-84833981</v>
      </c>
      <c r="Z58" s="19">
        <v>-6535485</v>
      </c>
      <c r="AA58" s="19">
        <v>340736339</v>
      </c>
      <c r="AB58" s="19">
        <v>-221280149</v>
      </c>
      <c r="AC58" s="19">
        <v>116716606</v>
      </c>
      <c r="AD58" s="19">
        <v>228731569</v>
      </c>
      <c r="AE58" s="19">
        <v>-63835544</v>
      </c>
      <c r="AF58" s="19">
        <v>-64720025</v>
      </c>
      <c r="AG58" s="19">
        <v>-463904585</v>
      </c>
      <c r="AH58" s="19">
        <v>68700456</v>
      </c>
      <c r="AI58" s="19">
        <v>-381494857</v>
      </c>
      <c r="AJ58" s="19">
        <v>-109026153</v>
      </c>
      <c r="AK58" s="19">
        <v>98407468</v>
      </c>
      <c r="AL58" s="19">
        <v>-95704135</v>
      </c>
      <c r="AM58" s="19" t="s">
        <v>4</v>
      </c>
      <c r="AN58" s="19">
        <v>34285533</v>
      </c>
      <c r="AO58" s="19">
        <v>-282706679</v>
      </c>
      <c r="AP58" s="19">
        <v>-107343546</v>
      </c>
      <c r="AQ58" s="19" t="s">
        <v>96</v>
      </c>
      <c r="AR58" s="19">
        <v>-386694539</v>
      </c>
      <c r="AS58" s="19">
        <v>-975328068</v>
      </c>
      <c r="AT58" s="19">
        <v>51249756</v>
      </c>
      <c r="AU58" s="19">
        <v>-174986733</v>
      </c>
      <c r="AV58" s="19">
        <v>-44724916</v>
      </c>
      <c r="AW58" s="19">
        <v>32272212</v>
      </c>
      <c r="AX58" s="19" t="s">
        <v>4</v>
      </c>
      <c r="AY58" s="19">
        <v>2320173</v>
      </c>
      <c r="AZ58" s="19">
        <v>8710341</v>
      </c>
      <c r="BA58" s="19">
        <v>-1016326643</v>
      </c>
      <c r="BB58" s="19">
        <v>-139779234</v>
      </c>
      <c r="BC58" s="19" t="s">
        <v>4</v>
      </c>
      <c r="BD58" s="19" t="s">
        <v>128</v>
      </c>
      <c r="BE58" s="19">
        <v>80358951</v>
      </c>
      <c r="BF58" s="19">
        <v>-275822171</v>
      </c>
      <c r="BG58" s="19">
        <v>-251732790</v>
      </c>
      <c r="BH58" s="19">
        <v>46538863</v>
      </c>
      <c r="BI58" s="19">
        <v>-9854945</v>
      </c>
      <c r="BJ58" s="19">
        <v>-148367</v>
      </c>
      <c r="BK58" s="19">
        <v>-1021450879</v>
      </c>
      <c r="BL58" s="19">
        <v>166532460</v>
      </c>
      <c r="BM58" s="19">
        <v>-19673119</v>
      </c>
      <c r="BN58" s="19">
        <v>-66567837</v>
      </c>
      <c r="BO58" s="19">
        <v>-97235706</v>
      </c>
      <c r="BP58" s="19" t="s">
        <v>96</v>
      </c>
      <c r="BQ58" s="19" t="s">
        <v>4</v>
      </c>
      <c r="BR58" s="19">
        <v>1846032770</v>
      </c>
      <c r="BS58" s="19">
        <v>-37806068</v>
      </c>
      <c r="BT58" s="19">
        <v>-32624377</v>
      </c>
      <c r="BU58" s="19">
        <v>-175772201</v>
      </c>
      <c r="BV58" s="19">
        <v>-32457371</v>
      </c>
      <c r="BW58" s="19">
        <v>-79639894</v>
      </c>
      <c r="BX58" s="19">
        <v>1172449</v>
      </c>
      <c r="BY58" s="19">
        <v>-1734295040</v>
      </c>
      <c r="BZ58" s="19">
        <v>824267730</v>
      </c>
      <c r="CA58" s="19">
        <v>-263413938</v>
      </c>
      <c r="CB58" s="19">
        <v>5824681</v>
      </c>
      <c r="CC58" s="19">
        <v>-39399056</v>
      </c>
      <c r="CD58" s="19">
        <v>-500802903</v>
      </c>
      <c r="CE58" s="19">
        <v>-41007338</v>
      </c>
      <c r="CF58" s="19">
        <v>-508350420</v>
      </c>
      <c r="CG58" s="19">
        <v>-56657536</v>
      </c>
      <c r="CH58" s="19">
        <v>5573845</v>
      </c>
      <c r="CI58" s="19" t="s">
        <v>128</v>
      </c>
      <c r="CJ58" s="19">
        <v>2386133</v>
      </c>
      <c r="CK58" s="19">
        <v>-199789829</v>
      </c>
      <c r="CL58" s="19">
        <v>-113586106</v>
      </c>
      <c r="CM58" s="19">
        <v>13329333</v>
      </c>
      <c r="CN58" s="19">
        <v>-50612420</v>
      </c>
      <c r="CO58" s="19">
        <v>-74621884</v>
      </c>
      <c r="CP58" s="19">
        <v>87341287</v>
      </c>
      <c r="CQ58" s="19" t="s">
        <v>96</v>
      </c>
      <c r="CR58" s="19">
        <v>-24500149</v>
      </c>
      <c r="CS58" s="19">
        <v>1276179197</v>
      </c>
      <c r="CT58" s="19">
        <v>-4922605849</v>
      </c>
      <c r="CU58" s="19">
        <v>-240042156</v>
      </c>
      <c r="CV58" s="19">
        <v>-10939344</v>
      </c>
      <c r="CW58" s="19">
        <v>37335063</v>
      </c>
      <c r="CX58" s="19">
        <v>-1065662366</v>
      </c>
      <c r="CY58" s="19" t="s">
        <v>96</v>
      </c>
      <c r="CZ58" s="19">
        <v>829561567</v>
      </c>
      <c r="DA58" s="19">
        <v>137256471</v>
      </c>
      <c r="DB58" s="19">
        <v>15002197</v>
      </c>
      <c r="DC58" s="19">
        <v>-23345169</v>
      </c>
      <c r="DD58" s="19">
        <v>-82173066</v>
      </c>
      <c r="DE58" s="19">
        <v>505543131</v>
      </c>
      <c r="DF58" s="19">
        <v>-38550749</v>
      </c>
      <c r="DG58" s="19">
        <v>-385239464</v>
      </c>
      <c r="DH58" s="19">
        <v>-96415876</v>
      </c>
      <c r="DI58" s="19">
        <v>133399914</v>
      </c>
      <c r="DJ58" s="19">
        <v>22755687</v>
      </c>
      <c r="DK58" s="19">
        <v>485517043</v>
      </c>
      <c r="DL58" s="19">
        <v>-147547571</v>
      </c>
      <c r="DM58" s="19">
        <v>59317584</v>
      </c>
      <c r="DN58" s="19">
        <v>60537602</v>
      </c>
      <c r="DO58" s="19">
        <v>-22552540</v>
      </c>
      <c r="DP58" s="19">
        <v>230567548</v>
      </c>
      <c r="DQ58" s="19">
        <v>6612000</v>
      </c>
      <c r="DR58" s="19">
        <v>-123051822</v>
      </c>
      <c r="DS58" s="19">
        <v>185372492</v>
      </c>
      <c r="DT58" s="19">
        <v>20851859</v>
      </c>
      <c r="DU58" s="19">
        <v>7474735</v>
      </c>
      <c r="DV58" s="19">
        <v>4188400962</v>
      </c>
      <c r="DW58" s="19">
        <v>-109908158</v>
      </c>
      <c r="DX58" s="19">
        <v>430498965</v>
      </c>
      <c r="DY58" s="19">
        <v>-15502796</v>
      </c>
      <c r="DZ58" s="19">
        <v>7603203</v>
      </c>
      <c r="EA58" s="19">
        <v>-48776653</v>
      </c>
      <c r="EB58" s="19">
        <v>138985878</v>
      </c>
      <c r="EC58" s="19">
        <v>-23651414</v>
      </c>
      <c r="ED58" s="19">
        <v>-294864561</v>
      </c>
      <c r="EE58" s="19">
        <v>52552954</v>
      </c>
      <c r="EF58" s="19">
        <v>617462213</v>
      </c>
      <c r="EG58" s="19">
        <v>-2429547786</v>
      </c>
      <c r="EH58" s="19">
        <v>144706705</v>
      </c>
      <c r="EI58" s="19">
        <v>-2496277839</v>
      </c>
      <c r="EJ58" s="19">
        <v>-395031657</v>
      </c>
      <c r="EK58" s="19">
        <v>-759499964</v>
      </c>
      <c r="EL58" s="19">
        <v>819269236</v>
      </c>
      <c r="EM58" s="19">
        <v>24485881</v>
      </c>
      <c r="EN58" s="19">
        <v>-681633538</v>
      </c>
      <c r="EO58" s="19">
        <v>-43944249</v>
      </c>
      <c r="EP58" s="19">
        <v>-130752047</v>
      </c>
      <c r="EQ58" s="19">
        <v>275275605</v>
      </c>
      <c r="ER58" s="19">
        <v>-524401244</v>
      </c>
      <c r="ES58" s="19">
        <v>22569726</v>
      </c>
      <c r="ET58" s="19">
        <v>-929026981</v>
      </c>
      <c r="EU58" s="19">
        <v>576071339</v>
      </c>
      <c r="EV58" s="19">
        <v>30369907</v>
      </c>
      <c r="EW58" s="19">
        <v>-5218849</v>
      </c>
      <c r="EX58" s="19">
        <v>-8157443</v>
      </c>
      <c r="EY58" s="19">
        <v>79219633</v>
      </c>
      <c r="EZ58" s="19">
        <v>-59855394</v>
      </c>
      <c r="FA58" s="19">
        <v>-92132666</v>
      </c>
      <c r="FB58" s="19">
        <v>-116713830</v>
      </c>
      <c r="FC58" s="19">
        <v>-225582957</v>
      </c>
      <c r="FD58" s="19">
        <v>3092739</v>
      </c>
      <c r="FE58" s="19">
        <v>667550571</v>
      </c>
      <c r="FF58" s="19">
        <v>69328740</v>
      </c>
      <c r="FG58" s="19">
        <v>71994307</v>
      </c>
      <c r="FH58" s="19">
        <v>48316116</v>
      </c>
      <c r="FI58" s="19" t="s">
        <v>96</v>
      </c>
      <c r="FJ58" s="19">
        <v>45153006</v>
      </c>
      <c r="FK58" s="19">
        <v>-260263974</v>
      </c>
      <c r="FL58" s="19">
        <v>-369045075</v>
      </c>
      <c r="FM58" s="19">
        <v>-174798153</v>
      </c>
      <c r="FN58" s="19">
        <v>-466672787</v>
      </c>
      <c r="FO58" s="19">
        <v>-39465261</v>
      </c>
      <c r="FP58" s="19">
        <v>-31621344</v>
      </c>
      <c r="FQ58" s="19">
        <v>-154304061</v>
      </c>
      <c r="FR58" s="19">
        <v>-180276697</v>
      </c>
      <c r="FS58" s="19">
        <v>-313325945</v>
      </c>
      <c r="FT58" s="19">
        <v>881150632</v>
      </c>
      <c r="FU58" s="19">
        <v>-13067770</v>
      </c>
      <c r="FV58" s="19">
        <v>552850886</v>
      </c>
      <c r="FW58" s="19">
        <v>-39546713</v>
      </c>
      <c r="FX58" s="19">
        <v>-248597019</v>
      </c>
      <c r="FY58" s="19">
        <v>-2069698723</v>
      </c>
      <c r="FZ58" s="19">
        <v>-903164493</v>
      </c>
      <c r="GA58" s="19">
        <v>-659941690</v>
      </c>
      <c r="GB58" s="19">
        <v>-318064131</v>
      </c>
      <c r="GC58" s="19">
        <v>15684045</v>
      </c>
      <c r="GD58" s="19" t="s">
        <v>96</v>
      </c>
      <c r="GE58" s="19">
        <v>-305596980</v>
      </c>
      <c r="GF58" s="19">
        <v>-44470794</v>
      </c>
      <c r="GG58" s="19">
        <v>-1291083530</v>
      </c>
      <c r="GH58" s="19">
        <v>-54084109</v>
      </c>
      <c r="GI58" s="19">
        <v>27157025</v>
      </c>
      <c r="GJ58" s="19">
        <v>-103221774</v>
      </c>
      <c r="GK58" s="19">
        <v>-267304352</v>
      </c>
      <c r="GL58" s="19" t="s">
        <v>96</v>
      </c>
      <c r="GM58" s="19">
        <v>-247958242</v>
      </c>
      <c r="GN58" s="19">
        <v>-280976893</v>
      </c>
      <c r="GO58" s="19">
        <v>-323460427</v>
      </c>
      <c r="GP58" s="19">
        <v>318075666</v>
      </c>
      <c r="GQ58" s="19">
        <v>7817235</v>
      </c>
      <c r="GR58" s="19">
        <v>-151141512</v>
      </c>
      <c r="GS58" s="19">
        <v>-179137061</v>
      </c>
      <c r="GT58" s="19">
        <v>-199799404</v>
      </c>
      <c r="GU58" s="19">
        <v>54344800</v>
      </c>
      <c r="GV58" s="19">
        <v>98531300</v>
      </c>
      <c r="GW58" s="19">
        <v>-2932476596</v>
      </c>
      <c r="GX58" s="19">
        <v>79147062</v>
      </c>
      <c r="GY58" s="19">
        <v>-2297878980</v>
      </c>
      <c r="GZ58" s="19">
        <v>258052901</v>
      </c>
      <c r="HA58" s="19">
        <v>-1264971107</v>
      </c>
      <c r="HB58" s="19">
        <v>-278631290</v>
      </c>
      <c r="HC58" s="19">
        <v>-297465579</v>
      </c>
      <c r="HD58" s="19">
        <v>-432925568</v>
      </c>
      <c r="HE58" s="19">
        <v>-101469966</v>
      </c>
      <c r="HF58" s="19">
        <v>-307893285</v>
      </c>
      <c r="HG58" s="19">
        <v>-69675767</v>
      </c>
      <c r="HH58" s="19">
        <v>0</v>
      </c>
      <c r="HI58" s="19">
        <v>-1301973608</v>
      </c>
      <c r="HJ58" s="19">
        <v>35600110</v>
      </c>
      <c r="HK58" s="19">
        <v>-999465666</v>
      </c>
      <c r="HL58" s="19">
        <v>92894132</v>
      </c>
      <c r="HM58" s="19">
        <v>-3378154</v>
      </c>
      <c r="HN58" s="19">
        <v>-46884544</v>
      </c>
      <c r="HO58" s="19">
        <v>211465031</v>
      </c>
      <c r="HP58" s="19">
        <v>-500234665</v>
      </c>
      <c r="HQ58" s="19">
        <v>49423176</v>
      </c>
      <c r="HR58" s="19">
        <v>-118427995</v>
      </c>
      <c r="HS58" s="19">
        <v>-81851069</v>
      </c>
      <c r="HT58" s="19">
        <v>-5138563</v>
      </c>
      <c r="HU58" s="19">
        <v>-3964115480</v>
      </c>
      <c r="HV58" s="19">
        <v>-6494239</v>
      </c>
      <c r="HW58" s="19">
        <v>-20297702948</v>
      </c>
      <c r="HX58" s="19">
        <v>128250449</v>
      </c>
      <c r="HY58" s="19" t="s">
        <v>172</v>
      </c>
      <c r="HZ58" s="19">
        <v>405121244</v>
      </c>
      <c r="IA58" s="19">
        <v>532866633</v>
      </c>
      <c r="IB58" s="19">
        <v>-166194160</v>
      </c>
      <c r="IC58" s="19">
        <v>56571920</v>
      </c>
      <c r="ID58" s="19">
        <v>-52149211</v>
      </c>
      <c r="IE58" s="19" t="s">
        <v>96</v>
      </c>
      <c r="IF58" s="19">
        <v>-91394544</v>
      </c>
      <c r="IG58" s="19">
        <v>1360701</v>
      </c>
      <c r="IH58" s="19">
        <v>217712978</v>
      </c>
      <c r="II58" s="19">
        <v>1347393</v>
      </c>
      <c r="IJ58" s="19">
        <v>-23242799</v>
      </c>
      <c r="IK58" s="19">
        <v>-41768650</v>
      </c>
      <c r="IL58" s="19">
        <v>15778907</v>
      </c>
      <c r="IM58" s="19">
        <v>-403811263</v>
      </c>
      <c r="IN58" s="19">
        <v>-22181414</v>
      </c>
      <c r="IO58" s="19">
        <v>235277273</v>
      </c>
      <c r="IP58" s="19">
        <v>-270304441</v>
      </c>
      <c r="IQ58" s="19">
        <v>241617085</v>
      </c>
      <c r="IR58" s="19">
        <v>233058225</v>
      </c>
      <c r="IS58" s="19">
        <v>199578674</v>
      </c>
      <c r="IT58" s="19">
        <v>206592795</v>
      </c>
    </row>
    <row r="59" spans="1:254">
      <c r="A59" s="9" t="s">
        <v>3</v>
      </c>
      <c r="B59" s="10" t="s">
        <v>16</v>
      </c>
      <c r="C59" s="19">
        <v>201703637</v>
      </c>
      <c r="D59" s="19">
        <v>655713832</v>
      </c>
      <c r="E59" s="19">
        <v>145450526</v>
      </c>
      <c r="F59" s="19">
        <v>34048006</v>
      </c>
      <c r="G59" s="19">
        <v>19220959</v>
      </c>
      <c r="H59" s="19">
        <v>860909828</v>
      </c>
      <c r="I59" s="19">
        <v>141442681</v>
      </c>
      <c r="J59" s="19" t="s">
        <v>4</v>
      </c>
      <c r="K59" s="19">
        <v>914182839</v>
      </c>
      <c r="L59" s="19" t="s">
        <v>96</v>
      </c>
      <c r="M59" s="19" t="s">
        <v>96</v>
      </c>
      <c r="N59" s="19">
        <v>593428965</v>
      </c>
      <c r="O59" s="19">
        <v>493749684</v>
      </c>
      <c r="P59" s="19">
        <v>267170347</v>
      </c>
      <c r="Q59" s="19">
        <v>48260347</v>
      </c>
      <c r="R59" s="19">
        <v>32185481</v>
      </c>
      <c r="S59" s="19">
        <v>22799735</v>
      </c>
      <c r="T59" s="19" t="s">
        <v>96</v>
      </c>
      <c r="U59" s="19">
        <v>53635258</v>
      </c>
      <c r="V59" s="19" t="s">
        <v>172</v>
      </c>
      <c r="W59" s="19">
        <v>43612140</v>
      </c>
      <c r="X59" s="19">
        <v>101062400</v>
      </c>
      <c r="Y59" s="19">
        <v>19015048</v>
      </c>
      <c r="Z59" s="19">
        <v>106148249</v>
      </c>
      <c r="AA59" s="19">
        <v>232084855</v>
      </c>
      <c r="AB59" s="19">
        <v>155528834</v>
      </c>
      <c r="AC59" s="19">
        <v>41723794</v>
      </c>
      <c r="AD59" s="19">
        <v>4214529</v>
      </c>
      <c r="AE59" s="19">
        <v>169953659</v>
      </c>
      <c r="AF59" s="19">
        <v>183281855</v>
      </c>
      <c r="AG59" s="19">
        <v>325091811</v>
      </c>
      <c r="AH59" s="19">
        <v>165769044</v>
      </c>
      <c r="AI59" s="19">
        <v>172436165</v>
      </c>
      <c r="AJ59" s="19">
        <v>146797577</v>
      </c>
      <c r="AK59" s="19">
        <v>152377853</v>
      </c>
      <c r="AL59" s="19">
        <v>320644876</v>
      </c>
      <c r="AM59" s="19" t="s">
        <v>4</v>
      </c>
      <c r="AN59" s="19">
        <v>41001060</v>
      </c>
      <c r="AO59" s="19">
        <v>196907238</v>
      </c>
      <c r="AP59" s="19">
        <v>31109025</v>
      </c>
      <c r="AQ59" s="19" t="s">
        <v>96</v>
      </c>
      <c r="AR59" s="19">
        <v>23444212</v>
      </c>
      <c r="AS59" s="19">
        <v>418973805</v>
      </c>
      <c r="AT59" s="19">
        <v>19389966</v>
      </c>
      <c r="AU59" s="19">
        <v>264957882</v>
      </c>
      <c r="AV59" s="19">
        <v>30303137</v>
      </c>
      <c r="AW59" s="19">
        <v>23269853</v>
      </c>
      <c r="AX59" s="19" t="s">
        <v>4</v>
      </c>
      <c r="AY59" s="19">
        <v>60579872</v>
      </c>
      <c r="AZ59" s="19">
        <v>15538429</v>
      </c>
      <c r="BA59" s="19">
        <v>1154380849</v>
      </c>
      <c r="BB59" s="19">
        <v>82640050</v>
      </c>
      <c r="BC59" s="19" t="s">
        <v>4</v>
      </c>
      <c r="BD59" s="19" t="s">
        <v>128</v>
      </c>
      <c r="BE59" s="19">
        <v>127525133</v>
      </c>
      <c r="BF59" s="19">
        <v>222763761</v>
      </c>
      <c r="BG59" s="19">
        <v>181284997</v>
      </c>
      <c r="BH59" s="19">
        <v>24826044</v>
      </c>
      <c r="BI59" s="19">
        <v>82432810</v>
      </c>
      <c r="BJ59" s="19">
        <v>39174195</v>
      </c>
      <c r="BK59" s="19">
        <v>384125974</v>
      </c>
      <c r="BL59" s="19">
        <v>378633</v>
      </c>
      <c r="BM59" s="19">
        <v>57469622</v>
      </c>
      <c r="BN59" s="19">
        <v>27391897</v>
      </c>
      <c r="BO59" s="19">
        <v>9253506</v>
      </c>
      <c r="BP59" s="19" t="s">
        <v>96</v>
      </c>
      <c r="BQ59" s="19" t="s">
        <v>4</v>
      </c>
      <c r="BR59" s="19">
        <v>162273604</v>
      </c>
      <c r="BS59" s="19">
        <v>24804862</v>
      </c>
      <c r="BT59" s="19">
        <v>14386843</v>
      </c>
      <c r="BU59" s="19">
        <v>142598198</v>
      </c>
      <c r="BV59" s="19">
        <v>41044670</v>
      </c>
      <c r="BW59" s="19">
        <v>61114514</v>
      </c>
      <c r="BX59" s="19">
        <v>12657782</v>
      </c>
      <c r="BY59" s="19">
        <v>1551771837</v>
      </c>
      <c r="BZ59" s="19">
        <v>82195214</v>
      </c>
      <c r="CA59" s="19">
        <v>55341100</v>
      </c>
      <c r="CB59" s="19">
        <v>21935877</v>
      </c>
      <c r="CC59" s="19">
        <v>34733815</v>
      </c>
      <c r="CD59" s="19">
        <v>565474797</v>
      </c>
      <c r="CE59" s="19">
        <v>9134758</v>
      </c>
      <c r="CF59" s="19">
        <v>221469026</v>
      </c>
      <c r="CG59" s="19">
        <v>69360152</v>
      </c>
      <c r="CH59" s="19">
        <v>68851376</v>
      </c>
      <c r="CI59" s="19" t="s">
        <v>128</v>
      </c>
      <c r="CJ59" s="19">
        <v>12229792</v>
      </c>
      <c r="CK59" s="19">
        <v>77008390</v>
      </c>
      <c r="CL59" s="19">
        <v>108970707</v>
      </c>
      <c r="CM59" s="19">
        <v>203754532</v>
      </c>
      <c r="CN59" s="19">
        <v>325754</v>
      </c>
      <c r="CO59" s="19">
        <v>77694950</v>
      </c>
      <c r="CP59" s="19">
        <v>92228422</v>
      </c>
      <c r="CQ59" s="19" t="s">
        <v>96</v>
      </c>
      <c r="CR59" s="19">
        <v>28980227</v>
      </c>
      <c r="CS59" s="19">
        <v>194194356</v>
      </c>
      <c r="CT59" s="19">
        <v>548440146</v>
      </c>
      <c r="CU59" s="19">
        <v>71352899</v>
      </c>
      <c r="CV59" s="19">
        <v>15073824</v>
      </c>
      <c r="CW59" s="19">
        <v>240219538</v>
      </c>
      <c r="CX59" s="19">
        <v>48262264</v>
      </c>
      <c r="CY59" s="19" t="s">
        <v>96</v>
      </c>
      <c r="CZ59" s="19">
        <v>225963392</v>
      </c>
      <c r="DA59" s="19">
        <v>14224217</v>
      </c>
      <c r="DB59" s="19">
        <v>25099468</v>
      </c>
      <c r="DC59" s="19">
        <v>33565460</v>
      </c>
      <c r="DD59" s="19">
        <v>25799487</v>
      </c>
      <c r="DE59" s="19">
        <v>12252172</v>
      </c>
      <c r="DF59" s="19">
        <v>50005352</v>
      </c>
      <c r="DG59" s="19">
        <v>334951890</v>
      </c>
      <c r="DH59" s="19">
        <v>113059669</v>
      </c>
      <c r="DI59" s="19">
        <v>127761521</v>
      </c>
      <c r="DJ59" s="19">
        <v>20585612</v>
      </c>
      <c r="DK59" s="19">
        <v>80426650</v>
      </c>
      <c r="DL59" s="19">
        <v>129662592</v>
      </c>
      <c r="DM59" s="19">
        <v>100596636</v>
      </c>
      <c r="DN59" s="19">
        <v>16488653</v>
      </c>
      <c r="DO59" s="19">
        <v>12065227</v>
      </c>
      <c r="DP59" s="19">
        <v>40845811</v>
      </c>
      <c r="DQ59" s="19">
        <v>3861199</v>
      </c>
      <c r="DR59" s="19">
        <v>395754106</v>
      </c>
      <c r="DS59" s="19">
        <v>48833873</v>
      </c>
      <c r="DT59" s="19">
        <v>352325390</v>
      </c>
      <c r="DU59" s="19">
        <v>3433027</v>
      </c>
      <c r="DV59" s="19">
        <v>405344298</v>
      </c>
      <c r="DW59" s="19">
        <v>185100082</v>
      </c>
      <c r="DX59" s="19">
        <v>38191341</v>
      </c>
      <c r="DY59" s="19">
        <v>37000000</v>
      </c>
      <c r="DZ59" s="19">
        <v>46913756</v>
      </c>
      <c r="EA59" s="19">
        <v>15623419</v>
      </c>
      <c r="EB59" s="19">
        <v>1233264190</v>
      </c>
      <c r="EC59" s="19">
        <v>14881486</v>
      </c>
      <c r="ED59" s="19">
        <v>327806449</v>
      </c>
      <c r="EE59" s="19">
        <v>45854611</v>
      </c>
      <c r="EF59" s="19">
        <v>205290468</v>
      </c>
      <c r="EG59" s="19">
        <v>199106465</v>
      </c>
      <c r="EH59" s="19">
        <v>36612937</v>
      </c>
      <c r="EI59" s="19">
        <v>26632058</v>
      </c>
      <c r="EJ59" s="19">
        <v>394492586</v>
      </c>
      <c r="EK59" s="19">
        <v>128366221</v>
      </c>
      <c r="EL59" s="19">
        <v>455373379</v>
      </c>
      <c r="EM59" s="19">
        <v>82142299</v>
      </c>
      <c r="EN59" s="19">
        <v>1030869311</v>
      </c>
      <c r="EO59" s="19">
        <v>50785132</v>
      </c>
      <c r="EP59" s="19">
        <v>18098173</v>
      </c>
      <c r="EQ59" s="19">
        <v>14201882</v>
      </c>
      <c r="ER59" s="19">
        <v>692220854</v>
      </c>
      <c r="ES59" s="19">
        <v>119482249</v>
      </c>
      <c r="ET59" s="19">
        <v>346166921</v>
      </c>
      <c r="EU59" s="19">
        <v>67277168</v>
      </c>
      <c r="EV59" s="19">
        <v>49220734</v>
      </c>
      <c r="EW59" s="19">
        <v>17779731</v>
      </c>
      <c r="EX59" s="19">
        <v>51116821</v>
      </c>
      <c r="EY59" s="19">
        <v>253048391</v>
      </c>
      <c r="EZ59" s="19">
        <v>68308866</v>
      </c>
      <c r="FA59" s="19">
        <v>51515223</v>
      </c>
      <c r="FB59" s="19">
        <v>34263491</v>
      </c>
      <c r="FC59" s="19">
        <v>250674068</v>
      </c>
      <c r="FD59" s="19">
        <v>26967185</v>
      </c>
      <c r="FE59" s="19">
        <v>215955536</v>
      </c>
      <c r="FF59" s="19">
        <v>16302565</v>
      </c>
      <c r="FG59" s="19">
        <v>77551235</v>
      </c>
      <c r="FH59" s="19">
        <v>194493648</v>
      </c>
      <c r="FI59" s="19" t="s">
        <v>96</v>
      </c>
      <c r="FJ59" s="19">
        <v>25242088</v>
      </c>
      <c r="FK59" s="19">
        <v>585680139</v>
      </c>
      <c r="FL59" s="19">
        <v>356483429</v>
      </c>
      <c r="FM59" s="19">
        <v>16481442</v>
      </c>
      <c r="FN59" s="19">
        <v>692749469</v>
      </c>
      <c r="FO59" s="19">
        <v>32068975</v>
      </c>
      <c r="FP59" s="19">
        <v>66008457</v>
      </c>
      <c r="FQ59" s="19">
        <v>4782688</v>
      </c>
      <c r="FR59" s="19">
        <v>284350241</v>
      </c>
      <c r="FS59" s="19">
        <v>200684701</v>
      </c>
      <c r="FT59" s="19">
        <v>18427203</v>
      </c>
      <c r="FU59" s="19">
        <v>6407774</v>
      </c>
      <c r="FV59" s="19">
        <v>112992476</v>
      </c>
      <c r="FW59" s="19">
        <v>4100006</v>
      </c>
      <c r="FX59" s="19">
        <v>111109441</v>
      </c>
      <c r="FY59" s="19">
        <v>836821290</v>
      </c>
      <c r="FZ59" s="19">
        <v>244451003</v>
      </c>
      <c r="GA59" s="19">
        <v>114041181</v>
      </c>
      <c r="GB59" s="19">
        <v>361220949</v>
      </c>
      <c r="GC59" s="19">
        <v>24221198</v>
      </c>
      <c r="GD59" s="19" t="s">
        <v>96</v>
      </c>
      <c r="GE59" s="19">
        <v>224759322</v>
      </c>
      <c r="GF59" s="19">
        <v>55522041</v>
      </c>
      <c r="GG59" s="19">
        <v>568788921</v>
      </c>
      <c r="GH59" s="19">
        <v>34720695</v>
      </c>
      <c r="GI59" s="19">
        <v>7778191</v>
      </c>
      <c r="GJ59" s="19">
        <v>190637775</v>
      </c>
      <c r="GK59" s="19">
        <v>273233912</v>
      </c>
      <c r="GL59" s="19" t="s">
        <v>96</v>
      </c>
      <c r="GM59" s="19">
        <v>271851092</v>
      </c>
      <c r="GN59" s="19">
        <v>48181894</v>
      </c>
      <c r="GO59" s="19">
        <v>517661</v>
      </c>
      <c r="GP59" s="19">
        <v>56525998</v>
      </c>
      <c r="GQ59" s="19">
        <v>32825270</v>
      </c>
      <c r="GR59" s="19">
        <v>578807662</v>
      </c>
      <c r="GS59" s="19">
        <v>136421523</v>
      </c>
      <c r="GT59" s="19">
        <v>167166143</v>
      </c>
      <c r="GU59" s="19">
        <v>105313</v>
      </c>
      <c r="GV59" s="19">
        <v>634923407</v>
      </c>
      <c r="GW59" s="19">
        <v>349164650</v>
      </c>
      <c r="GX59" s="19">
        <v>48502886</v>
      </c>
      <c r="GY59" s="19">
        <v>1623343942</v>
      </c>
      <c r="GZ59" s="19">
        <v>32131489</v>
      </c>
      <c r="HA59" s="19">
        <v>376340893</v>
      </c>
      <c r="HB59" s="19">
        <v>337273155</v>
      </c>
      <c r="HC59" s="19">
        <v>117124243</v>
      </c>
      <c r="HD59" s="19">
        <v>506126110</v>
      </c>
      <c r="HE59" s="19">
        <v>78116305</v>
      </c>
      <c r="HF59" s="19">
        <v>459447485</v>
      </c>
      <c r="HG59" s="19">
        <v>50021277</v>
      </c>
      <c r="HH59" s="19">
        <v>0</v>
      </c>
      <c r="HI59" s="19">
        <v>570536849</v>
      </c>
      <c r="HJ59" s="19">
        <v>39872358</v>
      </c>
      <c r="HK59" s="19">
        <v>370270451</v>
      </c>
      <c r="HL59" s="19">
        <v>140309093</v>
      </c>
      <c r="HM59" s="19">
        <v>27673306</v>
      </c>
      <c r="HN59" s="19">
        <v>74949405</v>
      </c>
      <c r="HO59" s="19">
        <v>112018274</v>
      </c>
      <c r="HP59" s="19">
        <v>1771919175</v>
      </c>
      <c r="HQ59" s="19">
        <v>17126139</v>
      </c>
      <c r="HR59" s="19">
        <v>512027077</v>
      </c>
      <c r="HS59" s="19">
        <v>138838450</v>
      </c>
      <c r="HT59" s="19">
        <v>13015793</v>
      </c>
      <c r="HU59" s="19">
        <v>208107749</v>
      </c>
      <c r="HV59" s="19">
        <v>20310636</v>
      </c>
      <c r="HW59" s="19">
        <v>156411336</v>
      </c>
      <c r="HX59" s="19">
        <v>17441499</v>
      </c>
      <c r="HY59" s="19" t="s">
        <v>172</v>
      </c>
      <c r="HZ59" s="19">
        <v>244982399</v>
      </c>
      <c r="IA59" s="19">
        <v>8146666</v>
      </c>
      <c r="IB59" s="19">
        <v>317360640</v>
      </c>
      <c r="IC59" s="19">
        <v>6519238</v>
      </c>
      <c r="ID59" s="19">
        <v>4761112</v>
      </c>
      <c r="IE59" s="19" t="s">
        <v>96</v>
      </c>
      <c r="IF59" s="19">
        <v>143320779</v>
      </c>
      <c r="IG59" s="19">
        <v>1855480</v>
      </c>
      <c r="IH59" s="19">
        <v>102393604</v>
      </c>
      <c r="II59" s="19">
        <v>4500116</v>
      </c>
      <c r="IJ59" s="19">
        <v>15939713</v>
      </c>
      <c r="IK59" s="19">
        <v>78499539</v>
      </c>
      <c r="IL59" s="19">
        <v>17186054</v>
      </c>
      <c r="IM59" s="19">
        <v>260989206</v>
      </c>
      <c r="IN59" s="19">
        <v>21620472</v>
      </c>
      <c r="IO59" s="19">
        <v>645336</v>
      </c>
      <c r="IP59" s="19">
        <v>350301569</v>
      </c>
      <c r="IQ59" s="19">
        <v>4726560</v>
      </c>
      <c r="IR59" s="19">
        <v>73573862</v>
      </c>
      <c r="IS59" s="19">
        <v>254198310</v>
      </c>
      <c r="IT59" s="19">
        <v>111754056</v>
      </c>
    </row>
    <row r="60" spans="1:254">
      <c r="A60" s="9" t="s">
        <v>3</v>
      </c>
      <c r="B60" s="15" t="s">
        <v>148</v>
      </c>
      <c r="C60" s="19">
        <v>1400475</v>
      </c>
      <c r="D60" s="19">
        <v>192502</v>
      </c>
      <c r="E60" s="19">
        <v>244559</v>
      </c>
      <c r="F60" s="19">
        <v>1997515</v>
      </c>
      <c r="G60" s="19">
        <v>121293</v>
      </c>
      <c r="H60" s="19">
        <v>19444454</v>
      </c>
      <c r="I60" s="19">
        <v>7895384</v>
      </c>
      <c r="J60" s="19" t="s">
        <v>4</v>
      </c>
      <c r="K60" s="19">
        <v>222615</v>
      </c>
      <c r="L60" s="19" t="s">
        <v>96</v>
      </c>
      <c r="M60" s="19" t="s">
        <v>96</v>
      </c>
      <c r="N60" s="19">
        <v>107613</v>
      </c>
      <c r="O60" s="19">
        <v>1684840</v>
      </c>
      <c r="P60" s="19">
        <v>1670052</v>
      </c>
      <c r="Q60" s="19">
        <v>15827</v>
      </c>
      <c r="R60" s="19">
        <v>187797</v>
      </c>
      <c r="S60" s="19">
        <v>4279939</v>
      </c>
      <c r="T60" s="19" t="s">
        <v>96</v>
      </c>
      <c r="U60" s="19">
        <v>2449612</v>
      </c>
      <c r="V60" s="19" t="s">
        <v>172</v>
      </c>
      <c r="W60" s="19">
        <v>355606</v>
      </c>
      <c r="X60" s="19">
        <v>587954</v>
      </c>
      <c r="Y60" s="19">
        <v>1524513</v>
      </c>
      <c r="Z60" s="19">
        <v>29895</v>
      </c>
      <c r="AA60" s="19">
        <v>6517048</v>
      </c>
      <c r="AB60" s="19">
        <v>3282379</v>
      </c>
      <c r="AC60" s="19">
        <v>216556</v>
      </c>
      <c r="AD60" s="19">
        <v>880275</v>
      </c>
      <c r="AE60" s="19">
        <v>11283605</v>
      </c>
      <c r="AF60" s="19">
        <v>49034</v>
      </c>
      <c r="AG60" s="19">
        <v>151536</v>
      </c>
      <c r="AH60" s="19">
        <v>5782957</v>
      </c>
      <c r="AI60" s="19">
        <v>99404</v>
      </c>
      <c r="AJ60" s="19">
        <v>128859</v>
      </c>
      <c r="AK60" s="19">
        <v>38044324</v>
      </c>
      <c r="AL60" s="19">
        <v>430445</v>
      </c>
      <c r="AM60" s="19" t="s">
        <v>4</v>
      </c>
      <c r="AN60" s="19">
        <v>248374</v>
      </c>
      <c r="AO60" s="19">
        <v>1067420</v>
      </c>
      <c r="AP60" s="19">
        <v>214027</v>
      </c>
      <c r="AQ60" s="19" t="s">
        <v>96</v>
      </c>
      <c r="AR60" s="19">
        <v>153981</v>
      </c>
      <c r="AS60" s="19">
        <v>248932</v>
      </c>
      <c r="AT60" s="19">
        <v>89257</v>
      </c>
      <c r="AU60" s="19">
        <v>258176622</v>
      </c>
      <c r="AV60" s="19">
        <v>185421</v>
      </c>
      <c r="AW60" s="19">
        <v>24293</v>
      </c>
      <c r="AX60" s="19" t="s">
        <v>4</v>
      </c>
      <c r="AY60" s="19">
        <v>96484</v>
      </c>
      <c r="AZ60" s="19">
        <v>141107</v>
      </c>
      <c r="BA60" s="19">
        <v>198295</v>
      </c>
      <c r="BB60" s="19">
        <v>12129</v>
      </c>
      <c r="BC60" s="19" t="s">
        <v>4</v>
      </c>
      <c r="BD60" s="19" t="s">
        <v>128</v>
      </c>
      <c r="BE60" s="19">
        <v>445780</v>
      </c>
      <c r="BF60" s="19">
        <v>456863</v>
      </c>
      <c r="BG60" s="19">
        <v>5583169</v>
      </c>
      <c r="BH60" s="19">
        <v>816318</v>
      </c>
      <c r="BI60" s="19">
        <v>218878</v>
      </c>
      <c r="BJ60" s="19">
        <v>36906</v>
      </c>
      <c r="BK60" s="19">
        <v>6904548</v>
      </c>
      <c r="BL60" s="19">
        <v>378633</v>
      </c>
      <c r="BM60" s="19">
        <v>744825</v>
      </c>
      <c r="BN60" s="19">
        <v>53919</v>
      </c>
      <c r="BO60" s="19">
        <v>2981686</v>
      </c>
      <c r="BP60" s="19" t="s">
        <v>96</v>
      </c>
      <c r="BQ60" s="19" t="s">
        <v>4</v>
      </c>
      <c r="BR60" s="19">
        <v>1384339</v>
      </c>
      <c r="BS60" s="19">
        <v>40045</v>
      </c>
      <c r="BT60" s="19">
        <v>7443</v>
      </c>
      <c r="BU60" s="19">
        <v>39989</v>
      </c>
      <c r="BV60" s="19">
        <v>21641</v>
      </c>
      <c r="BW60" s="19">
        <v>118354</v>
      </c>
      <c r="BX60" s="19">
        <v>110452</v>
      </c>
      <c r="BY60" s="19">
        <v>3069562</v>
      </c>
      <c r="BZ60" s="19">
        <v>37002163</v>
      </c>
      <c r="CA60" s="19">
        <v>525852</v>
      </c>
      <c r="CB60" s="19">
        <v>48513</v>
      </c>
      <c r="CC60" s="19">
        <v>86907</v>
      </c>
      <c r="CD60" s="19">
        <v>1495057</v>
      </c>
      <c r="CE60" s="19">
        <v>739</v>
      </c>
      <c r="CF60" s="19">
        <v>6210</v>
      </c>
      <c r="CG60" s="19">
        <v>989710</v>
      </c>
      <c r="CH60" s="19">
        <v>215530</v>
      </c>
      <c r="CI60" s="19" t="s">
        <v>128</v>
      </c>
      <c r="CJ60" s="19">
        <v>4824</v>
      </c>
      <c r="CK60" s="19">
        <v>23031</v>
      </c>
      <c r="CL60" s="19">
        <v>1039132</v>
      </c>
      <c r="CM60" s="19">
        <v>11502979</v>
      </c>
      <c r="CN60" s="19">
        <v>324709</v>
      </c>
      <c r="CO60" s="19">
        <v>9886</v>
      </c>
      <c r="CP60" s="19">
        <v>14692</v>
      </c>
      <c r="CQ60" s="19" t="s">
        <v>96</v>
      </c>
      <c r="CR60" s="19">
        <v>569987</v>
      </c>
      <c r="CS60" s="19">
        <v>39190</v>
      </c>
      <c r="CT60" s="19">
        <v>133934715</v>
      </c>
      <c r="CU60" s="19">
        <v>171703</v>
      </c>
      <c r="CV60" s="19">
        <v>12149</v>
      </c>
      <c r="CW60" s="19">
        <v>8367176</v>
      </c>
      <c r="CX60" s="19">
        <v>6749682</v>
      </c>
      <c r="CY60" s="19" t="s">
        <v>96</v>
      </c>
      <c r="CZ60" s="19">
        <v>330011</v>
      </c>
      <c r="DA60" s="19">
        <v>43103</v>
      </c>
      <c r="DB60" s="19">
        <v>6837</v>
      </c>
      <c r="DC60" s="19">
        <v>20335</v>
      </c>
      <c r="DD60" s="19">
        <v>9490</v>
      </c>
      <c r="DE60" s="19">
        <v>39264</v>
      </c>
      <c r="DF60" s="19">
        <v>24129</v>
      </c>
      <c r="DG60" s="19">
        <v>50616</v>
      </c>
      <c r="DH60" s="19">
        <v>2248565</v>
      </c>
      <c r="DI60" s="19">
        <v>176705</v>
      </c>
      <c r="DJ60" s="19">
        <v>127054</v>
      </c>
      <c r="DK60" s="19">
        <v>705228</v>
      </c>
      <c r="DL60" s="19">
        <v>446794</v>
      </c>
      <c r="DM60" s="19">
        <v>7686852</v>
      </c>
      <c r="DN60" s="19">
        <v>201414</v>
      </c>
      <c r="DO60" s="19">
        <v>11711</v>
      </c>
      <c r="DP60" s="19">
        <v>909378</v>
      </c>
      <c r="DQ60" s="19">
        <v>46878</v>
      </c>
      <c r="DR60" s="19">
        <v>177429</v>
      </c>
      <c r="DS60" s="19">
        <v>3149416</v>
      </c>
      <c r="DT60" s="19">
        <v>2204715</v>
      </c>
      <c r="DU60" s="19">
        <v>13027</v>
      </c>
      <c r="DV60" s="19">
        <v>2900717</v>
      </c>
      <c r="DW60" s="19">
        <v>121009</v>
      </c>
      <c r="DX60" s="19">
        <v>9635978</v>
      </c>
      <c r="DY60" s="19"/>
      <c r="DZ60" s="19">
        <v>16418937</v>
      </c>
      <c r="EA60" s="19">
        <v>4793070</v>
      </c>
      <c r="EB60" s="19">
        <v>434108</v>
      </c>
      <c r="EC60" s="19">
        <v>174482</v>
      </c>
      <c r="ED60" s="19">
        <v>129676</v>
      </c>
      <c r="EE60" s="19">
        <v>35085</v>
      </c>
      <c r="EF60" s="19">
        <v>4442789</v>
      </c>
      <c r="EG60" s="19">
        <v>5194202</v>
      </c>
      <c r="EH60" s="19">
        <v>14669</v>
      </c>
      <c r="EI60" s="19">
        <v>3568440</v>
      </c>
      <c r="EJ60" s="19">
        <v>206891</v>
      </c>
      <c r="EK60" s="19">
        <v>3783110</v>
      </c>
      <c r="EL60" s="19">
        <v>7044619</v>
      </c>
      <c r="EM60" s="19">
        <v>323354</v>
      </c>
      <c r="EN60" s="19">
        <v>19607674</v>
      </c>
      <c r="EO60" s="19">
        <v>240950</v>
      </c>
      <c r="EP60" s="19"/>
      <c r="EQ60" s="19">
        <v>1109940</v>
      </c>
      <c r="ER60" s="19">
        <v>1012558</v>
      </c>
      <c r="ES60" s="19">
        <v>58278</v>
      </c>
      <c r="ET60" s="19">
        <v>7133568</v>
      </c>
      <c r="EU60" s="19">
        <v>742876</v>
      </c>
      <c r="EV60" s="19">
        <v>46407</v>
      </c>
      <c r="EW60" s="19">
        <v>5968</v>
      </c>
      <c r="EX60" s="19">
        <v>732194</v>
      </c>
      <c r="EY60" s="19">
        <v>12825908</v>
      </c>
      <c r="EZ60" s="19">
        <v>175941</v>
      </c>
      <c r="FA60" s="19">
        <v>76243</v>
      </c>
      <c r="FB60" s="19">
        <v>35036</v>
      </c>
      <c r="FC60" s="19">
        <v>16719</v>
      </c>
      <c r="FD60" s="19">
        <v>49692</v>
      </c>
      <c r="FE60" s="19">
        <v>16382300</v>
      </c>
      <c r="FF60" s="19">
        <v>10892</v>
      </c>
      <c r="FG60" s="19">
        <v>804444</v>
      </c>
      <c r="FH60" s="19">
        <v>230849</v>
      </c>
      <c r="FI60" s="19" t="s">
        <v>96</v>
      </c>
      <c r="FJ60" s="19">
        <v>3674271</v>
      </c>
      <c r="FK60" s="19">
        <v>91375</v>
      </c>
      <c r="FL60" s="19">
        <v>122659</v>
      </c>
      <c r="FM60" s="19">
        <v>106798</v>
      </c>
      <c r="FN60" s="19">
        <v>613063</v>
      </c>
      <c r="FO60" s="19">
        <v>1062335</v>
      </c>
      <c r="FP60" s="19">
        <v>44654</v>
      </c>
      <c r="FQ60" s="19">
        <v>170334</v>
      </c>
      <c r="FR60" s="19">
        <v>98982</v>
      </c>
      <c r="FS60" s="19">
        <v>43646</v>
      </c>
      <c r="FT60" s="19">
        <v>2080129</v>
      </c>
      <c r="FU60" s="19">
        <v>7759</v>
      </c>
      <c r="FV60" s="19">
        <v>88335</v>
      </c>
      <c r="FW60" s="19">
        <v>212006</v>
      </c>
      <c r="FX60" s="19">
        <v>39964</v>
      </c>
      <c r="FY60" s="19">
        <v>9894963</v>
      </c>
      <c r="FZ60" s="19">
        <v>208160</v>
      </c>
      <c r="GA60" s="19">
        <v>257853</v>
      </c>
      <c r="GB60" s="19">
        <v>121832</v>
      </c>
      <c r="GC60" s="19">
        <v>3198929</v>
      </c>
      <c r="GD60" s="19" t="s">
        <v>96</v>
      </c>
      <c r="GE60" s="19">
        <v>117778</v>
      </c>
      <c r="GF60" s="19">
        <v>603230</v>
      </c>
      <c r="GG60" s="19">
        <v>1041798</v>
      </c>
      <c r="GH60" s="19">
        <v>60548</v>
      </c>
      <c r="GI60" s="19">
        <v>21057</v>
      </c>
      <c r="GJ60" s="19"/>
      <c r="GK60" s="19">
        <v>82835</v>
      </c>
      <c r="GL60" s="19" t="s">
        <v>96</v>
      </c>
      <c r="GM60" s="19">
        <v>31825</v>
      </c>
      <c r="GN60" s="19">
        <v>201546</v>
      </c>
      <c r="GO60" s="19">
        <v>24803</v>
      </c>
      <c r="GP60" s="19">
        <v>11800502</v>
      </c>
      <c r="GQ60" s="19">
        <v>261896</v>
      </c>
      <c r="GR60" s="19">
        <v>184377</v>
      </c>
      <c r="GS60" s="19">
        <v>11943173</v>
      </c>
      <c r="GT60" s="19">
        <v>45659</v>
      </c>
      <c r="GU60" s="19">
        <v>69603</v>
      </c>
      <c r="GV60" s="19">
        <v>11059941</v>
      </c>
      <c r="GW60" s="19">
        <v>17925131</v>
      </c>
      <c r="GX60" s="19">
        <v>128842</v>
      </c>
      <c r="GY60" s="19">
        <v>1063619</v>
      </c>
      <c r="GZ60" s="19">
        <v>123325</v>
      </c>
      <c r="HA60" s="19">
        <v>173042</v>
      </c>
      <c r="HB60" s="19">
        <v>131100</v>
      </c>
      <c r="HC60" s="19">
        <v>133670</v>
      </c>
      <c r="HD60" s="19">
        <v>97378</v>
      </c>
      <c r="HE60" s="19">
        <v>39909</v>
      </c>
      <c r="HF60" s="19">
        <v>392622</v>
      </c>
      <c r="HG60" s="19">
        <v>88811</v>
      </c>
      <c r="HH60" s="19"/>
      <c r="HI60" s="19">
        <v>370802</v>
      </c>
      <c r="HJ60" s="19">
        <v>1386287</v>
      </c>
      <c r="HK60" s="19">
        <v>10650344</v>
      </c>
      <c r="HL60" s="19">
        <v>748084</v>
      </c>
      <c r="HM60" s="19">
        <v>51210</v>
      </c>
      <c r="HN60" s="19">
        <v>33953</v>
      </c>
      <c r="HO60" s="19">
        <v>355004</v>
      </c>
      <c r="HP60" s="19">
        <v>45187</v>
      </c>
      <c r="HQ60" s="19">
        <v>33875</v>
      </c>
      <c r="HR60" s="19">
        <v>536695</v>
      </c>
      <c r="HS60" s="19">
        <v>217260</v>
      </c>
      <c r="HT60" s="19">
        <v>2129</v>
      </c>
      <c r="HU60" s="19">
        <v>2788344</v>
      </c>
      <c r="HV60" s="19">
        <v>17727</v>
      </c>
      <c r="HW60" s="19">
        <v>100553413</v>
      </c>
      <c r="HX60" s="19">
        <v>5887944</v>
      </c>
      <c r="HY60" s="19" t="s">
        <v>172</v>
      </c>
      <c r="HZ60" s="19">
        <v>7163754</v>
      </c>
      <c r="IA60" s="19">
        <v>75371</v>
      </c>
      <c r="IB60" s="19">
        <v>170176</v>
      </c>
      <c r="IC60" s="19">
        <v>139106</v>
      </c>
      <c r="ID60" s="19">
        <v>42300</v>
      </c>
      <c r="IE60" s="19" t="s">
        <v>96</v>
      </c>
      <c r="IF60" s="19">
        <v>28886</v>
      </c>
      <c r="IG60" s="19">
        <v>15561</v>
      </c>
      <c r="IH60" s="19">
        <v>173136</v>
      </c>
      <c r="II60" s="19">
        <v>32472</v>
      </c>
      <c r="IJ60" s="19">
        <v>425231</v>
      </c>
      <c r="IK60" s="19">
        <v>110832</v>
      </c>
      <c r="IL60" s="19">
        <v>26251</v>
      </c>
      <c r="IM60" s="19">
        <v>182730</v>
      </c>
      <c r="IN60" s="19">
        <v>104378</v>
      </c>
      <c r="IO60" s="19">
        <v>286106</v>
      </c>
      <c r="IP60" s="19">
        <v>12259</v>
      </c>
      <c r="IQ60" s="19">
        <v>1037830</v>
      </c>
      <c r="IR60" s="19">
        <v>2859065</v>
      </c>
      <c r="IS60" s="19">
        <v>66245</v>
      </c>
      <c r="IT60" s="19">
        <v>253228</v>
      </c>
    </row>
    <row r="61" spans="1:254">
      <c r="A61" s="9" t="s">
        <v>3</v>
      </c>
      <c r="B61" s="15" t="s">
        <v>62</v>
      </c>
      <c r="C61" s="19">
        <v>0</v>
      </c>
      <c r="D61" s="19">
        <v>0</v>
      </c>
      <c r="E61" s="19">
        <v>0</v>
      </c>
      <c r="F61" s="19">
        <v>0</v>
      </c>
      <c r="G61" s="19">
        <v>0</v>
      </c>
      <c r="H61" s="19"/>
      <c r="I61" s="19"/>
      <c r="J61" s="19" t="s">
        <v>4</v>
      </c>
      <c r="K61" s="19"/>
      <c r="L61" s="19" t="s">
        <v>96</v>
      </c>
      <c r="M61" s="19" t="s">
        <v>96</v>
      </c>
      <c r="N61" s="19"/>
      <c r="O61" s="19"/>
      <c r="P61" s="19"/>
      <c r="Q61" s="19">
        <v>24688453</v>
      </c>
      <c r="R61" s="19"/>
      <c r="S61" s="19"/>
      <c r="T61" s="19" t="s">
        <v>96</v>
      </c>
      <c r="U61" s="19"/>
      <c r="V61" s="19" t="s">
        <v>172</v>
      </c>
      <c r="W61" s="19"/>
      <c r="X61" s="19">
        <v>908090</v>
      </c>
      <c r="Y61" s="19"/>
      <c r="Z61" s="19"/>
      <c r="AA61" s="19"/>
      <c r="AB61" s="19"/>
      <c r="AC61" s="19">
        <v>453545</v>
      </c>
      <c r="AD61" s="19"/>
      <c r="AE61" s="19"/>
      <c r="AF61" s="19"/>
      <c r="AG61" s="19">
        <v>60926382</v>
      </c>
      <c r="AH61" s="19">
        <v>525041</v>
      </c>
      <c r="AI61" s="19"/>
      <c r="AJ61" s="19"/>
      <c r="AK61" s="19">
        <v>0</v>
      </c>
      <c r="AL61" s="19">
        <v>147877433</v>
      </c>
      <c r="AM61" s="19" t="s">
        <v>4</v>
      </c>
      <c r="AN61" s="19"/>
      <c r="AO61" s="19">
        <v>88275</v>
      </c>
      <c r="AP61" s="19">
        <v>2883980</v>
      </c>
      <c r="AQ61" s="19" t="s">
        <v>96</v>
      </c>
      <c r="AR61" s="19"/>
      <c r="AS61" s="19"/>
      <c r="AT61" s="19"/>
      <c r="AU61" s="19"/>
      <c r="AV61" s="19"/>
      <c r="AW61" s="19">
        <v>2790</v>
      </c>
      <c r="AX61" s="19" t="s">
        <v>4</v>
      </c>
      <c r="AY61" s="19"/>
      <c r="AZ61" s="19"/>
      <c r="BA61" s="19"/>
      <c r="BB61" s="19"/>
      <c r="BC61" s="19" t="s">
        <v>4</v>
      </c>
      <c r="BD61" s="19" t="s">
        <v>128</v>
      </c>
      <c r="BE61" s="19">
        <v>88950580</v>
      </c>
      <c r="BF61" s="19">
        <v>188293086</v>
      </c>
      <c r="BG61" s="19">
        <v>8588195</v>
      </c>
      <c r="BH61" s="19"/>
      <c r="BI61" s="19"/>
      <c r="BJ61" s="19">
        <v>808978</v>
      </c>
      <c r="BK61" s="19"/>
      <c r="BL61" s="19"/>
      <c r="BM61" s="19"/>
      <c r="BN61" s="19">
        <v>726272</v>
      </c>
      <c r="BO61" s="19"/>
      <c r="BP61" s="19" t="s">
        <v>96</v>
      </c>
      <c r="BQ61" s="19" t="s">
        <v>4</v>
      </c>
      <c r="BR61" s="19"/>
      <c r="BS61" s="19"/>
      <c r="BT61" s="19"/>
      <c r="BU61" s="19"/>
      <c r="BV61" s="19"/>
      <c r="BW61" s="19"/>
      <c r="BX61" s="19"/>
      <c r="BY61" s="19">
        <v>12649487</v>
      </c>
      <c r="BZ61" s="19"/>
      <c r="CA61" s="19"/>
      <c r="CB61" s="19"/>
      <c r="CC61" s="19"/>
      <c r="CD61" s="19"/>
      <c r="CE61" s="19"/>
      <c r="CF61" s="19"/>
      <c r="CG61" s="19"/>
      <c r="CH61" s="19"/>
      <c r="CI61" s="19" t="s">
        <v>128</v>
      </c>
      <c r="CJ61" s="19"/>
      <c r="CK61" s="19"/>
      <c r="CL61" s="19"/>
      <c r="CM61" s="19"/>
      <c r="CN61" s="19"/>
      <c r="CO61" s="19">
        <v>4099000</v>
      </c>
      <c r="CP61" s="19"/>
      <c r="CQ61" s="19" t="s">
        <v>96</v>
      </c>
      <c r="CR61" s="19"/>
      <c r="CS61" s="19"/>
      <c r="CT61" s="19"/>
      <c r="CU61" s="19"/>
      <c r="CV61" s="19"/>
      <c r="CW61" s="19"/>
      <c r="CX61" s="19">
        <v>2466648</v>
      </c>
      <c r="CY61" s="19" t="s">
        <v>96</v>
      </c>
      <c r="CZ61" s="19"/>
      <c r="DA61" s="19"/>
      <c r="DB61" s="19"/>
      <c r="DC61" s="19">
        <v>31362928</v>
      </c>
      <c r="DD61" s="19"/>
      <c r="DE61" s="19"/>
      <c r="DF61" s="19"/>
      <c r="DG61" s="19"/>
      <c r="DH61" s="19">
        <v>217014</v>
      </c>
      <c r="DI61" s="19">
        <v>1147542</v>
      </c>
      <c r="DJ61" s="19"/>
      <c r="DK61" s="19"/>
      <c r="DL61" s="19"/>
      <c r="DM61" s="19"/>
      <c r="DN61" s="19"/>
      <c r="DO61" s="19"/>
      <c r="DP61" s="19"/>
      <c r="DQ61" s="19"/>
      <c r="DR61" s="19"/>
      <c r="DS61" s="19"/>
      <c r="DT61" s="19"/>
      <c r="DU61" s="19"/>
      <c r="DV61" s="19"/>
      <c r="DW61" s="19"/>
      <c r="DX61" s="19"/>
      <c r="DY61" s="19"/>
      <c r="DZ61" s="19"/>
      <c r="EA61" s="19"/>
      <c r="EB61" s="19"/>
      <c r="EC61" s="19"/>
      <c r="ED61" s="19"/>
      <c r="EE61" s="19"/>
      <c r="EF61" s="19"/>
      <c r="EG61" s="19"/>
      <c r="EH61" s="19"/>
      <c r="EI61" s="19"/>
      <c r="EJ61" s="19"/>
      <c r="EK61" s="19"/>
      <c r="EL61" s="19"/>
      <c r="EM61" s="19"/>
      <c r="EN61" s="19"/>
      <c r="EO61" s="19"/>
      <c r="EP61" s="19"/>
      <c r="EQ61" s="19"/>
      <c r="ER61" s="19"/>
      <c r="ES61" s="19"/>
      <c r="ET61" s="19"/>
      <c r="EU61" s="19"/>
      <c r="EV61" s="19"/>
      <c r="EW61" s="19"/>
      <c r="EX61" s="19"/>
      <c r="EY61" s="19"/>
      <c r="EZ61" s="19"/>
      <c r="FA61" s="19">
        <v>7000000</v>
      </c>
      <c r="FB61" s="19"/>
      <c r="FC61" s="19"/>
      <c r="FD61" s="19"/>
      <c r="FE61" s="19"/>
      <c r="FF61" s="19"/>
      <c r="FG61" s="19"/>
      <c r="FH61" s="19">
        <v>151296690</v>
      </c>
      <c r="FI61" s="19" t="s">
        <v>96</v>
      </c>
      <c r="FJ61" s="19"/>
      <c r="FK61" s="19"/>
      <c r="FL61" s="19"/>
      <c r="FM61" s="19"/>
      <c r="FN61" s="19"/>
      <c r="FO61" s="19"/>
      <c r="FP61" s="19"/>
      <c r="FQ61" s="19"/>
      <c r="FR61" s="19"/>
      <c r="FS61" s="19"/>
      <c r="FT61" s="19"/>
      <c r="FU61" s="19"/>
      <c r="FV61" s="19"/>
      <c r="FW61" s="19"/>
      <c r="FX61" s="19"/>
      <c r="FY61" s="19"/>
      <c r="FZ61" s="19"/>
      <c r="GA61" s="19"/>
      <c r="GB61" s="19"/>
      <c r="GC61" s="19"/>
      <c r="GD61" s="19" t="s">
        <v>96</v>
      </c>
      <c r="GE61" s="19"/>
      <c r="GF61" s="19"/>
      <c r="GG61" s="19"/>
      <c r="GH61" s="19"/>
      <c r="GI61" s="19"/>
      <c r="GJ61" s="19"/>
      <c r="GK61" s="19"/>
      <c r="GL61" s="19" t="s">
        <v>96</v>
      </c>
      <c r="GM61" s="19"/>
      <c r="GN61" s="19"/>
      <c r="GO61" s="19"/>
      <c r="GP61" s="19"/>
      <c r="GQ61" s="19"/>
      <c r="GR61" s="19"/>
      <c r="GS61" s="19">
        <v>1700000</v>
      </c>
      <c r="GT61" s="19">
        <v>94191651</v>
      </c>
      <c r="GU61" s="19"/>
      <c r="GV61" s="19"/>
      <c r="GW61" s="19"/>
      <c r="GX61" s="19">
        <v>1323380</v>
      </c>
      <c r="GY61" s="19"/>
      <c r="GZ61" s="19"/>
      <c r="HA61" s="19"/>
      <c r="HB61" s="19">
        <v>8080000</v>
      </c>
      <c r="HC61" s="19"/>
      <c r="HD61" s="19"/>
      <c r="HE61" s="19"/>
      <c r="HF61" s="19"/>
      <c r="HG61" s="19"/>
      <c r="HH61" s="19"/>
      <c r="HI61" s="19"/>
      <c r="HJ61" s="19"/>
      <c r="HK61" s="19"/>
      <c r="HL61" s="19"/>
      <c r="HM61" s="19">
        <v>2752050</v>
      </c>
      <c r="HN61" s="19"/>
      <c r="HO61" s="19"/>
      <c r="HP61" s="19"/>
      <c r="HQ61" s="19"/>
      <c r="HR61" s="19"/>
      <c r="HS61" s="19"/>
      <c r="HT61" s="19"/>
      <c r="HU61" s="19"/>
      <c r="HV61" s="19"/>
      <c r="HW61" s="19">
        <v>4840947</v>
      </c>
      <c r="HX61" s="19"/>
      <c r="HY61" s="19" t="s">
        <v>172</v>
      </c>
      <c r="HZ61" s="19"/>
      <c r="IA61" s="19"/>
      <c r="IB61" s="19">
        <v>960032</v>
      </c>
      <c r="IC61" s="19"/>
      <c r="ID61" s="19"/>
      <c r="IE61" s="19" t="s">
        <v>96</v>
      </c>
      <c r="IF61" s="19"/>
      <c r="IG61" s="19"/>
      <c r="IH61" s="19"/>
      <c r="II61" s="19"/>
      <c r="IJ61" s="19"/>
      <c r="IK61" s="19"/>
      <c r="IL61" s="19"/>
      <c r="IM61" s="19"/>
      <c r="IN61" s="19"/>
      <c r="IO61" s="19"/>
      <c r="IP61" s="19"/>
      <c r="IQ61" s="19"/>
      <c r="IR61" s="19">
        <v>1469807</v>
      </c>
      <c r="IS61" s="19"/>
      <c r="IT61" s="19"/>
    </row>
    <row r="62" spans="1:254">
      <c r="A62" s="9" t="s">
        <v>3</v>
      </c>
      <c r="B62" s="15" t="s">
        <v>20</v>
      </c>
      <c r="C62" s="19">
        <v>489788</v>
      </c>
      <c r="D62" s="19">
        <v>20227599</v>
      </c>
      <c r="E62" s="19">
        <v>24839732</v>
      </c>
      <c r="F62" s="19">
        <v>158000</v>
      </c>
      <c r="G62" s="19">
        <v>6059666</v>
      </c>
      <c r="H62" s="19">
        <v>1480000</v>
      </c>
      <c r="I62" s="19">
        <v>133547297</v>
      </c>
      <c r="J62" s="19" t="s">
        <v>4</v>
      </c>
      <c r="K62" s="19">
        <v>303374</v>
      </c>
      <c r="L62" s="19" t="s">
        <v>96</v>
      </c>
      <c r="M62" s="19" t="s">
        <v>96</v>
      </c>
      <c r="N62" s="19">
        <v>49642907</v>
      </c>
      <c r="O62" s="19">
        <v>10994976</v>
      </c>
      <c r="P62" s="19">
        <v>42211765</v>
      </c>
      <c r="Q62" s="19">
        <v>1357607</v>
      </c>
      <c r="R62" s="19">
        <v>41536</v>
      </c>
      <c r="S62" s="19">
        <v>17965124</v>
      </c>
      <c r="T62" s="19" t="s">
        <v>96</v>
      </c>
      <c r="U62" s="19">
        <v>30969564</v>
      </c>
      <c r="V62" s="19" t="s">
        <v>172</v>
      </c>
      <c r="W62" s="19">
        <v>5595430</v>
      </c>
      <c r="X62" s="19">
        <v>146236</v>
      </c>
      <c r="Y62" s="19">
        <v>7490535</v>
      </c>
      <c r="Z62" s="19">
        <v>98390</v>
      </c>
      <c r="AA62" s="19">
        <v>118905324</v>
      </c>
      <c r="AB62" s="19">
        <v>1692206</v>
      </c>
      <c r="AC62" s="19">
        <v>40823603</v>
      </c>
      <c r="AD62" s="19">
        <v>3334254</v>
      </c>
      <c r="AE62" s="19"/>
      <c r="AF62" s="19">
        <v>22413813</v>
      </c>
      <c r="AG62" s="19">
        <v>6715477</v>
      </c>
      <c r="AH62" s="19">
        <v>54492204</v>
      </c>
      <c r="AI62" s="19">
        <v>22769765</v>
      </c>
      <c r="AJ62" s="19">
        <v>3337142</v>
      </c>
      <c r="AK62" s="19">
        <v>214061</v>
      </c>
      <c r="AL62" s="19">
        <v>6434054</v>
      </c>
      <c r="AM62" s="19" t="s">
        <v>4</v>
      </c>
      <c r="AN62" s="19">
        <v>1255686</v>
      </c>
      <c r="AO62" s="19">
        <v>195751543</v>
      </c>
      <c r="AP62" s="19">
        <v>157686</v>
      </c>
      <c r="AQ62" s="19" t="s">
        <v>96</v>
      </c>
      <c r="AR62" s="19">
        <v>2119865</v>
      </c>
      <c r="AS62" s="19">
        <v>2462533</v>
      </c>
      <c r="AT62" s="19">
        <v>19300709</v>
      </c>
      <c r="AU62" s="19">
        <v>6781260</v>
      </c>
      <c r="AV62" s="19">
        <v>161456</v>
      </c>
      <c r="AW62" s="19">
        <v>513330</v>
      </c>
      <c r="AX62" s="19" t="s">
        <v>4</v>
      </c>
      <c r="AY62" s="19">
        <v>2475850</v>
      </c>
      <c r="AZ62" s="19">
        <v>15397322</v>
      </c>
      <c r="BA62" s="19">
        <v>4740090</v>
      </c>
      <c r="BB62" s="19">
        <v>82627921</v>
      </c>
      <c r="BC62" s="19" t="s">
        <v>4</v>
      </c>
      <c r="BD62" s="19" t="s">
        <v>128</v>
      </c>
      <c r="BE62" s="19">
        <v>7415599</v>
      </c>
      <c r="BF62" s="19">
        <v>217903</v>
      </c>
      <c r="BG62" s="19">
        <v>3558765</v>
      </c>
      <c r="BH62" s="19">
        <v>24009726</v>
      </c>
      <c r="BI62" s="19">
        <v>500481</v>
      </c>
      <c r="BJ62" s="19">
        <v>838144</v>
      </c>
      <c r="BK62" s="19"/>
      <c r="BL62" s="19"/>
      <c r="BM62" s="19">
        <v>1797797</v>
      </c>
      <c r="BN62" s="19">
        <v>8559</v>
      </c>
      <c r="BO62" s="19">
        <v>5807836</v>
      </c>
      <c r="BP62" s="19" t="s">
        <v>96</v>
      </c>
      <c r="BQ62" s="19" t="s">
        <v>4</v>
      </c>
      <c r="BR62" s="19">
        <v>1286709</v>
      </c>
      <c r="BS62" s="19">
        <v>24761111</v>
      </c>
      <c r="BT62" s="19">
        <v>3649982</v>
      </c>
      <c r="BU62" s="19"/>
      <c r="BV62" s="19">
        <v>193206</v>
      </c>
      <c r="BW62" s="19">
        <v>2890160</v>
      </c>
      <c r="BX62" s="19">
        <v>237330</v>
      </c>
      <c r="BY62" s="19">
        <v>308738884</v>
      </c>
      <c r="BZ62" s="19">
        <v>10342663</v>
      </c>
      <c r="CA62" s="19">
        <v>815248</v>
      </c>
      <c r="CB62" s="19">
        <v>3118040</v>
      </c>
      <c r="CC62" s="19">
        <v>0</v>
      </c>
      <c r="CD62" s="19">
        <v>2598105</v>
      </c>
      <c r="CE62" s="19">
        <v>42</v>
      </c>
      <c r="CF62" s="19">
        <v>2975813</v>
      </c>
      <c r="CG62" s="19">
        <v>782477</v>
      </c>
      <c r="CH62" s="19">
        <v>297595</v>
      </c>
      <c r="CI62" s="19" t="s">
        <v>128</v>
      </c>
      <c r="CJ62" s="19">
        <v>11734971</v>
      </c>
      <c r="CK62" s="19">
        <v>14571267</v>
      </c>
      <c r="CL62" s="19">
        <v>25118395</v>
      </c>
      <c r="CM62" s="19">
        <v>5325109</v>
      </c>
      <c r="CN62" s="19">
        <v>1045</v>
      </c>
      <c r="CO62" s="19">
        <v>66586064</v>
      </c>
      <c r="CP62" s="19">
        <v>36055622</v>
      </c>
      <c r="CQ62" s="19" t="s">
        <v>96</v>
      </c>
      <c r="CR62" s="19">
        <v>18978877</v>
      </c>
      <c r="CS62" s="19">
        <v>111944366</v>
      </c>
      <c r="CT62" s="19">
        <v>414505431</v>
      </c>
      <c r="CU62" s="19">
        <v>65571</v>
      </c>
      <c r="CV62" s="19">
        <v>184</v>
      </c>
      <c r="CW62" s="19">
        <v>1986280</v>
      </c>
      <c r="CX62" s="19">
        <v>28438191</v>
      </c>
      <c r="CY62" s="19" t="s">
        <v>96</v>
      </c>
      <c r="CZ62" s="19">
        <v>583076</v>
      </c>
      <c r="DA62" s="19">
        <v>9181114</v>
      </c>
      <c r="DB62" s="19">
        <v>25092631</v>
      </c>
      <c r="DC62" s="19">
        <v>2182197</v>
      </c>
      <c r="DD62" s="19">
        <v>5002231</v>
      </c>
      <c r="DE62" s="19">
        <v>12212908</v>
      </c>
      <c r="DF62" s="19">
        <v>304247</v>
      </c>
      <c r="DG62" s="19">
        <v>7073774</v>
      </c>
      <c r="DH62" s="19">
        <v>2001182</v>
      </c>
      <c r="DI62" s="19">
        <v>125337735</v>
      </c>
      <c r="DJ62" s="19">
        <v>4045719</v>
      </c>
      <c r="DK62" s="19">
        <v>78080422</v>
      </c>
      <c r="DL62" s="19">
        <v>1638448</v>
      </c>
      <c r="DM62" s="19">
        <v>45856084</v>
      </c>
      <c r="DN62" s="19">
        <v>2141517</v>
      </c>
      <c r="DO62" s="19">
        <v>10344576</v>
      </c>
      <c r="DP62" s="19">
        <v>1185163</v>
      </c>
      <c r="DQ62" s="19">
        <v>3814321</v>
      </c>
      <c r="DR62" s="19">
        <v>39578</v>
      </c>
      <c r="DS62" s="19">
        <v>15877288</v>
      </c>
      <c r="DT62" s="19">
        <v>153039</v>
      </c>
      <c r="DU62" s="19">
        <v>3420000</v>
      </c>
      <c r="DV62" s="19">
        <v>578765</v>
      </c>
      <c r="DW62" s="19">
        <v>5765553</v>
      </c>
      <c r="DX62" s="19">
        <v>8525852</v>
      </c>
      <c r="DY62" s="19"/>
      <c r="DZ62" s="19">
        <v>4755101</v>
      </c>
      <c r="EA62" s="19">
        <v>347561</v>
      </c>
      <c r="EB62" s="19">
        <v>57338938</v>
      </c>
      <c r="EC62" s="19">
        <v>14707004</v>
      </c>
      <c r="ED62" s="19">
        <v>29982094</v>
      </c>
      <c r="EE62" s="19">
        <v>3070693</v>
      </c>
      <c r="EF62" s="19">
        <v>1152011</v>
      </c>
      <c r="EG62" s="19">
        <v>182284710</v>
      </c>
      <c r="EH62" s="19"/>
      <c r="EI62" s="19">
        <v>918324</v>
      </c>
      <c r="EJ62" s="19">
        <v>50588</v>
      </c>
      <c r="EK62" s="19">
        <v>2711682</v>
      </c>
      <c r="EL62" s="19">
        <v>120756304</v>
      </c>
      <c r="EM62" s="19">
        <v>14768655</v>
      </c>
      <c r="EN62" s="19">
        <v>5283980</v>
      </c>
      <c r="EO62" s="19">
        <v>546714</v>
      </c>
      <c r="EP62" s="19">
        <v>18098173</v>
      </c>
      <c r="EQ62" s="19">
        <v>13091942</v>
      </c>
      <c r="ER62" s="19">
        <v>6153764</v>
      </c>
      <c r="ES62" s="19">
        <v>103798949</v>
      </c>
      <c r="ET62" s="19">
        <v>286423188</v>
      </c>
      <c r="EU62" s="19">
        <v>10567478</v>
      </c>
      <c r="EV62" s="19">
        <v>144003</v>
      </c>
      <c r="EW62" s="19">
        <v>37913</v>
      </c>
      <c r="EX62" s="19">
        <v>300911</v>
      </c>
      <c r="EY62" s="19">
        <v>4808255</v>
      </c>
      <c r="EZ62" s="19">
        <v>4236040</v>
      </c>
      <c r="FA62" s="19">
        <v>5024641</v>
      </c>
      <c r="FB62" s="19">
        <v>871703</v>
      </c>
      <c r="FC62" s="19">
        <v>4186757</v>
      </c>
      <c r="FD62" s="19">
        <v>3818719</v>
      </c>
      <c r="FE62" s="19">
        <v>12987580</v>
      </c>
      <c r="FF62" s="19">
        <v>16291673</v>
      </c>
      <c r="FG62" s="19">
        <v>1624116</v>
      </c>
      <c r="FH62" s="19">
        <v>42966109</v>
      </c>
      <c r="FI62" s="19" t="s">
        <v>96</v>
      </c>
      <c r="FJ62" s="19">
        <v>10382934</v>
      </c>
      <c r="FK62" s="19">
        <v>76134507</v>
      </c>
      <c r="FL62" s="19">
        <v>790589</v>
      </c>
      <c r="FM62" s="19">
        <v>16374644</v>
      </c>
      <c r="FN62" s="19">
        <v>9128739</v>
      </c>
      <c r="FO62" s="19">
        <v>31006640</v>
      </c>
      <c r="FP62" s="19">
        <v>17644</v>
      </c>
      <c r="FQ62" s="19">
        <v>4612354</v>
      </c>
      <c r="FR62" s="19">
        <v>98831</v>
      </c>
      <c r="FS62" s="19">
        <v>5810060</v>
      </c>
      <c r="FT62" s="19">
        <v>1642251</v>
      </c>
      <c r="FU62" s="19">
        <v>6400015</v>
      </c>
      <c r="FV62" s="19">
        <v>3003464</v>
      </c>
      <c r="FW62" s="19">
        <v>1940000</v>
      </c>
      <c r="FX62" s="19">
        <v>48517</v>
      </c>
      <c r="FY62" s="19">
        <v>826926327</v>
      </c>
      <c r="FZ62" s="19">
        <v>52773</v>
      </c>
      <c r="GA62" s="19">
        <v>28779300</v>
      </c>
      <c r="GB62" s="19">
        <v>15599</v>
      </c>
      <c r="GC62" s="19">
        <v>15174803</v>
      </c>
      <c r="GD62" s="19" t="s">
        <v>96</v>
      </c>
      <c r="GE62" s="19">
        <v>1443030</v>
      </c>
      <c r="GF62" s="19">
        <v>3550215</v>
      </c>
      <c r="GG62" s="19"/>
      <c r="GH62" s="19">
        <v>29660147</v>
      </c>
      <c r="GI62" s="19">
        <v>1770801</v>
      </c>
      <c r="GJ62" s="19"/>
      <c r="GK62" s="19">
        <v>24123732</v>
      </c>
      <c r="GL62" s="19" t="s">
        <v>96</v>
      </c>
      <c r="GM62" s="19">
        <v>78510628</v>
      </c>
      <c r="GN62" s="19">
        <v>5278028</v>
      </c>
      <c r="GO62" s="19">
        <v>2224</v>
      </c>
      <c r="GP62" s="19">
        <v>13877452</v>
      </c>
      <c r="GQ62" s="19">
        <v>28309855</v>
      </c>
      <c r="GR62" s="19">
        <v>701733</v>
      </c>
      <c r="GS62" s="19">
        <v>151726</v>
      </c>
      <c r="GT62" s="19">
        <v>72928833</v>
      </c>
      <c r="GU62" s="19">
        <v>35710</v>
      </c>
      <c r="GV62" s="19">
        <v>606144286</v>
      </c>
      <c r="GW62" s="19">
        <v>327587701</v>
      </c>
      <c r="GX62" s="19">
        <v>3059408</v>
      </c>
      <c r="GY62" s="19"/>
      <c r="GZ62" s="19">
        <v>3098337</v>
      </c>
      <c r="HA62" s="19">
        <v>376167851</v>
      </c>
      <c r="HB62" s="19">
        <v>851192</v>
      </c>
      <c r="HC62" s="19">
        <v>56290573</v>
      </c>
      <c r="HD62" s="19">
        <v>6996688</v>
      </c>
      <c r="HE62" s="19">
        <v>4879176</v>
      </c>
      <c r="HF62" s="19">
        <v>1684698</v>
      </c>
      <c r="HG62" s="19">
        <v>6354617</v>
      </c>
      <c r="HH62" s="19"/>
      <c r="HI62" s="19">
        <v>1273275</v>
      </c>
      <c r="HJ62" s="19"/>
      <c r="HK62" s="19">
        <v>747427</v>
      </c>
      <c r="HL62" s="19">
        <v>139561009</v>
      </c>
      <c r="HM62" s="19">
        <v>24870046</v>
      </c>
      <c r="HN62" s="19">
        <v>34132</v>
      </c>
      <c r="HO62" s="19">
        <v>23407786</v>
      </c>
      <c r="HP62" s="19">
        <v>37531832</v>
      </c>
      <c r="HQ62" s="19">
        <v>2829604</v>
      </c>
      <c r="HR62" s="19">
        <v>17855714</v>
      </c>
      <c r="HS62" s="19">
        <v>2246006</v>
      </c>
      <c r="HT62" s="19">
        <v>175664</v>
      </c>
      <c r="HU62" s="19">
        <v>142708528</v>
      </c>
      <c r="HV62" s="19">
        <v>20292909</v>
      </c>
      <c r="HW62" s="19">
        <v>21368287</v>
      </c>
      <c r="HX62" s="19">
        <v>18709</v>
      </c>
      <c r="HY62" s="19" t="s">
        <v>172</v>
      </c>
      <c r="HZ62" s="19">
        <v>9025808</v>
      </c>
      <c r="IA62" s="19">
        <v>7365</v>
      </c>
      <c r="IB62" s="19">
        <v>24082162</v>
      </c>
      <c r="IC62" s="19">
        <v>466452</v>
      </c>
      <c r="ID62" s="19">
        <v>4718812</v>
      </c>
      <c r="IE62" s="19" t="s">
        <v>96</v>
      </c>
      <c r="IF62" s="19">
        <v>1050065</v>
      </c>
      <c r="IG62" s="19">
        <v>1839919</v>
      </c>
      <c r="IH62" s="19">
        <v>321119</v>
      </c>
      <c r="II62" s="19">
        <v>4467644</v>
      </c>
      <c r="IJ62" s="19">
        <v>2544522</v>
      </c>
      <c r="IK62" s="19">
        <v>200807</v>
      </c>
      <c r="IL62" s="19"/>
      <c r="IM62" s="19">
        <v>25074</v>
      </c>
      <c r="IN62" s="19">
        <v>21414157</v>
      </c>
      <c r="IO62" s="19">
        <v>314959</v>
      </c>
      <c r="IP62" s="19">
        <v>10940961</v>
      </c>
      <c r="IQ62" s="19">
        <v>669380</v>
      </c>
      <c r="IR62" s="19">
        <v>33934990</v>
      </c>
      <c r="IS62" s="19">
        <v>76065</v>
      </c>
      <c r="IT62" s="19">
        <v>47929885</v>
      </c>
    </row>
    <row r="63" spans="1:254">
      <c r="A63" s="9" t="s">
        <v>3</v>
      </c>
      <c r="B63" s="15" t="s">
        <v>145</v>
      </c>
      <c r="C63" s="19">
        <v>0</v>
      </c>
      <c r="D63" s="19">
        <v>0</v>
      </c>
      <c r="E63" s="19">
        <v>0</v>
      </c>
      <c r="F63" s="19">
        <v>0</v>
      </c>
      <c r="G63" s="19">
        <v>0</v>
      </c>
      <c r="H63" s="19"/>
      <c r="I63" s="19"/>
      <c r="J63" s="19" t="s">
        <v>4</v>
      </c>
      <c r="K63" s="19"/>
      <c r="L63" s="19" t="s">
        <v>96</v>
      </c>
      <c r="M63" s="19" t="s">
        <v>96</v>
      </c>
      <c r="N63" s="19"/>
      <c r="O63" s="19">
        <v>770244</v>
      </c>
      <c r="P63" s="19"/>
      <c r="Q63" s="19"/>
      <c r="R63" s="19"/>
      <c r="S63" s="19">
        <v>554672</v>
      </c>
      <c r="T63" s="19" t="s">
        <v>96</v>
      </c>
      <c r="U63" s="19"/>
      <c r="V63" s="19" t="s">
        <v>172</v>
      </c>
      <c r="W63" s="19"/>
      <c r="X63" s="19"/>
      <c r="Y63" s="19"/>
      <c r="Z63" s="19"/>
      <c r="AA63" s="19">
        <v>21363637</v>
      </c>
      <c r="AB63" s="19"/>
      <c r="AC63" s="19"/>
      <c r="AD63" s="19"/>
      <c r="AE63" s="19"/>
      <c r="AF63" s="19"/>
      <c r="AG63" s="19"/>
      <c r="AH63" s="19">
        <v>2424988</v>
      </c>
      <c r="AI63" s="19"/>
      <c r="AJ63" s="19"/>
      <c r="AK63" s="19"/>
      <c r="AL63" s="19"/>
      <c r="AM63" s="19" t="s">
        <v>4</v>
      </c>
      <c r="AN63" s="19"/>
      <c r="AO63" s="19"/>
      <c r="AP63" s="19"/>
      <c r="AQ63" s="19" t="s">
        <v>96</v>
      </c>
      <c r="AR63" s="19"/>
      <c r="AS63" s="19"/>
      <c r="AT63" s="19"/>
      <c r="AU63" s="19"/>
      <c r="AV63" s="19"/>
      <c r="AW63" s="19"/>
      <c r="AX63" s="19" t="s">
        <v>4</v>
      </c>
      <c r="AY63" s="19"/>
      <c r="AZ63" s="19"/>
      <c r="BA63" s="19"/>
      <c r="BB63" s="19"/>
      <c r="BC63" s="19" t="s">
        <v>4</v>
      </c>
      <c r="BD63" s="19" t="s">
        <v>128</v>
      </c>
      <c r="BE63" s="19"/>
      <c r="BF63" s="19"/>
      <c r="BG63" s="19"/>
      <c r="BH63" s="19"/>
      <c r="BI63" s="19"/>
      <c r="BJ63" s="19"/>
      <c r="BK63" s="19"/>
      <c r="BL63" s="19"/>
      <c r="BM63" s="19"/>
      <c r="BN63" s="19"/>
      <c r="BO63" s="19"/>
      <c r="BP63" s="19" t="s">
        <v>96</v>
      </c>
      <c r="BQ63" s="19" t="s">
        <v>4</v>
      </c>
      <c r="BR63" s="19"/>
      <c r="BS63" s="19"/>
      <c r="BT63" s="19"/>
      <c r="BU63" s="19"/>
      <c r="BV63" s="19"/>
      <c r="BW63" s="19"/>
      <c r="BX63" s="19"/>
      <c r="BY63" s="19"/>
      <c r="BZ63" s="19"/>
      <c r="CA63" s="19"/>
      <c r="CB63" s="19"/>
      <c r="CC63" s="19"/>
      <c r="CD63" s="19"/>
      <c r="CE63" s="19"/>
      <c r="CF63" s="19"/>
      <c r="CG63" s="19"/>
      <c r="CH63" s="19"/>
      <c r="CI63" s="19" t="s">
        <v>128</v>
      </c>
      <c r="CJ63" s="19"/>
      <c r="CK63" s="19"/>
      <c r="CL63" s="19"/>
      <c r="CM63" s="19"/>
      <c r="CN63" s="19"/>
      <c r="CO63" s="19"/>
      <c r="CP63" s="19"/>
      <c r="CQ63" s="19" t="s">
        <v>96</v>
      </c>
      <c r="CR63" s="19"/>
      <c r="CS63" s="19"/>
      <c r="CT63" s="19"/>
      <c r="CU63" s="19">
        <v>88</v>
      </c>
      <c r="CV63" s="19"/>
      <c r="CW63" s="19"/>
      <c r="CX63" s="19"/>
      <c r="CY63" s="19" t="s">
        <v>96</v>
      </c>
      <c r="CZ63" s="19"/>
      <c r="DA63" s="19"/>
      <c r="DB63" s="19"/>
      <c r="DC63" s="19"/>
      <c r="DD63" s="19"/>
      <c r="DE63" s="19"/>
      <c r="DF63" s="19"/>
      <c r="DG63" s="19"/>
      <c r="DH63" s="19"/>
      <c r="DI63" s="19"/>
      <c r="DJ63" s="19"/>
      <c r="DK63" s="19"/>
      <c r="DL63" s="19"/>
      <c r="DM63" s="19"/>
      <c r="DN63" s="19"/>
      <c r="DO63" s="19"/>
      <c r="DP63" s="19"/>
      <c r="DQ63" s="19"/>
      <c r="DR63" s="19"/>
      <c r="DS63" s="19"/>
      <c r="DT63" s="19"/>
      <c r="DU63" s="19"/>
      <c r="DV63" s="19"/>
      <c r="DW63" s="19"/>
      <c r="DX63" s="19"/>
      <c r="DY63" s="19"/>
      <c r="DZ63" s="19"/>
      <c r="EA63" s="19"/>
      <c r="EB63" s="19"/>
      <c r="EC63" s="19"/>
      <c r="ED63" s="19"/>
      <c r="EE63" s="19"/>
      <c r="EF63" s="19"/>
      <c r="EG63" s="19"/>
      <c r="EH63" s="19"/>
      <c r="EI63" s="19"/>
      <c r="EJ63" s="19"/>
      <c r="EK63" s="19"/>
      <c r="EL63" s="19"/>
      <c r="EM63" s="19"/>
      <c r="EN63" s="19"/>
      <c r="EO63" s="19"/>
      <c r="EP63" s="19"/>
      <c r="EQ63" s="19"/>
      <c r="ER63" s="19"/>
      <c r="ES63" s="19"/>
      <c r="ET63" s="19"/>
      <c r="EU63" s="19">
        <v>585590</v>
      </c>
      <c r="EV63" s="19"/>
      <c r="EW63" s="19"/>
      <c r="EX63" s="19"/>
      <c r="EY63" s="19"/>
      <c r="EZ63" s="19"/>
      <c r="FA63" s="19"/>
      <c r="FB63" s="19"/>
      <c r="FC63" s="19"/>
      <c r="FD63" s="19"/>
      <c r="FE63" s="19"/>
      <c r="FF63" s="19"/>
      <c r="FG63" s="19"/>
      <c r="FH63" s="19"/>
      <c r="FI63" s="19" t="s">
        <v>96</v>
      </c>
      <c r="FJ63" s="19"/>
      <c r="FK63" s="19"/>
      <c r="FL63" s="19"/>
      <c r="FM63" s="19"/>
      <c r="FN63" s="19"/>
      <c r="FO63" s="19"/>
      <c r="FP63" s="19"/>
      <c r="FQ63" s="19"/>
      <c r="FR63" s="19"/>
      <c r="FS63" s="19"/>
      <c r="FT63" s="19"/>
      <c r="FU63" s="19"/>
      <c r="FV63" s="19"/>
      <c r="FW63" s="19"/>
      <c r="FX63" s="19"/>
      <c r="FY63" s="19"/>
      <c r="FZ63" s="19"/>
      <c r="GA63" s="19"/>
      <c r="GB63" s="19"/>
      <c r="GC63" s="19"/>
      <c r="GD63" s="19" t="s">
        <v>96</v>
      </c>
      <c r="GE63" s="19"/>
      <c r="GF63" s="19"/>
      <c r="GG63" s="19"/>
      <c r="GH63" s="19"/>
      <c r="GI63" s="19"/>
      <c r="GJ63" s="19">
        <v>46281382</v>
      </c>
      <c r="GK63" s="19"/>
      <c r="GL63" s="19" t="s">
        <v>96</v>
      </c>
      <c r="GM63" s="19"/>
      <c r="GN63" s="19"/>
      <c r="GO63" s="19"/>
      <c r="GP63" s="19"/>
      <c r="GQ63" s="19"/>
      <c r="GR63" s="19"/>
      <c r="GS63" s="19"/>
      <c r="GT63" s="19"/>
      <c r="GU63" s="19"/>
      <c r="GV63" s="19"/>
      <c r="GW63" s="19"/>
      <c r="GX63" s="19"/>
      <c r="GY63" s="19"/>
      <c r="GZ63" s="19"/>
      <c r="HA63" s="19"/>
      <c r="HB63" s="19"/>
      <c r="HC63" s="19"/>
      <c r="HD63" s="19"/>
      <c r="HE63" s="19"/>
      <c r="HF63" s="19"/>
      <c r="HG63" s="19"/>
      <c r="HH63" s="19"/>
      <c r="HI63" s="19"/>
      <c r="HJ63" s="19"/>
      <c r="HK63" s="19"/>
      <c r="HL63" s="19"/>
      <c r="HM63" s="19"/>
      <c r="HN63" s="19"/>
      <c r="HO63" s="19"/>
      <c r="HP63" s="19"/>
      <c r="HQ63" s="19"/>
      <c r="HR63" s="19"/>
      <c r="HS63" s="19"/>
      <c r="HT63" s="19"/>
      <c r="HU63" s="19"/>
      <c r="HV63" s="19"/>
      <c r="HW63" s="19"/>
      <c r="HX63" s="19"/>
      <c r="HY63" s="19" t="s">
        <v>172</v>
      </c>
      <c r="HZ63" s="19"/>
      <c r="IA63" s="19"/>
      <c r="IB63" s="19"/>
      <c r="IC63" s="19"/>
      <c r="ID63" s="19"/>
      <c r="IE63" s="19" t="s">
        <v>96</v>
      </c>
      <c r="IF63" s="19"/>
      <c r="IG63" s="19"/>
      <c r="IH63" s="19"/>
      <c r="II63" s="19"/>
      <c r="IJ63" s="19"/>
      <c r="IK63" s="19"/>
      <c r="IL63" s="19"/>
      <c r="IM63" s="19"/>
      <c r="IN63" s="19"/>
      <c r="IO63" s="19"/>
      <c r="IP63" s="19"/>
      <c r="IQ63" s="19"/>
      <c r="IR63" s="19"/>
      <c r="IS63" s="19"/>
      <c r="IT63" s="19">
        <v>71534</v>
      </c>
    </row>
    <row r="64" spans="1:254">
      <c r="A64" s="9" t="s">
        <v>3</v>
      </c>
      <c r="B64" s="16" t="s">
        <v>78</v>
      </c>
      <c r="C64" s="19">
        <v>199813374</v>
      </c>
      <c r="D64" s="19">
        <v>620540754</v>
      </c>
      <c r="E64" s="19">
        <v>120366235</v>
      </c>
      <c r="F64" s="19">
        <v>31892491</v>
      </c>
      <c r="G64" s="19">
        <v>13040000</v>
      </c>
      <c r="H64" s="19">
        <v>390726480</v>
      </c>
      <c r="I64" s="19">
        <v>0</v>
      </c>
      <c r="J64" s="19" t="s">
        <v>4</v>
      </c>
      <c r="K64" s="19">
        <v>913656850</v>
      </c>
      <c r="L64" s="19" t="s">
        <v>96</v>
      </c>
      <c r="M64" s="19" t="s">
        <v>96</v>
      </c>
      <c r="N64" s="19">
        <v>406125645</v>
      </c>
      <c r="O64" s="19">
        <v>480299624</v>
      </c>
      <c r="P64" s="19">
        <v>223288530</v>
      </c>
      <c r="Q64" s="19">
        <v>21662970</v>
      </c>
      <c r="R64" s="19">
        <v>31956148</v>
      </c>
      <c r="S64" s="19">
        <v>0</v>
      </c>
      <c r="T64" s="19" t="s">
        <v>96</v>
      </c>
      <c r="U64" s="19">
        <v>20122104</v>
      </c>
      <c r="V64" s="19" t="s">
        <v>172</v>
      </c>
      <c r="W64" s="19">
        <v>37661104</v>
      </c>
      <c r="X64" s="19">
        <v>36600000</v>
      </c>
      <c r="Y64" s="19">
        <v>5000000</v>
      </c>
      <c r="Z64" s="19">
        <v>106019964</v>
      </c>
      <c r="AA64" s="19">
        <v>79014543</v>
      </c>
      <c r="AB64" s="19">
        <v>150554249</v>
      </c>
      <c r="AC64" s="19">
        <v>230090</v>
      </c>
      <c r="AD64" s="19">
        <v>0</v>
      </c>
      <c r="AE64" s="19">
        <v>116148233</v>
      </c>
      <c r="AF64" s="19">
        <v>160819008</v>
      </c>
      <c r="AG64" s="19">
        <v>257298416</v>
      </c>
      <c r="AH64" s="19">
        <v>100753854</v>
      </c>
      <c r="AI64" s="19">
        <v>129566996</v>
      </c>
      <c r="AJ64" s="19">
        <v>143328576</v>
      </c>
      <c r="AK64" s="19">
        <v>114119468</v>
      </c>
      <c r="AL64" s="19">
        <v>165894064</v>
      </c>
      <c r="AM64" s="19" t="s">
        <v>4</v>
      </c>
      <c r="AN64" s="19">
        <v>39497000</v>
      </c>
      <c r="AO64" s="19">
        <v>0</v>
      </c>
      <c r="AP64" s="19">
        <v>27853332</v>
      </c>
      <c r="AQ64" s="19" t="s">
        <v>96</v>
      </c>
      <c r="AR64" s="19">
        <v>21170366</v>
      </c>
      <c r="AS64" s="19">
        <v>416262340</v>
      </c>
      <c r="AT64" s="19">
        <v>0</v>
      </c>
      <c r="AU64" s="19">
        <v>0</v>
      </c>
      <c r="AV64" s="19">
        <v>29606260</v>
      </c>
      <c r="AW64" s="19">
        <v>22729440</v>
      </c>
      <c r="AX64" s="19" t="s">
        <v>4</v>
      </c>
      <c r="AY64" s="19">
        <v>58007538</v>
      </c>
      <c r="AZ64" s="19">
        <v>0</v>
      </c>
      <c r="BA64" s="19">
        <v>748637193</v>
      </c>
      <c r="BB64" s="19">
        <v>0</v>
      </c>
      <c r="BC64" s="19" t="s">
        <v>4</v>
      </c>
      <c r="BD64" s="19" t="s">
        <v>128</v>
      </c>
      <c r="BE64" s="19">
        <v>30713174</v>
      </c>
      <c r="BF64" s="19">
        <v>28400984</v>
      </c>
      <c r="BG64" s="19">
        <v>159914919</v>
      </c>
      <c r="BH64" s="19">
        <v>0</v>
      </c>
      <c r="BI64" s="19">
        <v>77220568</v>
      </c>
      <c r="BJ64" s="19">
        <v>0</v>
      </c>
      <c r="BK64" s="19">
        <v>368617066</v>
      </c>
      <c r="BL64" s="19">
        <v>0</v>
      </c>
      <c r="BM64" s="19">
        <v>54927000</v>
      </c>
      <c r="BN64" s="19">
        <v>23452430</v>
      </c>
      <c r="BO64" s="19">
        <v>0</v>
      </c>
      <c r="BP64" s="19" t="s">
        <v>96</v>
      </c>
      <c r="BQ64" s="19" t="s">
        <v>4</v>
      </c>
      <c r="BR64" s="19">
        <v>159602556</v>
      </c>
      <c r="BS64" s="19">
        <v>0</v>
      </c>
      <c r="BT64" s="19">
        <v>0</v>
      </c>
      <c r="BU64" s="19">
        <v>43778874</v>
      </c>
      <c r="BV64" s="19">
        <v>33322857</v>
      </c>
      <c r="BW64" s="19">
        <v>58106000</v>
      </c>
      <c r="BX64" s="19">
        <v>12310000</v>
      </c>
      <c r="BY64" s="19">
        <v>1227313904</v>
      </c>
      <c r="BZ64" s="19">
        <v>34850388</v>
      </c>
      <c r="CA64" s="19">
        <v>54000000</v>
      </c>
      <c r="CB64" s="19">
        <v>18769324</v>
      </c>
      <c r="CC64" s="19">
        <v>34646908</v>
      </c>
      <c r="CD64" s="19">
        <v>561381635</v>
      </c>
      <c r="CE64" s="19">
        <v>9133977</v>
      </c>
      <c r="CF64" s="19">
        <v>198313456</v>
      </c>
      <c r="CG64" s="19">
        <v>62747946</v>
      </c>
      <c r="CH64" s="19">
        <v>68338251</v>
      </c>
      <c r="CI64" s="19" t="s">
        <v>128</v>
      </c>
      <c r="CJ64" s="19">
        <v>0</v>
      </c>
      <c r="CK64" s="19">
        <v>62414092</v>
      </c>
      <c r="CL64" s="19">
        <v>82813180</v>
      </c>
      <c r="CM64" s="19">
        <v>186926444</v>
      </c>
      <c r="CN64" s="19">
        <v>0</v>
      </c>
      <c r="CO64" s="19">
        <v>7000000</v>
      </c>
      <c r="CP64" s="19">
        <v>56158108</v>
      </c>
      <c r="CQ64" s="19" t="s">
        <v>96</v>
      </c>
      <c r="CR64" s="19">
        <v>7584010</v>
      </c>
      <c r="CS64" s="19">
        <v>82210800</v>
      </c>
      <c r="CT64" s="19">
        <v>0</v>
      </c>
      <c r="CU64" s="19">
        <v>0</v>
      </c>
      <c r="CV64" s="19">
        <v>15061491</v>
      </c>
      <c r="CW64" s="19">
        <v>216927842</v>
      </c>
      <c r="CX64" s="19">
        <v>0</v>
      </c>
      <c r="CY64" s="19" t="s">
        <v>96</v>
      </c>
      <c r="CZ64" s="19">
        <v>210395708</v>
      </c>
      <c r="DA64" s="19">
        <v>0</v>
      </c>
      <c r="DB64" s="19">
        <v>0</v>
      </c>
      <c r="DC64" s="19">
        <v>0</v>
      </c>
      <c r="DD64" s="19">
        <v>20787766</v>
      </c>
      <c r="DE64" s="19">
        <v>0</v>
      </c>
      <c r="DF64" s="19">
        <v>49676976</v>
      </c>
      <c r="DG64" s="19">
        <v>327827500</v>
      </c>
      <c r="DH64" s="19">
        <v>108592908</v>
      </c>
      <c r="DI64" s="19">
        <v>0</v>
      </c>
      <c r="DJ64" s="19">
        <v>16412839</v>
      </c>
      <c r="DK64" s="19">
        <v>0</v>
      </c>
      <c r="DL64" s="19">
        <v>127577350</v>
      </c>
      <c r="DM64" s="19">
        <v>43873750</v>
      </c>
      <c r="DN64" s="19">
        <v>14145722</v>
      </c>
      <c r="DO64" s="19">
        <v>1708940</v>
      </c>
      <c r="DP64" s="19">
        <v>13708000</v>
      </c>
      <c r="DQ64" s="19">
        <v>0</v>
      </c>
      <c r="DR64" s="19">
        <v>266149289</v>
      </c>
      <c r="DS64" s="19">
        <v>24268360</v>
      </c>
      <c r="DT64" s="19">
        <v>349967636</v>
      </c>
      <c r="DU64" s="19">
        <v>0</v>
      </c>
      <c r="DV64" s="19">
        <v>0</v>
      </c>
      <c r="DW64" s="19">
        <v>179213520</v>
      </c>
      <c r="DX64" s="19">
        <v>20029511</v>
      </c>
      <c r="DY64" s="19">
        <v>37000000</v>
      </c>
      <c r="DZ64" s="19">
        <v>24339718</v>
      </c>
      <c r="EA64" s="19">
        <v>10482788</v>
      </c>
      <c r="EB64" s="19">
        <v>956264970</v>
      </c>
      <c r="EC64" s="19">
        <v>0</v>
      </c>
      <c r="ED64" s="19">
        <v>297694679</v>
      </c>
      <c r="EE64" s="19">
        <v>42204379</v>
      </c>
      <c r="EF64" s="19">
        <v>199695668</v>
      </c>
      <c r="EG64" s="19">
        <v>0</v>
      </c>
      <c r="EH64" s="19">
        <v>36598268</v>
      </c>
      <c r="EI64" s="19">
        <v>22145294</v>
      </c>
      <c r="EJ64" s="19">
        <v>237695700</v>
      </c>
      <c r="EK64" s="19">
        <v>121871429</v>
      </c>
      <c r="EL64" s="19">
        <v>327572456</v>
      </c>
      <c r="EM64" s="19">
        <v>67050290</v>
      </c>
      <c r="EN64" s="19">
        <v>694367324</v>
      </c>
      <c r="EO64" s="19">
        <v>24345030</v>
      </c>
      <c r="EP64" s="19">
        <v>0</v>
      </c>
      <c r="EQ64" s="19">
        <v>0</v>
      </c>
      <c r="ER64" s="19">
        <v>397772223</v>
      </c>
      <c r="ES64" s="19">
        <v>13580000</v>
      </c>
      <c r="ET64" s="19">
        <v>0</v>
      </c>
      <c r="EU64" s="19">
        <v>0</v>
      </c>
      <c r="EV64" s="19">
        <v>49020999</v>
      </c>
      <c r="EW64" s="19">
        <v>17735850</v>
      </c>
      <c r="EX64" s="19">
        <v>50083716</v>
      </c>
      <c r="EY64" s="19">
        <v>192627370</v>
      </c>
      <c r="EZ64" s="19">
        <v>63108085</v>
      </c>
      <c r="FA64" s="19">
        <v>39414339</v>
      </c>
      <c r="FB64" s="19">
        <v>33356752</v>
      </c>
      <c r="FC64" s="19">
        <v>246470592</v>
      </c>
      <c r="FD64" s="19">
        <v>22997320</v>
      </c>
      <c r="FE64" s="19">
        <v>167144706</v>
      </c>
      <c r="FF64" s="19">
        <v>0</v>
      </c>
      <c r="FG64" s="19">
        <v>75110695</v>
      </c>
      <c r="FH64" s="19">
        <v>0</v>
      </c>
      <c r="FI64" s="19" t="s">
        <v>96</v>
      </c>
      <c r="FJ64" s="19">
        <v>11184883</v>
      </c>
      <c r="FK64" s="19">
        <v>479782085</v>
      </c>
      <c r="FL64" s="19">
        <v>355570181</v>
      </c>
      <c r="FM64" s="19">
        <v>0</v>
      </c>
      <c r="FN64" s="19">
        <v>683007667</v>
      </c>
      <c r="FO64" s="19">
        <v>0</v>
      </c>
      <c r="FP64" s="19">
        <v>64379709</v>
      </c>
      <c r="FQ64" s="19">
        <v>0</v>
      </c>
      <c r="FR64" s="19">
        <v>284152428</v>
      </c>
      <c r="FS64" s="19">
        <v>194830995</v>
      </c>
      <c r="FT64" s="19">
        <v>0</v>
      </c>
      <c r="FU64" s="19">
        <v>0</v>
      </c>
      <c r="FV64" s="19">
        <v>98131400</v>
      </c>
      <c r="FW64" s="19">
        <v>1948000</v>
      </c>
      <c r="FX64" s="19">
        <v>111020960</v>
      </c>
      <c r="FY64" s="19">
        <v>0</v>
      </c>
      <c r="FZ64" s="19">
        <v>230629270</v>
      </c>
      <c r="GA64" s="19">
        <v>85004028</v>
      </c>
      <c r="GB64" s="19">
        <v>361035342</v>
      </c>
      <c r="GC64" s="19">
        <v>2484830</v>
      </c>
      <c r="GD64" s="19" t="s">
        <v>96</v>
      </c>
      <c r="GE64" s="19">
        <v>223198514</v>
      </c>
      <c r="GF64" s="19">
        <v>51368596</v>
      </c>
      <c r="GG64" s="19">
        <v>567747123</v>
      </c>
      <c r="GH64" s="19">
        <v>0</v>
      </c>
      <c r="GI64" s="19">
        <v>5986333</v>
      </c>
      <c r="GJ64" s="19">
        <v>83356393</v>
      </c>
      <c r="GK64" s="19">
        <v>249021840</v>
      </c>
      <c r="GL64" s="19" t="s">
        <v>96</v>
      </c>
      <c r="GM64" s="19">
        <v>193308639</v>
      </c>
      <c r="GN64" s="19">
        <v>42702320</v>
      </c>
      <c r="GO64" s="19">
        <v>8380</v>
      </c>
      <c r="GP64" s="19">
        <v>7500000</v>
      </c>
      <c r="GQ64" s="19">
        <v>0</v>
      </c>
      <c r="GR64" s="19">
        <v>577921552</v>
      </c>
      <c r="GS64" s="19">
        <v>122626624</v>
      </c>
      <c r="GT64" s="19"/>
      <c r="GU64" s="19"/>
      <c r="GV64" s="19"/>
      <c r="GW64" s="19"/>
      <c r="GX64" s="19">
        <v>35600000</v>
      </c>
      <c r="GY64" s="19">
        <v>1621093938</v>
      </c>
      <c r="GZ64" s="19">
        <v>28909827</v>
      </c>
      <c r="HA64" s="19"/>
      <c r="HB64" s="19">
        <v>304613835</v>
      </c>
      <c r="HC64" s="19">
        <v>60700000</v>
      </c>
      <c r="HD64" s="19">
        <v>498534955</v>
      </c>
      <c r="HE64" s="19">
        <v>73197220</v>
      </c>
      <c r="HF64" s="19">
        <v>454447846</v>
      </c>
      <c r="HG64" s="19">
        <v>43577849</v>
      </c>
      <c r="HH64" s="19">
        <v>0</v>
      </c>
      <c r="HI64" s="19">
        <v>567268539</v>
      </c>
      <c r="HJ64" s="19">
        <v>38486071</v>
      </c>
      <c r="HK64" s="19">
        <v>358384862</v>
      </c>
      <c r="HL64" s="19"/>
      <c r="HM64" s="19"/>
      <c r="HN64" s="19">
        <v>74881320</v>
      </c>
      <c r="HO64" s="19">
        <v>86905484</v>
      </c>
      <c r="HP64" s="19">
        <v>1734002523</v>
      </c>
      <c r="HQ64" s="19">
        <v>14262660</v>
      </c>
      <c r="HR64" s="19">
        <v>233882375</v>
      </c>
      <c r="HS64" s="19">
        <v>136375184</v>
      </c>
      <c r="HT64" s="19">
        <v>12838000</v>
      </c>
      <c r="HU64" s="19">
        <v>62610877</v>
      </c>
      <c r="HV64" s="19"/>
      <c r="HW64" s="19">
        <v>0</v>
      </c>
      <c r="HX64" s="19">
        <v>1600000</v>
      </c>
      <c r="HY64" s="19" t="s">
        <v>172</v>
      </c>
      <c r="HZ64" s="19">
        <v>78189573</v>
      </c>
      <c r="IA64" s="19">
        <v>1431030</v>
      </c>
      <c r="IB64" s="19">
        <v>292148270</v>
      </c>
      <c r="IC64" s="19">
        <v>5913680</v>
      </c>
      <c r="ID64" s="19"/>
      <c r="IE64" s="19" t="s">
        <v>96</v>
      </c>
      <c r="IF64" s="19">
        <v>34677470</v>
      </c>
      <c r="IG64" s="19"/>
      <c r="IH64" s="19">
        <v>101893000</v>
      </c>
      <c r="II64" s="19"/>
      <c r="IJ64" s="19">
        <v>12969960</v>
      </c>
      <c r="IK64" s="19">
        <v>78187900</v>
      </c>
      <c r="IL64" s="19"/>
      <c r="IM64" s="19">
        <v>260225466</v>
      </c>
      <c r="IN64" s="19">
        <v>0</v>
      </c>
      <c r="IO64" s="19"/>
      <c r="IP64" s="19">
        <v>319220641</v>
      </c>
      <c r="IQ64" s="19">
        <v>3019350</v>
      </c>
      <c r="IR64" s="19">
        <v>0</v>
      </c>
      <c r="IS64" s="19">
        <v>253056000</v>
      </c>
      <c r="IT64" s="19">
        <v>63499409</v>
      </c>
    </row>
    <row r="65" spans="1:254">
      <c r="A65" s="9" t="s">
        <v>3</v>
      </c>
      <c r="B65" s="17" t="s">
        <v>80</v>
      </c>
      <c r="C65" s="19">
        <v>104288550</v>
      </c>
      <c r="D65" s="19"/>
      <c r="E65" s="19">
        <v>0</v>
      </c>
      <c r="F65" s="19">
        <v>0</v>
      </c>
      <c r="G65" s="19">
        <v>0</v>
      </c>
      <c r="H65" s="19"/>
      <c r="I65" s="19"/>
      <c r="J65" s="19" t="s">
        <v>4</v>
      </c>
      <c r="K65" s="19"/>
      <c r="L65" s="19" t="s">
        <v>96</v>
      </c>
      <c r="M65" s="19" t="s">
        <v>96</v>
      </c>
      <c r="N65" s="19"/>
      <c r="O65" s="19"/>
      <c r="P65" s="19"/>
      <c r="Q65" s="19">
        <v>16662970</v>
      </c>
      <c r="R65" s="19">
        <v>6319340</v>
      </c>
      <c r="S65" s="19">
        <v>0</v>
      </c>
      <c r="T65" s="19" t="s">
        <v>96</v>
      </c>
      <c r="U65" s="19"/>
      <c r="V65" s="19" t="s">
        <v>172</v>
      </c>
      <c r="W65" s="19"/>
      <c r="X65" s="19"/>
      <c r="Y65" s="19"/>
      <c r="Z65" s="19"/>
      <c r="AA65" s="19">
        <v>19545840</v>
      </c>
      <c r="AB65" s="19"/>
      <c r="AC65" s="19"/>
      <c r="AD65" s="19"/>
      <c r="AE65" s="19"/>
      <c r="AF65" s="19"/>
      <c r="AG65" s="19"/>
      <c r="AH65" s="19"/>
      <c r="AI65" s="19"/>
      <c r="AJ65" s="19"/>
      <c r="AK65" s="19"/>
      <c r="AL65" s="19"/>
      <c r="AM65" s="19" t="s">
        <v>4</v>
      </c>
      <c r="AN65" s="19"/>
      <c r="AO65" s="19"/>
      <c r="AP65" s="19"/>
      <c r="AQ65" s="19" t="s">
        <v>96</v>
      </c>
      <c r="AR65" s="19"/>
      <c r="AS65" s="19"/>
      <c r="AT65" s="19"/>
      <c r="AU65" s="19"/>
      <c r="AV65" s="19"/>
      <c r="AW65" s="19"/>
      <c r="AX65" s="19" t="s">
        <v>4</v>
      </c>
      <c r="AY65" s="19"/>
      <c r="AZ65" s="19"/>
      <c r="BA65" s="19">
        <v>543172233</v>
      </c>
      <c r="BB65" s="19"/>
      <c r="BC65" s="19" t="s">
        <v>4</v>
      </c>
      <c r="BD65" s="19" t="s">
        <v>128</v>
      </c>
      <c r="BE65" s="19"/>
      <c r="BF65" s="19"/>
      <c r="BG65" s="19"/>
      <c r="BH65" s="19"/>
      <c r="BI65" s="19"/>
      <c r="BJ65" s="19"/>
      <c r="BK65" s="19"/>
      <c r="BL65" s="19"/>
      <c r="BM65" s="19"/>
      <c r="BN65" s="19"/>
      <c r="BO65" s="19"/>
      <c r="BP65" s="19" t="s">
        <v>96</v>
      </c>
      <c r="BQ65" s="19" t="s">
        <v>4</v>
      </c>
      <c r="BR65" s="19"/>
      <c r="BS65" s="19"/>
      <c r="BT65" s="19"/>
      <c r="BU65" s="19"/>
      <c r="BV65" s="19"/>
      <c r="BW65" s="19"/>
      <c r="BX65" s="19"/>
      <c r="BY65" s="19">
        <v>1227313904</v>
      </c>
      <c r="BZ65" s="19"/>
      <c r="CA65" s="19"/>
      <c r="CB65" s="19"/>
      <c r="CC65" s="19"/>
      <c r="CD65" s="19"/>
      <c r="CE65" s="19"/>
      <c r="CF65" s="19">
        <v>182721706</v>
      </c>
      <c r="CG65" s="19"/>
      <c r="CH65" s="19"/>
      <c r="CI65" s="19" t="s">
        <v>128</v>
      </c>
      <c r="CJ65" s="19"/>
      <c r="CK65" s="19">
        <v>37122000</v>
      </c>
      <c r="CL65" s="19"/>
      <c r="CM65" s="19"/>
      <c r="CN65" s="19"/>
      <c r="CO65" s="19"/>
      <c r="CP65" s="19"/>
      <c r="CQ65" s="19" t="s">
        <v>96</v>
      </c>
      <c r="CR65" s="19">
        <v>3074010</v>
      </c>
      <c r="CS65" s="19">
        <v>82210800</v>
      </c>
      <c r="CT65" s="19"/>
      <c r="CU65" s="19"/>
      <c r="CV65" s="19"/>
      <c r="CW65" s="19"/>
      <c r="CX65" s="19"/>
      <c r="CY65" s="19" t="s">
        <v>96</v>
      </c>
      <c r="CZ65" s="19"/>
      <c r="DA65" s="19"/>
      <c r="DB65" s="19"/>
      <c r="DC65" s="19"/>
      <c r="DD65" s="19"/>
      <c r="DE65" s="19"/>
      <c r="DF65" s="19"/>
      <c r="DG65" s="19"/>
      <c r="DH65" s="19"/>
      <c r="DI65" s="19"/>
      <c r="DJ65" s="19"/>
      <c r="DK65" s="19"/>
      <c r="DL65" s="19"/>
      <c r="DM65" s="19"/>
      <c r="DN65" s="19"/>
      <c r="DO65" s="19">
        <v>398940</v>
      </c>
      <c r="DP65" s="19"/>
      <c r="DQ65" s="19"/>
      <c r="DR65" s="19"/>
      <c r="DS65" s="19"/>
      <c r="DT65" s="19"/>
      <c r="DU65" s="19"/>
      <c r="DV65" s="19"/>
      <c r="DW65" s="19">
        <v>179213520</v>
      </c>
      <c r="DX65" s="19"/>
      <c r="DY65" s="19"/>
      <c r="DZ65" s="19"/>
      <c r="EA65" s="19"/>
      <c r="EB65" s="19"/>
      <c r="EC65" s="19"/>
      <c r="ED65" s="19">
        <v>294681490</v>
      </c>
      <c r="EE65" s="19"/>
      <c r="EF65" s="19"/>
      <c r="EG65" s="19"/>
      <c r="EH65" s="19"/>
      <c r="EI65" s="19"/>
      <c r="EJ65" s="19">
        <v>69460000</v>
      </c>
      <c r="EK65" s="19">
        <v>107207090</v>
      </c>
      <c r="EL65" s="19"/>
      <c r="EM65" s="19"/>
      <c r="EN65" s="19">
        <v>564641404</v>
      </c>
      <c r="EO65" s="19"/>
      <c r="EP65" s="19"/>
      <c r="EQ65" s="19"/>
      <c r="ER65" s="19"/>
      <c r="ES65" s="19"/>
      <c r="ET65" s="19"/>
      <c r="EU65" s="19"/>
      <c r="EV65" s="19"/>
      <c r="EW65" s="19"/>
      <c r="EX65" s="19"/>
      <c r="EY65" s="19"/>
      <c r="EZ65" s="19"/>
      <c r="FA65" s="19">
        <v>1989091</v>
      </c>
      <c r="FB65" s="19"/>
      <c r="FC65" s="19"/>
      <c r="FD65" s="19"/>
      <c r="FE65" s="19"/>
      <c r="FF65" s="19"/>
      <c r="FG65" s="19"/>
      <c r="FH65" s="19"/>
      <c r="FI65" s="19" t="s">
        <v>96</v>
      </c>
      <c r="FJ65" s="19"/>
      <c r="FK65" s="19">
        <v>209462085</v>
      </c>
      <c r="FL65" s="19"/>
      <c r="FM65" s="19"/>
      <c r="FN65" s="19">
        <v>683007667</v>
      </c>
      <c r="FO65" s="19"/>
      <c r="FP65" s="19"/>
      <c r="FQ65" s="19"/>
      <c r="FR65" s="19"/>
      <c r="FS65" s="19">
        <v>194830995</v>
      </c>
      <c r="FT65" s="19"/>
      <c r="FU65" s="19"/>
      <c r="FV65" s="19"/>
      <c r="FW65" s="19"/>
      <c r="FX65" s="19"/>
      <c r="FY65" s="19"/>
      <c r="FZ65" s="19"/>
      <c r="GA65" s="19">
        <v>80004028</v>
      </c>
      <c r="GB65" s="19"/>
      <c r="GC65" s="19"/>
      <c r="GD65" s="19" t="s">
        <v>96</v>
      </c>
      <c r="GE65" s="19">
        <v>42812590</v>
      </c>
      <c r="GF65" s="19"/>
      <c r="GG65" s="19"/>
      <c r="GH65" s="19"/>
      <c r="GI65" s="19"/>
      <c r="GJ65" s="19"/>
      <c r="GK65" s="19"/>
      <c r="GL65" s="19" t="s">
        <v>96</v>
      </c>
      <c r="GM65" s="19">
        <v>193308639</v>
      </c>
      <c r="GN65" s="19"/>
      <c r="GO65" s="19"/>
      <c r="GP65" s="19"/>
      <c r="GQ65" s="19"/>
      <c r="GR65" s="19">
        <v>577921552</v>
      </c>
      <c r="GS65" s="19">
        <v>3600000</v>
      </c>
      <c r="GT65" s="19"/>
      <c r="GU65" s="19"/>
      <c r="GV65" s="19"/>
      <c r="GW65" s="19"/>
      <c r="GX65" s="19">
        <v>30600000</v>
      </c>
      <c r="GY65" s="19"/>
      <c r="GZ65" s="19">
        <v>0</v>
      </c>
      <c r="HA65" s="19"/>
      <c r="HB65" s="19"/>
      <c r="HC65" s="19"/>
      <c r="HD65" s="19">
        <v>498534955</v>
      </c>
      <c r="HE65" s="19"/>
      <c r="HF65" s="19">
        <v>454447846</v>
      </c>
      <c r="HG65" s="19">
        <v>18370760</v>
      </c>
      <c r="HH65" s="19"/>
      <c r="HI65" s="19">
        <v>433670787</v>
      </c>
      <c r="HJ65" s="19"/>
      <c r="HK65" s="19">
        <v>971390</v>
      </c>
      <c r="HL65" s="19"/>
      <c r="HM65" s="19"/>
      <c r="HN65" s="19"/>
      <c r="HO65" s="19">
        <v>78914854</v>
      </c>
      <c r="HP65" s="19"/>
      <c r="HQ65" s="19"/>
      <c r="HR65" s="19"/>
      <c r="HS65" s="19"/>
      <c r="HT65" s="19"/>
      <c r="HU65" s="19"/>
      <c r="HV65" s="19"/>
      <c r="HW65" s="19">
        <v>0</v>
      </c>
      <c r="HX65" s="19">
        <v>1600000</v>
      </c>
      <c r="HY65" s="19" t="s">
        <v>172</v>
      </c>
      <c r="HZ65" s="19"/>
      <c r="IA65" s="19"/>
      <c r="IB65" s="19"/>
      <c r="IC65" s="19"/>
      <c r="ID65" s="19"/>
      <c r="IE65" s="19" t="s">
        <v>96</v>
      </c>
      <c r="IF65" s="19"/>
      <c r="IG65" s="19"/>
      <c r="IH65" s="19"/>
      <c r="II65" s="19"/>
      <c r="IJ65" s="19"/>
      <c r="IK65" s="19"/>
      <c r="IL65" s="19"/>
      <c r="IM65" s="19"/>
      <c r="IN65" s="19">
        <v>0</v>
      </c>
      <c r="IO65" s="19"/>
      <c r="IP65" s="19">
        <v>117044570</v>
      </c>
      <c r="IQ65" s="19">
        <v>3019350</v>
      </c>
      <c r="IR65" s="19">
        <v>0</v>
      </c>
      <c r="IS65" s="19"/>
      <c r="IT65" s="19">
        <v>63499409</v>
      </c>
    </row>
    <row r="66" spans="1:254">
      <c r="A66" s="9" t="s">
        <v>3</v>
      </c>
      <c r="B66" s="17" t="s">
        <v>7</v>
      </c>
      <c r="C66" s="19">
        <v>0</v>
      </c>
      <c r="D66" s="19">
        <v>562030754</v>
      </c>
      <c r="E66" s="19">
        <v>0</v>
      </c>
      <c r="F66" s="19">
        <v>2680000</v>
      </c>
      <c r="G66" s="19">
        <v>0</v>
      </c>
      <c r="H66" s="19">
        <v>390726480</v>
      </c>
      <c r="I66" s="19"/>
      <c r="J66" s="19" t="s">
        <v>4</v>
      </c>
      <c r="K66" s="19"/>
      <c r="L66" s="19" t="s">
        <v>96</v>
      </c>
      <c r="M66" s="19" t="s">
        <v>96</v>
      </c>
      <c r="N66" s="19"/>
      <c r="O66" s="19"/>
      <c r="P66" s="19"/>
      <c r="Q66" s="19"/>
      <c r="R66" s="19"/>
      <c r="S66" s="19"/>
      <c r="T66" s="19" t="s">
        <v>96</v>
      </c>
      <c r="U66" s="19">
        <v>20122104</v>
      </c>
      <c r="V66" s="19" t="s">
        <v>172</v>
      </c>
      <c r="W66" s="19"/>
      <c r="X66" s="19"/>
      <c r="Y66" s="19"/>
      <c r="Z66" s="19"/>
      <c r="AA66" s="19">
        <v>26434230</v>
      </c>
      <c r="AB66" s="19">
        <v>150444249</v>
      </c>
      <c r="AC66" s="19"/>
      <c r="AD66" s="19"/>
      <c r="AE66" s="19">
        <v>116148233</v>
      </c>
      <c r="AF66" s="19"/>
      <c r="AG66" s="19">
        <v>257298416</v>
      </c>
      <c r="AH66" s="19"/>
      <c r="AI66" s="19"/>
      <c r="AJ66" s="19">
        <v>60649200</v>
      </c>
      <c r="AK66" s="19">
        <v>114119468</v>
      </c>
      <c r="AL66" s="19"/>
      <c r="AM66" s="19" t="s">
        <v>4</v>
      </c>
      <c r="AN66" s="19"/>
      <c r="AO66" s="19"/>
      <c r="AP66" s="19"/>
      <c r="AQ66" s="19" t="s">
        <v>96</v>
      </c>
      <c r="AR66" s="19"/>
      <c r="AS66" s="19">
        <v>337004620</v>
      </c>
      <c r="AT66" s="19"/>
      <c r="AU66" s="19"/>
      <c r="AV66" s="19"/>
      <c r="AW66" s="19"/>
      <c r="AX66" s="19" t="s">
        <v>4</v>
      </c>
      <c r="AY66" s="19">
        <v>53007538</v>
      </c>
      <c r="AZ66" s="19"/>
      <c r="BA66" s="19"/>
      <c r="BB66" s="19"/>
      <c r="BC66" s="19" t="s">
        <v>4</v>
      </c>
      <c r="BD66" s="19" t="s">
        <v>128</v>
      </c>
      <c r="BE66" s="19">
        <v>25713174</v>
      </c>
      <c r="BF66" s="19"/>
      <c r="BG66" s="19"/>
      <c r="BH66" s="19"/>
      <c r="BI66" s="19">
        <v>77220568</v>
      </c>
      <c r="BJ66" s="19"/>
      <c r="BK66" s="19">
        <v>368617066</v>
      </c>
      <c r="BL66" s="19"/>
      <c r="BM66" s="19">
        <v>54927000</v>
      </c>
      <c r="BN66" s="19"/>
      <c r="BO66" s="19"/>
      <c r="BP66" s="19" t="s">
        <v>96</v>
      </c>
      <c r="BQ66" s="19" t="s">
        <v>4</v>
      </c>
      <c r="BR66" s="19">
        <v>159602556</v>
      </c>
      <c r="BS66" s="19"/>
      <c r="BT66" s="19"/>
      <c r="BU66" s="19">
        <v>43778874</v>
      </c>
      <c r="BV66" s="19">
        <v>26765336</v>
      </c>
      <c r="BW66" s="19"/>
      <c r="BX66" s="19">
        <v>12310000</v>
      </c>
      <c r="BY66" s="19"/>
      <c r="BZ66" s="19"/>
      <c r="CA66" s="19">
        <v>54000000</v>
      </c>
      <c r="CB66" s="19">
        <v>18769324</v>
      </c>
      <c r="CC66" s="19"/>
      <c r="CD66" s="19"/>
      <c r="CE66" s="19"/>
      <c r="CF66" s="19">
        <v>15591750</v>
      </c>
      <c r="CG66" s="19"/>
      <c r="CH66" s="19">
        <v>68338251</v>
      </c>
      <c r="CI66" s="19" t="s">
        <v>128</v>
      </c>
      <c r="CJ66" s="19"/>
      <c r="CK66" s="19"/>
      <c r="CL66" s="19"/>
      <c r="CM66" s="19"/>
      <c r="CN66" s="19"/>
      <c r="CO66" s="19">
        <v>7000000</v>
      </c>
      <c r="CP66" s="19"/>
      <c r="CQ66" s="19" t="s">
        <v>96</v>
      </c>
      <c r="CR66" s="19">
        <v>4510000</v>
      </c>
      <c r="CS66" s="19"/>
      <c r="CT66" s="19"/>
      <c r="CU66" s="19"/>
      <c r="CV66" s="19"/>
      <c r="CW66" s="19">
        <v>11693340</v>
      </c>
      <c r="CX66" s="19"/>
      <c r="CY66" s="19" t="s">
        <v>96</v>
      </c>
      <c r="CZ66" s="19"/>
      <c r="DA66" s="19"/>
      <c r="DB66" s="19"/>
      <c r="DC66" s="19"/>
      <c r="DD66" s="19"/>
      <c r="DE66" s="19"/>
      <c r="DF66" s="19"/>
      <c r="DG66" s="19"/>
      <c r="DH66" s="19">
        <v>108592908</v>
      </c>
      <c r="DI66" s="19"/>
      <c r="DJ66" s="19"/>
      <c r="DK66" s="19"/>
      <c r="DL66" s="19"/>
      <c r="DM66" s="19">
        <v>43873750</v>
      </c>
      <c r="DN66" s="19"/>
      <c r="DO66" s="19"/>
      <c r="DP66" s="19"/>
      <c r="DQ66" s="19"/>
      <c r="DR66" s="19">
        <v>263420619</v>
      </c>
      <c r="DS66" s="19"/>
      <c r="DT66" s="19">
        <v>349967636</v>
      </c>
      <c r="DU66" s="19"/>
      <c r="DV66" s="19"/>
      <c r="DW66" s="19"/>
      <c r="DX66" s="19"/>
      <c r="DY66" s="19">
        <v>37000000</v>
      </c>
      <c r="DZ66" s="19"/>
      <c r="EA66" s="19"/>
      <c r="EB66" s="19"/>
      <c r="EC66" s="19"/>
      <c r="ED66" s="19"/>
      <c r="EE66" s="19">
        <v>42204379</v>
      </c>
      <c r="EF66" s="19"/>
      <c r="EG66" s="19"/>
      <c r="EH66" s="19">
        <v>36598268</v>
      </c>
      <c r="EI66" s="19"/>
      <c r="EJ66" s="19"/>
      <c r="EK66" s="19"/>
      <c r="EL66" s="19">
        <v>327522456</v>
      </c>
      <c r="EM66" s="19">
        <v>67050290</v>
      </c>
      <c r="EN66" s="19">
        <v>129725920</v>
      </c>
      <c r="EO66" s="19"/>
      <c r="EP66" s="19"/>
      <c r="EQ66" s="19"/>
      <c r="ER66" s="19">
        <v>389472423</v>
      </c>
      <c r="ES66" s="19"/>
      <c r="ET66" s="19"/>
      <c r="EU66" s="19"/>
      <c r="EV66" s="19"/>
      <c r="EW66" s="19"/>
      <c r="EX66" s="19"/>
      <c r="EY66" s="19"/>
      <c r="EZ66" s="19"/>
      <c r="FA66" s="19">
        <v>37425248</v>
      </c>
      <c r="FB66" s="19"/>
      <c r="FC66" s="19">
        <v>246470592</v>
      </c>
      <c r="FD66" s="19">
        <v>22997320</v>
      </c>
      <c r="FE66" s="19"/>
      <c r="FF66" s="19"/>
      <c r="FG66" s="19"/>
      <c r="FH66" s="19"/>
      <c r="FI66" s="19" t="s">
        <v>96</v>
      </c>
      <c r="FJ66" s="19"/>
      <c r="FK66" s="19"/>
      <c r="FL66" s="19"/>
      <c r="FM66" s="19"/>
      <c r="FN66" s="19"/>
      <c r="FO66" s="19"/>
      <c r="FP66" s="19"/>
      <c r="FQ66" s="19"/>
      <c r="FR66" s="19">
        <v>284152428</v>
      </c>
      <c r="FS66" s="19"/>
      <c r="FT66" s="19"/>
      <c r="FU66" s="19"/>
      <c r="FV66" s="19"/>
      <c r="FW66" s="19"/>
      <c r="FX66" s="19"/>
      <c r="FY66" s="19"/>
      <c r="FZ66" s="19">
        <v>230629270</v>
      </c>
      <c r="GA66" s="19"/>
      <c r="GB66" s="19">
        <v>356035342</v>
      </c>
      <c r="GC66" s="19"/>
      <c r="GD66" s="19" t="s">
        <v>96</v>
      </c>
      <c r="GE66" s="19">
        <v>180385924</v>
      </c>
      <c r="GF66" s="19">
        <v>49164996</v>
      </c>
      <c r="GG66" s="19"/>
      <c r="GH66" s="19"/>
      <c r="GI66" s="19">
        <v>5986333</v>
      </c>
      <c r="GJ66" s="19"/>
      <c r="GK66" s="19">
        <v>249021840</v>
      </c>
      <c r="GL66" s="19" t="s">
        <v>96</v>
      </c>
      <c r="GM66" s="19"/>
      <c r="GN66" s="19"/>
      <c r="GO66" s="19">
        <v>8380</v>
      </c>
      <c r="GP66" s="19">
        <v>7500000</v>
      </c>
      <c r="GQ66" s="19"/>
      <c r="GR66" s="19"/>
      <c r="GS66" s="19"/>
      <c r="GT66" s="19"/>
      <c r="GU66" s="19"/>
      <c r="GV66" s="19"/>
      <c r="GW66" s="19"/>
      <c r="GX66" s="19"/>
      <c r="GY66" s="19"/>
      <c r="GZ66" s="19">
        <v>28909827</v>
      </c>
      <c r="HA66" s="19"/>
      <c r="HB66" s="19">
        <v>241715855</v>
      </c>
      <c r="HC66" s="19">
        <v>60700000</v>
      </c>
      <c r="HD66" s="19"/>
      <c r="HE66" s="19">
        <v>73197220</v>
      </c>
      <c r="HF66" s="19"/>
      <c r="HG66" s="19"/>
      <c r="HH66" s="19"/>
      <c r="HI66" s="19"/>
      <c r="HJ66" s="19"/>
      <c r="HK66" s="19">
        <v>357413472</v>
      </c>
      <c r="HL66" s="19"/>
      <c r="HM66" s="19"/>
      <c r="HN66" s="19"/>
      <c r="HO66" s="19"/>
      <c r="HP66" s="19"/>
      <c r="HQ66" s="19"/>
      <c r="HR66" s="19"/>
      <c r="HS66" s="19">
        <v>136375184</v>
      </c>
      <c r="HT66" s="19">
        <v>12838000</v>
      </c>
      <c r="HU66" s="19">
        <v>62610877</v>
      </c>
      <c r="HV66" s="19"/>
      <c r="HW66" s="19"/>
      <c r="HX66" s="19"/>
      <c r="HY66" s="19" t="s">
        <v>172</v>
      </c>
      <c r="HZ66" s="19">
        <v>78189573</v>
      </c>
      <c r="IA66" s="19">
        <v>1431030</v>
      </c>
      <c r="IB66" s="19"/>
      <c r="IC66" s="19">
        <v>5913680</v>
      </c>
      <c r="ID66" s="19"/>
      <c r="IE66" s="19" t="s">
        <v>96</v>
      </c>
      <c r="IF66" s="19"/>
      <c r="IG66" s="19"/>
      <c r="IH66" s="19">
        <v>17911000</v>
      </c>
      <c r="II66" s="19"/>
      <c r="IJ66" s="19"/>
      <c r="IK66" s="19">
        <v>78187900</v>
      </c>
      <c r="IL66" s="19"/>
      <c r="IM66" s="19">
        <v>260225466</v>
      </c>
      <c r="IN66" s="19"/>
      <c r="IO66" s="19"/>
      <c r="IP66" s="19"/>
      <c r="IQ66" s="19"/>
      <c r="IR66" s="19"/>
      <c r="IS66" s="19">
        <v>253056000</v>
      </c>
      <c r="IT66" s="19"/>
    </row>
    <row r="67" spans="1:254">
      <c r="A67" s="9" t="s">
        <v>3</v>
      </c>
      <c r="B67" s="17" t="s">
        <v>25</v>
      </c>
      <c r="C67" s="19">
        <v>95524824</v>
      </c>
      <c r="D67" s="19">
        <v>58510000</v>
      </c>
      <c r="E67" s="19">
        <v>0</v>
      </c>
      <c r="F67" s="19">
        <v>29117051</v>
      </c>
      <c r="G67" s="19">
        <v>13040000</v>
      </c>
      <c r="H67" s="19"/>
      <c r="I67" s="19"/>
      <c r="J67" s="19" t="s">
        <v>4</v>
      </c>
      <c r="K67" s="19">
        <v>913656850</v>
      </c>
      <c r="L67" s="19" t="s">
        <v>96</v>
      </c>
      <c r="M67" s="19" t="s">
        <v>96</v>
      </c>
      <c r="N67" s="19">
        <v>242195359</v>
      </c>
      <c r="O67" s="19">
        <v>480299624</v>
      </c>
      <c r="P67" s="19"/>
      <c r="Q67" s="19"/>
      <c r="R67" s="19"/>
      <c r="S67" s="19"/>
      <c r="T67" s="19" t="s">
        <v>96</v>
      </c>
      <c r="U67" s="19"/>
      <c r="V67" s="19" t="s">
        <v>172</v>
      </c>
      <c r="W67" s="19">
        <v>37661104</v>
      </c>
      <c r="X67" s="19"/>
      <c r="Y67" s="19"/>
      <c r="Z67" s="19"/>
      <c r="AA67" s="19">
        <v>33034473</v>
      </c>
      <c r="AB67" s="19"/>
      <c r="AC67" s="19"/>
      <c r="AD67" s="19"/>
      <c r="AE67" s="19"/>
      <c r="AF67" s="19">
        <v>160819008</v>
      </c>
      <c r="AG67" s="19"/>
      <c r="AH67" s="19"/>
      <c r="AI67" s="19">
        <v>129566996</v>
      </c>
      <c r="AJ67" s="19"/>
      <c r="AK67" s="19"/>
      <c r="AL67" s="19">
        <v>72006300</v>
      </c>
      <c r="AM67" s="19" t="s">
        <v>4</v>
      </c>
      <c r="AN67" s="19"/>
      <c r="AO67" s="19"/>
      <c r="AP67" s="19">
        <v>27853332</v>
      </c>
      <c r="AQ67" s="19" t="s">
        <v>96</v>
      </c>
      <c r="AR67" s="19">
        <v>21170366</v>
      </c>
      <c r="AS67" s="19">
        <v>79257720</v>
      </c>
      <c r="AT67" s="19"/>
      <c r="AU67" s="19"/>
      <c r="AV67" s="19"/>
      <c r="AW67" s="19"/>
      <c r="AX67" s="19" t="s">
        <v>4</v>
      </c>
      <c r="AY67" s="19">
        <v>5000000</v>
      </c>
      <c r="AZ67" s="19"/>
      <c r="BA67" s="19"/>
      <c r="BB67" s="19"/>
      <c r="BC67" s="19" t="s">
        <v>4</v>
      </c>
      <c r="BD67" s="19" t="s">
        <v>128</v>
      </c>
      <c r="BE67" s="19">
        <v>5000000</v>
      </c>
      <c r="BF67" s="19"/>
      <c r="BG67" s="19">
        <v>159914919</v>
      </c>
      <c r="BH67" s="19"/>
      <c r="BI67" s="19"/>
      <c r="BJ67" s="19"/>
      <c r="BK67" s="19"/>
      <c r="BL67" s="19"/>
      <c r="BM67" s="19"/>
      <c r="BN67" s="19">
        <v>23452430</v>
      </c>
      <c r="BO67" s="19"/>
      <c r="BP67" s="19" t="s">
        <v>96</v>
      </c>
      <c r="BQ67" s="19" t="s">
        <v>4</v>
      </c>
      <c r="BR67" s="19"/>
      <c r="BS67" s="19"/>
      <c r="BT67" s="19"/>
      <c r="BU67" s="19"/>
      <c r="BV67" s="19">
        <v>6557521</v>
      </c>
      <c r="BW67" s="19">
        <v>58106000</v>
      </c>
      <c r="BX67" s="19"/>
      <c r="BY67" s="19"/>
      <c r="BZ67" s="19">
        <v>34850388</v>
      </c>
      <c r="CA67" s="19"/>
      <c r="CB67" s="19"/>
      <c r="CC67" s="19">
        <v>34646908</v>
      </c>
      <c r="CD67" s="19"/>
      <c r="CE67" s="19"/>
      <c r="CF67" s="19"/>
      <c r="CG67" s="19">
        <v>52454056</v>
      </c>
      <c r="CH67" s="19"/>
      <c r="CI67" s="19" t="s">
        <v>128</v>
      </c>
      <c r="CJ67" s="19"/>
      <c r="CK67" s="19"/>
      <c r="CL67" s="19"/>
      <c r="CM67" s="19">
        <v>146352444</v>
      </c>
      <c r="CN67" s="19"/>
      <c r="CO67" s="19"/>
      <c r="CP67" s="19">
        <v>56158108</v>
      </c>
      <c r="CQ67" s="19" t="s">
        <v>96</v>
      </c>
      <c r="CR67" s="19"/>
      <c r="CS67" s="19"/>
      <c r="CT67" s="19"/>
      <c r="CU67" s="19"/>
      <c r="CV67" s="19"/>
      <c r="CW67" s="19">
        <v>175329562</v>
      </c>
      <c r="CX67" s="19"/>
      <c r="CY67" s="19" t="s">
        <v>96</v>
      </c>
      <c r="CZ67" s="19">
        <v>159202848</v>
      </c>
      <c r="DA67" s="19"/>
      <c r="DB67" s="19"/>
      <c r="DC67" s="19"/>
      <c r="DD67" s="19">
        <v>20787766</v>
      </c>
      <c r="DE67" s="19"/>
      <c r="DF67" s="19"/>
      <c r="DG67" s="19">
        <v>327827500</v>
      </c>
      <c r="DH67" s="19"/>
      <c r="DI67" s="19"/>
      <c r="DJ67" s="19"/>
      <c r="DK67" s="19"/>
      <c r="DL67" s="19"/>
      <c r="DM67" s="19"/>
      <c r="DN67" s="19">
        <v>14145722</v>
      </c>
      <c r="DO67" s="19"/>
      <c r="DP67" s="19"/>
      <c r="DQ67" s="19"/>
      <c r="DR67" s="19">
        <v>2728670</v>
      </c>
      <c r="DS67" s="19"/>
      <c r="DT67" s="19"/>
      <c r="DU67" s="19"/>
      <c r="DV67" s="19"/>
      <c r="DW67" s="19"/>
      <c r="DX67" s="19"/>
      <c r="DY67" s="19"/>
      <c r="DZ67" s="19">
        <v>15729718</v>
      </c>
      <c r="EA67" s="19">
        <v>10482788</v>
      </c>
      <c r="EB67" s="19">
        <v>496372000</v>
      </c>
      <c r="EC67" s="19"/>
      <c r="ED67" s="19">
        <v>3013189</v>
      </c>
      <c r="EE67" s="19"/>
      <c r="EF67" s="19"/>
      <c r="EG67" s="19"/>
      <c r="EH67" s="19"/>
      <c r="EI67" s="19"/>
      <c r="EJ67" s="19">
        <v>168235700</v>
      </c>
      <c r="EK67" s="19"/>
      <c r="EL67" s="19">
        <v>50000</v>
      </c>
      <c r="EM67" s="19"/>
      <c r="EN67" s="19"/>
      <c r="EO67" s="19"/>
      <c r="EP67" s="19"/>
      <c r="EQ67" s="19"/>
      <c r="ER67" s="19">
        <v>8299800</v>
      </c>
      <c r="ES67" s="19">
        <v>13580000</v>
      </c>
      <c r="ET67" s="19"/>
      <c r="EU67" s="19"/>
      <c r="EV67" s="19"/>
      <c r="EW67" s="19"/>
      <c r="EX67" s="19"/>
      <c r="EY67" s="19"/>
      <c r="EZ67" s="19"/>
      <c r="FA67" s="19"/>
      <c r="FB67" s="19">
        <v>29686752</v>
      </c>
      <c r="FC67" s="19"/>
      <c r="FD67" s="19"/>
      <c r="FE67" s="19">
        <v>137485832</v>
      </c>
      <c r="FF67" s="19"/>
      <c r="FG67" s="19"/>
      <c r="FH67" s="19"/>
      <c r="FI67" s="19" t="s">
        <v>96</v>
      </c>
      <c r="FJ67" s="19">
        <v>11184883</v>
      </c>
      <c r="FK67" s="19"/>
      <c r="FL67" s="19"/>
      <c r="FM67" s="19"/>
      <c r="FN67" s="19"/>
      <c r="FO67" s="19"/>
      <c r="FP67" s="19"/>
      <c r="FQ67" s="19"/>
      <c r="FR67" s="19"/>
      <c r="FS67" s="19"/>
      <c r="FT67" s="19"/>
      <c r="FU67" s="19"/>
      <c r="FV67" s="19">
        <v>98131400</v>
      </c>
      <c r="FW67" s="19"/>
      <c r="FX67" s="19"/>
      <c r="FY67" s="19"/>
      <c r="FZ67" s="19"/>
      <c r="GA67" s="19">
        <v>5000000</v>
      </c>
      <c r="GB67" s="19">
        <v>5000000</v>
      </c>
      <c r="GC67" s="19"/>
      <c r="GD67" s="19" t="s">
        <v>96</v>
      </c>
      <c r="GE67" s="19"/>
      <c r="GF67" s="19"/>
      <c r="GG67" s="19"/>
      <c r="GH67" s="19"/>
      <c r="GI67" s="19"/>
      <c r="GJ67" s="19">
        <v>41066353</v>
      </c>
      <c r="GK67" s="19"/>
      <c r="GL67" s="19" t="s">
        <v>96</v>
      </c>
      <c r="GM67" s="19"/>
      <c r="GN67" s="19"/>
      <c r="GO67" s="19"/>
      <c r="GP67" s="19"/>
      <c r="GQ67" s="19"/>
      <c r="GR67" s="19"/>
      <c r="GS67" s="19"/>
      <c r="GT67" s="19"/>
      <c r="GU67" s="19"/>
      <c r="GV67" s="19"/>
      <c r="GW67" s="19"/>
      <c r="GX67" s="19">
        <v>5000000</v>
      </c>
      <c r="GY67" s="19"/>
      <c r="GZ67" s="19"/>
      <c r="HA67" s="19"/>
      <c r="HB67" s="19">
        <v>62897980</v>
      </c>
      <c r="HC67" s="19"/>
      <c r="HD67" s="19"/>
      <c r="HE67" s="19"/>
      <c r="HF67" s="19"/>
      <c r="HG67" s="19"/>
      <c r="HH67" s="19"/>
      <c r="HI67" s="19"/>
      <c r="HJ67" s="19"/>
      <c r="HK67" s="19"/>
      <c r="HL67" s="19"/>
      <c r="HM67" s="19"/>
      <c r="HN67" s="19"/>
      <c r="HO67" s="19"/>
      <c r="HP67" s="19">
        <v>1621997073</v>
      </c>
      <c r="HQ67" s="19"/>
      <c r="HR67" s="19">
        <v>163992375</v>
      </c>
      <c r="HS67" s="19"/>
      <c r="HT67" s="19"/>
      <c r="HU67" s="19"/>
      <c r="HV67" s="19"/>
      <c r="HW67" s="19"/>
      <c r="HX67" s="19"/>
      <c r="HY67" s="19" t="s">
        <v>172</v>
      </c>
      <c r="HZ67" s="19"/>
      <c r="IA67" s="19"/>
      <c r="IB67" s="19"/>
      <c r="IC67" s="19"/>
      <c r="ID67" s="19"/>
      <c r="IE67" s="19" t="s">
        <v>96</v>
      </c>
      <c r="IF67" s="19"/>
      <c r="IG67" s="19"/>
      <c r="IH67" s="19"/>
      <c r="II67" s="19"/>
      <c r="IJ67" s="19">
        <v>11035960</v>
      </c>
      <c r="IK67" s="19"/>
      <c r="IL67" s="19"/>
      <c r="IM67" s="19"/>
      <c r="IN67" s="19"/>
      <c r="IO67" s="19"/>
      <c r="IP67" s="19"/>
      <c r="IQ67" s="19"/>
      <c r="IR67" s="19"/>
      <c r="IS67" s="19"/>
      <c r="IT67" s="19"/>
    </row>
    <row r="68" spans="1:254">
      <c r="A68" s="9" t="s">
        <v>3</v>
      </c>
      <c r="B68" s="17" t="s">
        <v>17</v>
      </c>
      <c r="C68" s="19">
        <v>0</v>
      </c>
      <c r="D68" s="19"/>
      <c r="E68" s="19">
        <v>120366235</v>
      </c>
      <c r="F68" s="19">
        <v>95440</v>
      </c>
      <c r="G68" s="19">
        <v>0</v>
      </c>
      <c r="H68" s="19"/>
      <c r="I68" s="19"/>
      <c r="J68" s="19" t="s">
        <v>4</v>
      </c>
      <c r="K68" s="19"/>
      <c r="L68" s="19" t="s">
        <v>96</v>
      </c>
      <c r="M68" s="19" t="s">
        <v>96</v>
      </c>
      <c r="N68" s="19">
        <v>163930286</v>
      </c>
      <c r="O68" s="19"/>
      <c r="P68" s="19">
        <v>223288530</v>
      </c>
      <c r="Q68" s="19">
        <v>5000000</v>
      </c>
      <c r="R68" s="19">
        <v>25636808</v>
      </c>
      <c r="S68" s="19"/>
      <c r="T68" s="19" t="s">
        <v>96</v>
      </c>
      <c r="U68" s="19"/>
      <c r="V68" s="19" t="s">
        <v>172</v>
      </c>
      <c r="W68" s="19"/>
      <c r="X68" s="19">
        <v>36600000</v>
      </c>
      <c r="Y68" s="19">
        <v>5000000</v>
      </c>
      <c r="Z68" s="19">
        <v>106019964</v>
      </c>
      <c r="AA68" s="19"/>
      <c r="AB68" s="19">
        <v>110000</v>
      </c>
      <c r="AC68" s="19">
        <v>230090</v>
      </c>
      <c r="AD68" s="19"/>
      <c r="AE68" s="19"/>
      <c r="AF68" s="19"/>
      <c r="AG68" s="19"/>
      <c r="AH68" s="19">
        <v>100753854</v>
      </c>
      <c r="AI68" s="19"/>
      <c r="AJ68" s="19">
        <v>82679376</v>
      </c>
      <c r="AK68" s="19"/>
      <c r="AL68" s="19">
        <v>93887764</v>
      </c>
      <c r="AM68" s="19" t="s">
        <v>4</v>
      </c>
      <c r="AN68" s="19">
        <v>39497000</v>
      </c>
      <c r="AO68" s="19"/>
      <c r="AP68" s="19"/>
      <c r="AQ68" s="19" t="s">
        <v>96</v>
      </c>
      <c r="AR68" s="19"/>
      <c r="AS68" s="19"/>
      <c r="AT68" s="19"/>
      <c r="AU68" s="19"/>
      <c r="AV68" s="19">
        <v>29606260</v>
      </c>
      <c r="AW68" s="19">
        <v>22729440</v>
      </c>
      <c r="AX68" s="19" t="s">
        <v>4</v>
      </c>
      <c r="AY68" s="19"/>
      <c r="AZ68" s="19"/>
      <c r="BA68" s="19">
        <v>205464960</v>
      </c>
      <c r="BB68" s="19"/>
      <c r="BC68" s="19" t="s">
        <v>4</v>
      </c>
      <c r="BD68" s="19" t="s">
        <v>128</v>
      </c>
      <c r="BE68" s="19"/>
      <c r="BF68" s="19">
        <v>28400984</v>
      </c>
      <c r="BG68" s="19"/>
      <c r="BH68" s="19"/>
      <c r="BI68" s="19"/>
      <c r="BJ68" s="19"/>
      <c r="BK68" s="19"/>
      <c r="BL68" s="19"/>
      <c r="BM68" s="19"/>
      <c r="BN68" s="19"/>
      <c r="BO68" s="19"/>
      <c r="BP68" s="19" t="s">
        <v>96</v>
      </c>
      <c r="BQ68" s="19" t="s">
        <v>4</v>
      </c>
      <c r="BR68" s="19"/>
      <c r="BS68" s="19"/>
      <c r="BT68" s="19"/>
      <c r="BU68" s="19"/>
      <c r="BV68" s="19"/>
      <c r="BW68" s="19"/>
      <c r="BX68" s="19">
        <v>0</v>
      </c>
      <c r="BY68" s="19"/>
      <c r="BZ68" s="19"/>
      <c r="CA68" s="19"/>
      <c r="CB68" s="19"/>
      <c r="CC68" s="19"/>
      <c r="CD68" s="19">
        <v>561381635</v>
      </c>
      <c r="CE68" s="19">
        <v>9133977</v>
      </c>
      <c r="CF68" s="19"/>
      <c r="CG68" s="19">
        <v>10293890</v>
      </c>
      <c r="CH68" s="19"/>
      <c r="CI68" s="19" t="s">
        <v>128</v>
      </c>
      <c r="CJ68" s="19"/>
      <c r="CK68" s="19">
        <v>25292092</v>
      </c>
      <c r="CL68" s="19">
        <v>82813180</v>
      </c>
      <c r="CM68" s="19">
        <v>40574000</v>
      </c>
      <c r="CN68" s="19"/>
      <c r="CO68" s="19"/>
      <c r="CP68" s="19"/>
      <c r="CQ68" s="19" t="s">
        <v>96</v>
      </c>
      <c r="CR68" s="19"/>
      <c r="CS68" s="19"/>
      <c r="CT68" s="19"/>
      <c r="CU68" s="19"/>
      <c r="CV68" s="19">
        <v>15061491</v>
      </c>
      <c r="CW68" s="19">
        <v>29904940</v>
      </c>
      <c r="CX68" s="19"/>
      <c r="CY68" s="19" t="s">
        <v>96</v>
      </c>
      <c r="CZ68" s="19">
        <v>51192860</v>
      </c>
      <c r="DA68" s="19">
        <v>0</v>
      </c>
      <c r="DB68" s="19"/>
      <c r="DC68" s="19"/>
      <c r="DD68" s="19"/>
      <c r="DE68" s="19"/>
      <c r="DF68" s="19">
        <v>49676976</v>
      </c>
      <c r="DG68" s="19"/>
      <c r="DH68" s="19"/>
      <c r="DI68" s="19"/>
      <c r="DJ68" s="19">
        <v>16412839</v>
      </c>
      <c r="DK68" s="19"/>
      <c r="DL68" s="19">
        <v>127577350</v>
      </c>
      <c r="DM68" s="19"/>
      <c r="DN68" s="19"/>
      <c r="DO68" s="19">
        <v>1310000</v>
      </c>
      <c r="DP68" s="19">
        <v>13708000</v>
      </c>
      <c r="DQ68" s="19"/>
      <c r="DR68" s="19"/>
      <c r="DS68" s="19">
        <v>24268360</v>
      </c>
      <c r="DT68" s="19"/>
      <c r="DU68" s="19"/>
      <c r="DV68" s="19"/>
      <c r="DW68" s="19"/>
      <c r="DX68" s="19">
        <v>20029511</v>
      </c>
      <c r="DY68" s="19"/>
      <c r="DZ68" s="19">
        <v>8610000</v>
      </c>
      <c r="EA68" s="19"/>
      <c r="EB68" s="19">
        <v>459892970</v>
      </c>
      <c r="EC68" s="19"/>
      <c r="ED68" s="19"/>
      <c r="EE68" s="19"/>
      <c r="EF68" s="19">
        <v>199695668</v>
      </c>
      <c r="EG68" s="19"/>
      <c r="EH68" s="19"/>
      <c r="EI68" s="19">
        <v>22145294</v>
      </c>
      <c r="EJ68" s="19"/>
      <c r="EK68" s="19">
        <v>14664339</v>
      </c>
      <c r="EL68" s="19"/>
      <c r="EM68" s="19"/>
      <c r="EN68" s="19"/>
      <c r="EO68" s="19">
        <v>24345030</v>
      </c>
      <c r="EP68" s="19"/>
      <c r="EQ68" s="19"/>
      <c r="ER68" s="19"/>
      <c r="ES68" s="19"/>
      <c r="ET68" s="19"/>
      <c r="EU68" s="19"/>
      <c r="EV68" s="19">
        <v>49020999</v>
      </c>
      <c r="EW68" s="19">
        <v>17735850</v>
      </c>
      <c r="EX68" s="19">
        <v>50083716</v>
      </c>
      <c r="EY68" s="19">
        <v>192627370</v>
      </c>
      <c r="EZ68" s="19">
        <v>63108085</v>
      </c>
      <c r="FA68" s="19"/>
      <c r="FB68" s="19">
        <v>3670000</v>
      </c>
      <c r="FC68" s="19"/>
      <c r="FD68" s="19"/>
      <c r="FE68" s="19">
        <v>29658874</v>
      </c>
      <c r="FF68" s="19"/>
      <c r="FG68" s="19">
        <v>75110695</v>
      </c>
      <c r="FH68" s="19"/>
      <c r="FI68" s="19" t="s">
        <v>96</v>
      </c>
      <c r="FJ68" s="19"/>
      <c r="FK68" s="19">
        <v>270320000</v>
      </c>
      <c r="FL68" s="19">
        <v>355570181</v>
      </c>
      <c r="FM68" s="19"/>
      <c r="FN68" s="19"/>
      <c r="FO68" s="19"/>
      <c r="FP68" s="19">
        <v>64379709</v>
      </c>
      <c r="FQ68" s="19"/>
      <c r="FR68" s="19"/>
      <c r="FS68" s="19"/>
      <c r="FT68" s="19"/>
      <c r="FU68" s="19"/>
      <c r="FV68" s="19"/>
      <c r="FW68" s="19">
        <v>1948000</v>
      </c>
      <c r="FX68" s="19">
        <v>111020960</v>
      </c>
      <c r="FY68" s="19"/>
      <c r="FZ68" s="19"/>
      <c r="GA68" s="19"/>
      <c r="GB68" s="19"/>
      <c r="GC68" s="19">
        <v>2484830</v>
      </c>
      <c r="GD68" s="19" t="s">
        <v>96</v>
      </c>
      <c r="GE68" s="19"/>
      <c r="GF68" s="19">
        <v>2203600</v>
      </c>
      <c r="GG68" s="19">
        <v>567747123</v>
      </c>
      <c r="GH68" s="19"/>
      <c r="GI68" s="19"/>
      <c r="GJ68" s="19">
        <v>42290040</v>
      </c>
      <c r="GK68" s="19"/>
      <c r="GL68" s="19" t="s">
        <v>96</v>
      </c>
      <c r="GM68" s="19"/>
      <c r="GN68" s="19">
        <v>42702320</v>
      </c>
      <c r="GO68" s="19"/>
      <c r="GP68" s="19"/>
      <c r="GQ68" s="19">
        <v>0</v>
      </c>
      <c r="GR68" s="19"/>
      <c r="GS68" s="19">
        <v>119026624</v>
      </c>
      <c r="GT68" s="19"/>
      <c r="GU68" s="19"/>
      <c r="GV68" s="19"/>
      <c r="GW68" s="19"/>
      <c r="GX68" s="19"/>
      <c r="GY68" s="19">
        <v>1621093938</v>
      </c>
      <c r="GZ68" s="19"/>
      <c r="HA68" s="19"/>
      <c r="HB68" s="19"/>
      <c r="HC68" s="19"/>
      <c r="HD68" s="19"/>
      <c r="HE68" s="19"/>
      <c r="HF68" s="19"/>
      <c r="HG68" s="19">
        <v>25207089</v>
      </c>
      <c r="HH68" s="19"/>
      <c r="HI68" s="19">
        <v>133597752</v>
      </c>
      <c r="HJ68" s="19">
        <v>38486071</v>
      </c>
      <c r="HK68" s="19"/>
      <c r="HL68" s="19"/>
      <c r="HM68" s="19"/>
      <c r="HN68" s="19">
        <v>74881320</v>
      </c>
      <c r="HO68" s="19">
        <v>7990630</v>
      </c>
      <c r="HP68" s="19">
        <v>112005450</v>
      </c>
      <c r="HQ68" s="19">
        <v>14262660</v>
      </c>
      <c r="HR68" s="19">
        <v>69890000</v>
      </c>
      <c r="HS68" s="19"/>
      <c r="HT68" s="19"/>
      <c r="HU68" s="19"/>
      <c r="HV68" s="19"/>
      <c r="HW68" s="19"/>
      <c r="HX68" s="19"/>
      <c r="HY68" s="19" t="s">
        <v>172</v>
      </c>
      <c r="HZ68" s="19"/>
      <c r="IA68" s="19"/>
      <c r="IB68" s="19">
        <v>292148270</v>
      </c>
      <c r="IC68" s="19"/>
      <c r="ID68" s="19"/>
      <c r="IE68" s="19" t="s">
        <v>96</v>
      </c>
      <c r="IF68" s="19">
        <v>34677470</v>
      </c>
      <c r="IG68" s="19"/>
      <c r="IH68" s="19">
        <v>83982000</v>
      </c>
      <c r="II68" s="19"/>
      <c r="IJ68" s="19">
        <v>1934000</v>
      </c>
      <c r="IK68" s="19"/>
      <c r="IL68" s="19"/>
      <c r="IM68" s="19"/>
      <c r="IN68" s="19"/>
      <c r="IO68" s="19"/>
      <c r="IP68" s="19">
        <v>202176071</v>
      </c>
      <c r="IQ68" s="19"/>
      <c r="IR68" s="19"/>
      <c r="IS68" s="19"/>
      <c r="IT68" s="19"/>
    </row>
    <row r="69" spans="1:254">
      <c r="A69" s="9" t="s">
        <v>3</v>
      </c>
      <c r="B69" s="18" t="s">
        <v>41</v>
      </c>
      <c r="C69" s="19">
        <v>0</v>
      </c>
      <c r="D69" s="19">
        <v>14752977</v>
      </c>
      <c r="E69" s="19">
        <v>0</v>
      </c>
      <c r="F69" s="19"/>
      <c r="G69" s="19"/>
      <c r="H69" s="19">
        <v>449258894</v>
      </c>
      <c r="I69" s="19"/>
      <c r="J69" s="19" t="s">
        <v>4</v>
      </c>
      <c r="K69" s="19"/>
      <c r="L69" s="19" t="s">
        <v>96</v>
      </c>
      <c r="M69" s="19" t="s">
        <v>96</v>
      </c>
      <c r="N69" s="19">
        <v>137552800</v>
      </c>
      <c r="O69" s="19"/>
      <c r="P69" s="19"/>
      <c r="Q69" s="19">
        <v>535490</v>
      </c>
      <c r="R69" s="19">
        <v>0</v>
      </c>
      <c r="S69" s="19">
        <v>0</v>
      </c>
      <c r="T69" s="19" t="s">
        <v>96</v>
      </c>
      <c r="U69" s="19">
        <v>93978</v>
      </c>
      <c r="V69" s="19" t="s">
        <v>172</v>
      </c>
      <c r="W69" s="19"/>
      <c r="X69" s="19">
        <v>62820120</v>
      </c>
      <c r="Y69" s="19"/>
      <c r="Z69" s="19"/>
      <c r="AA69" s="19">
        <v>6284303</v>
      </c>
      <c r="AB69" s="19"/>
      <c r="AC69" s="19"/>
      <c r="AD69" s="19"/>
      <c r="AE69" s="19">
        <v>42521821</v>
      </c>
      <c r="AF69" s="19"/>
      <c r="AG69" s="19"/>
      <c r="AH69" s="19">
        <v>1790000</v>
      </c>
      <c r="AI69" s="19">
        <v>20000000</v>
      </c>
      <c r="AJ69" s="19">
        <v>3000</v>
      </c>
      <c r="AK69" s="19">
        <v>0</v>
      </c>
      <c r="AL69" s="19">
        <v>8880</v>
      </c>
      <c r="AM69" s="19" t="s">
        <v>4</v>
      </c>
      <c r="AN69" s="19"/>
      <c r="AO69" s="19"/>
      <c r="AP69" s="19"/>
      <c r="AQ69" s="19" t="s">
        <v>96</v>
      </c>
      <c r="AR69" s="19"/>
      <c r="AS69" s="19"/>
      <c r="AT69" s="19"/>
      <c r="AU69" s="19"/>
      <c r="AV69" s="19">
        <v>350000</v>
      </c>
      <c r="AW69" s="19"/>
      <c r="AX69" s="19" t="s">
        <v>4</v>
      </c>
      <c r="AY69" s="19"/>
      <c r="AZ69" s="19"/>
      <c r="BA69" s="19">
        <v>400805271</v>
      </c>
      <c r="BB69" s="19"/>
      <c r="BC69" s="19" t="s">
        <v>4</v>
      </c>
      <c r="BD69" s="19" t="s">
        <v>128</v>
      </c>
      <c r="BE69" s="19"/>
      <c r="BF69" s="19">
        <v>5394925</v>
      </c>
      <c r="BG69" s="19">
        <v>3639949</v>
      </c>
      <c r="BH69" s="19"/>
      <c r="BI69" s="19">
        <v>4492883</v>
      </c>
      <c r="BJ69" s="19">
        <v>37490167</v>
      </c>
      <c r="BK69" s="19">
        <v>8604360</v>
      </c>
      <c r="BL69" s="19"/>
      <c r="BM69" s="19"/>
      <c r="BN69" s="19">
        <v>3150717</v>
      </c>
      <c r="BO69" s="19">
        <v>463984</v>
      </c>
      <c r="BP69" s="19" t="s">
        <v>96</v>
      </c>
      <c r="BQ69" s="19" t="s">
        <v>4</v>
      </c>
      <c r="BR69" s="19"/>
      <c r="BS69" s="19">
        <v>3706</v>
      </c>
      <c r="BT69" s="19">
        <v>10729418</v>
      </c>
      <c r="BU69" s="19">
        <v>98779335</v>
      </c>
      <c r="BV69" s="19">
        <v>7506966</v>
      </c>
      <c r="BW69" s="19"/>
      <c r="BX69" s="19"/>
      <c r="BY69" s="19"/>
      <c r="BZ69" s="19"/>
      <c r="CA69" s="19"/>
      <c r="CB69" s="19"/>
      <c r="CC69" s="19"/>
      <c r="CD69" s="19"/>
      <c r="CE69" s="19"/>
      <c r="CF69" s="19">
        <v>20173547</v>
      </c>
      <c r="CG69" s="19">
        <v>4840019</v>
      </c>
      <c r="CH69" s="19"/>
      <c r="CI69" s="19" t="s">
        <v>128</v>
      </c>
      <c r="CJ69" s="19">
        <v>489997</v>
      </c>
      <c r="CK69" s="19"/>
      <c r="CL69" s="19"/>
      <c r="CM69" s="19"/>
      <c r="CN69" s="19"/>
      <c r="CO69" s="19"/>
      <c r="CP69" s="19"/>
      <c r="CQ69" s="19" t="s">
        <v>96</v>
      </c>
      <c r="CR69" s="19">
        <v>1847353</v>
      </c>
      <c r="CS69" s="19"/>
      <c r="CT69" s="19"/>
      <c r="CU69" s="19">
        <v>71115537</v>
      </c>
      <c r="CV69" s="19"/>
      <c r="CW69" s="19">
        <v>12938240</v>
      </c>
      <c r="CX69" s="19">
        <v>10607743</v>
      </c>
      <c r="CY69" s="19" t="s">
        <v>96</v>
      </c>
      <c r="CZ69" s="19">
        <v>14654597</v>
      </c>
      <c r="DA69" s="19">
        <v>5000000</v>
      </c>
      <c r="DB69" s="19"/>
      <c r="DC69" s="19"/>
      <c r="DD69" s="19"/>
      <c r="DE69" s="19"/>
      <c r="DF69" s="19"/>
      <c r="DG69" s="19"/>
      <c r="DH69" s="19"/>
      <c r="DI69" s="19">
        <v>1099539</v>
      </c>
      <c r="DJ69" s="19"/>
      <c r="DK69" s="19">
        <v>1641000</v>
      </c>
      <c r="DL69" s="19"/>
      <c r="DM69" s="19">
        <v>3179950</v>
      </c>
      <c r="DN69" s="19"/>
      <c r="DO69" s="19"/>
      <c r="DP69" s="19">
        <v>25043270</v>
      </c>
      <c r="DQ69" s="19"/>
      <c r="DR69" s="19">
        <v>129387810</v>
      </c>
      <c r="DS69" s="19">
        <v>5538809</v>
      </c>
      <c r="DT69" s="19"/>
      <c r="DU69" s="19"/>
      <c r="DV69" s="19">
        <v>401864816</v>
      </c>
      <c r="DW69" s="19"/>
      <c r="DX69" s="19"/>
      <c r="DY69" s="19"/>
      <c r="DZ69" s="19">
        <v>1400000</v>
      </c>
      <c r="EA69" s="19"/>
      <c r="EB69" s="19">
        <v>219226174</v>
      </c>
      <c r="EC69" s="19"/>
      <c r="ED69" s="19"/>
      <c r="EE69" s="19">
        <v>544454</v>
      </c>
      <c r="EF69" s="19"/>
      <c r="EG69" s="19">
        <v>11627553</v>
      </c>
      <c r="EH69" s="19"/>
      <c r="EI69" s="19"/>
      <c r="EJ69" s="19">
        <v>156539407</v>
      </c>
      <c r="EK69" s="19"/>
      <c r="EL69" s="19"/>
      <c r="EM69" s="19"/>
      <c r="EN69" s="19">
        <v>311610333</v>
      </c>
      <c r="EO69" s="19">
        <v>25652438</v>
      </c>
      <c r="EP69" s="19"/>
      <c r="EQ69" s="19"/>
      <c r="ER69" s="19">
        <v>287282309</v>
      </c>
      <c r="ES69" s="19">
        <v>2045022</v>
      </c>
      <c r="ET69" s="19">
        <v>52610165</v>
      </c>
      <c r="EU69" s="19">
        <v>55381224</v>
      </c>
      <c r="EV69" s="19">
        <v>9325</v>
      </c>
      <c r="EW69" s="19"/>
      <c r="EX69" s="19"/>
      <c r="EY69" s="19">
        <v>42786858</v>
      </c>
      <c r="EZ69" s="19">
        <v>788800</v>
      </c>
      <c r="FA69" s="19"/>
      <c r="FB69" s="19"/>
      <c r="FC69" s="19"/>
      <c r="FD69" s="19">
        <v>101454</v>
      </c>
      <c r="FE69" s="19">
        <v>19440950</v>
      </c>
      <c r="FF69" s="19"/>
      <c r="FG69" s="19">
        <v>11980</v>
      </c>
      <c r="FH69" s="19"/>
      <c r="FI69" s="19" t="s">
        <v>96</v>
      </c>
      <c r="FJ69" s="19"/>
      <c r="FK69" s="19">
        <v>29672172</v>
      </c>
      <c r="FL69" s="19"/>
      <c r="FM69" s="19"/>
      <c r="FN69" s="19"/>
      <c r="FO69" s="19"/>
      <c r="FP69" s="19">
        <v>1566450</v>
      </c>
      <c r="FQ69" s="19"/>
      <c r="FR69" s="19"/>
      <c r="FS69" s="19"/>
      <c r="FT69" s="19">
        <v>14704823</v>
      </c>
      <c r="FU69" s="19"/>
      <c r="FV69" s="19">
        <v>11769277</v>
      </c>
      <c r="FW69" s="19"/>
      <c r="FX69" s="19"/>
      <c r="FY69" s="19"/>
      <c r="FZ69" s="19">
        <v>13560800</v>
      </c>
      <c r="GA69" s="19"/>
      <c r="GB69" s="19">
        <v>48176</v>
      </c>
      <c r="GC69" s="19">
        <v>3362636</v>
      </c>
      <c r="GD69" s="19" t="s">
        <v>96</v>
      </c>
      <c r="GE69" s="19"/>
      <c r="GF69" s="19"/>
      <c r="GG69" s="19"/>
      <c r="GH69" s="19">
        <v>5000000</v>
      </c>
      <c r="GI69" s="19"/>
      <c r="GJ69" s="19">
        <v>61000000</v>
      </c>
      <c r="GK69" s="19">
        <v>5505</v>
      </c>
      <c r="GL69" s="19" t="s">
        <v>96</v>
      </c>
      <c r="GM69" s="19"/>
      <c r="GN69" s="19"/>
      <c r="GO69" s="19">
        <v>482254</v>
      </c>
      <c r="GP69" s="19">
        <v>23348044</v>
      </c>
      <c r="GQ69" s="19">
        <v>4253519</v>
      </c>
      <c r="GR69" s="19"/>
      <c r="GS69" s="19"/>
      <c r="GT69" s="19"/>
      <c r="GU69" s="19"/>
      <c r="GV69" s="19">
        <v>17719180</v>
      </c>
      <c r="GW69" s="19">
        <v>3651818</v>
      </c>
      <c r="GX69" s="19">
        <v>8391256</v>
      </c>
      <c r="GY69" s="19">
        <v>1186385</v>
      </c>
      <c r="GZ69" s="19"/>
      <c r="HA69" s="19"/>
      <c r="HB69" s="19">
        <v>23597028</v>
      </c>
      <c r="HC69" s="19"/>
      <c r="HD69" s="19">
        <v>497089</v>
      </c>
      <c r="HE69" s="19"/>
      <c r="HF69" s="19">
        <v>2922319</v>
      </c>
      <c r="HG69" s="19"/>
      <c r="HH69" s="19"/>
      <c r="HI69" s="19">
        <v>1624233</v>
      </c>
      <c r="HJ69" s="19"/>
      <c r="HK69" s="19">
        <v>487818</v>
      </c>
      <c r="HL69" s="19"/>
      <c r="HM69" s="19"/>
      <c r="HN69" s="19"/>
      <c r="HO69" s="19">
        <v>1350000</v>
      </c>
      <c r="HP69" s="19">
        <v>339633</v>
      </c>
      <c r="HQ69" s="19"/>
      <c r="HR69" s="19">
        <v>259752293</v>
      </c>
      <c r="HS69" s="19"/>
      <c r="HT69" s="19"/>
      <c r="HU69" s="19"/>
      <c r="HV69" s="19"/>
      <c r="HW69" s="19">
        <v>29648689</v>
      </c>
      <c r="HX69" s="19">
        <v>9934846</v>
      </c>
      <c r="HY69" s="19" t="s">
        <v>172</v>
      </c>
      <c r="HZ69" s="19">
        <v>150603264</v>
      </c>
      <c r="IA69" s="19">
        <v>6632900</v>
      </c>
      <c r="IB69" s="19"/>
      <c r="IC69" s="19"/>
      <c r="ID69" s="19"/>
      <c r="IE69" s="19" t="s">
        <v>96</v>
      </c>
      <c r="IF69" s="19">
        <v>107564358</v>
      </c>
      <c r="IG69" s="19"/>
      <c r="IH69" s="19">
        <v>6349</v>
      </c>
      <c r="II69" s="19"/>
      <c r="IJ69" s="19"/>
      <c r="IK69" s="19"/>
      <c r="IL69" s="19">
        <v>17159803</v>
      </c>
      <c r="IM69" s="19">
        <v>555936</v>
      </c>
      <c r="IN69" s="19">
        <v>101937</v>
      </c>
      <c r="IO69" s="19">
        <v>44271</v>
      </c>
      <c r="IP69" s="19">
        <v>20127708</v>
      </c>
      <c r="IQ69" s="19"/>
      <c r="IR69" s="19">
        <v>35310000</v>
      </c>
      <c r="IS69" s="19">
        <v>1000000</v>
      </c>
      <c r="IT69" s="19"/>
    </row>
    <row r="70" spans="1:254">
      <c r="A70" s="9" t="s">
        <v>3</v>
      </c>
      <c r="B70" s="10" t="s">
        <v>10</v>
      </c>
      <c r="C70" s="19">
        <v>74300003</v>
      </c>
      <c r="D70" s="19">
        <v>17878955</v>
      </c>
      <c r="E70" s="19">
        <v>10395333</v>
      </c>
      <c r="F70" s="19">
        <v>186426794</v>
      </c>
      <c r="G70" s="19">
        <v>14481679</v>
      </c>
      <c r="H70" s="19">
        <v>709976733</v>
      </c>
      <c r="I70" s="19">
        <v>71404642</v>
      </c>
      <c r="J70" s="19" t="s">
        <v>4</v>
      </c>
      <c r="K70" s="19">
        <v>695620</v>
      </c>
      <c r="L70" s="19" t="s">
        <v>96</v>
      </c>
      <c r="M70" s="19" t="s">
        <v>96</v>
      </c>
      <c r="N70" s="19">
        <v>102639353</v>
      </c>
      <c r="O70" s="19">
        <v>159681722</v>
      </c>
      <c r="P70" s="19">
        <v>43271915</v>
      </c>
      <c r="Q70" s="19">
        <v>947538</v>
      </c>
      <c r="R70" s="19">
        <v>26455920</v>
      </c>
      <c r="S70" s="19">
        <v>565513840</v>
      </c>
      <c r="T70" s="19" t="s">
        <v>96</v>
      </c>
      <c r="U70" s="19">
        <v>5174397</v>
      </c>
      <c r="V70" s="19" t="s">
        <v>172</v>
      </c>
      <c r="W70" s="19">
        <v>127079549</v>
      </c>
      <c r="X70" s="19">
        <v>196979391</v>
      </c>
      <c r="Y70" s="19">
        <v>832213</v>
      </c>
      <c r="Z70" s="19">
        <v>82830149</v>
      </c>
      <c r="AA70" s="19">
        <v>155884284</v>
      </c>
      <c r="AB70" s="19">
        <v>12852</v>
      </c>
      <c r="AC70" s="19">
        <v>18829973</v>
      </c>
      <c r="AD70" s="19">
        <v>191020824</v>
      </c>
      <c r="AE70" s="19">
        <v>79198086</v>
      </c>
      <c r="AF70" s="19">
        <v>10122168</v>
      </c>
      <c r="AG70" s="19">
        <v>23523050</v>
      </c>
      <c r="AH70" s="19">
        <v>3962890</v>
      </c>
      <c r="AI70" s="19">
        <v>24608100</v>
      </c>
      <c r="AJ70" s="19">
        <v>24519929</v>
      </c>
      <c r="AK70" s="19">
        <v>20330217</v>
      </c>
      <c r="AL70" s="19">
        <v>118626728</v>
      </c>
      <c r="AM70" s="19" t="s">
        <v>4</v>
      </c>
      <c r="AN70" s="19">
        <v>19441740</v>
      </c>
      <c r="AO70" s="19">
        <v>13176237</v>
      </c>
      <c r="AP70" s="19">
        <v>1046394</v>
      </c>
      <c r="AQ70" s="19" t="s">
        <v>96</v>
      </c>
      <c r="AR70" s="19">
        <v>19893186</v>
      </c>
      <c r="AS70" s="19">
        <v>28178305</v>
      </c>
      <c r="AT70" s="19">
        <v>64411835</v>
      </c>
      <c r="AU70" s="19">
        <v>49326038</v>
      </c>
      <c r="AV70" s="19">
        <v>1022536</v>
      </c>
      <c r="AW70" s="19">
        <v>15462340</v>
      </c>
      <c r="AX70" s="19" t="s">
        <v>4</v>
      </c>
      <c r="AY70" s="19">
        <v>29786624</v>
      </c>
      <c r="AZ70" s="19">
        <v>1678305</v>
      </c>
      <c r="BA70" s="19">
        <v>83412550</v>
      </c>
      <c r="BB70" s="19">
        <v>217752</v>
      </c>
      <c r="BC70" s="19" t="s">
        <v>4</v>
      </c>
      <c r="BD70" s="19" t="s">
        <v>128</v>
      </c>
      <c r="BE70" s="19">
        <v>57061535</v>
      </c>
      <c r="BF70" s="19">
        <v>32359368</v>
      </c>
      <c r="BG70" s="19">
        <v>53207143</v>
      </c>
      <c r="BH70" s="19">
        <v>44187917</v>
      </c>
      <c r="BI70" s="19">
        <v>3202764</v>
      </c>
      <c r="BJ70" s="19">
        <v>23227783</v>
      </c>
      <c r="BK70" s="19">
        <v>76217143</v>
      </c>
      <c r="BL70" s="19">
        <v>0</v>
      </c>
      <c r="BM70" s="19">
        <v>26336073</v>
      </c>
      <c r="BN70" s="19">
        <v>1340499</v>
      </c>
      <c r="BO70" s="19">
        <v>15340503</v>
      </c>
      <c r="BP70" s="19" t="s">
        <v>96</v>
      </c>
      <c r="BQ70" s="19" t="s">
        <v>4</v>
      </c>
      <c r="BR70" s="19">
        <v>12224481</v>
      </c>
      <c r="BS70" s="19">
        <v>521278</v>
      </c>
      <c r="BT70" s="19">
        <v>259932</v>
      </c>
      <c r="BU70" s="19">
        <v>17516797</v>
      </c>
      <c r="BV70" s="19">
        <v>5874670</v>
      </c>
      <c r="BW70" s="19">
        <v>80000</v>
      </c>
      <c r="BX70" s="19">
        <v>11676904</v>
      </c>
      <c r="BY70" s="19">
        <v>143003503</v>
      </c>
      <c r="BZ70" s="19">
        <v>137849425</v>
      </c>
      <c r="CA70" s="19">
        <v>35454804</v>
      </c>
      <c r="CB70" s="19">
        <v>22315983</v>
      </c>
      <c r="CC70" s="19">
        <v>2527595</v>
      </c>
      <c r="CD70" s="19">
        <v>16000013</v>
      </c>
      <c r="CE70" s="19">
        <v>0</v>
      </c>
      <c r="CF70" s="19">
        <v>47201754</v>
      </c>
      <c r="CG70" s="19">
        <v>50631499</v>
      </c>
      <c r="CH70" s="19">
        <v>19251565</v>
      </c>
      <c r="CI70" s="19" t="s">
        <v>128</v>
      </c>
      <c r="CJ70" s="19">
        <v>12241105</v>
      </c>
      <c r="CK70" s="19">
        <v>120454543</v>
      </c>
      <c r="CL70" s="19">
        <v>55633696</v>
      </c>
      <c r="CM70" s="19">
        <v>87347159</v>
      </c>
      <c r="CN70" s="19">
        <v>67589</v>
      </c>
      <c r="CO70" s="19">
        <v>3082952</v>
      </c>
      <c r="CP70" s="19">
        <v>36643047</v>
      </c>
      <c r="CQ70" s="19" t="s">
        <v>96</v>
      </c>
      <c r="CR70" s="19">
        <v>27088390</v>
      </c>
      <c r="CS70" s="19">
        <v>436399942</v>
      </c>
      <c r="CT70" s="19">
        <v>4296303</v>
      </c>
      <c r="CU70" s="19">
        <v>8250000</v>
      </c>
      <c r="CV70" s="19">
        <v>2841839</v>
      </c>
      <c r="CW70" s="19">
        <v>9481512</v>
      </c>
      <c r="CX70" s="19">
        <v>3616174</v>
      </c>
      <c r="CY70" s="19" t="s">
        <v>96</v>
      </c>
      <c r="CZ70" s="19">
        <v>17941993</v>
      </c>
      <c r="DA70" s="19">
        <v>29703011</v>
      </c>
      <c r="DB70" s="19">
        <v>5887412</v>
      </c>
      <c r="DC70" s="19">
        <v>53139</v>
      </c>
      <c r="DD70" s="19">
        <v>5486591</v>
      </c>
      <c r="DE70" s="19">
        <v>0</v>
      </c>
      <c r="DF70" s="19">
        <v>873456</v>
      </c>
      <c r="DG70" s="19">
        <v>39693238</v>
      </c>
      <c r="DH70" s="19">
        <v>4658619</v>
      </c>
      <c r="DI70" s="19">
        <v>149210430</v>
      </c>
      <c r="DJ70" s="19">
        <v>375150</v>
      </c>
      <c r="DK70" s="19">
        <v>128200183</v>
      </c>
      <c r="DL70" s="19">
        <v>21054537</v>
      </c>
      <c r="DM70" s="19">
        <v>52301299</v>
      </c>
      <c r="DN70" s="19">
        <v>14256794</v>
      </c>
      <c r="DO70" s="19">
        <v>3556497</v>
      </c>
      <c r="DP70" s="19">
        <v>25943411</v>
      </c>
      <c r="DQ70" s="19">
        <v>9883645</v>
      </c>
      <c r="DR70" s="19">
        <v>305747626</v>
      </c>
      <c r="DS70" s="19">
        <v>21632705</v>
      </c>
      <c r="DT70" s="19">
        <v>27298432</v>
      </c>
      <c r="DU70" s="19">
        <v>3421092</v>
      </c>
      <c r="DV70" s="19">
        <v>73008</v>
      </c>
      <c r="DW70" s="19">
        <v>21695740</v>
      </c>
      <c r="DX70" s="19">
        <v>8489045</v>
      </c>
      <c r="DY70" s="19">
        <v>20314105</v>
      </c>
      <c r="DZ70" s="19">
        <v>7430518</v>
      </c>
      <c r="EA70" s="19">
        <v>3005744</v>
      </c>
      <c r="EB70" s="19">
        <v>451471372</v>
      </c>
      <c r="EC70" s="19">
        <v>36617977</v>
      </c>
      <c r="ED70" s="19">
        <v>30803</v>
      </c>
      <c r="EE70" s="19">
        <v>9458170</v>
      </c>
      <c r="EF70" s="19">
        <v>673933538</v>
      </c>
      <c r="EG70" s="19">
        <v>76141170</v>
      </c>
      <c r="EH70" s="19">
        <v>133424722</v>
      </c>
      <c r="EI70" s="19">
        <v>2707687717</v>
      </c>
      <c r="EJ70" s="19">
        <v>200155</v>
      </c>
      <c r="EK70" s="19">
        <v>15748546</v>
      </c>
      <c r="EL70" s="19">
        <v>2145490</v>
      </c>
      <c r="EM70" s="19">
        <v>19216907</v>
      </c>
      <c r="EN70" s="19">
        <v>9132886</v>
      </c>
      <c r="EO70" s="19">
        <v>69679369</v>
      </c>
      <c r="EP70" s="19">
        <v>0</v>
      </c>
      <c r="EQ70" s="19">
        <v>8446375</v>
      </c>
      <c r="ER70" s="19">
        <v>43988053</v>
      </c>
      <c r="ES70" s="19">
        <v>90219685</v>
      </c>
      <c r="ET70" s="19">
        <v>12939830</v>
      </c>
      <c r="EU70" s="19">
        <v>1056827</v>
      </c>
      <c r="EV70" s="19">
        <v>38889498</v>
      </c>
      <c r="EW70" s="19">
        <v>6005356</v>
      </c>
      <c r="EX70" s="19">
        <v>36768272</v>
      </c>
      <c r="EY70" s="19">
        <v>57810933</v>
      </c>
      <c r="EZ70" s="19">
        <v>7438977</v>
      </c>
      <c r="FA70" s="19">
        <v>43017844</v>
      </c>
      <c r="FB70" s="19">
        <v>8547935</v>
      </c>
      <c r="FC70" s="19">
        <v>21057907</v>
      </c>
      <c r="FD70" s="19">
        <v>7998027</v>
      </c>
      <c r="FE70" s="19">
        <v>349729833</v>
      </c>
      <c r="FF70" s="19">
        <v>3224071</v>
      </c>
      <c r="FG70" s="19">
        <v>25003618</v>
      </c>
      <c r="FH70" s="19">
        <v>7510929</v>
      </c>
      <c r="FI70" s="19" t="s">
        <v>96</v>
      </c>
      <c r="FJ70" s="19">
        <v>0</v>
      </c>
      <c r="FK70" s="19">
        <v>317845331</v>
      </c>
      <c r="FL70" s="19">
        <v>5133506</v>
      </c>
      <c r="FM70" s="19">
        <v>12661111</v>
      </c>
      <c r="FN70" s="19">
        <v>13584900</v>
      </c>
      <c r="FO70" s="19">
        <v>1692957</v>
      </c>
      <c r="FP70" s="19">
        <v>10270815</v>
      </c>
      <c r="FQ70" s="19">
        <v>6052563</v>
      </c>
      <c r="FR70" s="19">
        <v>59286827</v>
      </c>
      <c r="FS70" s="19">
        <v>11675236</v>
      </c>
      <c r="FT70" s="19">
        <v>17175235</v>
      </c>
      <c r="FU70" s="19">
        <v>900</v>
      </c>
      <c r="FV70" s="19">
        <v>294251742</v>
      </c>
      <c r="FW70" s="19">
        <v>5957928</v>
      </c>
      <c r="FX70" s="19">
        <v>7129874</v>
      </c>
      <c r="FY70" s="19">
        <v>42366611</v>
      </c>
      <c r="FZ70" s="19">
        <v>20798944</v>
      </c>
      <c r="GA70" s="19">
        <v>7669100</v>
      </c>
      <c r="GB70" s="19">
        <v>4776414</v>
      </c>
      <c r="GC70" s="19">
        <v>2924977</v>
      </c>
      <c r="GD70" s="19" t="s">
        <v>96</v>
      </c>
      <c r="GE70" s="19">
        <v>10419737</v>
      </c>
      <c r="GF70" s="19">
        <v>3143158</v>
      </c>
      <c r="GG70" s="19">
        <v>74798083</v>
      </c>
      <c r="GH70" s="19">
        <v>11234002</v>
      </c>
      <c r="GI70" s="19">
        <v>24639463</v>
      </c>
      <c r="GJ70" s="19">
        <v>62907534</v>
      </c>
      <c r="GK70" s="19">
        <v>3192758</v>
      </c>
      <c r="GL70" s="19" t="s">
        <v>96</v>
      </c>
      <c r="GM70" s="19">
        <v>1518275</v>
      </c>
      <c r="GN70" s="19">
        <v>94369336</v>
      </c>
      <c r="GO70" s="19">
        <v>48329330</v>
      </c>
      <c r="GP70" s="19">
        <v>164037716</v>
      </c>
      <c r="GQ70" s="19">
        <v>102492</v>
      </c>
      <c r="GR70" s="19">
        <v>23651539</v>
      </c>
      <c r="GS70" s="19">
        <v>19497266</v>
      </c>
      <c r="GT70" s="19">
        <v>42962319</v>
      </c>
      <c r="GU70" s="19">
        <v>2164237</v>
      </c>
      <c r="GV70" s="19">
        <v>7255954</v>
      </c>
      <c r="GW70" s="19">
        <v>24264043</v>
      </c>
      <c r="GX70" s="19">
        <v>26948557</v>
      </c>
      <c r="GY70" s="19">
        <v>1656717</v>
      </c>
      <c r="GZ70" s="19">
        <v>96913696</v>
      </c>
      <c r="HA70" s="19">
        <v>26615584</v>
      </c>
      <c r="HB70" s="19">
        <v>4047</v>
      </c>
      <c r="HC70" s="19">
        <v>30749416</v>
      </c>
      <c r="HD70" s="19">
        <v>10532489</v>
      </c>
      <c r="HE70" s="19">
        <v>15001261</v>
      </c>
      <c r="HF70" s="19">
        <v>46311878</v>
      </c>
      <c r="HG70" s="19">
        <v>1815093</v>
      </c>
      <c r="HH70" s="19">
        <v>0</v>
      </c>
      <c r="HI70" s="19">
        <v>158577175</v>
      </c>
      <c r="HJ70" s="19">
        <v>2792859</v>
      </c>
      <c r="HK70" s="19">
        <v>26215486</v>
      </c>
      <c r="HL70" s="19">
        <v>24718</v>
      </c>
      <c r="HM70" s="19">
        <v>12490231</v>
      </c>
      <c r="HN70" s="19">
        <v>5549953</v>
      </c>
      <c r="HO70" s="19">
        <v>92782077</v>
      </c>
      <c r="HP70" s="19">
        <v>1182449336</v>
      </c>
      <c r="HQ70" s="19">
        <v>3789474</v>
      </c>
      <c r="HR70" s="19">
        <v>6939387</v>
      </c>
      <c r="HS70" s="19">
        <v>3185750</v>
      </c>
      <c r="HT70" s="19">
        <v>6522224</v>
      </c>
      <c r="HU70" s="19">
        <v>14475230</v>
      </c>
      <c r="HV70" s="19">
        <v>336464</v>
      </c>
      <c r="HW70" s="19">
        <v>1135579363</v>
      </c>
      <c r="HX70" s="19">
        <v>50545418</v>
      </c>
      <c r="HY70" s="19" t="s">
        <v>172</v>
      </c>
      <c r="HZ70" s="19">
        <v>275837375</v>
      </c>
      <c r="IA70" s="19">
        <v>307910</v>
      </c>
      <c r="IB70" s="19">
        <v>85801741</v>
      </c>
      <c r="IC70" s="19">
        <v>12369569</v>
      </c>
      <c r="ID70" s="19">
        <v>2808808</v>
      </c>
      <c r="IE70" s="19" t="s">
        <v>96</v>
      </c>
      <c r="IF70" s="19">
        <v>4575647</v>
      </c>
      <c r="IG70" s="19">
        <v>748552</v>
      </c>
      <c r="IH70" s="19">
        <v>184629</v>
      </c>
      <c r="II70" s="19">
        <v>15877729</v>
      </c>
      <c r="IJ70" s="19">
        <v>4112784</v>
      </c>
      <c r="IK70" s="19">
        <v>15636528</v>
      </c>
      <c r="IL70" s="19">
        <v>631335</v>
      </c>
      <c r="IM70" s="19">
        <v>4057027</v>
      </c>
      <c r="IN70" s="19">
        <v>966834</v>
      </c>
      <c r="IO70" s="19">
        <v>9928483</v>
      </c>
      <c r="IP70" s="19">
        <v>6242514</v>
      </c>
      <c r="IQ70" s="19">
        <v>4751651</v>
      </c>
      <c r="IR70" s="19">
        <v>14810239</v>
      </c>
      <c r="IS70" s="19">
        <v>215128158</v>
      </c>
      <c r="IT70" s="19">
        <v>17711512</v>
      </c>
    </row>
    <row r="71" spans="1:254">
      <c r="A71" s="9" t="s">
        <v>3</v>
      </c>
      <c r="B71" s="15" t="s">
        <v>60</v>
      </c>
      <c r="C71" s="19">
        <v>0</v>
      </c>
      <c r="D71" s="19">
        <v>2914356</v>
      </c>
      <c r="E71" s="19">
        <v>5112101</v>
      </c>
      <c r="F71" s="19">
        <v>11441910</v>
      </c>
      <c r="G71" s="19">
        <v>10707679</v>
      </c>
      <c r="H71" s="19">
        <v>81735553</v>
      </c>
      <c r="I71" s="19">
        <v>66410428</v>
      </c>
      <c r="J71" s="19" t="s">
        <v>4</v>
      </c>
      <c r="K71" s="19">
        <v>466981</v>
      </c>
      <c r="L71" s="19" t="s">
        <v>96</v>
      </c>
      <c r="M71" s="19" t="s">
        <v>96</v>
      </c>
      <c r="N71" s="19">
        <v>4200334</v>
      </c>
      <c r="O71" s="19">
        <v>120632599</v>
      </c>
      <c r="P71" s="19">
        <v>5108136</v>
      </c>
      <c r="Q71" s="19">
        <v>747042</v>
      </c>
      <c r="R71" s="19">
        <v>19092118</v>
      </c>
      <c r="S71" s="19">
        <v>276752765</v>
      </c>
      <c r="T71" s="19" t="s">
        <v>96</v>
      </c>
      <c r="U71" s="19">
        <v>3636152</v>
      </c>
      <c r="V71" s="19" t="s">
        <v>172</v>
      </c>
      <c r="W71" s="19">
        <v>19396007</v>
      </c>
      <c r="X71" s="19">
        <v>88288783</v>
      </c>
      <c r="Y71" s="19">
        <v>804784</v>
      </c>
      <c r="Z71" s="19">
        <v>82584911</v>
      </c>
      <c r="AA71" s="19">
        <v>79846352</v>
      </c>
      <c r="AB71" s="19"/>
      <c r="AC71" s="19">
        <v>13330327</v>
      </c>
      <c r="AD71" s="19">
        <v>102545768</v>
      </c>
      <c r="AE71" s="19">
        <v>75268079</v>
      </c>
      <c r="AF71" s="19">
        <v>7122168</v>
      </c>
      <c r="AG71" s="19">
        <v>19484679</v>
      </c>
      <c r="AH71" s="19">
        <v>1504308</v>
      </c>
      <c r="AI71" s="19">
        <v>16408665</v>
      </c>
      <c r="AJ71" s="19">
        <v>7180260</v>
      </c>
      <c r="AK71" s="19">
        <v>18070160</v>
      </c>
      <c r="AL71" s="19">
        <v>59384505</v>
      </c>
      <c r="AM71" s="19" t="s">
        <v>4</v>
      </c>
      <c r="AN71" s="19">
        <v>17013948</v>
      </c>
      <c r="AO71" s="19">
        <v>10442578</v>
      </c>
      <c r="AP71" s="19"/>
      <c r="AQ71" s="19" t="s">
        <v>96</v>
      </c>
      <c r="AR71" s="19">
        <v>19572792</v>
      </c>
      <c r="AS71" s="19">
        <v>27987937</v>
      </c>
      <c r="AT71" s="19">
        <v>61491437</v>
      </c>
      <c r="AU71" s="19">
        <v>46029408</v>
      </c>
      <c r="AV71" s="19">
        <v>0</v>
      </c>
      <c r="AW71" s="19">
        <v>6406965</v>
      </c>
      <c r="AX71" s="19" t="s">
        <v>4</v>
      </c>
      <c r="AY71" s="19">
        <v>10378259</v>
      </c>
      <c r="AZ71" s="19">
        <v>1678305</v>
      </c>
      <c r="BA71" s="19">
        <v>39135254</v>
      </c>
      <c r="BB71" s="19">
        <v>101000</v>
      </c>
      <c r="BC71" s="19" t="s">
        <v>4</v>
      </c>
      <c r="BD71" s="19" t="s">
        <v>128</v>
      </c>
      <c r="BE71" s="19">
        <v>45811604</v>
      </c>
      <c r="BF71" s="19">
        <v>32224656</v>
      </c>
      <c r="BG71" s="19">
        <v>19925275</v>
      </c>
      <c r="BH71" s="19">
        <v>25134037</v>
      </c>
      <c r="BI71" s="19"/>
      <c r="BJ71" s="19">
        <v>13281644</v>
      </c>
      <c r="BK71" s="19">
        <v>67101272</v>
      </c>
      <c r="BL71" s="19"/>
      <c r="BM71" s="19">
        <v>10681362</v>
      </c>
      <c r="BN71" s="19"/>
      <c r="BO71" s="19">
        <v>7715486</v>
      </c>
      <c r="BP71" s="19" t="s">
        <v>96</v>
      </c>
      <c r="BQ71" s="19" t="s">
        <v>4</v>
      </c>
      <c r="BR71" s="19">
        <v>6197595</v>
      </c>
      <c r="BS71" s="19">
        <v>68693</v>
      </c>
      <c r="BT71" s="19">
        <v>253810</v>
      </c>
      <c r="BU71" s="19">
        <v>15651656</v>
      </c>
      <c r="BV71" s="19">
        <v>5874649</v>
      </c>
      <c r="BW71" s="19"/>
      <c r="BX71" s="19">
        <v>434637</v>
      </c>
      <c r="BY71" s="19">
        <v>84925202</v>
      </c>
      <c r="BZ71" s="19"/>
      <c r="CA71" s="19">
        <v>35451556</v>
      </c>
      <c r="CB71" s="19">
        <v>4705473</v>
      </c>
      <c r="CC71" s="19"/>
      <c r="CD71" s="19"/>
      <c r="CE71" s="19"/>
      <c r="CF71" s="19">
        <v>43660714</v>
      </c>
      <c r="CG71" s="19"/>
      <c r="CH71" s="19"/>
      <c r="CI71" s="19" t="s">
        <v>128</v>
      </c>
      <c r="CJ71" s="19">
        <v>11870445</v>
      </c>
      <c r="CK71" s="19">
        <v>110671400</v>
      </c>
      <c r="CL71" s="19">
        <v>14702537</v>
      </c>
      <c r="CM71" s="19">
        <v>10956790</v>
      </c>
      <c r="CN71" s="19"/>
      <c r="CO71" s="19"/>
      <c r="CP71" s="19">
        <v>34682158</v>
      </c>
      <c r="CQ71" s="19" t="s">
        <v>96</v>
      </c>
      <c r="CR71" s="19">
        <v>0</v>
      </c>
      <c r="CS71" s="19">
        <v>18612673</v>
      </c>
      <c r="CT71" s="19"/>
      <c r="CU71" s="19"/>
      <c r="CV71" s="19">
        <v>2841835</v>
      </c>
      <c r="CW71" s="19"/>
      <c r="CX71" s="19">
        <v>2684503</v>
      </c>
      <c r="CY71" s="19" t="s">
        <v>96</v>
      </c>
      <c r="CZ71" s="19">
        <v>4445973</v>
      </c>
      <c r="DA71" s="19">
        <v>18794976</v>
      </c>
      <c r="DB71" s="19">
        <v>5887073</v>
      </c>
      <c r="DC71" s="19">
        <v>47239</v>
      </c>
      <c r="DD71" s="19">
        <v>5486418</v>
      </c>
      <c r="DE71" s="19"/>
      <c r="DF71" s="19">
        <v>373447</v>
      </c>
      <c r="DG71" s="19">
        <v>16610375</v>
      </c>
      <c r="DH71" s="19">
        <v>4605921</v>
      </c>
      <c r="DI71" s="19">
        <v>125007477</v>
      </c>
      <c r="DJ71" s="19"/>
      <c r="DK71" s="19">
        <v>108266496</v>
      </c>
      <c r="DL71" s="19">
        <v>11529483</v>
      </c>
      <c r="DM71" s="19">
        <v>24333448</v>
      </c>
      <c r="DN71" s="19">
        <v>12853792</v>
      </c>
      <c r="DO71" s="19">
        <v>1555591</v>
      </c>
      <c r="DP71" s="19">
        <v>25216965</v>
      </c>
      <c r="DQ71" s="19">
        <v>9870315</v>
      </c>
      <c r="DR71" s="19">
        <v>75360883</v>
      </c>
      <c r="DS71" s="19">
        <v>3929819</v>
      </c>
      <c r="DT71" s="19">
        <v>20519754</v>
      </c>
      <c r="DU71" s="19">
        <v>3421092</v>
      </c>
      <c r="DV71" s="19"/>
      <c r="DW71" s="19">
        <v>9676099</v>
      </c>
      <c r="DX71" s="19">
        <v>5347245</v>
      </c>
      <c r="DY71" s="19">
        <v>20314105</v>
      </c>
      <c r="DZ71" s="19">
        <v>6585966</v>
      </c>
      <c r="EA71" s="19">
        <v>445744</v>
      </c>
      <c r="EB71" s="19">
        <v>53454884</v>
      </c>
      <c r="EC71" s="19">
        <v>8380641</v>
      </c>
      <c r="ED71" s="19"/>
      <c r="EE71" s="19">
        <v>4775446</v>
      </c>
      <c r="EF71" s="19">
        <v>50767349</v>
      </c>
      <c r="EG71" s="19">
        <v>31162620</v>
      </c>
      <c r="EH71" s="19">
        <v>107766719</v>
      </c>
      <c r="EI71" s="19">
        <v>11751163</v>
      </c>
      <c r="EJ71" s="19"/>
      <c r="EK71" s="19">
        <v>7946140</v>
      </c>
      <c r="EL71" s="19"/>
      <c r="EM71" s="19"/>
      <c r="EN71" s="19">
        <v>125000</v>
      </c>
      <c r="EO71" s="19">
        <v>8409165</v>
      </c>
      <c r="EP71" s="19"/>
      <c r="EQ71" s="19">
        <v>8446375</v>
      </c>
      <c r="ER71" s="19">
        <v>35079814</v>
      </c>
      <c r="ES71" s="19">
        <v>82748650</v>
      </c>
      <c r="ET71" s="19">
        <v>1666049</v>
      </c>
      <c r="EU71" s="19"/>
      <c r="EV71" s="19">
        <v>3092675</v>
      </c>
      <c r="EW71" s="19">
        <v>4967256</v>
      </c>
      <c r="EX71" s="19">
        <v>34670882</v>
      </c>
      <c r="EY71" s="19">
        <v>49067170</v>
      </c>
      <c r="EZ71" s="19">
        <v>6281016</v>
      </c>
      <c r="FA71" s="19">
        <v>23521489</v>
      </c>
      <c r="FB71" s="19">
        <v>7259830</v>
      </c>
      <c r="FC71" s="19">
        <v>13935842</v>
      </c>
      <c r="FD71" s="19">
        <v>5220125</v>
      </c>
      <c r="FE71" s="19">
        <v>72178972</v>
      </c>
      <c r="FF71" s="19"/>
      <c r="FG71" s="19">
        <v>23746836</v>
      </c>
      <c r="FH71" s="19">
        <v>2577916</v>
      </c>
      <c r="FI71" s="19" t="s">
        <v>96</v>
      </c>
      <c r="FJ71" s="19"/>
      <c r="FK71" s="19">
        <v>11572526</v>
      </c>
      <c r="FL71" s="19">
        <v>3968856</v>
      </c>
      <c r="FM71" s="19">
        <v>8161111</v>
      </c>
      <c r="FN71" s="19">
        <v>13584658</v>
      </c>
      <c r="FO71" s="19">
        <v>1692957</v>
      </c>
      <c r="FP71" s="19">
        <v>9853422</v>
      </c>
      <c r="FQ71" s="19">
        <v>5302610</v>
      </c>
      <c r="FR71" s="19">
        <v>3585049</v>
      </c>
      <c r="FS71" s="19">
        <v>6727903</v>
      </c>
      <c r="FT71" s="19">
        <v>5611072</v>
      </c>
      <c r="FU71" s="19"/>
      <c r="FV71" s="19">
        <v>294251735</v>
      </c>
      <c r="FW71" s="19">
        <v>2955928</v>
      </c>
      <c r="FX71" s="19">
        <v>7122628</v>
      </c>
      <c r="FY71" s="19">
        <v>22490604</v>
      </c>
      <c r="FZ71" s="19">
        <v>20569393</v>
      </c>
      <c r="GA71" s="19">
        <v>7668985</v>
      </c>
      <c r="GB71" s="19">
        <v>4610165</v>
      </c>
      <c r="GC71" s="19">
        <v>1837498</v>
      </c>
      <c r="GD71" s="19" t="s">
        <v>96</v>
      </c>
      <c r="GE71" s="19">
        <v>10354962</v>
      </c>
      <c r="GF71" s="19">
        <v>2580214</v>
      </c>
      <c r="GG71" s="19">
        <v>18406000</v>
      </c>
      <c r="GH71" s="19">
        <v>10680714</v>
      </c>
      <c r="GI71" s="19">
        <v>2797774</v>
      </c>
      <c r="GJ71" s="19"/>
      <c r="GK71" s="19">
        <v>1203824</v>
      </c>
      <c r="GL71" s="19" t="s">
        <v>96</v>
      </c>
      <c r="GM71" s="19">
        <v>1062270</v>
      </c>
      <c r="GN71" s="19">
        <v>65495407</v>
      </c>
      <c r="GO71" s="19">
        <v>26441030</v>
      </c>
      <c r="GP71" s="19">
        <v>82300709</v>
      </c>
      <c r="GQ71" s="19"/>
      <c r="GR71" s="19">
        <v>15547986</v>
      </c>
      <c r="GS71" s="19">
        <v>14177976</v>
      </c>
      <c r="GT71" s="19">
        <v>17768365</v>
      </c>
      <c r="GU71" s="19">
        <v>2064195</v>
      </c>
      <c r="GV71" s="19">
        <v>2262354</v>
      </c>
      <c r="GW71" s="19">
        <v>16995307</v>
      </c>
      <c r="GX71" s="19">
        <v>12678910</v>
      </c>
      <c r="GY71" s="19"/>
      <c r="GZ71" s="19">
        <v>57749846</v>
      </c>
      <c r="HA71" s="19">
        <v>13608977</v>
      </c>
      <c r="HB71" s="19"/>
      <c r="HC71" s="19">
        <v>17110422</v>
      </c>
      <c r="HD71" s="19">
        <v>0</v>
      </c>
      <c r="HE71" s="19">
        <v>14797283</v>
      </c>
      <c r="HF71" s="19">
        <v>5039329</v>
      </c>
      <c r="HG71" s="19"/>
      <c r="HH71" s="19"/>
      <c r="HI71" s="19">
        <v>22582141</v>
      </c>
      <c r="HJ71" s="19">
        <v>2020510</v>
      </c>
      <c r="HK71" s="19">
        <v>20352492</v>
      </c>
      <c r="HL71" s="19"/>
      <c r="HM71" s="19">
        <v>10086582</v>
      </c>
      <c r="HN71" s="19">
        <v>2130821</v>
      </c>
      <c r="HO71" s="19">
        <v>651056</v>
      </c>
      <c r="HP71" s="19">
        <v>7053195</v>
      </c>
      <c r="HQ71" s="19"/>
      <c r="HR71" s="19">
        <v>6413010</v>
      </c>
      <c r="HS71" s="19">
        <v>857999</v>
      </c>
      <c r="HT71" s="19">
        <v>6522144</v>
      </c>
      <c r="HU71" s="19">
        <v>10627835</v>
      </c>
      <c r="HV71" s="19">
        <v>335568</v>
      </c>
      <c r="HW71" s="19">
        <v>760777116</v>
      </c>
      <c r="HX71" s="19">
        <v>29551282</v>
      </c>
      <c r="HY71" s="19" t="s">
        <v>172</v>
      </c>
      <c r="HZ71" s="19">
        <v>106292016</v>
      </c>
      <c r="IA71" s="19"/>
      <c r="IB71" s="19">
        <v>59135037</v>
      </c>
      <c r="IC71" s="19">
        <v>12245607</v>
      </c>
      <c r="ID71" s="19">
        <v>18339</v>
      </c>
      <c r="IE71" s="19" t="s">
        <v>96</v>
      </c>
      <c r="IF71" s="19"/>
      <c r="IG71" s="19">
        <v>381418</v>
      </c>
      <c r="IH71" s="19">
        <v>184329</v>
      </c>
      <c r="II71" s="19">
        <v>2526154</v>
      </c>
      <c r="IJ71" s="19">
        <v>2456471</v>
      </c>
      <c r="IK71" s="19">
        <v>3863150</v>
      </c>
      <c r="IL71" s="19">
        <v>257861</v>
      </c>
      <c r="IM71" s="19">
        <v>1256861</v>
      </c>
      <c r="IN71" s="19">
        <v>919326</v>
      </c>
      <c r="IO71" s="19">
        <v>9916722</v>
      </c>
      <c r="IP71" s="19">
        <v>40047</v>
      </c>
      <c r="IQ71" s="19">
        <v>4107333</v>
      </c>
      <c r="IR71" s="19">
        <v>11331373</v>
      </c>
      <c r="IS71" s="19">
        <v>117000419</v>
      </c>
      <c r="IT71" s="19">
        <v>10702638</v>
      </c>
    </row>
    <row r="72" spans="1:254">
      <c r="A72" s="9" t="s">
        <v>3</v>
      </c>
      <c r="B72" s="15" t="s">
        <v>29</v>
      </c>
      <c r="C72" s="19">
        <v>74300000</v>
      </c>
      <c r="D72" s="19">
        <v>0</v>
      </c>
      <c r="E72" s="19">
        <v>2199050</v>
      </c>
      <c r="F72" s="19">
        <v>173834800</v>
      </c>
      <c r="G72" s="19">
        <v>3774000</v>
      </c>
      <c r="H72" s="19"/>
      <c r="I72" s="19">
        <v>2200000</v>
      </c>
      <c r="J72" s="19" t="s">
        <v>4</v>
      </c>
      <c r="K72" s="19"/>
      <c r="L72" s="19" t="s">
        <v>96</v>
      </c>
      <c r="M72" s="19" t="s">
        <v>96</v>
      </c>
      <c r="N72" s="19">
        <v>0</v>
      </c>
      <c r="O72" s="19">
        <v>0</v>
      </c>
      <c r="P72" s="19"/>
      <c r="Q72" s="19"/>
      <c r="R72" s="19"/>
      <c r="S72" s="19">
        <v>288111096</v>
      </c>
      <c r="T72" s="19" t="s">
        <v>96</v>
      </c>
      <c r="U72" s="19">
        <v>1000000</v>
      </c>
      <c r="V72" s="19" t="s">
        <v>172</v>
      </c>
      <c r="W72" s="19">
        <v>70000</v>
      </c>
      <c r="X72" s="19">
        <v>107400000</v>
      </c>
      <c r="Y72" s="19"/>
      <c r="Z72" s="19"/>
      <c r="AA72" s="19">
        <v>3929300</v>
      </c>
      <c r="AB72" s="19"/>
      <c r="AC72" s="19">
        <v>2560000</v>
      </c>
      <c r="AD72" s="19">
        <v>28724279</v>
      </c>
      <c r="AE72" s="19">
        <v>2470000</v>
      </c>
      <c r="AF72" s="19">
        <v>3000000</v>
      </c>
      <c r="AG72" s="19"/>
      <c r="AH72" s="19">
        <v>2333332</v>
      </c>
      <c r="AI72" s="19">
        <v>1500000</v>
      </c>
      <c r="AJ72" s="19">
        <v>12680000</v>
      </c>
      <c r="AK72" s="19">
        <v>0</v>
      </c>
      <c r="AL72" s="19">
        <v>51000000</v>
      </c>
      <c r="AM72" s="19" t="s">
        <v>4</v>
      </c>
      <c r="AN72" s="19">
        <v>2080000</v>
      </c>
      <c r="AO72" s="19"/>
      <c r="AP72" s="19"/>
      <c r="AQ72" s="19" t="s">
        <v>96</v>
      </c>
      <c r="AR72" s="19">
        <v>0</v>
      </c>
      <c r="AS72" s="19">
        <v>0</v>
      </c>
      <c r="AT72" s="19">
        <v>0</v>
      </c>
      <c r="AU72" s="19">
        <v>1200000</v>
      </c>
      <c r="AV72" s="19"/>
      <c r="AW72" s="19">
        <v>305000</v>
      </c>
      <c r="AX72" s="19" t="s">
        <v>4</v>
      </c>
      <c r="AY72" s="19">
        <v>300000</v>
      </c>
      <c r="AZ72" s="19"/>
      <c r="BA72" s="19">
        <v>1734040</v>
      </c>
      <c r="BB72" s="19">
        <v>0</v>
      </c>
      <c r="BC72" s="19" t="s">
        <v>4</v>
      </c>
      <c r="BD72" s="19" t="s">
        <v>128</v>
      </c>
      <c r="BE72" s="19">
        <v>8300000</v>
      </c>
      <c r="BF72" s="19">
        <v>0</v>
      </c>
      <c r="BG72" s="19">
        <v>16581749</v>
      </c>
      <c r="BH72" s="19">
        <v>18066312</v>
      </c>
      <c r="BI72" s="19">
        <v>2000000</v>
      </c>
      <c r="BJ72" s="19">
        <v>1350000</v>
      </c>
      <c r="BK72" s="19"/>
      <c r="BL72" s="19"/>
      <c r="BM72" s="19">
        <v>6800000</v>
      </c>
      <c r="BN72" s="19">
        <v>1340000</v>
      </c>
      <c r="BO72" s="19">
        <v>7625000</v>
      </c>
      <c r="BP72" s="19" t="s">
        <v>96</v>
      </c>
      <c r="BQ72" s="19" t="s">
        <v>4</v>
      </c>
      <c r="BR72" s="19">
        <v>5897320</v>
      </c>
      <c r="BS72" s="19"/>
      <c r="BT72" s="19"/>
      <c r="BU72" s="19">
        <v>361002</v>
      </c>
      <c r="BV72" s="19"/>
      <c r="BW72" s="19"/>
      <c r="BX72" s="19">
        <v>0</v>
      </c>
      <c r="BY72" s="19">
        <v>52532769</v>
      </c>
      <c r="BZ72" s="19">
        <v>131805000</v>
      </c>
      <c r="CA72" s="19"/>
      <c r="CB72" s="19">
        <v>17479000</v>
      </c>
      <c r="CC72" s="19"/>
      <c r="CD72" s="19">
        <v>16000000</v>
      </c>
      <c r="CE72" s="19"/>
      <c r="CF72" s="19"/>
      <c r="CG72" s="19">
        <v>1190000</v>
      </c>
      <c r="CH72" s="19">
        <v>19251562</v>
      </c>
      <c r="CI72" s="19" t="s">
        <v>128</v>
      </c>
      <c r="CJ72" s="19"/>
      <c r="CK72" s="19">
        <v>3000000</v>
      </c>
      <c r="CL72" s="19">
        <v>40740000</v>
      </c>
      <c r="CM72" s="19">
        <v>33580000</v>
      </c>
      <c r="CN72" s="19"/>
      <c r="CO72" s="19"/>
      <c r="CP72" s="19">
        <v>1347687</v>
      </c>
      <c r="CQ72" s="19" t="s">
        <v>96</v>
      </c>
      <c r="CR72" s="19">
        <v>25309100</v>
      </c>
      <c r="CS72" s="19">
        <v>22980000</v>
      </c>
      <c r="CT72" s="19">
        <v>600000</v>
      </c>
      <c r="CU72" s="19">
        <v>250000</v>
      </c>
      <c r="CV72" s="19"/>
      <c r="CW72" s="19">
        <v>1200000</v>
      </c>
      <c r="CX72" s="19"/>
      <c r="CY72" s="19" t="s">
        <v>96</v>
      </c>
      <c r="CZ72" s="19">
        <v>12030000</v>
      </c>
      <c r="DA72" s="19">
        <v>1170000</v>
      </c>
      <c r="DB72" s="19"/>
      <c r="DC72" s="19"/>
      <c r="DD72" s="19"/>
      <c r="DE72" s="19"/>
      <c r="DF72" s="19">
        <v>500000</v>
      </c>
      <c r="DG72" s="19">
        <v>4444038</v>
      </c>
      <c r="DH72" s="19"/>
      <c r="DI72" s="19">
        <v>8874400</v>
      </c>
      <c r="DJ72" s="19">
        <v>360000</v>
      </c>
      <c r="DK72" s="19">
        <v>14655380</v>
      </c>
      <c r="DL72" s="19">
        <v>8680610</v>
      </c>
      <c r="DM72" s="19">
        <v>16570000</v>
      </c>
      <c r="DN72" s="19"/>
      <c r="DO72" s="19">
        <v>120000</v>
      </c>
      <c r="DP72" s="19"/>
      <c r="DQ72" s="19"/>
      <c r="DR72" s="19"/>
      <c r="DS72" s="19">
        <v>15000000</v>
      </c>
      <c r="DT72" s="19">
        <v>1800000</v>
      </c>
      <c r="DU72" s="19"/>
      <c r="DV72" s="19"/>
      <c r="DW72" s="19">
        <v>480000</v>
      </c>
      <c r="DX72" s="19">
        <v>1870000</v>
      </c>
      <c r="DY72" s="19"/>
      <c r="DZ72" s="19"/>
      <c r="EA72" s="19">
        <v>2560000</v>
      </c>
      <c r="EB72" s="19"/>
      <c r="EC72" s="19">
        <v>27360880</v>
      </c>
      <c r="ED72" s="19"/>
      <c r="EE72" s="19">
        <v>4500000</v>
      </c>
      <c r="EF72" s="19">
        <v>268671927</v>
      </c>
      <c r="EG72" s="19">
        <v>5000000</v>
      </c>
      <c r="EH72" s="19"/>
      <c r="EI72" s="19">
        <v>49552573</v>
      </c>
      <c r="EJ72" s="19">
        <v>200000</v>
      </c>
      <c r="EK72" s="19"/>
      <c r="EL72" s="19">
        <v>1600000</v>
      </c>
      <c r="EM72" s="19">
        <v>19210200</v>
      </c>
      <c r="EN72" s="19">
        <v>1500000</v>
      </c>
      <c r="EO72" s="19">
        <v>39974000</v>
      </c>
      <c r="EP72" s="19"/>
      <c r="EQ72" s="19"/>
      <c r="ER72" s="19">
        <v>6605140</v>
      </c>
      <c r="ES72" s="19">
        <v>3904870</v>
      </c>
      <c r="ET72" s="19">
        <v>0</v>
      </c>
      <c r="EU72" s="19"/>
      <c r="EV72" s="19">
        <v>34163215</v>
      </c>
      <c r="EW72" s="19"/>
      <c r="EX72" s="19"/>
      <c r="EY72" s="19">
        <v>1800000</v>
      </c>
      <c r="EZ72" s="19"/>
      <c r="FA72" s="19">
        <v>100000</v>
      </c>
      <c r="FB72" s="19"/>
      <c r="FC72" s="19"/>
      <c r="FD72" s="19"/>
      <c r="FE72" s="19">
        <v>109901400</v>
      </c>
      <c r="FF72" s="19">
        <v>1530700</v>
      </c>
      <c r="FG72" s="19"/>
      <c r="FH72" s="19">
        <v>4843000</v>
      </c>
      <c r="FI72" s="19" t="s">
        <v>96</v>
      </c>
      <c r="FJ72" s="19"/>
      <c r="FK72" s="19">
        <v>3652000</v>
      </c>
      <c r="FL72" s="19"/>
      <c r="FM72" s="19"/>
      <c r="FN72" s="19"/>
      <c r="FO72" s="19"/>
      <c r="FP72" s="19"/>
      <c r="FQ72" s="19"/>
      <c r="FR72" s="19">
        <v>53800000</v>
      </c>
      <c r="FS72" s="19"/>
      <c r="FT72" s="19">
        <v>8000000</v>
      </c>
      <c r="FU72" s="19"/>
      <c r="FV72" s="19"/>
      <c r="FW72" s="19">
        <v>2970000</v>
      </c>
      <c r="FX72" s="19"/>
      <c r="FY72" s="19"/>
      <c r="FZ72" s="19"/>
      <c r="GA72" s="19"/>
      <c r="GB72" s="19"/>
      <c r="GC72" s="19">
        <v>1000000</v>
      </c>
      <c r="GD72" s="19" t="s">
        <v>96</v>
      </c>
      <c r="GE72" s="19"/>
      <c r="GF72" s="19"/>
      <c r="GG72" s="19">
        <v>230000</v>
      </c>
      <c r="GH72" s="19"/>
      <c r="GI72" s="19">
        <v>16622000</v>
      </c>
      <c r="GJ72" s="19"/>
      <c r="GK72" s="19">
        <v>1929500</v>
      </c>
      <c r="GL72" s="19" t="s">
        <v>96</v>
      </c>
      <c r="GM72" s="19"/>
      <c r="GN72" s="19"/>
      <c r="GO72" s="19"/>
      <c r="GP72" s="19">
        <v>41580869</v>
      </c>
      <c r="GQ72" s="19"/>
      <c r="GR72" s="19">
        <v>4400000</v>
      </c>
      <c r="GS72" s="19">
        <v>5000000</v>
      </c>
      <c r="GT72" s="19">
        <v>0</v>
      </c>
      <c r="GU72" s="19">
        <v>100000</v>
      </c>
      <c r="GV72" s="19">
        <v>4880000</v>
      </c>
      <c r="GW72" s="19">
        <v>300000</v>
      </c>
      <c r="GX72" s="19">
        <v>11920360</v>
      </c>
      <c r="GY72" s="19"/>
      <c r="GZ72" s="19">
        <v>38814700</v>
      </c>
      <c r="HA72" s="19"/>
      <c r="HB72" s="19"/>
      <c r="HC72" s="19"/>
      <c r="HD72" s="19"/>
      <c r="HE72" s="19">
        <v>0</v>
      </c>
      <c r="HF72" s="19">
        <v>34200000</v>
      </c>
      <c r="HG72" s="19">
        <v>120000</v>
      </c>
      <c r="HH72" s="19"/>
      <c r="HI72" s="19">
        <v>0</v>
      </c>
      <c r="HJ72" s="19">
        <v>500000</v>
      </c>
      <c r="HK72" s="19">
        <v>0</v>
      </c>
      <c r="HL72" s="19"/>
      <c r="HM72" s="19">
        <v>2300000</v>
      </c>
      <c r="HN72" s="19"/>
      <c r="HO72" s="19">
        <v>25670000</v>
      </c>
      <c r="HP72" s="19"/>
      <c r="HQ72" s="19">
        <v>3788728</v>
      </c>
      <c r="HR72" s="19"/>
      <c r="HS72" s="19">
        <v>0</v>
      </c>
      <c r="HT72" s="19"/>
      <c r="HU72" s="19"/>
      <c r="HV72" s="19">
        <v>0</v>
      </c>
      <c r="HW72" s="19"/>
      <c r="HX72" s="19">
        <v>20870000</v>
      </c>
      <c r="HY72" s="19" t="s">
        <v>172</v>
      </c>
      <c r="HZ72" s="19">
        <v>0</v>
      </c>
      <c r="IA72" s="19">
        <v>300000</v>
      </c>
      <c r="IB72" s="19">
        <v>947000</v>
      </c>
      <c r="IC72" s="19">
        <v>0</v>
      </c>
      <c r="ID72" s="19">
        <v>2700000</v>
      </c>
      <c r="IE72" s="19" t="s">
        <v>96</v>
      </c>
      <c r="IF72" s="19"/>
      <c r="IG72" s="19">
        <v>360000</v>
      </c>
      <c r="IH72" s="19"/>
      <c r="II72" s="19">
        <v>13326000</v>
      </c>
      <c r="IJ72" s="19">
        <v>1274289</v>
      </c>
      <c r="IK72" s="19"/>
      <c r="IL72" s="19"/>
      <c r="IM72" s="19"/>
      <c r="IN72" s="19"/>
      <c r="IO72" s="19">
        <v>0</v>
      </c>
      <c r="IP72" s="19"/>
      <c r="IQ72" s="19"/>
      <c r="IR72" s="19">
        <v>0</v>
      </c>
      <c r="IS72" s="19">
        <v>10500000</v>
      </c>
      <c r="IT72" s="19">
        <v>6709100</v>
      </c>
    </row>
    <row r="73" spans="1:254">
      <c r="A73" s="9" t="s">
        <v>3</v>
      </c>
      <c r="B73" s="15" t="s">
        <v>57</v>
      </c>
      <c r="C73" s="19">
        <v>0</v>
      </c>
      <c r="D73" s="19">
        <v>0</v>
      </c>
      <c r="E73" s="19">
        <v>0</v>
      </c>
      <c r="F73" s="19">
        <v>64812</v>
      </c>
      <c r="G73" s="19">
        <v>0</v>
      </c>
      <c r="H73" s="19"/>
      <c r="I73" s="19"/>
      <c r="J73" s="19" t="s">
        <v>4</v>
      </c>
      <c r="K73" s="19"/>
      <c r="L73" s="19" t="s">
        <v>96</v>
      </c>
      <c r="M73" s="19" t="s">
        <v>96</v>
      </c>
      <c r="N73" s="19"/>
      <c r="O73" s="19"/>
      <c r="P73" s="19">
        <v>1236607</v>
      </c>
      <c r="Q73" s="19"/>
      <c r="R73" s="19">
        <v>7353680</v>
      </c>
      <c r="S73" s="19"/>
      <c r="T73" s="19" t="s">
        <v>96</v>
      </c>
      <c r="U73" s="19"/>
      <c r="V73" s="19" t="s">
        <v>172</v>
      </c>
      <c r="W73" s="19">
        <v>36690000</v>
      </c>
      <c r="X73" s="19"/>
      <c r="Y73" s="19"/>
      <c r="Z73" s="19"/>
      <c r="AA73" s="19">
        <v>0</v>
      </c>
      <c r="AB73" s="19"/>
      <c r="AC73" s="19">
        <v>2182828</v>
      </c>
      <c r="AD73" s="19"/>
      <c r="AE73" s="19"/>
      <c r="AF73" s="19"/>
      <c r="AG73" s="19"/>
      <c r="AH73" s="19"/>
      <c r="AI73" s="19">
        <v>5269540</v>
      </c>
      <c r="AJ73" s="19"/>
      <c r="AK73" s="19">
        <v>2105817</v>
      </c>
      <c r="AL73" s="19"/>
      <c r="AM73" s="19" t="s">
        <v>4</v>
      </c>
      <c r="AN73" s="19"/>
      <c r="AO73" s="19"/>
      <c r="AP73" s="19"/>
      <c r="AQ73" s="19" t="s">
        <v>96</v>
      </c>
      <c r="AR73" s="19">
        <v>0</v>
      </c>
      <c r="AS73" s="19"/>
      <c r="AT73" s="19"/>
      <c r="AU73" s="19"/>
      <c r="AV73" s="19"/>
      <c r="AW73" s="19"/>
      <c r="AX73" s="19" t="s">
        <v>4</v>
      </c>
      <c r="AY73" s="19">
        <v>473519</v>
      </c>
      <c r="AZ73" s="19"/>
      <c r="BA73" s="19">
        <v>15000000</v>
      </c>
      <c r="BB73" s="19"/>
      <c r="BC73" s="19" t="s">
        <v>4</v>
      </c>
      <c r="BD73" s="19" t="s">
        <v>128</v>
      </c>
      <c r="BE73" s="19"/>
      <c r="BF73" s="19"/>
      <c r="BG73" s="19">
        <v>11475333</v>
      </c>
      <c r="BH73" s="19"/>
      <c r="BI73" s="19"/>
      <c r="BJ73" s="19"/>
      <c r="BK73" s="19">
        <v>7931140</v>
      </c>
      <c r="BL73" s="19"/>
      <c r="BM73" s="19"/>
      <c r="BN73" s="19"/>
      <c r="BO73" s="19"/>
      <c r="BP73" s="19" t="s">
        <v>96</v>
      </c>
      <c r="BQ73" s="19" t="s">
        <v>4</v>
      </c>
      <c r="BR73" s="19"/>
      <c r="BS73" s="19"/>
      <c r="BT73" s="19"/>
      <c r="BU73" s="19"/>
      <c r="BV73" s="19"/>
      <c r="BW73" s="19"/>
      <c r="BX73" s="19"/>
      <c r="BY73" s="19"/>
      <c r="BZ73" s="19"/>
      <c r="CA73" s="19"/>
      <c r="CB73" s="19"/>
      <c r="CC73" s="19"/>
      <c r="CD73" s="19"/>
      <c r="CE73" s="19"/>
      <c r="CF73" s="19"/>
      <c r="CG73" s="19"/>
      <c r="CH73" s="19"/>
      <c r="CI73" s="19" t="s">
        <v>128</v>
      </c>
      <c r="CJ73" s="19"/>
      <c r="CK73" s="19">
        <v>1787805</v>
      </c>
      <c r="CL73" s="19"/>
      <c r="CM73" s="19"/>
      <c r="CN73" s="19"/>
      <c r="CO73" s="19"/>
      <c r="CP73" s="19"/>
      <c r="CQ73" s="19" t="s">
        <v>96</v>
      </c>
      <c r="CR73" s="19"/>
      <c r="CS73" s="19">
        <v>39600000</v>
      </c>
      <c r="CT73" s="19"/>
      <c r="CU73" s="19"/>
      <c r="CV73" s="19"/>
      <c r="CW73" s="19">
        <v>8276620</v>
      </c>
      <c r="CX73" s="19"/>
      <c r="CY73" s="19" t="s">
        <v>96</v>
      </c>
      <c r="CZ73" s="19"/>
      <c r="DA73" s="19">
        <v>9738035</v>
      </c>
      <c r="DB73" s="19"/>
      <c r="DC73" s="19"/>
      <c r="DD73" s="19"/>
      <c r="DE73" s="19"/>
      <c r="DF73" s="19"/>
      <c r="DG73" s="19">
        <v>17558435</v>
      </c>
      <c r="DH73" s="19">
        <v>52698</v>
      </c>
      <c r="DI73" s="19"/>
      <c r="DJ73" s="19"/>
      <c r="DK73" s="19">
        <v>1324445</v>
      </c>
      <c r="DL73" s="19">
        <v>585006</v>
      </c>
      <c r="DM73" s="19">
        <v>10800000</v>
      </c>
      <c r="DN73" s="19"/>
      <c r="DO73" s="19"/>
      <c r="DP73" s="19">
        <v>688001</v>
      </c>
      <c r="DQ73" s="19"/>
      <c r="DR73" s="19">
        <v>220810590</v>
      </c>
      <c r="DS73" s="19">
        <v>2434255</v>
      </c>
      <c r="DT73" s="19"/>
      <c r="DU73" s="19"/>
      <c r="DV73" s="19"/>
      <c r="DW73" s="19">
        <v>11112851</v>
      </c>
      <c r="DX73" s="19"/>
      <c r="DY73" s="19"/>
      <c r="DZ73" s="19"/>
      <c r="EA73" s="19"/>
      <c r="EB73" s="19">
        <v>44152414</v>
      </c>
      <c r="EC73" s="19"/>
      <c r="ED73" s="19"/>
      <c r="EE73" s="19"/>
      <c r="EF73" s="19"/>
      <c r="EG73" s="19">
        <v>21927634</v>
      </c>
      <c r="EH73" s="19"/>
      <c r="EI73" s="19">
        <v>1208710</v>
      </c>
      <c r="EJ73" s="19"/>
      <c r="EK73" s="19">
        <v>1321521</v>
      </c>
      <c r="EL73" s="19"/>
      <c r="EM73" s="19"/>
      <c r="EN73" s="19">
        <v>7000</v>
      </c>
      <c r="EO73" s="19">
        <v>19343668</v>
      </c>
      <c r="EP73" s="19"/>
      <c r="EQ73" s="19"/>
      <c r="ER73" s="19">
        <v>8000</v>
      </c>
      <c r="ES73" s="19"/>
      <c r="ET73" s="19"/>
      <c r="EU73" s="19"/>
      <c r="EV73" s="19"/>
      <c r="EW73" s="19">
        <v>7270</v>
      </c>
      <c r="EX73" s="19">
        <v>1771066</v>
      </c>
      <c r="EY73" s="19"/>
      <c r="EZ73" s="19"/>
      <c r="FA73" s="19"/>
      <c r="FB73" s="19">
        <v>859227</v>
      </c>
      <c r="FC73" s="19"/>
      <c r="FD73" s="19"/>
      <c r="FE73" s="19">
        <v>7031378</v>
      </c>
      <c r="FF73" s="19"/>
      <c r="FG73" s="19"/>
      <c r="FH73" s="19"/>
      <c r="FI73" s="19" t="s">
        <v>96</v>
      </c>
      <c r="FJ73" s="19"/>
      <c r="FK73" s="19"/>
      <c r="FL73" s="19"/>
      <c r="FM73" s="19"/>
      <c r="FN73" s="19"/>
      <c r="FO73" s="19"/>
      <c r="FP73" s="19"/>
      <c r="FQ73" s="19"/>
      <c r="FR73" s="19"/>
      <c r="FS73" s="19"/>
      <c r="FT73" s="19"/>
      <c r="FU73" s="19"/>
      <c r="FV73" s="19"/>
      <c r="FW73" s="19"/>
      <c r="FX73" s="19"/>
      <c r="FY73" s="19"/>
      <c r="FZ73" s="19"/>
      <c r="GA73" s="19"/>
      <c r="GB73" s="19"/>
      <c r="GC73" s="19">
        <v>87476</v>
      </c>
      <c r="GD73" s="19" t="s">
        <v>96</v>
      </c>
      <c r="GE73" s="19"/>
      <c r="GF73" s="19"/>
      <c r="GG73" s="19">
        <v>6544580</v>
      </c>
      <c r="GH73" s="19"/>
      <c r="GI73" s="19"/>
      <c r="GJ73" s="19">
        <v>35096230</v>
      </c>
      <c r="GK73" s="19"/>
      <c r="GL73" s="19" t="s">
        <v>96</v>
      </c>
      <c r="GM73" s="19"/>
      <c r="GN73" s="19">
        <v>1605000</v>
      </c>
      <c r="GO73" s="19">
        <v>7339000</v>
      </c>
      <c r="GP73" s="19"/>
      <c r="GQ73" s="19"/>
      <c r="GR73" s="19"/>
      <c r="GS73" s="19"/>
      <c r="GT73" s="19">
        <v>21725888</v>
      </c>
      <c r="GU73" s="19"/>
      <c r="GV73" s="19"/>
      <c r="GW73" s="19">
        <v>4495273</v>
      </c>
      <c r="GX73" s="19">
        <v>1889183</v>
      </c>
      <c r="GY73" s="19"/>
      <c r="GZ73" s="19"/>
      <c r="HA73" s="19">
        <v>13006516</v>
      </c>
      <c r="HB73" s="19"/>
      <c r="HC73" s="19">
        <v>4892349</v>
      </c>
      <c r="HD73" s="19"/>
      <c r="HE73" s="19"/>
      <c r="HF73" s="19"/>
      <c r="HG73" s="19">
        <v>0</v>
      </c>
      <c r="HH73" s="19"/>
      <c r="HI73" s="19">
        <v>135960000</v>
      </c>
      <c r="HJ73" s="19"/>
      <c r="HK73" s="19"/>
      <c r="HL73" s="19"/>
      <c r="HM73" s="19"/>
      <c r="HN73" s="19"/>
      <c r="HO73" s="19"/>
      <c r="HP73" s="19">
        <v>1175387673</v>
      </c>
      <c r="HQ73" s="19"/>
      <c r="HR73" s="19"/>
      <c r="HS73" s="19">
        <v>0</v>
      </c>
      <c r="HT73" s="19"/>
      <c r="HU73" s="19">
        <v>2240000</v>
      </c>
      <c r="HV73" s="19"/>
      <c r="HW73" s="19">
        <v>117704372</v>
      </c>
      <c r="HX73" s="19"/>
      <c r="HY73" s="19" t="s">
        <v>172</v>
      </c>
      <c r="HZ73" s="19"/>
      <c r="IA73" s="19"/>
      <c r="IB73" s="19">
        <v>24999703</v>
      </c>
      <c r="IC73" s="19"/>
      <c r="ID73" s="19"/>
      <c r="IE73" s="19" t="s">
        <v>96</v>
      </c>
      <c r="IF73" s="19"/>
      <c r="IG73" s="19"/>
      <c r="IH73" s="19">
        <v>0</v>
      </c>
      <c r="II73" s="19"/>
      <c r="IJ73" s="19"/>
      <c r="IK73" s="19"/>
      <c r="IL73" s="19"/>
      <c r="IM73" s="19"/>
      <c r="IN73" s="19"/>
      <c r="IO73" s="19"/>
      <c r="IP73" s="19"/>
      <c r="IQ73" s="19"/>
      <c r="IR73" s="19">
        <v>0</v>
      </c>
      <c r="IS73" s="19">
        <v>87595667</v>
      </c>
      <c r="IT73" s="19">
        <v>0</v>
      </c>
    </row>
    <row r="74" spans="1:254">
      <c r="A74" s="9" t="s">
        <v>3</v>
      </c>
      <c r="B74" s="15" t="s">
        <v>9</v>
      </c>
      <c r="C74" s="19">
        <v>3</v>
      </c>
      <c r="D74" s="19">
        <v>211622</v>
      </c>
      <c r="E74" s="19">
        <v>3084182</v>
      </c>
      <c r="F74" s="19">
        <v>1085272</v>
      </c>
      <c r="G74" s="19">
        <v>0</v>
      </c>
      <c r="H74" s="19"/>
      <c r="I74" s="19">
        <v>2794214</v>
      </c>
      <c r="J74" s="19" t="s">
        <v>4</v>
      </c>
      <c r="K74" s="19">
        <v>228639</v>
      </c>
      <c r="L74" s="19" t="s">
        <v>96</v>
      </c>
      <c r="M74" s="19" t="s">
        <v>96</v>
      </c>
      <c r="N74" s="19">
        <v>1306649</v>
      </c>
      <c r="O74" s="19">
        <v>0</v>
      </c>
      <c r="P74" s="19">
        <v>23052607</v>
      </c>
      <c r="Q74" s="19">
        <v>1302</v>
      </c>
      <c r="R74" s="19">
        <v>10122</v>
      </c>
      <c r="S74" s="19">
        <v>20892</v>
      </c>
      <c r="T74" s="19" t="s">
        <v>96</v>
      </c>
      <c r="U74" s="19">
        <v>81830</v>
      </c>
      <c r="V74" s="19" t="s">
        <v>172</v>
      </c>
      <c r="W74" s="19">
        <v>0</v>
      </c>
      <c r="X74" s="19">
        <v>1290608</v>
      </c>
      <c r="Y74" s="19">
        <v>27429</v>
      </c>
      <c r="Z74" s="19">
        <v>245238</v>
      </c>
      <c r="AA74" s="19">
        <v>439568</v>
      </c>
      <c r="AB74" s="19">
        <v>12852</v>
      </c>
      <c r="AC74" s="19">
        <v>756818</v>
      </c>
      <c r="AD74" s="19">
        <v>59750777</v>
      </c>
      <c r="AE74" s="19"/>
      <c r="AF74" s="19"/>
      <c r="AG74" s="19">
        <v>4038371</v>
      </c>
      <c r="AH74" s="19">
        <v>36344</v>
      </c>
      <c r="AI74" s="19">
        <v>1429895</v>
      </c>
      <c r="AJ74" s="19">
        <v>4659669</v>
      </c>
      <c r="AK74" s="19">
        <v>154240</v>
      </c>
      <c r="AL74" s="19">
        <v>8233263</v>
      </c>
      <c r="AM74" s="19" t="s">
        <v>4</v>
      </c>
      <c r="AN74" s="19">
        <v>347792</v>
      </c>
      <c r="AO74" s="19">
        <v>145907</v>
      </c>
      <c r="AP74" s="19">
        <v>1046394</v>
      </c>
      <c r="AQ74" s="19" t="s">
        <v>96</v>
      </c>
      <c r="AR74" s="19">
        <v>320394</v>
      </c>
      <c r="AS74" s="19">
        <v>190368</v>
      </c>
      <c r="AT74" s="19">
        <v>2920398</v>
      </c>
      <c r="AU74" s="19">
        <v>2096630</v>
      </c>
      <c r="AV74" s="19">
        <v>1022536</v>
      </c>
      <c r="AW74" s="19">
        <v>1870185</v>
      </c>
      <c r="AX74" s="19" t="s">
        <v>4</v>
      </c>
      <c r="AY74" s="19">
        <v>634846</v>
      </c>
      <c r="AZ74" s="19"/>
      <c r="BA74" s="19">
        <v>1211471</v>
      </c>
      <c r="BB74" s="19">
        <v>116752</v>
      </c>
      <c r="BC74" s="19" t="s">
        <v>4</v>
      </c>
      <c r="BD74" s="19" t="s">
        <v>128</v>
      </c>
      <c r="BE74" s="19">
        <v>2949931</v>
      </c>
      <c r="BF74" s="19">
        <v>134712</v>
      </c>
      <c r="BG74" s="19">
        <v>1725605</v>
      </c>
      <c r="BH74" s="19">
        <v>987568</v>
      </c>
      <c r="BI74" s="19">
        <v>1202764</v>
      </c>
      <c r="BJ74" s="19">
        <v>8596139</v>
      </c>
      <c r="BK74" s="19"/>
      <c r="BL74" s="19"/>
      <c r="BM74" s="19">
        <v>8854711</v>
      </c>
      <c r="BN74" s="19">
        <v>499</v>
      </c>
      <c r="BO74" s="19">
        <v>17</v>
      </c>
      <c r="BP74" s="19" t="s">
        <v>96</v>
      </c>
      <c r="BQ74" s="19" t="s">
        <v>4</v>
      </c>
      <c r="BR74" s="19">
        <v>126724</v>
      </c>
      <c r="BS74" s="19">
        <v>452585</v>
      </c>
      <c r="BT74" s="19">
        <v>6122</v>
      </c>
      <c r="BU74" s="19">
        <v>1114548</v>
      </c>
      <c r="BV74" s="19">
        <v>21</v>
      </c>
      <c r="BW74" s="19">
        <v>80000</v>
      </c>
      <c r="BX74" s="19">
        <v>42267</v>
      </c>
      <c r="BY74" s="19">
        <v>5545532</v>
      </c>
      <c r="BZ74" s="19">
        <v>6044425</v>
      </c>
      <c r="CA74" s="19">
        <v>3248</v>
      </c>
      <c r="CB74" s="19">
        <v>131510</v>
      </c>
      <c r="CC74" s="19">
        <v>841963</v>
      </c>
      <c r="CD74" s="19">
        <v>13</v>
      </c>
      <c r="CE74" s="19"/>
      <c r="CF74" s="19">
        <v>911636</v>
      </c>
      <c r="CG74" s="19">
        <v>376070</v>
      </c>
      <c r="CH74" s="19">
        <v>3</v>
      </c>
      <c r="CI74" s="19" t="s">
        <v>128</v>
      </c>
      <c r="CJ74" s="19">
        <v>370660</v>
      </c>
      <c r="CK74" s="19">
        <v>4995338</v>
      </c>
      <c r="CL74" s="19">
        <v>191159</v>
      </c>
      <c r="CM74" s="19">
        <v>102369</v>
      </c>
      <c r="CN74" s="19">
        <v>67589</v>
      </c>
      <c r="CO74" s="19">
        <v>96000</v>
      </c>
      <c r="CP74" s="19">
        <v>613202</v>
      </c>
      <c r="CQ74" s="19" t="s">
        <v>96</v>
      </c>
      <c r="CR74" s="19">
        <v>1779290</v>
      </c>
      <c r="CS74" s="19">
        <v>72708928</v>
      </c>
      <c r="CT74" s="19">
        <v>3696303</v>
      </c>
      <c r="CU74" s="19"/>
      <c r="CV74" s="19">
        <v>4</v>
      </c>
      <c r="CW74" s="19">
        <v>4892</v>
      </c>
      <c r="CX74" s="19">
        <v>900184</v>
      </c>
      <c r="CY74" s="19" t="s">
        <v>96</v>
      </c>
      <c r="CZ74" s="19">
        <v>1466020</v>
      </c>
      <c r="DA74" s="19"/>
      <c r="DB74" s="19">
        <v>339</v>
      </c>
      <c r="DC74" s="19">
        <v>5900</v>
      </c>
      <c r="DD74" s="19">
        <v>173</v>
      </c>
      <c r="DE74" s="19"/>
      <c r="DF74" s="19">
        <v>9</v>
      </c>
      <c r="DG74" s="19">
        <v>1080390</v>
      </c>
      <c r="DH74" s="19"/>
      <c r="DI74" s="19">
        <v>15328553</v>
      </c>
      <c r="DJ74" s="19">
        <v>15150</v>
      </c>
      <c r="DK74" s="19">
        <v>3953862</v>
      </c>
      <c r="DL74" s="19">
        <v>233114</v>
      </c>
      <c r="DM74" s="19">
        <v>597851</v>
      </c>
      <c r="DN74" s="19">
        <v>1403002</v>
      </c>
      <c r="DO74" s="19">
        <v>1880906</v>
      </c>
      <c r="DP74" s="19">
        <v>19174</v>
      </c>
      <c r="DQ74" s="19">
        <v>13330</v>
      </c>
      <c r="DR74" s="19">
        <v>3133985</v>
      </c>
      <c r="DS74" s="19">
        <v>268631</v>
      </c>
      <c r="DT74" s="19">
        <v>4978678</v>
      </c>
      <c r="DU74" s="19"/>
      <c r="DV74" s="19">
        <v>73008</v>
      </c>
      <c r="DW74" s="19">
        <v>426790</v>
      </c>
      <c r="DX74" s="19">
        <v>1271800</v>
      </c>
      <c r="DY74" s="19"/>
      <c r="DZ74" s="19">
        <v>566864</v>
      </c>
      <c r="EA74" s="19"/>
      <c r="EB74" s="19">
        <v>1112515</v>
      </c>
      <c r="EC74" s="19">
        <v>868775</v>
      </c>
      <c r="ED74" s="19">
        <v>30803</v>
      </c>
      <c r="EE74" s="19">
        <v>182724</v>
      </c>
      <c r="EF74" s="19">
        <v>354494262</v>
      </c>
      <c r="EG74" s="19">
        <v>5886730</v>
      </c>
      <c r="EH74" s="19">
        <v>25658003</v>
      </c>
      <c r="EI74" s="19">
        <v>78481</v>
      </c>
      <c r="EJ74" s="19">
        <v>155</v>
      </c>
      <c r="EK74" s="19">
        <v>6480885</v>
      </c>
      <c r="EL74" s="19">
        <v>545490</v>
      </c>
      <c r="EM74" s="19">
        <v>6707</v>
      </c>
      <c r="EN74" s="19">
        <v>3413832</v>
      </c>
      <c r="EO74" s="19">
        <v>1952536</v>
      </c>
      <c r="EP74" s="19"/>
      <c r="EQ74" s="19"/>
      <c r="ER74" s="19">
        <v>683409</v>
      </c>
      <c r="ES74" s="19">
        <v>847743</v>
      </c>
      <c r="ET74" s="19">
        <v>11273781</v>
      </c>
      <c r="EU74" s="19">
        <v>1056827</v>
      </c>
      <c r="EV74" s="19">
        <v>31817</v>
      </c>
      <c r="EW74" s="19">
        <v>1030830</v>
      </c>
      <c r="EX74" s="19">
        <v>326324</v>
      </c>
      <c r="EY74" s="19">
        <v>3783</v>
      </c>
      <c r="EZ74" s="19">
        <v>1157961</v>
      </c>
      <c r="FA74" s="19">
        <v>19256962</v>
      </c>
      <c r="FB74" s="19">
        <v>428878</v>
      </c>
      <c r="FC74" s="19">
        <v>374301</v>
      </c>
      <c r="FD74" s="19">
        <v>2551516</v>
      </c>
      <c r="FE74" s="19">
        <v>418083</v>
      </c>
      <c r="FF74" s="19">
        <v>1693371</v>
      </c>
      <c r="FG74" s="19">
        <v>309660</v>
      </c>
      <c r="FH74" s="19">
        <v>90013</v>
      </c>
      <c r="FI74" s="19" t="s">
        <v>96</v>
      </c>
      <c r="FJ74" s="19"/>
      <c r="FK74" s="19">
        <v>3274169</v>
      </c>
      <c r="FL74" s="19">
        <v>1135918</v>
      </c>
      <c r="FM74" s="19">
        <v>4500000</v>
      </c>
      <c r="FN74" s="19">
        <v>242</v>
      </c>
      <c r="FO74" s="19"/>
      <c r="FP74" s="19">
        <v>7513</v>
      </c>
      <c r="FQ74" s="19">
        <v>749953</v>
      </c>
      <c r="FR74" s="19">
        <v>1901778</v>
      </c>
      <c r="FS74" s="19">
        <v>4947333</v>
      </c>
      <c r="FT74" s="19">
        <v>48</v>
      </c>
      <c r="FU74" s="19">
        <v>900</v>
      </c>
      <c r="FV74" s="19">
        <v>7</v>
      </c>
      <c r="FW74" s="19">
        <v>32000</v>
      </c>
      <c r="FX74" s="19">
        <v>7246</v>
      </c>
      <c r="FY74" s="19">
        <v>19876007</v>
      </c>
      <c r="FZ74" s="19">
        <v>229551</v>
      </c>
      <c r="GA74" s="19">
        <v>115</v>
      </c>
      <c r="GB74" s="19">
        <v>22</v>
      </c>
      <c r="GC74" s="19">
        <v>3</v>
      </c>
      <c r="GD74" s="19" t="s">
        <v>96</v>
      </c>
      <c r="GE74" s="19">
        <v>64775</v>
      </c>
      <c r="GF74" s="19">
        <v>562944</v>
      </c>
      <c r="GG74" s="19">
        <v>49587429</v>
      </c>
      <c r="GH74" s="19">
        <v>553288</v>
      </c>
      <c r="GI74" s="19">
        <v>5219689</v>
      </c>
      <c r="GJ74" s="19">
        <v>579364</v>
      </c>
      <c r="GK74" s="19">
        <v>15968</v>
      </c>
      <c r="GL74" s="19" t="s">
        <v>96</v>
      </c>
      <c r="GM74" s="19">
        <v>456005</v>
      </c>
      <c r="GN74" s="19">
        <v>27268929</v>
      </c>
      <c r="GO74" s="19">
        <v>696167</v>
      </c>
      <c r="GP74" s="19">
        <v>15611062</v>
      </c>
      <c r="GQ74" s="19">
        <v>79002</v>
      </c>
      <c r="GR74" s="19">
        <v>1521760</v>
      </c>
      <c r="GS74" s="19">
        <v>319290</v>
      </c>
      <c r="GT74" s="19">
        <v>3468066</v>
      </c>
      <c r="GU74" s="19">
        <v>42</v>
      </c>
      <c r="GV74" s="19">
        <v>113600</v>
      </c>
      <c r="GW74" s="19">
        <v>2473463</v>
      </c>
      <c r="GX74" s="19">
        <v>460104</v>
      </c>
      <c r="GY74" s="19">
        <v>191348</v>
      </c>
      <c r="GZ74" s="19">
        <v>349150</v>
      </c>
      <c r="HA74" s="19">
        <v>91</v>
      </c>
      <c r="HB74" s="19">
        <v>4047</v>
      </c>
      <c r="HC74" s="19">
        <v>181636</v>
      </c>
      <c r="HD74" s="19">
        <v>988775</v>
      </c>
      <c r="HE74" s="19">
        <v>203978</v>
      </c>
      <c r="HF74" s="19">
        <v>7072549</v>
      </c>
      <c r="HG74" s="19">
        <v>1695093</v>
      </c>
      <c r="HH74" s="19"/>
      <c r="HI74" s="19">
        <v>35034</v>
      </c>
      <c r="HJ74" s="19">
        <v>272349</v>
      </c>
      <c r="HK74" s="19">
        <v>3273487</v>
      </c>
      <c r="HL74" s="19">
        <v>24718</v>
      </c>
      <c r="HM74" s="19">
        <v>103649</v>
      </c>
      <c r="HN74" s="19">
        <v>780</v>
      </c>
      <c r="HO74" s="19">
        <v>1363021</v>
      </c>
      <c r="HP74" s="19">
        <v>8468</v>
      </c>
      <c r="HQ74" s="19">
        <v>746</v>
      </c>
      <c r="HR74" s="19">
        <v>526377</v>
      </c>
      <c r="HS74" s="19">
        <v>2327751</v>
      </c>
      <c r="HT74" s="19">
        <v>80</v>
      </c>
      <c r="HU74" s="19">
        <v>1607395</v>
      </c>
      <c r="HV74" s="19">
        <v>896</v>
      </c>
      <c r="HW74" s="19">
        <v>24541963</v>
      </c>
      <c r="HX74" s="19"/>
      <c r="HY74" s="19" t="s">
        <v>172</v>
      </c>
      <c r="HZ74" s="19">
        <v>86074</v>
      </c>
      <c r="IA74" s="19">
        <v>7910</v>
      </c>
      <c r="IB74" s="19">
        <v>720001</v>
      </c>
      <c r="IC74" s="19">
        <v>123962</v>
      </c>
      <c r="ID74" s="19">
        <v>90469</v>
      </c>
      <c r="IE74" s="19" t="s">
        <v>96</v>
      </c>
      <c r="IF74" s="19">
        <v>1975647</v>
      </c>
      <c r="IG74" s="19">
        <v>7134</v>
      </c>
      <c r="IH74" s="19">
        <v>300</v>
      </c>
      <c r="II74" s="19">
        <v>25575</v>
      </c>
      <c r="IJ74" s="19">
        <v>382024</v>
      </c>
      <c r="IK74" s="19">
        <v>5878</v>
      </c>
      <c r="IL74" s="19"/>
      <c r="IM74" s="19">
        <v>2460166</v>
      </c>
      <c r="IN74" s="19">
        <v>47508</v>
      </c>
      <c r="IO74" s="19">
        <v>2988</v>
      </c>
      <c r="IP74" s="19">
        <v>1728899</v>
      </c>
      <c r="IQ74" s="19">
        <v>644318</v>
      </c>
      <c r="IR74" s="19">
        <v>3478866</v>
      </c>
      <c r="IS74" s="19">
        <v>32072</v>
      </c>
      <c r="IT74" s="19">
        <v>299774</v>
      </c>
    </row>
    <row r="75" spans="1:254">
      <c r="A75" s="9" t="s">
        <v>3</v>
      </c>
      <c r="B75" s="15" t="s">
        <v>43</v>
      </c>
      <c r="C75" s="19">
        <v>0</v>
      </c>
      <c r="D75" s="19">
        <v>14752977</v>
      </c>
      <c r="E75" s="19">
        <v>0</v>
      </c>
      <c r="F75" s="19">
        <v>0</v>
      </c>
      <c r="G75" s="19">
        <v>0</v>
      </c>
      <c r="H75" s="19">
        <v>628241180</v>
      </c>
      <c r="I75" s="19"/>
      <c r="J75" s="19" t="s">
        <v>4</v>
      </c>
      <c r="K75" s="19"/>
      <c r="L75" s="19" t="s">
        <v>96</v>
      </c>
      <c r="M75" s="19" t="s">
        <v>96</v>
      </c>
      <c r="N75" s="19">
        <v>97132370</v>
      </c>
      <c r="O75" s="19">
        <v>39049123</v>
      </c>
      <c r="P75" s="19">
        <v>13874565</v>
      </c>
      <c r="Q75" s="19">
        <v>199194</v>
      </c>
      <c r="R75" s="19"/>
      <c r="S75" s="19">
        <v>629087</v>
      </c>
      <c r="T75" s="19" t="s">
        <v>96</v>
      </c>
      <c r="U75" s="19">
        <v>456415</v>
      </c>
      <c r="V75" s="19" t="s">
        <v>172</v>
      </c>
      <c r="W75" s="19">
        <v>70923542</v>
      </c>
      <c r="X75" s="19"/>
      <c r="Y75" s="19"/>
      <c r="Z75" s="19"/>
      <c r="AA75" s="19">
        <v>71669064</v>
      </c>
      <c r="AB75" s="19"/>
      <c r="AC75" s="19"/>
      <c r="AD75" s="19"/>
      <c r="AE75" s="19">
        <v>1460007</v>
      </c>
      <c r="AF75" s="19"/>
      <c r="AG75" s="19"/>
      <c r="AH75" s="19">
        <v>88906</v>
      </c>
      <c r="AI75" s="19"/>
      <c r="AJ75" s="19"/>
      <c r="AK75" s="19"/>
      <c r="AL75" s="19">
        <v>8960</v>
      </c>
      <c r="AM75" s="19" t="s">
        <v>4</v>
      </c>
      <c r="AN75" s="19"/>
      <c r="AO75" s="19">
        <v>2587752</v>
      </c>
      <c r="AP75" s="19"/>
      <c r="AQ75" s="19" t="s">
        <v>96</v>
      </c>
      <c r="AR75" s="19"/>
      <c r="AS75" s="19"/>
      <c r="AT75" s="19"/>
      <c r="AU75" s="19"/>
      <c r="AV75" s="19"/>
      <c r="AW75" s="19">
        <v>6880190</v>
      </c>
      <c r="AX75" s="19" t="s">
        <v>4</v>
      </c>
      <c r="AY75" s="19">
        <v>18000000</v>
      </c>
      <c r="AZ75" s="19"/>
      <c r="BA75" s="19">
        <v>26331785</v>
      </c>
      <c r="BB75" s="19"/>
      <c r="BC75" s="19" t="s">
        <v>4</v>
      </c>
      <c r="BD75" s="19" t="s">
        <v>128</v>
      </c>
      <c r="BE75" s="19"/>
      <c r="BF75" s="19"/>
      <c r="BG75" s="19">
        <v>3499181</v>
      </c>
      <c r="BH75" s="19"/>
      <c r="BI75" s="19"/>
      <c r="BJ75" s="19"/>
      <c r="BK75" s="19">
        <v>1184731</v>
      </c>
      <c r="BL75" s="19"/>
      <c r="BM75" s="19"/>
      <c r="BN75" s="19"/>
      <c r="BO75" s="19"/>
      <c r="BP75" s="19" t="s">
        <v>96</v>
      </c>
      <c r="BQ75" s="19" t="s">
        <v>4</v>
      </c>
      <c r="BR75" s="19">
        <v>2842</v>
      </c>
      <c r="BS75" s="19"/>
      <c r="BT75" s="19"/>
      <c r="BU75" s="19">
        <v>389591</v>
      </c>
      <c r="BV75" s="19"/>
      <c r="BW75" s="19"/>
      <c r="BX75" s="19">
        <v>11200000</v>
      </c>
      <c r="BY75" s="19"/>
      <c r="BZ75" s="19"/>
      <c r="CA75" s="19"/>
      <c r="CB75" s="19"/>
      <c r="CC75" s="19">
        <v>1685632</v>
      </c>
      <c r="CD75" s="19"/>
      <c r="CE75" s="19"/>
      <c r="CF75" s="19">
        <v>2629404</v>
      </c>
      <c r="CG75" s="19">
        <v>49065429</v>
      </c>
      <c r="CH75" s="19"/>
      <c r="CI75" s="19" t="s">
        <v>128</v>
      </c>
      <c r="CJ75" s="19"/>
      <c r="CK75" s="19"/>
      <c r="CL75" s="19"/>
      <c r="CM75" s="19">
        <v>42708000</v>
      </c>
      <c r="CN75" s="19"/>
      <c r="CO75" s="19">
        <v>2986952</v>
      </c>
      <c r="CP75" s="19"/>
      <c r="CQ75" s="19" t="s">
        <v>96</v>
      </c>
      <c r="CR75" s="19"/>
      <c r="CS75" s="19">
        <v>282498341</v>
      </c>
      <c r="CT75" s="19"/>
      <c r="CU75" s="19">
        <v>8000000</v>
      </c>
      <c r="CV75" s="19"/>
      <c r="CW75" s="19"/>
      <c r="CX75" s="19">
        <v>31487</v>
      </c>
      <c r="CY75" s="19" t="s">
        <v>96</v>
      </c>
      <c r="CZ75" s="19"/>
      <c r="DA75" s="19"/>
      <c r="DB75" s="19"/>
      <c r="DC75" s="19"/>
      <c r="DD75" s="19"/>
      <c r="DE75" s="19"/>
      <c r="DF75" s="19"/>
      <c r="DG75" s="19"/>
      <c r="DH75" s="19"/>
      <c r="DI75" s="19"/>
      <c r="DJ75" s="19"/>
      <c r="DK75" s="19"/>
      <c r="DL75" s="19">
        <v>26324</v>
      </c>
      <c r="DM75" s="19"/>
      <c r="DN75" s="19"/>
      <c r="DO75" s="19"/>
      <c r="DP75" s="19">
        <v>19271</v>
      </c>
      <c r="DQ75" s="19"/>
      <c r="DR75" s="19">
        <v>6442168</v>
      </c>
      <c r="DS75" s="19"/>
      <c r="DT75" s="19"/>
      <c r="DU75" s="19"/>
      <c r="DV75" s="19"/>
      <c r="DW75" s="19"/>
      <c r="DX75" s="19"/>
      <c r="DY75" s="19"/>
      <c r="DZ75" s="19">
        <v>277688</v>
      </c>
      <c r="EA75" s="19"/>
      <c r="EB75" s="19">
        <v>352751559</v>
      </c>
      <c r="EC75" s="19">
        <v>7681</v>
      </c>
      <c r="ED75" s="19"/>
      <c r="EE75" s="19"/>
      <c r="EF75" s="19"/>
      <c r="EG75" s="19">
        <v>12164186</v>
      </c>
      <c r="EH75" s="19"/>
      <c r="EI75" s="19">
        <v>2645096790</v>
      </c>
      <c r="EJ75" s="19"/>
      <c r="EK75" s="19"/>
      <c r="EL75" s="19"/>
      <c r="EM75" s="19"/>
      <c r="EN75" s="19">
        <v>4087054</v>
      </c>
      <c r="EO75" s="19"/>
      <c r="EP75" s="19"/>
      <c r="EQ75" s="19"/>
      <c r="ER75" s="19">
        <v>1611690</v>
      </c>
      <c r="ES75" s="19">
        <v>2718422</v>
      </c>
      <c r="ET75" s="19"/>
      <c r="EU75" s="19"/>
      <c r="EV75" s="19">
        <v>1601791</v>
      </c>
      <c r="EW75" s="19"/>
      <c r="EX75" s="19"/>
      <c r="EY75" s="19">
        <v>6939980</v>
      </c>
      <c r="EZ75" s="19"/>
      <c r="FA75" s="19">
        <v>139393</v>
      </c>
      <c r="FB75" s="19"/>
      <c r="FC75" s="19">
        <v>6747764</v>
      </c>
      <c r="FD75" s="19">
        <v>226386</v>
      </c>
      <c r="FE75" s="19">
        <v>160200000</v>
      </c>
      <c r="FF75" s="19"/>
      <c r="FG75" s="19">
        <v>947122</v>
      </c>
      <c r="FH75" s="19"/>
      <c r="FI75" s="19" t="s">
        <v>96</v>
      </c>
      <c r="FJ75" s="19"/>
      <c r="FK75" s="19">
        <v>299346636</v>
      </c>
      <c r="FL75" s="19">
        <v>28732</v>
      </c>
      <c r="FM75" s="19"/>
      <c r="FN75" s="19"/>
      <c r="FO75" s="19"/>
      <c r="FP75" s="19">
        <v>409880</v>
      </c>
      <c r="FQ75" s="19"/>
      <c r="FR75" s="19"/>
      <c r="FS75" s="19"/>
      <c r="FT75" s="19">
        <v>3564115</v>
      </c>
      <c r="FU75" s="19"/>
      <c r="FV75" s="19"/>
      <c r="FW75" s="19"/>
      <c r="FX75" s="19"/>
      <c r="FY75" s="19"/>
      <c r="FZ75" s="19"/>
      <c r="GA75" s="19"/>
      <c r="GB75" s="19">
        <v>166227</v>
      </c>
      <c r="GC75" s="19"/>
      <c r="GD75" s="19" t="s">
        <v>96</v>
      </c>
      <c r="GE75" s="19"/>
      <c r="GF75" s="19"/>
      <c r="GG75" s="19">
        <v>30074</v>
      </c>
      <c r="GH75" s="19"/>
      <c r="GI75" s="19"/>
      <c r="GJ75" s="19">
        <v>27231940</v>
      </c>
      <c r="GK75" s="19">
        <v>43466</v>
      </c>
      <c r="GL75" s="19" t="s">
        <v>96</v>
      </c>
      <c r="GM75" s="19"/>
      <c r="GN75" s="19"/>
      <c r="GO75" s="19">
        <v>13853133</v>
      </c>
      <c r="GP75" s="19">
        <v>24545076</v>
      </c>
      <c r="GQ75" s="19">
        <v>23490</v>
      </c>
      <c r="GR75" s="19">
        <v>2181793</v>
      </c>
      <c r="GS75" s="19"/>
      <c r="GT75" s="19"/>
      <c r="GU75" s="19"/>
      <c r="GV75" s="19"/>
      <c r="GW75" s="19"/>
      <c r="GX75" s="19"/>
      <c r="GY75" s="19">
        <v>1465369</v>
      </c>
      <c r="GZ75" s="19"/>
      <c r="HA75" s="19"/>
      <c r="HB75" s="19"/>
      <c r="HC75" s="19">
        <v>8565009</v>
      </c>
      <c r="HD75" s="19">
        <v>9543714</v>
      </c>
      <c r="HE75" s="19"/>
      <c r="HF75" s="19"/>
      <c r="HG75" s="19"/>
      <c r="HH75" s="19"/>
      <c r="HI75" s="19"/>
      <c r="HJ75" s="19"/>
      <c r="HK75" s="19">
        <v>2589507</v>
      </c>
      <c r="HL75" s="19"/>
      <c r="HM75" s="19"/>
      <c r="HN75" s="19">
        <v>3418352</v>
      </c>
      <c r="HO75" s="19">
        <v>65098000</v>
      </c>
      <c r="HP75" s="19"/>
      <c r="HQ75" s="19"/>
      <c r="HR75" s="19"/>
      <c r="HS75" s="19"/>
      <c r="HT75" s="19"/>
      <c r="HU75" s="19"/>
      <c r="HV75" s="19">
        <v>0</v>
      </c>
      <c r="HW75" s="19">
        <v>232555912</v>
      </c>
      <c r="HX75" s="19">
        <v>124136</v>
      </c>
      <c r="HY75" s="19" t="s">
        <v>172</v>
      </c>
      <c r="HZ75" s="19">
        <v>169459285</v>
      </c>
      <c r="IA75" s="19"/>
      <c r="IB75" s="19"/>
      <c r="IC75" s="19"/>
      <c r="ID75" s="19"/>
      <c r="IE75" s="19" t="s">
        <v>96</v>
      </c>
      <c r="IF75" s="19">
        <v>2600000</v>
      </c>
      <c r="IG75" s="19"/>
      <c r="IH75" s="19"/>
      <c r="II75" s="19"/>
      <c r="IJ75" s="19"/>
      <c r="IK75" s="19">
        <v>11767500</v>
      </c>
      <c r="IL75" s="19">
        <v>373474</v>
      </c>
      <c r="IM75" s="19">
        <v>340000</v>
      </c>
      <c r="IN75" s="19"/>
      <c r="IO75" s="19">
        <v>8773</v>
      </c>
      <c r="IP75" s="19">
        <v>4473568</v>
      </c>
      <c r="IQ75" s="19"/>
      <c r="IR75" s="19"/>
      <c r="IS75" s="19"/>
      <c r="IT75" s="19"/>
    </row>
    <row r="76" spans="1:254">
      <c r="A76" s="9" t="s">
        <v>3</v>
      </c>
      <c r="B76" s="10" t="s">
        <v>65</v>
      </c>
      <c r="C76" s="19">
        <v>-26327625</v>
      </c>
      <c r="D76" s="19">
        <v>-137455164</v>
      </c>
      <c r="E76" s="19">
        <v>25964483</v>
      </c>
      <c r="F76" s="19">
        <v>-47493389</v>
      </c>
      <c r="G76" s="19">
        <v>1272503</v>
      </c>
      <c r="H76" s="19">
        <v>110276005</v>
      </c>
      <c r="I76" s="19">
        <v>112832819</v>
      </c>
      <c r="J76" s="19" t="s">
        <v>4</v>
      </c>
      <c r="K76" s="19">
        <v>-117278692</v>
      </c>
      <c r="L76" s="19" t="s">
        <v>96</v>
      </c>
      <c r="M76" s="19" t="s">
        <v>96</v>
      </c>
      <c r="N76" s="19">
        <v>-5837065</v>
      </c>
      <c r="O76" s="19">
        <v>-135378789</v>
      </c>
      <c r="P76" s="19">
        <v>37593281</v>
      </c>
      <c r="Q76" s="19">
        <v>-13889356</v>
      </c>
      <c r="R76" s="19">
        <v>6262007</v>
      </c>
      <c r="S76" s="19">
        <v>-804345324</v>
      </c>
      <c r="T76" s="19" t="s">
        <v>96</v>
      </c>
      <c r="U76" s="19">
        <v>-49078262</v>
      </c>
      <c r="V76" s="19" t="s">
        <v>172</v>
      </c>
      <c r="W76" s="19">
        <v>-97569901</v>
      </c>
      <c r="X76" s="19">
        <v>177328566</v>
      </c>
      <c r="Y76" s="19">
        <v>-66651146</v>
      </c>
      <c r="Z76" s="19">
        <v>16782615</v>
      </c>
      <c r="AA76" s="19">
        <v>416936910</v>
      </c>
      <c r="AB76" s="19">
        <v>-65764167</v>
      </c>
      <c r="AC76" s="19">
        <v>139610427</v>
      </c>
      <c r="AD76" s="19">
        <v>41925274</v>
      </c>
      <c r="AE76" s="19">
        <v>26920029</v>
      </c>
      <c r="AF76" s="19">
        <v>108439662</v>
      </c>
      <c r="AG76" s="19">
        <v>-162335824</v>
      </c>
      <c r="AH76" s="19">
        <v>230506610</v>
      </c>
      <c r="AI76" s="19">
        <v>-233666792</v>
      </c>
      <c r="AJ76" s="19">
        <v>13251495</v>
      </c>
      <c r="AK76" s="19">
        <v>230455104</v>
      </c>
      <c r="AL76" s="19">
        <v>106314013</v>
      </c>
      <c r="AM76" s="19" t="s">
        <v>4</v>
      </c>
      <c r="AN76" s="19">
        <v>55844853</v>
      </c>
      <c r="AO76" s="19">
        <v>-98975678</v>
      </c>
      <c r="AP76" s="19">
        <v>-77280915</v>
      </c>
      <c r="AQ76" s="19" t="s">
        <v>96</v>
      </c>
      <c r="AR76" s="19">
        <v>-383143513</v>
      </c>
      <c r="AS76" s="19">
        <v>-584532568</v>
      </c>
      <c r="AT76" s="19">
        <v>6227887</v>
      </c>
      <c r="AU76" s="19">
        <v>40645111</v>
      </c>
      <c r="AV76" s="19">
        <v>-15444315</v>
      </c>
      <c r="AW76" s="19">
        <v>40079725</v>
      </c>
      <c r="AX76" s="19" t="s">
        <v>4</v>
      </c>
      <c r="AY76" s="19">
        <v>33113421</v>
      </c>
      <c r="AZ76" s="19">
        <v>22570465</v>
      </c>
      <c r="BA76" s="19">
        <v>54641656</v>
      </c>
      <c r="BB76" s="19">
        <v>-57356936</v>
      </c>
      <c r="BC76" s="19" t="s">
        <v>4</v>
      </c>
      <c r="BD76" s="19" t="s">
        <v>128</v>
      </c>
      <c r="BE76" s="19">
        <v>150822549</v>
      </c>
      <c r="BF76" s="19">
        <v>-85417778</v>
      </c>
      <c r="BG76" s="19">
        <v>-123654936</v>
      </c>
      <c r="BH76" s="19">
        <v>27176990</v>
      </c>
      <c r="BI76" s="19">
        <v>69375101</v>
      </c>
      <c r="BJ76" s="19">
        <v>15798045</v>
      </c>
      <c r="BK76" s="19">
        <v>-713542048</v>
      </c>
      <c r="BL76" s="19">
        <v>166911093</v>
      </c>
      <c r="BM76" s="19">
        <v>11460430</v>
      </c>
      <c r="BN76" s="19">
        <v>-40516439</v>
      </c>
      <c r="BO76" s="19">
        <v>-103322703</v>
      </c>
      <c r="BP76" s="19" t="s">
        <v>96</v>
      </c>
      <c r="BQ76" s="19" t="s">
        <v>4</v>
      </c>
      <c r="BR76" s="19">
        <v>1996081893</v>
      </c>
      <c r="BS76" s="19">
        <v>-13522484</v>
      </c>
      <c r="BT76" s="19">
        <v>-18497466</v>
      </c>
      <c r="BU76" s="19">
        <v>-50690800</v>
      </c>
      <c r="BV76" s="19">
        <v>2712629</v>
      </c>
      <c r="BW76" s="19">
        <v>-18605380</v>
      </c>
      <c r="BX76" s="19">
        <v>2153327</v>
      </c>
      <c r="BY76" s="19">
        <v>-325526706</v>
      </c>
      <c r="BZ76" s="19">
        <v>768613519</v>
      </c>
      <c r="CA76" s="19">
        <v>-243527642</v>
      </c>
      <c r="CB76" s="19">
        <v>5444575</v>
      </c>
      <c r="CC76" s="19">
        <v>-7192836</v>
      </c>
      <c r="CD76" s="19">
        <v>48671881</v>
      </c>
      <c r="CE76" s="19">
        <v>-31872580</v>
      </c>
      <c r="CF76" s="19">
        <v>-334083148</v>
      </c>
      <c r="CG76" s="19">
        <v>-37928883</v>
      </c>
      <c r="CH76" s="19">
        <v>55173656</v>
      </c>
      <c r="CI76" s="19" t="s">
        <v>128</v>
      </c>
      <c r="CJ76" s="19">
        <v>2374820</v>
      </c>
      <c r="CK76" s="19">
        <v>-243235982</v>
      </c>
      <c r="CL76" s="19">
        <v>-60249095</v>
      </c>
      <c r="CM76" s="19">
        <v>129736706</v>
      </c>
      <c r="CN76" s="19">
        <v>-50354255</v>
      </c>
      <c r="CO76" s="19">
        <v>-9886</v>
      </c>
      <c r="CP76" s="19">
        <v>142926662</v>
      </c>
      <c r="CQ76" s="19" t="s">
        <v>96</v>
      </c>
      <c r="CR76" s="19">
        <v>-22608312</v>
      </c>
      <c r="CS76" s="19">
        <v>1033973611</v>
      </c>
      <c r="CT76" s="19">
        <v>-4378462006</v>
      </c>
      <c r="CU76" s="19">
        <v>-176939257</v>
      </c>
      <c r="CV76" s="19">
        <v>1292641</v>
      </c>
      <c r="CW76" s="19">
        <v>268073089</v>
      </c>
      <c r="CX76" s="19">
        <v>-1021016276</v>
      </c>
      <c r="CY76" s="19" t="s">
        <v>96</v>
      </c>
      <c r="CZ76" s="19">
        <v>1037582966</v>
      </c>
      <c r="DA76" s="19">
        <v>121777677</v>
      </c>
      <c r="DB76" s="19">
        <v>34214253</v>
      </c>
      <c r="DC76" s="19">
        <v>10167152</v>
      </c>
      <c r="DD76" s="19">
        <v>-61860170</v>
      </c>
      <c r="DE76" s="19">
        <v>517795303</v>
      </c>
      <c r="DF76" s="19">
        <v>10581147</v>
      </c>
      <c r="DG76" s="19">
        <v>-89980812</v>
      </c>
      <c r="DH76" s="19">
        <v>11985174</v>
      </c>
      <c r="DI76" s="19">
        <v>111951005</v>
      </c>
      <c r="DJ76" s="19">
        <v>42966149</v>
      </c>
      <c r="DK76" s="19">
        <v>437743510</v>
      </c>
      <c r="DL76" s="19">
        <v>-38939516</v>
      </c>
      <c r="DM76" s="19">
        <v>107612921</v>
      </c>
      <c r="DN76" s="19">
        <v>62769461</v>
      </c>
      <c r="DO76" s="19">
        <v>-14043810</v>
      </c>
      <c r="DP76" s="19">
        <v>245469948</v>
      </c>
      <c r="DQ76" s="19">
        <v>589554</v>
      </c>
      <c r="DR76" s="19">
        <v>-33045342</v>
      </c>
      <c r="DS76" s="19">
        <v>212573660</v>
      </c>
      <c r="DT76" s="19">
        <v>345878817</v>
      </c>
      <c r="DU76" s="19">
        <v>7486670</v>
      </c>
      <c r="DV76" s="19">
        <v>4593672252</v>
      </c>
      <c r="DW76" s="19">
        <v>53496184</v>
      </c>
      <c r="DX76" s="19">
        <v>460201261</v>
      </c>
      <c r="DY76" s="19">
        <v>1183099</v>
      </c>
      <c r="DZ76" s="19">
        <v>47086441</v>
      </c>
      <c r="EA76" s="19">
        <v>-36158978</v>
      </c>
      <c r="EB76" s="19">
        <v>920778696</v>
      </c>
      <c r="EC76" s="19">
        <v>-45387905</v>
      </c>
      <c r="ED76" s="19">
        <v>32911085</v>
      </c>
      <c r="EE76" s="19">
        <v>88949395</v>
      </c>
      <c r="EF76" s="19">
        <v>148819143</v>
      </c>
      <c r="EG76" s="19">
        <v>-2306582491</v>
      </c>
      <c r="EH76" s="19">
        <v>47894920</v>
      </c>
      <c r="EI76" s="19">
        <v>-5177333498</v>
      </c>
      <c r="EJ76" s="19">
        <v>-739226</v>
      </c>
      <c r="EK76" s="19">
        <v>-646882289</v>
      </c>
      <c r="EL76" s="19">
        <v>1272497125</v>
      </c>
      <c r="EM76" s="19">
        <v>87411273</v>
      </c>
      <c r="EN76" s="19">
        <v>340102887</v>
      </c>
      <c r="EO76" s="19">
        <v>-62838486</v>
      </c>
      <c r="EP76" s="19">
        <v>-112653874</v>
      </c>
      <c r="EQ76" s="19">
        <v>281031112</v>
      </c>
      <c r="ER76" s="19">
        <v>123831557</v>
      </c>
      <c r="ES76" s="19">
        <v>51832290</v>
      </c>
      <c r="ET76" s="19">
        <v>-595799890</v>
      </c>
      <c r="EU76" s="19">
        <v>642291680</v>
      </c>
      <c r="EV76" s="19">
        <v>40701143</v>
      </c>
      <c r="EW76" s="19">
        <v>6555526</v>
      </c>
      <c r="EX76" s="19">
        <v>6191106</v>
      </c>
      <c r="EY76" s="19">
        <v>274457091</v>
      </c>
      <c r="EZ76" s="19">
        <v>1014495</v>
      </c>
      <c r="FA76" s="19">
        <v>-83635287</v>
      </c>
      <c r="FB76" s="19">
        <v>-90998274</v>
      </c>
      <c r="FC76" s="19">
        <v>4033204</v>
      </c>
      <c r="FD76" s="19">
        <v>22061897</v>
      </c>
      <c r="FE76" s="19">
        <v>533776274</v>
      </c>
      <c r="FF76" s="19">
        <v>82407234</v>
      </c>
      <c r="FG76" s="19">
        <v>124541924</v>
      </c>
      <c r="FH76" s="19">
        <v>235298835</v>
      </c>
      <c r="FI76" s="19" t="s">
        <v>96</v>
      </c>
      <c r="FJ76" s="19">
        <v>70395094</v>
      </c>
      <c r="FK76" s="19">
        <v>7570834</v>
      </c>
      <c r="FL76" s="19">
        <v>-17695152</v>
      </c>
      <c r="FM76" s="19">
        <v>-170977822</v>
      </c>
      <c r="FN76" s="19">
        <v>212491782</v>
      </c>
      <c r="FO76" s="19">
        <v>-9089243</v>
      </c>
      <c r="FP76" s="19">
        <v>24116298</v>
      </c>
      <c r="FQ76" s="19">
        <v>-155573936</v>
      </c>
      <c r="FR76" s="19">
        <v>44786717</v>
      </c>
      <c r="FS76" s="19">
        <v>-124316480</v>
      </c>
      <c r="FT76" s="19">
        <v>882402600</v>
      </c>
      <c r="FU76" s="19">
        <v>-6660896</v>
      </c>
      <c r="FV76" s="19">
        <v>371591620</v>
      </c>
      <c r="FW76" s="19">
        <v>-41404635</v>
      </c>
      <c r="FX76" s="19">
        <v>-144617452</v>
      </c>
      <c r="FY76" s="19">
        <v>-1275244044</v>
      </c>
      <c r="FZ76" s="19">
        <v>-679512434</v>
      </c>
      <c r="GA76" s="19">
        <v>-553569609</v>
      </c>
      <c r="GB76" s="19">
        <v>38380404</v>
      </c>
      <c r="GC76" s="19">
        <v>36980266</v>
      </c>
      <c r="GD76" s="19" t="s">
        <v>96</v>
      </c>
      <c r="GE76" s="19">
        <v>-91257395</v>
      </c>
      <c r="GF76" s="19">
        <v>7908089</v>
      </c>
      <c r="GG76" s="19">
        <v>-797092692</v>
      </c>
      <c r="GH76" s="19">
        <v>-30597416</v>
      </c>
      <c r="GI76" s="19">
        <v>10295753</v>
      </c>
      <c r="GJ76" s="19">
        <v>24508467</v>
      </c>
      <c r="GK76" s="19">
        <v>2736802</v>
      </c>
      <c r="GL76" s="19" t="s">
        <v>96</v>
      </c>
      <c r="GM76" s="19">
        <v>22374575</v>
      </c>
      <c r="GN76" s="19">
        <v>-327164335</v>
      </c>
      <c r="GO76" s="19">
        <v>-371272096</v>
      </c>
      <c r="GP76" s="19">
        <v>210563948</v>
      </c>
      <c r="GQ76" s="19">
        <v>40540013</v>
      </c>
      <c r="GR76" s="19">
        <v>404014611</v>
      </c>
      <c r="GS76" s="19">
        <v>-62212804</v>
      </c>
      <c r="GT76" s="19">
        <v>-75595580</v>
      </c>
      <c r="GU76" s="19">
        <v>52285876</v>
      </c>
      <c r="GV76" s="19">
        <v>726198753</v>
      </c>
      <c r="GW76" s="19">
        <v>-2607575989</v>
      </c>
      <c r="GX76" s="19">
        <v>100701391</v>
      </c>
      <c r="GY76" s="19">
        <v>-676191755</v>
      </c>
      <c r="GZ76" s="19">
        <v>193270694</v>
      </c>
      <c r="HA76" s="19">
        <v>-915245798</v>
      </c>
      <c r="HB76" s="19">
        <v>58637818</v>
      </c>
      <c r="HC76" s="19">
        <v>-211090752</v>
      </c>
      <c r="HD76" s="19">
        <v>62668053</v>
      </c>
      <c r="HE76" s="19">
        <v>-38354922</v>
      </c>
      <c r="HF76" s="19">
        <v>105242322</v>
      </c>
      <c r="HG76" s="19">
        <v>-21469583</v>
      </c>
      <c r="HH76" s="19">
        <v>0</v>
      </c>
      <c r="HI76" s="19">
        <v>-890013934</v>
      </c>
      <c r="HJ76" s="19">
        <v>72679609</v>
      </c>
      <c r="HK76" s="19">
        <v>-655410701</v>
      </c>
      <c r="HL76" s="19">
        <v>233178507</v>
      </c>
      <c r="HM76" s="19">
        <v>11804921</v>
      </c>
      <c r="HN76" s="19">
        <v>22514908</v>
      </c>
      <c r="HO76" s="19">
        <v>230701228</v>
      </c>
      <c r="HP76" s="19">
        <v>89235174</v>
      </c>
      <c r="HQ76" s="19">
        <v>62759841</v>
      </c>
      <c r="HR76" s="19">
        <v>386659695</v>
      </c>
      <c r="HS76" s="19">
        <v>53801631</v>
      </c>
      <c r="HT76" s="19">
        <v>1355006</v>
      </c>
      <c r="HU76" s="19">
        <v>-3770482961</v>
      </c>
      <c r="HV76" s="19">
        <v>13479933</v>
      </c>
      <c r="HW76" s="19">
        <v>-21276870975</v>
      </c>
      <c r="HX76" s="19">
        <v>95146530</v>
      </c>
      <c r="HY76" s="19" t="s">
        <v>172</v>
      </c>
      <c r="HZ76" s="19">
        <v>374266268</v>
      </c>
      <c r="IA76" s="19">
        <v>540705389</v>
      </c>
      <c r="IB76" s="19">
        <v>65364739</v>
      </c>
      <c r="IC76" s="19">
        <v>50721589</v>
      </c>
      <c r="ID76" s="19">
        <v>-50196907</v>
      </c>
      <c r="IE76" s="19" t="s">
        <v>96</v>
      </c>
      <c r="IF76" s="19">
        <v>47350588</v>
      </c>
      <c r="IG76" s="19">
        <v>2467629</v>
      </c>
      <c r="IH76" s="19">
        <v>319921953</v>
      </c>
      <c r="II76" s="19">
        <v>-10030220</v>
      </c>
      <c r="IJ76" s="19">
        <v>-11415870</v>
      </c>
      <c r="IK76" s="19">
        <v>21094361</v>
      </c>
      <c r="IL76" s="19">
        <v>32333626</v>
      </c>
      <c r="IM76" s="19">
        <v>-146879084</v>
      </c>
      <c r="IN76" s="19">
        <v>-1527776</v>
      </c>
      <c r="IO76" s="19">
        <v>225994126</v>
      </c>
      <c r="IP76" s="19">
        <v>73754614</v>
      </c>
      <c r="IQ76" s="19">
        <v>241591994</v>
      </c>
      <c r="IR76" s="19">
        <v>291821848</v>
      </c>
      <c r="IS76" s="19">
        <v>238648826</v>
      </c>
      <c r="IT76" s="19">
        <v>300635339</v>
      </c>
    </row>
    <row r="77" spans="1:254">
      <c r="A77" s="9" t="s">
        <v>3</v>
      </c>
      <c r="B77" s="10" t="s">
        <v>101</v>
      </c>
      <c r="C77" s="19">
        <v>12009870</v>
      </c>
      <c r="D77" s="19">
        <v>0</v>
      </c>
      <c r="E77" s="19">
        <v>2856092</v>
      </c>
      <c r="F77" s="19">
        <v>9000220</v>
      </c>
      <c r="G77" s="19">
        <v>0</v>
      </c>
      <c r="H77" s="19">
        <v>4810270</v>
      </c>
      <c r="I77" s="19"/>
      <c r="J77" s="19" t="s">
        <v>4</v>
      </c>
      <c r="K77" s="19">
        <v>0</v>
      </c>
      <c r="L77" s="19" t="s">
        <v>96</v>
      </c>
      <c r="M77" s="19" t="s">
        <v>96</v>
      </c>
      <c r="N77" s="19">
        <v>0</v>
      </c>
      <c r="O77" s="19">
        <v>7818540</v>
      </c>
      <c r="P77" s="19">
        <v>-9555507</v>
      </c>
      <c r="Q77" s="19">
        <v>0</v>
      </c>
      <c r="R77" s="19">
        <v>0</v>
      </c>
      <c r="S77" s="19">
        <v>0</v>
      </c>
      <c r="T77" s="19" t="s">
        <v>96</v>
      </c>
      <c r="U77" s="19">
        <v>-13348341</v>
      </c>
      <c r="V77" s="19" t="s">
        <v>172</v>
      </c>
      <c r="W77" s="19">
        <v>0</v>
      </c>
      <c r="X77" s="19">
        <v>2987100</v>
      </c>
      <c r="Y77" s="19">
        <v>0</v>
      </c>
      <c r="Z77" s="19">
        <v>0</v>
      </c>
      <c r="AA77" s="19">
        <v>14781720</v>
      </c>
      <c r="AB77" s="19">
        <v>3717430</v>
      </c>
      <c r="AC77" s="19">
        <v>0</v>
      </c>
      <c r="AD77" s="19">
        <v>4436364</v>
      </c>
      <c r="AE77" s="19">
        <v>2961656</v>
      </c>
      <c r="AF77" s="19">
        <v>0</v>
      </c>
      <c r="AG77" s="19">
        <v>0</v>
      </c>
      <c r="AH77" s="19">
        <v>9952541</v>
      </c>
      <c r="AI77" s="19">
        <v>0</v>
      </c>
      <c r="AJ77" s="19">
        <v>1234702</v>
      </c>
      <c r="AK77" s="19">
        <v>67479800</v>
      </c>
      <c r="AL77" s="19">
        <v>556140</v>
      </c>
      <c r="AM77" s="19" t="s">
        <v>4</v>
      </c>
      <c r="AN77" s="19">
        <v>4511049</v>
      </c>
      <c r="AO77" s="19"/>
      <c r="AP77" s="19"/>
      <c r="AQ77" s="19" t="s">
        <v>96</v>
      </c>
      <c r="AR77" s="19">
        <v>0</v>
      </c>
      <c r="AS77" s="19"/>
      <c r="AT77" s="19">
        <v>2086046</v>
      </c>
      <c r="AU77" s="19">
        <v>0</v>
      </c>
      <c r="AV77" s="19">
        <v>0</v>
      </c>
      <c r="AW77" s="19">
        <v>3193200</v>
      </c>
      <c r="AX77" s="19" t="s">
        <v>4</v>
      </c>
      <c r="AY77" s="19">
        <v>0</v>
      </c>
      <c r="AZ77" s="19">
        <v>2397489</v>
      </c>
      <c r="BA77" s="19">
        <v>0</v>
      </c>
      <c r="BB77" s="19">
        <v>0</v>
      </c>
      <c r="BC77" s="19" t="s">
        <v>4</v>
      </c>
      <c r="BD77" s="19" t="s">
        <v>128</v>
      </c>
      <c r="BE77" s="19">
        <v>0</v>
      </c>
      <c r="BF77" s="19">
        <v>0</v>
      </c>
      <c r="BG77" s="19"/>
      <c r="BH77" s="19">
        <v>1150260</v>
      </c>
      <c r="BI77" s="19">
        <v>6667757</v>
      </c>
      <c r="BJ77" s="19">
        <v>1768590</v>
      </c>
      <c r="BK77" s="19">
        <v>0</v>
      </c>
      <c r="BL77" s="19">
        <v>0</v>
      </c>
      <c r="BM77" s="19">
        <v>0</v>
      </c>
      <c r="BN77" s="19">
        <v>0</v>
      </c>
      <c r="BO77" s="19">
        <v>0</v>
      </c>
      <c r="BP77" s="19" t="s">
        <v>96</v>
      </c>
      <c r="BQ77" s="19" t="s">
        <v>4</v>
      </c>
      <c r="BR77" s="19">
        <v>0</v>
      </c>
      <c r="BS77" s="19">
        <v>0</v>
      </c>
      <c r="BT77" s="19">
        <v>0</v>
      </c>
      <c r="BU77" s="19">
        <v>0</v>
      </c>
      <c r="BV77" s="19">
        <v>333048</v>
      </c>
      <c r="BW77" s="19">
        <v>3265280</v>
      </c>
      <c r="BX77" s="19">
        <v>0</v>
      </c>
      <c r="BY77" s="19">
        <v>0</v>
      </c>
      <c r="BZ77" s="19">
        <v>37508620</v>
      </c>
      <c r="CA77" s="19"/>
      <c r="CB77" s="19">
        <v>2091846</v>
      </c>
      <c r="CC77" s="19">
        <v>0</v>
      </c>
      <c r="CD77" s="19"/>
      <c r="CE77" s="19">
        <v>0</v>
      </c>
      <c r="CF77" s="19">
        <v>0</v>
      </c>
      <c r="CG77" s="19">
        <v>0</v>
      </c>
      <c r="CH77" s="19">
        <v>1742800</v>
      </c>
      <c r="CI77" s="19" t="s">
        <v>128</v>
      </c>
      <c r="CJ77" s="19">
        <v>27300</v>
      </c>
      <c r="CK77" s="19">
        <v>9386370</v>
      </c>
      <c r="CL77" s="19"/>
      <c r="CM77" s="19">
        <v>14003789</v>
      </c>
      <c r="CN77" s="19">
        <v>7700</v>
      </c>
      <c r="CO77" s="19"/>
      <c r="CP77" s="19">
        <v>3411400</v>
      </c>
      <c r="CQ77" s="19" t="s">
        <v>96</v>
      </c>
      <c r="CR77" s="19">
        <v>226148</v>
      </c>
      <c r="CS77" s="19"/>
      <c r="CT77" s="19">
        <v>0</v>
      </c>
      <c r="CU77" s="19"/>
      <c r="CV77" s="19"/>
      <c r="CW77" s="19"/>
      <c r="CX77" s="19"/>
      <c r="CY77" s="19" t="s">
        <v>96</v>
      </c>
      <c r="CZ77" s="19"/>
      <c r="DA77" s="19">
        <v>2528400</v>
      </c>
      <c r="DB77" s="19">
        <v>11731830</v>
      </c>
      <c r="DC77" s="19"/>
      <c r="DD77" s="19">
        <v>0</v>
      </c>
      <c r="DE77" s="19"/>
      <c r="DF77" s="19">
        <v>1084872</v>
      </c>
      <c r="DG77" s="19">
        <v>0</v>
      </c>
      <c r="DH77" s="19">
        <v>0</v>
      </c>
      <c r="DI77" s="19">
        <v>3807360</v>
      </c>
      <c r="DJ77" s="19">
        <v>1300174</v>
      </c>
      <c r="DK77" s="19">
        <v>21593890</v>
      </c>
      <c r="DL77" s="19"/>
      <c r="DM77" s="19">
        <v>11655022</v>
      </c>
      <c r="DN77" s="19">
        <v>0</v>
      </c>
      <c r="DO77" s="19">
        <v>0</v>
      </c>
      <c r="DP77" s="19">
        <v>19323530</v>
      </c>
      <c r="DQ77" s="19">
        <v>68425</v>
      </c>
      <c r="DR77" s="19">
        <v>0</v>
      </c>
      <c r="DS77" s="19">
        <v>0</v>
      </c>
      <c r="DT77" s="19">
        <v>21843148</v>
      </c>
      <c r="DU77" s="19"/>
      <c r="DV77" s="19"/>
      <c r="DW77" s="19">
        <v>946440</v>
      </c>
      <c r="DX77" s="19">
        <v>14220214</v>
      </c>
      <c r="DY77" s="19"/>
      <c r="DZ77" s="19">
        <v>5518840</v>
      </c>
      <c r="EA77" s="19"/>
      <c r="EB77" s="19"/>
      <c r="EC77" s="19"/>
      <c r="ED77" s="19">
        <v>3440</v>
      </c>
      <c r="EE77" s="19"/>
      <c r="EF77" s="19">
        <v>1194752</v>
      </c>
      <c r="EG77" s="19">
        <v>0</v>
      </c>
      <c r="EH77" s="19"/>
      <c r="EI77" s="19">
        <v>0</v>
      </c>
      <c r="EJ77" s="19">
        <v>0</v>
      </c>
      <c r="EK77" s="19">
        <v>108830</v>
      </c>
      <c r="EL77" s="19"/>
      <c r="EM77" s="19">
        <v>10594240</v>
      </c>
      <c r="EN77" s="19">
        <v>31071501</v>
      </c>
      <c r="EO77" s="19">
        <v>5658640</v>
      </c>
      <c r="EP77" s="19"/>
      <c r="EQ77" s="19"/>
      <c r="ER77" s="19">
        <v>0</v>
      </c>
      <c r="ES77" s="19"/>
      <c r="ET77" s="19">
        <v>0</v>
      </c>
      <c r="EU77" s="19"/>
      <c r="EV77" s="19">
        <v>5151069</v>
      </c>
      <c r="EW77" s="19">
        <v>0</v>
      </c>
      <c r="EX77" s="19"/>
      <c r="EY77" s="19">
        <v>0</v>
      </c>
      <c r="EZ77" s="19"/>
      <c r="FA77" s="19">
        <v>0</v>
      </c>
      <c r="FB77" s="19"/>
      <c r="FC77" s="19"/>
      <c r="FD77" s="19">
        <v>2923724</v>
      </c>
      <c r="FE77" s="19">
        <v>35233220</v>
      </c>
      <c r="FF77" s="19">
        <v>188980</v>
      </c>
      <c r="FG77" s="19">
        <v>5243650</v>
      </c>
      <c r="FH77" s="19">
        <v>21209271</v>
      </c>
      <c r="FI77" s="19" t="s">
        <v>96</v>
      </c>
      <c r="FJ77" s="19">
        <v>4754760</v>
      </c>
      <c r="FK77" s="19">
        <v>0</v>
      </c>
      <c r="FL77" s="19">
        <v>0</v>
      </c>
      <c r="FM77" s="19">
        <v>0</v>
      </c>
      <c r="FN77" s="19"/>
      <c r="FO77" s="19">
        <v>0</v>
      </c>
      <c r="FP77" s="19">
        <v>0</v>
      </c>
      <c r="FQ77" s="19"/>
      <c r="FR77" s="19">
        <v>1840</v>
      </c>
      <c r="FS77" s="19">
        <v>0</v>
      </c>
      <c r="FT77" s="19">
        <v>0</v>
      </c>
      <c r="FU77" s="19">
        <v>0</v>
      </c>
      <c r="FV77" s="19">
        <v>2024686</v>
      </c>
      <c r="FW77" s="19"/>
      <c r="FX77" s="19">
        <v>0</v>
      </c>
      <c r="FY77" s="19">
        <v>0</v>
      </c>
      <c r="FZ77" s="19"/>
      <c r="GA77" s="19"/>
      <c r="GB77" s="19">
        <v>0</v>
      </c>
      <c r="GC77" s="19">
        <v>1945330</v>
      </c>
      <c r="GD77" s="19" t="s">
        <v>96</v>
      </c>
      <c r="GE77" s="19">
        <v>0</v>
      </c>
      <c r="GF77" s="19">
        <v>709952</v>
      </c>
      <c r="GG77" s="19"/>
      <c r="GH77" s="19">
        <v>0</v>
      </c>
      <c r="GI77" s="19">
        <v>1777745</v>
      </c>
      <c r="GJ77" s="19"/>
      <c r="GK77" s="19"/>
      <c r="GL77" s="19" t="s">
        <v>96</v>
      </c>
      <c r="GM77" s="19"/>
      <c r="GN77" s="19">
        <v>722670</v>
      </c>
      <c r="GO77" s="19">
        <v>0</v>
      </c>
      <c r="GP77" s="19">
        <v>1899950</v>
      </c>
      <c r="GQ77" s="19">
        <v>3665948</v>
      </c>
      <c r="GR77" s="19">
        <v>0</v>
      </c>
      <c r="GS77" s="19">
        <v>-139510</v>
      </c>
      <c r="GT77" s="19">
        <v>0</v>
      </c>
      <c r="GU77" s="19">
        <v>0</v>
      </c>
      <c r="GV77" s="19">
        <v>0</v>
      </c>
      <c r="GW77" s="19">
        <v>0</v>
      </c>
      <c r="GX77" s="19">
        <v>991590</v>
      </c>
      <c r="GY77" s="19">
        <v>0</v>
      </c>
      <c r="GZ77" s="19">
        <v>10131869</v>
      </c>
      <c r="HA77" s="19">
        <v>0</v>
      </c>
      <c r="HB77" s="19"/>
      <c r="HC77" s="19">
        <v>0</v>
      </c>
      <c r="HD77" s="19">
        <v>0</v>
      </c>
      <c r="HE77" s="19">
        <v>0</v>
      </c>
      <c r="HF77" s="19"/>
      <c r="HG77" s="19">
        <v>0</v>
      </c>
      <c r="HH77" s="19"/>
      <c r="HI77" s="19">
        <v>0</v>
      </c>
      <c r="HJ77" s="19">
        <v>1241100</v>
      </c>
      <c r="HK77" s="19">
        <v>0</v>
      </c>
      <c r="HL77" s="19">
        <v>454350</v>
      </c>
      <c r="HM77" s="19">
        <v>944393</v>
      </c>
      <c r="HN77" s="19">
        <v>0</v>
      </c>
      <c r="HO77" s="19">
        <v>16187590</v>
      </c>
      <c r="HP77" s="19">
        <v>1720</v>
      </c>
      <c r="HQ77" s="19">
        <v>2851830</v>
      </c>
      <c r="HR77" s="19">
        <v>5132780</v>
      </c>
      <c r="HS77" s="19">
        <v>1819694</v>
      </c>
      <c r="HT77" s="19"/>
      <c r="HU77" s="19">
        <v>0</v>
      </c>
      <c r="HV77" s="19">
        <v>0</v>
      </c>
      <c r="HW77" s="19">
        <v>323615981</v>
      </c>
      <c r="HX77" s="19">
        <v>8440818</v>
      </c>
      <c r="HY77" s="19" t="s">
        <v>172</v>
      </c>
      <c r="HZ77" s="19">
        <v>42471587</v>
      </c>
      <c r="IA77" s="19"/>
      <c r="IB77" s="19">
        <v>0</v>
      </c>
      <c r="IC77" s="19"/>
      <c r="ID77" s="19">
        <v>376200</v>
      </c>
      <c r="IE77" s="19" t="s">
        <v>96</v>
      </c>
      <c r="IF77" s="19">
        <v>0</v>
      </c>
      <c r="IG77" s="19">
        <v>0</v>
      </c>
      <c r="IH77" s="19">
        <v>2919509</v>
      </c>
      <c r="II77" s="19">
        <v>0</v>
      </c>
      <c r="IJ77" s="19">
        <v>0</v>
      </c>
      <c r="IK77" s="19">
        <v>308588</v>
      </c>
      <c r="IL77" s="19">
        <v>0</v>
      </c>
      <c r="IM77" s="19">
        <v>28840</v>
      </c>
      <c r="IN77" s="19">
        <v>0</v>
      </c>
      <c r="IO77" s="19">
        <v>0</v>
      </c>
      <c r="IP77" s="19">
        <v>6576920</v>
      </c>
      <c r="IQ77" s="19"/>
      <c r="IR77" s="19">
        <v>22193640</v>
      </c>
      <c r="IS77" s="19">
        <v>29312530</v>
      </c>
      <c r="IT77" s="19">
        <v>8941940</v>
      </c>
    </row>
    <row r="78" spans="1:254">
      <c r="A78" s="9" t="s">
        <v>3</v>
      </c>
      <c r="B78" s="10" t="s">
        <v>149</v>
      </c>
      <c r="C78" s="19">
        <v>-38337495</v>
      </c>
      <c r="D78" s="19">
        <v>-137455164</v>
      </c>
      <c r="E78" s="19">
        <v>23108391</v>
      </c>
      <c r="F78" s="19">
        <v>-56493609</v>
      </c>
      <c r="G78" s="19">
        <v>1272503</v>
      </c>
      <c r="H78" s="19">
        <v>105465735</v>
      </c>
      <c r="I78" s="19">
        <v>112832819</v>
      </c>
      <c r="J78" s="19" t="s">
        <v>4</v>
      </c>
      <c r="K78" s="19">
        <v>-117278692</v>
      </c>
      <c r="L78" s="19" t="s">
        <v>96</v>
      </c>
      <c r="M78" s="19" t="s">
        <v>96</v>
      </c>
      <c r="N78" s="19">
        <v>-5837065</v>
      </c>
      <c r="O78" s="19">
        <v>-143197329</v>
      </c>
      <c r="P78" s="19">
        <v>47148788</v>
      </c>
      <c r="Q78" s="19">
        <v>-13889356</v>
      </c>
      <c r="R78" s="19">
        <v>6262007</v>
      </c>
      <c r="S78" s="19">
        <v>-804345324</v>
      </c>
      <c r="T78" s="19" t="s">
        <v>96</v>
      </c>
      <c r="U78" s="19">
        <v>-35729921</v>
      </c>
      <c r="V78" s="19" t="s">
        <v>172</v>
      </c>
      <c r="W78" s="19">
        <v>-97569901</v>
      </c>
      <c r="X78" s="19">
        <v>174341466</v>
      </c>
      <c r="Y78" s="19">
        <v>-71651146</v>
      </c>
      <c r="Z78" s="19">
        <v>16782615</v>
      </c>
      <c r="AA78" s="19">
        <v>402155190</v>
      </c>
      <c r="AB78" s="19">
        <v>-69481597</v>
      </c>
      <c r="AC78" s="19">
        <v>139610427</v>
      </c>
      <c r="AD78" s="19">
        <v>37488910</v>
      </c>
      <c r="AE78" s="19">
        <v>23958373</v>
      </c>
      <c r="AF78" s="19">
        <v>108439662</v>
      </c>
      <c r="AG78" s="19">
        <v>-162335824</v>
      </c>
      <c r="AH78" s="19">
        <v>220554069</v>
      </c>
      <c r="AI78" s="19">
        <v>-233666792</v>
      </c>
      <c r="AJ78" s="19">
        <v>12016793</v>
      </c>
      <c r="AK78" s="19">
        <v>162975304</v>
      </c>
      <c r="AL78" s="19">
        <v>105757873</v>
      </c>
      <c r="AM78" s="19" t="s">
        <v>4</v>
      </c>
      <c r="AN78" s="19">
        <v>51333804</v>
      </c>
      <c r="AO78" s="19">
        <v>-98975678</v>
      </c>
      <c r="AP78" s="19">
        <v>-77280915</v>
      </c>
      <c r="AQ78" s="19" t="s">
        <v>96</v>
      </c>
      <c r="AR78" s="19">
        <v>-383143513</v>
      </c>
      <c r="AS78" s="19">
        <v>-584532568</v>
      </c>
      <c r="AT78" s="19">
        <v>4141841</v>
      </c>
      <c r="AU78" s="19">
        <v>40645111</v>
      </c>
      <c r="AV78" s="19">
        <v>-15444315</v>
      </c>
      <c r="AW78" s="19">
        <v>36886525</v>
      </c>
      <c r="AX78" s="19" t="s">
        <v>4</v>
      </c>
      <c r="AY78" s="19">
        <v>33113421</v>
      </c>
      <c r="AZ78" s="19">
        <v>20172976</v>
      </c>
      <c r="BA78" s="19">
        <v>54641656</v>
      </c>
      <c r="BB78" s="19">
        <v>-57356936</v>
      </c>
      <c r="BC78" s="19" t="s">
        <v>4</v>
      </c>
      <c r="BD78" s="19" t="s">
        <v>128</v>
      </c>
      <c r="BE78" s="19">
        <v>150822549</v>
      </c>
      <c r="BF78" s="19">
        <v>-85417778</v>
      </c>
      <c r="BG78" s="19">
        <v>-123654936</v>
      </c>
      <c r="BH78" s="19">
        <v>26026730</v>
      </c>
      <c r="BI78" s="19">
        <v>62707344</v>
      </c>
      <c r="BJ78" s="19">
        <v>14029455</v>
      </c>
      <c r="BK78" s="19">
        <v>-713542048</v>
      </c>
      <c r="BL78" s="19">
        <v>166911093</v>
      </c>
      <c r="BM78" s="19">
        <v>11460430</v>
      </c>
      <c r="BN78" s="19">
        <v>-40516439</v>
      </c>
      <c r="BO78" s="19">
        <v>-103322703</v>
      </c>
      <c r="BP78" s="19" t="s">
        <v>96</v>
      </c>
      <c r="BQ78" s="19" t="s">
        <v>4</v>
      </c>
      <c r="BR78" s="19">
        <v>1996081893</v>
      </c>
      <c r="BS78" s="19">
        <v>-13522484</v>
      </c>
      <c r="BT78" s="19">
        <v>-18497466</v>
      </c>
      <c r="BU78" s="19">
        <v>-50690800</v>
      </c>
      <c r="BV78" s="19">
        <v>2379581</v>
      </c>
      <c r="BW78" s="19">
        <v>-21870660</v>
      </c>
      <c r="BX78" s="19">
        <v>2153327</v>
      </c>
      <c r="BY78" s="19">
        <v>-325526706</v>
      </c>
      <c r="BZ78" s="19">
        <v>731104899</v>
      </c>
      <c r="CA78" s="19">
        <v>-243527642</v>
      </c>
      <c r="CB78" s="19">
        <v>3352729</v>
      </c>
      <c r="CC78" s="19">
        <v>-7192836</v>
      </c>
      <c r="CD78" s="19">
        <v>48671881</v>
      </c>
      <c r="CE78" s="19">
        <v>-31872580</v>
      </c>
      <c r="CF78" s="19">
        <v>-334083148</v>
      </c>
      <c r="CG78" s="19">
        <v>-37928883</v>
      </c>
      <c r="CH78" s="19">
        <v>53430856</v>
      </c>
      <c r="CI78" s="19" t="s">
        <v>128</v>
      </c>
      <c r="CJ78" s="19">
        <v>2347520</v>
      </c>
      <c r="CK78" s="19">
        <v>-252622352</v>
      </c>
      <c r="CL78" s="19">
        <v>-60249095</v>
      </c>
      <c r="CM78" s="19">
        <v>115732917</v>
      </c>
      <c r="CN78" s="19">
        <v>-50361955</v>
      </c>
      <c r="CO78" s="19">
        <v>-9886</v>
      </c>
      <c r="CP78" s="19">
        <v>139515262</v>
      </c>
      <c r="CQ78" s="19" t="s">
        <v>96</v>
      </c>
      <c r="CR78" s="19">
        <v>-22834460</v>
      </c>
      <c r="CS78" s="19">
        <v>1033973611</v>
      </c>
      <c r="CT78" s="19">
        <v>-4378462006</v>
      </c>
      <c r="CU78" s="19">
        <v>-176939257</v>
      </c>
      <c r="CV78" s="19">
        <v>1292641</v>
      </c>
      <c r="CW78" s="19">
        <v>268073089</v>
      </c>
      <c r="CX78" s="19">
        <v>-1021016276</v>
      </c>
      <c r="CY78" s="19" t="s">
        <v>96</v>
      </c>
      <c r="CZ78" s="19">
        <v>1037582966</v>
      </c>
      <c r="DA78" s="19">
        <v>119249277</v>
      </c>
      <c r="DB78" s="19">
        <v>22482423</v>
      </c>
      <c r="DC78" s="19">
        <v>10167152</v>
      </c>
      <c r="DD78" s="19">
        <v>-61860170</v>
      </c>
      <c r="DE78" s="19">
        <v>517795303</v>
      </c>
      <c r="DF78" s="19">
        <v>9496275</v>
      </c>
      <c r="DG78" s="19">
        <v>-89980812</v>
      </c>
      <c r="DH78" s="19">
        <v>11985174</v>
      </c>
      <c r="DI78" s="19">
        <v>108143645</v>
      </c>
      <c r="DJ78" s="19">
        <v>41665975</v>
      </c>
      <c r="DK78" s="19">
        <v>416149620</v>
      </c>
      <c r="DL78" s="19">
        <v>-38939516</v>
      </c>
      <c r="DM78" s="19">
        <v>95957899</v>
      </c>
      <c r="DN78" s="19">
        <v>62769461</v>
      </c>
      <c r="DO78" s="19">
        <v>-14043810</v>
      </c>
      <c r="DP78" s="19">
        <v>226146418</v>
      </c>
      <c r="DQ78" s="19">
        <v>521129</v>
      </c>
      <c r="DR78" s="19">
        <v>-33045342</v>
      </c>
      <c r="DS78" s="19">
        <v>212573660</v>
      </c>
      <c r="DT78" s="19">
        <v>324035669</v>
      </c>
      <c r="DU78" s="19">
        <v>7486670</v>
      </c>
      <c r="DV78" s="19">
        <v>999018709</v>
      </c>
      <c r="DW78" s="19">
        <v>52549744</v>
      </c>
      <c r="DX78" s="19">
        <v>445981047</v>
      </c>
      <c r="DY78" s="19">
        <v>1183099</v>
      </c>
      <c r="DZ78" s="19">
        <v>41567601</v>
      </c>
      <c r="EA78" s="19">
        <v>-36158978</v>
      </c>
      <c r="EB78" s="19">
        <v>920778696</v>
      </c>
      <c r="EC78" s="19">
        <v>-45387905</v>
      </c>
      <c r="ED78" s="19">
        <v>32907645</v>
      </c>
      <c r="EE78" s="19">
        <v>88949395</v>
      </c>
      <c r="EF78" s="19">
        <v>147624391</v>
      </c>
      <c r="EG78" s="19">
        <v>-2306582491</v>
      </c>
      <c r="EH78" s="19">
        <v>47894920</v>
      </c>
      <c r="EI78" s="19">
        <v>-5177333498</v>
      </c>
      <c r="EJ78" s="19">
        <v>-739226</v>
      </c>
      <c r="EK78" s="19">
        <v>-646991119</v>
      </c>
      <c r="EL78" s="19">
        <v>1272497125</v>
      </c>
      <c r="EM78" s="19">
        <v>76817033</v>
      </c>
      <c r="EN78" s="19">
        <v>309031386</v>
      </c>
      <c r="EO78" s="19">
        <v>-68497126</v>
      </c>
      <c r="EP78" s="19">
        <v>-112653874</v>
      </c>
      <c r="EQ78" s="19">
        <v>281031112</v>
      </c>
      <c r="ER78" s="19">
        <v>123831557</v>
      </c>
      <c r="ES78" s="19">
        <v>51832290</v>
      </c>
      <c r="ET78" s="19">
        <v>-595799890</v>
      </c>
      <c r="EU78" s="19">
        <v>642291680</v>
      </c>
      <c r="EV78" s="19">
        <v>35550074</v>
      </c>
      <c r="EW78" s="19">
        <v>6555526</v>
      </c>
      <c r="EX78" s="19">
        <v>6191106</v>
      </c>
      <c r="EY78" s="19">
        <v>274457091</v>
      </c>
      <c r="EZ78" s="19">
        <v>1014495</v>
      </c>
      <c r="FA78" s="19">
        <v>-83635287</v>
      </c>
      <c r="FB78" s="19">
        <v>-90998274</v>
      </c>
      <c r="FC78" s="19">
        <v>4033204</v>
      </c>
      <c r="FD78" s="19">
        <v>19138173</v>
      </c>
      <c r="FE78" s="19">
        <v>498543054</v>
      </c>
      <c r="FF78" s="19">
        <v>82218254</v>
      </c>
      <c r="FG78" s="19">
        <v>119298274</v>
      </c>
      <c r="FH78" s="19">
        <v>214089564</v>
      </c>
      <c r="FI78" s="19" t="s">
        <v>96</v>
      </c>
      <c r="FJ78" s="19">
        <v>65640334</v>
      </c>
      <c r="FK78" s="19">
        <v>7570834</v>
      </c>
      <c r="FL78" s="19">
        <v>-17695152</v>
      </c>
      <c r="FM78" s="19">
        <v>-170977822</v>
      </c>
      <c r="FN78" s="19">
        <v>212491782</v>
      </c>
      <c r="FO78" s="19">
        <v>-9089243</v>
      </c>
      <c r="FP78" s="19">
        <v>24116298</v>
      </c>
      <c r="FQ78" s="19">
        <v>-155573936</v>
      </c>
      <c r="FR78" s="19">
        <v>44784877</v>
      </c>
      <c r="FS78" s="19">
        <v>-124316480</v>
      </c>
      <c r="FT78" s="19">
        <v>882402600</v>
      </c>
      <c r="FU78" s="19">
        <v>-6660896</v>
      </c>
      <c r="FV78" s="19">
        <v>369566934</v>
      </c>
      <c r="FW78" s="19">
        <v>-41404635</v>
      </c>
      <c r="FX78" s="19">
        <v>-144617452</v>
      </c>
      <c r="FY78" s="19">
        <v>-1275244044</v>
      </c>
      <c r="FZ78" s="19">
        <v>-679512434</v>
      </c>
      <c r="GA78" s="19">
        <v>-553569609</v>
      </c>
      <c r="GB78" s="19">
        <v>38380404</v>
      </c>
      <c r="GC78" s="19">
        <v>35034936</v>
      </c>
      <c r="GD78" s="19" t="s">
        <v>96</v>
      </c>
      <c r="GE78" s="19">
        <v>-91257395</v>
      </c>
      <c r="GF78" s="19">
        <v>7198137</v>
      </c>
      <c r="GG78" s="19">
        <v>-797092692</v>
      </c>
      <c r="GH78" s="19">
        <v>-30597416</v>
      </c>
      <c r="GI78" s="19">
        <v>8518008</v>
      </c>
      <c r="GJ78" s="19">
        <v>24508467</v>
      </c>
      <c r="GK78" s="19">
        <v>2736802</v>
      </c>
      <c r="GL78" s="19" t="s">
        <v>96</v>
      </c>
      <c r="GM78" s="19">
        <v>22374575</v>
      </c>
      <c r="GN78" s="19">
        <v>-327887005</v>
      </c>
      <c r="GO78" s="19">
        <v>-371272096</v>
      </c>
      <c r="GP78" s="19">
        <v>208663998</v>
      </c>
      <c r="GQ78" s="19">
        <v>36874065</v>
      </c>
      <c r="GR78" s="19">
        <v>404014611</v>
      </c>
      <c r="GS78" s="19">
        <v>-62073294</v>
      </c>
      <c r="GT78" s="19">
        <v>-75595580</v>
      </c>
      <c r="GU78" s="19">
        <v>52285876</v>
      </c>
      <c r="GV78" s="19">
        <v>726198753</v>
      </c>
      <c r="GW78" s="19">
        <v>-2607575989</v>
      </c>
      <c r="GX78" s="19">
        <v>99709801</v>
      </c>
      <c r="GY78" s="19">
        <v>-676191755</v>
      </c>
      <c r="GZ78" s="19">
        <v>183138825</v>
      </c>
      <c r="HA78" s="19">
        <v>-915245798</v>
      </c>
      <c r="HB78" s="19">
        <v>58637818</v>
      </c>
      <c r="HC78" s="19">
        <v>-211090752</v>
      </c>
      <c r="HD78" s="19">
        <v>62668053</v>
      </c>
      <c r="HE78" s="19">
        <v>-38354922</v>
      </c>
      <c r="HF78" s="19">
        <v>105242322</v>
      </c>
      <c r="HG78" s="19">
        <v>-21469583</v>
      </c>
      <c r="HH78" s="19"/>
      <c r="HI78" s="19">
        <v>-890013934</v>
      </c>
      <c r="HJ78" s="19">
        <v>71438509</v>
      </c>
      <c r="HK78" s="19">
        <v>-655410701</v>
      </c>
      <c r="HL78" s="19">
        <v>232724157</v>
      </c>
      <c r="HM78" s="19">
        <v>10860528</v>
      </c>
      <c r="HN78" s="19">
        <v>22514908</v>
      </c>
      <c r="HO78" s="19">
        <v>214513638</v>
      </c>
      <c r="HP78" s="19">
        <v>89233454</v>
      </c>
      <c r="HQ78" s="19">
        <v>59908011</v>
      </c>
      <c r="HR78" s="19">
        <v>381526915</v>
      </c>
      <c r="HS78" s="19">
        <v>51981937</v>
      </c>
      <c r="HT78" s="19">
        <v>1355006</v>
      </c>
      <c r="HU78" s="19">
        <v>-3770482961</v>
      </c>
      <c r="HV78" s="19">
        <v>13479933</v>
      </c>
      <c r="HW78" s="19">
        <v>-21600486956</v>
      </c>
      <c r="HX78" s="19">
        <v>86705712</v>
      </c>
      <c r="HY78" s="19" t="s">
        <v>172</v>
      </c>
      <c r="HZ78" s="19">
        <v>331794681</v>
      </c>
      <c r="IA78" s="19">
        <v>540705389</v>
      </c>
      <c r="IB78" s="19">
        <v>65364739</v>
      </c>
      <c r="IC78" s="19">
        <v>50721589</v>
      </c>
      <c r="ID78" s="19">
        <v>-50573107</v>
      </c>
      <c r="IE78" s="19" t="s">
        <v>96</v>
      </c>
      <c r="IF78" s="19">
        <v>47350588</v>
      </c>
      <c r="IG78" s="19">
        <v>2467629</v>
      </c>
      <c r="IH78" s="19">
        <v>317002444</v>
      </c>
      <c r="II78" s="19">
        <v>-10030220</v>
      </c>
      <c r="IJ78" s="19">
        <v>-11415870</v>
      </c>
      <c r="IK78" s="19">
        <v>20785773</v>
      </c>
      <c r="IL78" s="19">
        <v>32333626</v>
      </c>
      <c r="IM78" s="19">
        <v>-146907924</v>
      </c>
      <c r="IN78" s="19">
        <v>-1527776</v>
      </c>
      <c r="IO78" s="19">
        <v>225994126</v>
      </c>
      <c r="IP78" s="19">
        <v>67177694</v>
      </c>
      <c r="IQ78" s="19">
        <v>241591994</v>
      </c>
      <c r="IR78" s="19">
        <v>269628208</v>
      </c>
      <c r="IS78" s="19">
        <v>209336296</v>
      </c>
      <c r="IT78" s="19">
        <v>291693399</v>
      </c>
    </row>
  </sheetData>
  <phoneticPr fontId="14" type="noConversion"/>
  <pageMargins left="0.69972223043441772" right="0.69972223043441772" top="0.75" bottom="0.75" header="0.30000001192092896" footer="0.30000001192092896"/>
  <pageSetup paperSize="9" orientation="portrait"/>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Sheet10"/>
  <dimension ref="A1:KH79"/>
  <sheetViews>
    <sheetView zoomScale="70" zoomScaleNormal="70" zoomScaleSheetLayoutView="40" workbookViewId="0">
      <pane xSplit="2" ySplit="1" topLeftCell="KI2" activePane="bottomRight" state="frozen"/>
      <selection pane="topRight"/>
      <selection pane="bottomLeft"/>
      <selection pane="bottomRight" activeCell="KQ38" sqref="KQ38"/>
    </sheetView>
  </sheetViews>
  <sheetFormatPr defaultColWidth="8.796875" defaultRowHeight="17.399999999999999"/>
  <cols>
    <col min="2" max="2" width="28" customWidth="1"/>
    <col min="3" max="185" width="15.69921875" customWidth="1"/>
    <col min="186" max="186" width="15.69921875" style="42" customWidth="1"/>
    <col min="187" max="224" width="15.69921875" customWidth="1"/>
    <col min="225" max="254" width="14.69921875" customWidth="1"/>
    <col min="255" max="256" width="12.796875" bestFit="1" customWidth="1"/>
    <col min="257" max="257" width="11.5" bestFit="1" customWidth="1"/>
    <col min="258" max="258" width="12.796875" bestFit="1" customWidth="1"/>
    <col min="259" max="260" width="11.5" bestFit="1" customWidth="1"/>
    <col min="261" max="261" width="12.796875" bestFit="1" customWidth="1"/>
    <col min="262" max="262" width="11.5" bestFit="1" customWidth="1"/>
    <col min="263" max="263" width="12.796875" bestFit="1" customWidth="1"/>
    <col min="264" max="266" width="11.5" bestFit="1" customWidth="1"/>
    <col min="267" max="267" width="10.5" bestFit="1" customWidth="1"/>
    <col min="268" max="271" width="11.5" bestFit="1" customWidth="1"/>
    <col min="272" max="272" width="12.796875" bestFit="1" customWidth="1"/>
    <col min="273" max="273" width="11.5" bestFit="1" customWidth="1"/>
    <col min="274" max="274" width="12.796875" bestFit="1" customWidth="1"/>
    <col min="275" max="276" width="12.69921875" customWidth="1"/>
    <col min="277" max="277" width="12.69921875" style="34" customWidth="1"/>
    <col min="278" max="294" width="12.69921875" customWidth="1"/>
  </cols>
  <sheetData>
    <row r="1" spans="1:294" s="34" customFormat="1">
      <c r="A1" s="35"/>
      <c r="B1" s="6" t="s">
        <v>111</v>
      </c>
      <c r="C1" s="20">
        <v>1510001</v>
      </c>
      <c r="D1" s="20">
        <v>1510002</v>
      </c>
      <c r="E1" s="20">
        <v>1510003</v>
      </c>
      <c r="F1" s="20">
        <v>1510004</v>
      </c>
      <c r="G1" s="20">
        <v>1510005</v>
      </c>
      <c r="H1" s="20">
        <v>1510006</v>
      </c>
      <c r="I1" s="20">
        <v>1510007</v>
      </c>
      <c r="J1" s="20">
        <v>1510008</v>
      </c>
      <c r="K1" s="20">
        <v>1510009</v>
      </c>
      <c r="L1" s="20">
        <v>1510010</v>
      </c>
      <c r="M1" s="20">
        <v>1510011</v>
      </c>
      <c r="N1" s="20">
        <v>1510012</v>
      </c>
      <c r="O1" s="20">
        <v>1510013</v>
      </c>
      <c r="P1" s="20">
        <v>1510014</v>
      </c>
      <c r="Q1" s="20">
        <v>1510015</v>
      </c>
      <c r="R1" s="20">
        <v>1510016</v>
      </c>
      <c r="S1" s="20">
        <v>1510017</v>
      </c>
      <c r="T1" s="20">
        <v>1510018</v>
      </c>
      <c r="U1" s="20">
        <v>1510019</v>
      </c>
      <c r="V1" s="20">
        <v>1510020</v>
      </c>
      <c r="W1" s="20">
        <v>1510021</v>
      </c>
      <c r="X1" s="20">
        <v>1510022</v>
      </c>
      <c r="Y1" s="20">
        <v>1510023</v>
      </c>
      <c r="Z1" s="20">
        <v>1510024</v>
      </c>
      <c r="AA1" s="20">
        <v>1510025</v>
      </c>
      <c r="AB1" s="20">
        <v>1510026</v>
      </c>
      <c r="AC1" s="20">
        <v>1510027</v>
      </c>
      <c r="AD1" s="20">
        <v>1510028</v>
      </c>
      <c r="AE1" s="20">
        <v>1510029</v>
      </c>
      <c r="AF1" s="20">
        <v>1510030</v>
      </c>
      <c r="AG1" s="20">
        <v>1510031</v>
      </c>
      <c r="AH1" s="20">
        <v>1510032</v>
      </c>
      <c r="AI1" s="20">
        <v>1510033</v>
      </c>
      <c r="AJ1" s="20">
        <v>1510034</v>
      </c>
      <c r="AK1" s="20">
        <v>1510035</v>
      </c>
      <c r="AL1" s="20">
        <v>1510036</v>
      </c>
      <c r="AM1" s="20">
        <v>1510037</v>
      </c>
      <c r="AN1" s="20">
        <v>1510038</v>
      </c>
      <c r="AO1" s="20">
        <v>1510039</v>
      </c>
      <c r="AP1" s="20">
        <v>1510040</v>
      </c>
      <c r="AQ1" s="20">
        <v>1510041</v>
      </c>
      <c r="AR1" s="20">
        <v>1510042</v>
      </c>
      <c r="AS1" s="20">
        <v>1510043</v>
      </c>
      <c r="AT1" s="20">
        <v>1510044</v>
      </c>
      <c r="AU1" s="20">
        <v>1510045</v>
      </c>
      <c r="AV1" s="20">
        <v>1510046</v>
      </c>
      <c r="AW1" s="20">
        <v>1510047</v>
      </c>
      <c r="AX1" s="20">
        <v>1510048</v>
      </c>
      <c r="AY1" s="20">
        <v>1510049</v>
      </c>
      <c r="AZ1" s="20">
        <v>1510050</v>
      </c>
      <c r="BA1" s="20">
        <v>1510051</v>
      </c>
      <c r="BB1" s="20">
        <v>1510052</v>
      </c>
      <c r="BC1" s="20">
        <v>1604053</v>
      </c>
      <c r="BD1" s="20">
        <v>1604054</v>
      </c>
      <c r="BE1" s="20">
        <v>1604055</v>
      </c>
      <c r="BF1" s="20">
        <v>1604056</v>
      </c>
      <c r="BG1" s="20">
        <v>1604057</v>
      </c>
      <c r="BH1" s="20">
        <v>1604058</v>
      </c>
      <c r="BI1" s="20">
        <v>1604059</v>
      </c>
      <c r="BJ1" s="20">
        <v>1604060</v>
      </c>
      <c r="BK1" s="20">
        <v>1604061</v>
      </c>
      <c r="BL1" s="20">
        <v>1608062</v>
      </c>
      <c r="BM1" s="20">
        <v>1608063</v>
      </c>
      <c r="BN1" s="20">
        <v>1608064</v>
      </c>
      <c r="BO1" s="20">
        <v>1608065</v>
      </c>
      <c r="BP1" s="20">
        <v>1608066</v>
      </c>
      <c r="BQ1" s="20">
        <v>1608067</v>
      </c>
      <c r="BR1" s="20">
        <v>1608068</v>
      </c>
      <c r="BS1" s="20">
        <v>1608069</v>
      </c>
      <c r="BT1" s="20">
        <v>1608070</v>
      </c>
      <c r="BU1" s="20">
        <v>1608071</v>
      </c>
      <c r="BV1" s="20">
        <v>1608072</v>
      </c>
      <c r="BW1" s="20">
        <v>1608073</v>
      </c>
      <c r="BX1" s="20">
        <v>1608074</v>
      </c>
      <c r="BY1" s="20">
        <v>1608075</v>
      </c>
      <c r="BZ1" s="20">
        <v>1608076</v>
      </c>
      <c r="CA1" s="20">
        <v>1608077</v>
      </c>
      <c r="CB1" s="20">
        <v>1608078</v>
      </c>
      <c r="CC1" s="20">
        <v>1608079</v>
      </c>
      <c r="CD1" s="20">
        <v>1608080</v>
      </c>
      <c r="CE1" s="20">
        <v>1608081</v>
      </c>
      <c r="CF1" s="20">
        <v>1608082</v>
      </c>
      <c r="CG1" s="20">
        <v>1608083</v>
      </c>
      <c r="CH1" s="20">
        <v>1608084</v>
      </c>
      <c r="CI1" s="20">
        <v>1608085</v>
      </c>
      <c r="CJ1" s="20">
        <v>1608086</v>
      </c>
      <c r="CK1" s="20">
        <v>1608087</v>
      </c>
      <c r="CL1" s="20">
        <v>1608088</v>
      </c>
      <c r="CM1" s="20">
        <v>1608089</v>
      </c>
      <c r="CN1" s="20">
        <v>1608090</v>
      </c>
      <c r="CO1" s="20">
        <v>1608091</v>
      </c>
      <c r="CP1" s="20">
        <v>1608092</v>
      </c>
      <c r="CQ1" s="20">
        <v>1608093</v>
      </c>
      <c r="CR1" s="20">
        <v>1608094</v>
      </c>
      <c r="CS1" s="20">
        <v>1612095</v>
      </c>
      <c r="CT1" s="20">
        <v>1612096</v>
      </c>
      <c r="CU1" s="20">
        <v>1612097</v>
      </c>
      <c r="CV1" s="20">
        <v>1612098</v>
      </c>
      <c r="CW1" s="20">
        <v>1612099</v>
      </c>
      <c r="CX1" s="20">
        <v>1612100</v>
      </c>
      <c r="CY1" s="20">
        <v>1612101</v>
      </c>
      <c r="CZ1" s="20">
        <v>1708102</v>
      </c>
      <c r="DA1" s="20">
        <v>1708103</v>
      </c>
      <c r="DB1" s="20">
        <v>1708104</v>
      </c>
      <c r="DC1" s="20">
        <v>1708105</v>
      </c>
      <c r="DD1" s="20">
        <v>1708106</v>
      </c>
      <c r="DE1" s="20">
        <v>1708107</v>
      </c>
      <c r="DF1" s="20">
        <v>1708108</v>
      </c>
      <c r="DG1" s="20">
        <v>1708109</v>
      </c>
      <c r="DH1" s="20">
        <v>1708110</v>
      </c>
      <c r="DI1" s="20">
        <v>1708111</v>
      </c>
      <c r="DJ1" s="20">
        <v>1708112</v>
      </c>
      <c r="DK1" s="20">
        <v>1708113</v>
      </c>
      <c r="DL1" s="20">
        <v>1708114</v>
      </c>
      <c r="DM1" s="20">
        <v>1708115</v>
      </c>
      <c r="DN1" s="20">
        <v>1708116</v>
      </c>
      <c r="DO1" s="20">
        <v>1708117</v>
      </c>
      <c r="DP1" s="20">
        <v>1708118</v>
      </c>
      <c r="DQ1" s="20">
        <v>1708119</v>
      </c>
      <c r="DR1" s="20">
        <v>1708120</v>
      </c>
      <c r="DS1" s="20">
        <v>1708121</v>
      </c>
      <c r="DT1" s="20">
        <v>1708122</v>
      </c>
      <c r="DU1" s="20">
        <v>1708123</v>
      </c>
      <c r="DV1" s="20">
        <v>1708124</v>
      </c>
      <c r="DW1" s="20">
        <v>1708125</v>
      </c>
      <c r="DX1" s="20">
        <v>1708126</v>
      </c>
      <c r="DY1" s="20">
        <v>1708127</v>
      </c>
      <c r="DZ1" s="20">
        <v>1708128</v>
      </c>
      <c r="EA1" s="20">
        <v>1708129</v>
      </c>
      <c r="EB1" s="20">
        <v>1708130</v>
      </c>
      <c r="EC1" s="20">
        <v>1808131</v>
      </c>
      <c r="ED1" s="20">
        <v>1808132</v>
      </c>
      <c r="EE1" s="20">
        <v>1808133</v>
      </c>
      <c r="EF1" s="20">
        <v>1808134</v>
      </c>
      <c r="EG1" s="20">
        <v>1808135</v>
      </c>
      <c r="EH1" s="20">
        <v>1808136</v>
      </c>
      <c r="EI1" s="20">
        <v>1808137</v>
      </c>
      <c r="EJ1" s="20">
        <v>1808138</v>
      </c>
      <c r="EK1" s="20">
        <v>1808139</v>
      </c>
      <c r="EL1" s="20">
        <v>1808140</v>
      </c>
      <c r="EM1" s="20">
        <v>1808141</v>
      </c>
      <c r="EN1" s="20">
        <v>1808142</v>
      </c>
      <c r="EO1" s="20">
        <v>1808143</v>
      </c>
      <c r="EP1" s="20">
        <v>1808144</v>
      </c>
      <c r="EQ1" s="20">
        <v>1808145</v>
      </c>
      <c r="ER1" s="20">
        <v>1808146</v>
      </c>
      <c r="ES1" s="20">
        <v>1808147</v>
      </c>
      <c r="ET1" s="20">
        <v>1808148</v>
      </c>
      <c r="EU1" s="20">
        <v>1808149</v>
      </c>
      <c r="EV1" s="20">
        <v>1808150</v>
      </c>
      <c r="EW1" s="20">
        <v>1808151</v>
      </c>
      <c r="EX1" s="20">
        <v>1808152</v>
      </c>
      <c r="EY1" s="20">
        <v>1808153</v>
      </c>
      <c r="EZ1" s="20">
        <v>1808154</v>
      </c>
      <c r="FA1" s="20">
        <v>1808155</v>
      </c>
      <c r="FB1" s="20">
        <v>1808156</v>
      </c>
      <c r="FC1" s="20">
        <v>1808157</v>
      </c>
      <c r="FD1" s="20">
        <v>1808158</v>
      </c>
      <c r="FE1" s="20">
        <v>1808159</v>
      </c>
      <c r="FF1" s="20">
        <v>1808160</v>
      </c>
      <c r="FG1" s="20">
        <v>1808161</v>
      </c>
      <c r="FH1" s="20">
        <v>1808162</v>
      </c>
      <c r="FI1" s="20">
        <v>1808163</v>
      </c>
      <c r="FJ1" s="20">
        <v>1808164</v>
      </c>
      <c r="FK1" s="20">
        <v>1808165</v>
      </c>
      <c r="FL1" s="20">
        <v>1810166</v>
      </c>
      <c r="FM1" s="20">
        <v>1810167</v>
      </c>
      <c r="FN1" s="20">
        <v>1810168</v>
      </c>
      <c r="FO1" s="20">
        <v>1810169</v>
      </c>
      <c r="FP1" s="20">
        <v>1810170</v>
      </c>
      <c r="FQ1" s="20">
        <v>1810171</v>
      </c>
      <c r="FR1" s="20">
        <v>1810172</v>
      </c>
      <c r="FS1" s="20">
        <v>1810173</v>
      </c>
      <c r="FT1" s="20">
        <v>1810174</v>
      </c>
      <c r="FU1" s="20">
        <v>1810175</v>
      </c>
      <c r="FV1" s="20">
        <v>1810176</v>
      </c>
      <c r="FW1" s="20">
        <v>1810177</v>
      </c>
      <c r="FX1" s="20">
        <v>1810178</v>
      </c>
      <c r="FY1" s="20">
        <v>1810179</v>
      </c>
      <c r="FZ1" s="20">
        <v>1810180</v>
      </c>
      <c r="GA1" s="20">
        <v>1810181</v>
      </c>
      <c r="GB1" s="20">
        <v>1810182</v>
      </c>
      <c r="GC1" s="20">
        <v>1810183</v>
      </c>
      <c r="GD1" s="20">
        <v>1810184</v>
      </c>
      <c r="GE1" s="20">
        <v>1810185</v>
      </c>
      <c r="GF1" s="39">
        <v>1810186</v>
      </c>
      <c r="GG1" s="20">
        <v>1810187</v>
      </c>
      <c r="GH1" s="20">
        <v>1810188</v>
      </c>
      <c r="GI1" s="20">
        <v>1909189</v>
      </c>
      <c r="GJ1" s="20">
        <v>1909190</v>
      </c>
      <c r="GK1" s="20">
        <v>1909191</v>
      </c>
      <c r="GL1" s="20">
        <v>1909192</v>
      </c>
      <c r="GM1" s="20">
        <v>1909193</v>
      </c>
      <c r="GN1" s="20">
        <v>1909194</v>
      </c>
      <c r="GO1" s="20">
        <v>1909195</v>
      </c>
      <c r="GP1" s="20">
        <v>1909196</v>
      </c>
      <c r="GQ1" s="20">
        <v>1909197</v>
      </c>
      <c r="GR1" s="20">
        <v>1909198</v>
      </c>
      <c r="GS1" s="20">
        <v>1909199</v>
      </c>
      <c r="GT1" s="20">
        <v>1909200</v>
      </c>
      <c r="GU1" s="20">
        <v>1909201</v>
      </c>
      <c r="GV1" s="39">
        <v>1909202</v>
      </c>
      <c r="GW1" s="20">
        <v>1909203</v>
      </c>
      <c r="GX1" s="20">
        <v>1909204</v>
      </c>
      <c r="GY1" s="20">
        <v>1909205</v>
      </c>
      <c r="GZ1" s="20">
        <v>1909206</v>
      </c>
      <c r="HA1" s="20">
        <v>1909207</v>
      </c>
      <c r="HB1" s="39">
        <v>1909208</v>
      </c>
      <c r="HC1" s="20">
        <v>1909209</v>
      </c>
      <c r="HD1" s="20">
        <v>1909210</v>
      </c>
      <c r="HE1" s="20">
        <v>1909211</v>
      </c>
      <c r="HF1" s="20">
        <v>1909212</v>
      </c>
      <c r="HG1" s="20">
        <v>1909213</v>
      </c>
      <c r="HH1" s="20">
        <v>1909214</v>
      </c>
      <c r="HI1" s="20">
        <v>1909215</v>
      </c>
      <c r="HJ1" s="20">
        <v>1909216</v>
      </c>
      <c r="HK1" s="39">
        <v>1909217</v>
      </c>
      <c r="HL1" s="20">
        <v>1909218</v>
      </c>
      <c r="HM1" s="20">
        <v>1909219</v>
      </c>
      <c r="HN1" s="20">
        <v>1909220</v>
      </c>
      <c r="HO1" s="20">
        <v>1909221</v>
      </c>
      <c r="HP1" s="20">
        <v>1909222</v>
      </c>
      <c r="HQ1" s="20">
        <v>2010223</v>
      </c>
      <c r="HR1" s="20">
        <v>2010224</v>
      </c>
      <c r="HS1" s="20">
        <v>2010225</v>
      </c>
      <c r="HT1" s="20">
        <v>2010226</v>
      </c>
      <c r="HU1" s="20">
        <v>2010227</v>
      </c>
      <c r="HV1" s="20">
        <v>2010228</v>
      </c>
      <c r="HW1" s="20">
        <v>2010229</v>
      </c>
      <c r="HX1" s="20">
        <v>2010230</v>
      </c>
      <c r="HY1" s="20">
        <v>2010231</v>
      </c>
      <c r="HZ1" s="20">
        <v>2010232</v>
      </c>
      <c r="IA1" s="20">
        <v>2010233</v>
      </c>
      <c r="IB1" s="20">
        <v>2010234</v>
      </c>
      <c r="IC1" s="20">
        <v>2010235</v>
      </c>
      <c r="ID1" s="20">
        <v>2010236</v>
      </c>
      <c r="IE1" s="20">
        <v>2010237</v>
      </c>
      <c r="IF1" s="20">
        <v>2010238</v>
      </c>
      <c r="IG1" s="20">
        <v>2010239</v>
      </c>
      <c r="IH1" s="20">
        <v>2010240</v>
      </c>
      <c r="II1" s="20">
        <v>2010241</v>
      </c>
      <c r="IJ1" s="20">
        <v>2010242</v>
      </c>
      <c r="IK1" s="20">
        <v>2010243</v>
      </c>
      <c r="IL1" s="20">
        <v>2010244</v>
      </c>
      <c r="IM1" s="20">
        <v>2010245</v>
      </c>
      <c r="IN1" s="20">
        <v>2010246</v>
      </c>
      <c r="IO1" s="20">
        <v>2010247</v>
      </c>
      <c r="IP1" s="20">
        <v>2010248</v>
      </c>
      <c r="IQ1" s="20">
        <v>2010249</v>
      </c>
      <c r="IR1" s="20">
        <v>2010250</v>
      </c>
      <c r="IS1" s="20">
        <v>2010251</v>
      </c>
      <c r="IT1" s="20">
        <v>2010252</v>
      </c>
      <c r="IU1" s="20">
        <v>2110289</v>
      </c>
      <c r="IV1" s="20">
        <v>2110290</v>
      </c>
      <c r="IW1" s="20">
        <v>2110291</v>
      </c>
      <c r="IX1" s="20">
        <v>2110292</v>
      </c>
      <c r="IY1" s="20">
        <v>2110293</v>
      </c>
      <c r="IZ1" s="20">
        <v>2110294</v>
      </c>
      <c r="JA1" s="20">
        <v>2110295</v>
      </c>
      <c r="JB1" s="20">
        <v>2110296</v>
      </c>
      <c r="JC1" s="20">
        <v>2110297</v>
      </c>
      <c r="JD1" s="20">
        <v>2110298</v>
      </c>
      <c r="JE1" s="20">
        <v>2110299</v>
      </c>
      <c r="JF1" s="20">
        <v>2110300</v>
      </c>
      <c r="JG1" s="20">
        <v>2110301</v>
      </c>
      <c r="JH1" s="20">
        <v>2110302</v>
      </c>
      <c r="JI1" s="20">
        <v>2110303</v>
      </c>
      <c r="JJ1" s="20">
        <v>2110304</v>
      </c>
      <c r="JK1" s="20">
        <v>2110305</v>
      </c>
      <c r="JL1" s="20">
        <v>2110306</v>
      </c>
      <c r="JM1" s="20">
        <v>2110307</v>
      </c>
      <c r="JN1" s="20">
        <v>2110308</v>
      </c>
      <c r="JO1" s="44">
        <v>2210327</v>
      </c>
      <c r="JP1" s="44">
        <v>2210328</v>
      </c>
      <c r="JQ1" s="44">
        <v>2210329</v>
      </c>
      <c r="JR1" s="44">
        <v>2210330</v>
      </c>
      <c r="JS1" s="44">
        <v>2210331</v>
      </c>
      <c r="JT1" s="44">
        <v>2210332</v>
      </c>
      <c r="JU1" s="44">
        <v>2210333</v>
      </c>
      <c r="JV1" s="44">
        <v>2210334</v>
      </c>
      <c r="JW1" s="44">
        <v>2210335</v>
      </c>
      <c r="JX1" s="44">
        <v>2210336</v>
      </c>
      <c r="JY1" s="44">
        <v>2210337</v>
      </c>
      <c r="JZ1" s="44">
        <v>2210338</v>
      </c>
      <c r="KA1" s="44">
        <v>2210339</v>
      </c>
      <c r="KB1" s="44">
        <v>2210340</v>
      </c>
      <c r="KC1" s="44">
        <v>2210341</v>
      </c>
      <c r="KD1" s="44">
        <v>2210342</v>
      </c>
      <c r="KE1" s="44">
        <v>2210343</v>
      </c>
      <c r="KF1" s="44">
        <v>2210344</v>
      </c>
      <c r="KG1" s="44">
        <v>2210345</v>
      </c>
      <c r="KH1" s="44">
        <v>2210346</v>
      </c>
    </row>
    <row r="2" spans="1:294">
      <c r="A2" s="7" t="s">
        <v>182</v>
      </c>
      <c r="B2" s="8" t="s">
        <v>112</v>
      </c>
      <c r="C2" s="19">
        <v>505174645</v>
      </c>
      <c r="D2" s="19">
        <v>2442660409</v>
      </c>
      <c r="E2" s="19">
        <v>1030940830</v>
      </c>
      <c r="F2" s="19">
        <v>1974981485</v>
      </c>
      <c r="G2" s="47" t="s">
        <v>130</v>
      </c>
      <c r="H2" s="19">
        <v>4793772280</v>
      </c>
      <c r="I2" s="19">
        <v>5071266369</v>
      </c>
      <c r="J2" s="19" t="s">
        <v>4</v>
      </c>
      <c r="K2" s="19">
        <v>1050776910</v>
      </c>
      <c r="L2" s="47" t="s">
        <v>96</v>
      </c>
      <c r="M2" s="47" t="s">
        <v>96</v>
      </c>
      <c r="N2" s="19">
        <v>283173875</v>
      </c>
      <c r="O2" s="19">
        <v>8085546513</v>
      </c>
      <c r="P2" s="19">
        <v>6745806502</v>
      </c>
      <c r="Q2" s="19">
        <v>174034111</v>
      </c>
      <c r="R2" s="19">
        <v>418263616</v>
      </c>
      <c r="S2" s="19">
        <v>13787469523</v>
      </c>
      <c r="T2" s="47" t="s">
        <v>96</v>
      </c>
      <c r="U2" s="47" t="s">
        <v>172</v>
      </c>
      <c r="V2" s="47" t="s">
        <v>172</v>
      </c>
      <c r="W2" s="19">
        <v>994802037</v>
      </c>
      <c r="X2" s="19">
        <v>7298495543</v>
      </c>
      <c r="Y2" s="19">
        <v>354158343</v>
      </c>
      <c r="Z2" s="19">
        <v>7631439623</v>
      </c>
      <c r="AA2" s="19">
        <v>5770811463</v>
      </c>
      <c r="AB2" s="19">
        <v>145007418</v>
      </c>
      <c r="AC2" s="19">
        <v>1637111655</v>
      </c>
      <c r="AD2" s="19">
        <v>4595641166</v>
      </c>
      <c r="AE2" s="19">
        <v>6037414999</v>
      </c>
      <c r="AF2" s="47" t="s">
        <v>172</v>
      </c>
      <c r="AG2" s="19">
        <v>749490752</v>
      </c>
      <c r="AH2" s="19">
        <v>2893941949</v>
      </c>
      <c r="AI2" s="19">
        <v>468353091</v>
      </c>
      <c r="AJ2" s="19">
        <v>1031946131</v>
      </c>
      <c r="AK2" s="19">
        <v>2284151161</v>
      </c>
      <c r="AL2" s="19">
        <v>689820290</v>
      </c>
      <c r="AM2" s="47" t="s">
        <v>4</v>
      </c>
      <c r="AN2" s="19">
        <v>2003614061</v>
      </c>
      <c r="AO2" s="19">
        <v>1223026270</v>
      </c>
      <c r="AP2" s="19">
        <v>535518250</v>
      </c>
      <c r="AQ2" s="47" t="s">
        <v>96</v>
      </c>
      <c r="AR2" s="19">
        <v>1769134212</v>
      </c>
      <c r="AS2" s="19">
        <v>1429959457</v>
      </c>
      <c r="AT2" s="47" t="s">
        <v>172</v>
      </c>
      <c r="AU2" s="19">
        <v>15457083739</v>
      </c>
      <c r="AV2" s="19">
        <v>456702620</v>
      </c>
      <c r="AW2" s="19">
        <v>610702738</v>
      </c>
      <c r="AX2" s="47" t="s">
        <v>4</v>
      </c>
      <c r="AY2" s="19">
        <v>378051354</v>
      </c>
      <c r="AZ2" s="19">
        <v>559194060</v>
      </c>
      <c r="BA2" s="19">
        <v>3361006661</v>
      </c>
      <c r="BB2" s="19">
        <v>32461936</v>
      </c>
      <c r="BC2" s="47" t="s">
        <v>4</v>
      </c>
      <c r="BD2" s="47" t="s">
        <v>130</v>
      </c>
      <c r="BE2" s="19">
        <v>1651771394</v>
      </c>
      <c r="BF2" s="47" t="s">
        <v>96</v>
      </c>
      <c r="BG2" s="19">
        <v>1223290285</v>
      </c>
      <c r="BH2" s="19">
        <v>963120157</v>
      </c>
      <c r="BI2" s="19">
        <v>626219825</v>
      </c>
      <c r="BJ2" s="19">
        <v>860818138</v>
      </c>
      <c r="BK2" s="19">
        <v>2543407592</v>
      </c>
      <c r="BL2" s="19">
        <v>1458336432</v>
      </c>
      <c r="BM2" s="19">
        <v>1746497549</v>
      </c>
      <c r="BN2" s="19">
        <v>198987632</v>
      </c>
      <c r="BO2" s="19">
        <v>376430109</v>
      </c>
      <c r="BP2" s="47" t="s">
        <v>96</v>
      </c>
      <c r="BQ2" s="47" t="s">
        <v>4</v>
      </c>
      <c r="BR2" s="19">
        <v>9172467254</v>
      </c>
      <c r="BS2" s="19">
        <v>28709642</v>
      </c>
      <c r="BT2" s="47" t="s">
        <v>130</v>
      </c>
      <c r="BU2" s="19">
        <v>1374601506</v>
      </c>
      <c r="BV2" s="19">
        <v>532833045</v>
      </c>
      <c r="BW2" s="19">
        <v>19229436</v>
      </c>
      <c r="BX2" s="19">
        <v>256258399</v>
      </c>
      <c r="BY2" s="19">
        <v>1126811347</v>
      </c>
      <c r="BZ2" s="19">
        <v>2642108215</v>
      </c>
      <c r="CA2" s="19">
        <v>1985546817</v>
      </c>
      <c r="CB2" s="19">
        <v>1730586002</v>
      </c>
      <c r="CC2" s="19">
        <v>150403056</v>
      </c>
      <c r="CD2" s="19">
        <v>1260315044</v>
      </c>
      <c r="CE2" s="19">
        <v>354757824</v>
      </c>
      <c r="CF2" s="19">
        <v>541680212</v>
      </c>
      <c r="CG2" s="19">
        <v>206029876</v>
      </c>
      <c r="CH2" s="19">
        <v>401209978</v>
      </c>
      <c r="CI2" s="47" t="s">
        <v>130</v>
      </c>
      <c r="CJ2" s="19">
        <v>577501555</v>
      </c>
      <c r="CK2" s="19">
        <v>8530076544</v>
      </c>
      <c r="CL2" s="19">
        <v>767439221</v>
      </c>
      <c r="CM2" s="19">
        <v>3508087616</v>
      </c>
      <c r="CN2" s="19">
        <v>99974153</v>
      </c>
      <c r="CO2" s="19">
        <v>149131359</v>
      </c>
      <c r="CP2" s="19">
        <v>2342426693</v>
      </c>
      <c r="CQ2" s="47" t="s">
        <v>96</v>
      </c>
      <c r="CR2" s="19">
        <v>932379381</v>
      </c>
      <c r="CS2" s="47" t="s">
        <v>172</v>
      </c>
      <c r="CT2" s="19">
        <v>27958231478</v>
      </c>
      <c r="CU2" s="19">
        <v>573106894</v>
      </c>
      <c r="CV2" s="19">
        <v>32298212</v>
      </c>
      <c r="CW2" s="19">
        <v>5373528260</v>
      </c>
      <c r="CX2" s="19">
        <v>3340599861</v>
      </c>
      <c r="CY2" s="47" t="s">
        <v>96</v>
      </c>
      <c r="CZ2" s="19">
        <v>6379178086</v>
      </c>
      <c r="DA2" s="47" t="s">
        <v>89</v>
      </c>
      <c r="DB2" s="19">
        <v>614350383</v>
      </c>
      <c r="DC2" s="19">
        <v>14941790</v>
      </c>
      <c r="DD2" s="19">
        <v>104835130</v>
      </c>
      <c r="DE2" s="19">
        <v>995576374</v>
      </c>
      <c r="DF2" s="19">
        <v>59869479</v>
      </c>
      <c r="DG2" s="19">
        <v>817447555</v>
      </c>
      <c r="DH2" s="19">
        <v>750286126</v>
      </c>
      <c r="DI2" s="19">
        <v>6937416654</v>
      </c>
      <c r="DJ2" s="19">
        <v>166636429</v>
      </c>
      <c r="DK2" s="19">
        <v>13308919067</v>
      </c>
      <c r="DL2" s="19">
        <v>564161102</v>
      </c>
      <c r="DM2" s="19">
        <v>3018781761</v>
      </c>
      <c r="DN2" s="19">
        <v>914822392</v>
      </c>
      <c r="DO2" s="19">
        <v>92005418</v>
      </c>
      <c r="DP2" s="19">
        <v>4056469380</v>
      </c>
      <c r="DQ2" s="19">
        <v>469572815</v>
      </c>
      <c r="DR2" s="19">
        <v>6678360531</v>
      </c>
      <c r="DS2" s="19">
        <v>467627946</v>
      </c>
      <c r="DT2" s="19">
        <v>2422283896</v>
      </c>
      <c r="DU2" s="19">
        <v>215602540</v>
      </c>
      <c r="DV2" s="19">
        <v>4907687447</v>
      </c>
      <c r="DW2" s="19">
        <v>1631217094</v>
      </c>
      <c r="DX2" s="19">
        <v>9148098403</v>
      </c>
      <c r="DY2" s="19">
        <v>1219043295</v>
      </c>
      <c r="DZ2" s="19">
        <v>1014529475</v>
      </c>
      <c r="EA2" s="19">
        <v>99272246</v>
      </c>
      <c r="EB2" s="19">
        <v>6395073947</v>
      </c>
      <c r="EC2" s="19">
        <v>431786192</v>
      </c>
      <c r="ED2" s="19">
        <v>208649539</v>
      </c>
      <c r="EE2" s="19">
        <v>600611036</v>
      </c>
      <c r="EF2" s="19">
        <v>3672960185</v>
      </c>
      <c r="EG2" s="19">
        <v>7967533156</v>
      </c>
      <c r="EH2" s="19">
        <v>5840994983</v>
      </c>
      <c r="EI2" s="19">
        <v>22613259226</v>
      </c>
      <c r="EJ2" s="19">
        <v>279420835</v>
      </c>
      <c r="EK2" s="19">
        <v>686260928</v>
      </c>
      <c r="EL2" s="19">
        <v>3126371375</v>
      </c>
      <c r="EM2" s="19">
        <v>943129065</v>
      </c>
      <c r="EN2" s="19">
        <v>3935169307</v>
      </c>
      <c r="EO2" s="19">
        <v>383042986</v>
      </c>
      <c r="EP2" s="19">
        <v>660606968</v>
      </c>
      <c r="EQ2" s="19">
        <v>1575314721</v>
      </c>
      <c r="ER2" s="19">
        <v>2499500512</v>
      </c>
      <c r="ES2" s="19">
        <v>1868639182</v>
      </c>
      <c r="ET2" s="19">
        <v>16914785463</v>
      </c>
      <c r="EU2" s="19">
        <v>3155459581</v>
      </c>
      <c r="EV2" s="19">
        <v>233465037</v>
      </c>
      <c r="EW2" s="19">
        <v>1122362201</v>
      </c>
      <c r="EX2" s="19">
        <v>2976389820</v>
      </c>
      <c r="EY2" s="19">
        <v>4519318608</v>
      </c>
      <c r="EZ2" s="19">
        <v>744110311</v>
      </c>
      <c r="FA2" s="47" t="s">
        <v>130</v>
      </c>
      <c r="FB2" s="19">
        <v>166253099</v>
      </c>
      <c r="FC2" s="19">
        <v>1395199922</v>
      </c>
      <c r="FD2" s="19">
        <v>1250211192</v>
      </c>
      <c r="FE2" s="19">
        <v>6867157047</v>
      </c>
      <c r="FF2" s="19">
        <v>132674613</v>
      </c>
      <c r="FG2" s="19">
        <v>4403882727</v>
      </c>
      <c r="FH2" s="19">
        <v>1201374787</v>
      </c>
      <c r="FI2" s="47" t="s">
        <v>96</v>
      </c>
      <c r="FJ2" s="19">
        <v>331998594</v>
      </c>
      <c r="FK2" s="19">
        <v>803014016</v>
      </c>
      <c r="FL2" s="47" t="s">
        <v>130</v>
      </c>
      <c r="FM2" s="19">
        <v>345067758</v>
      </c>
      <c r="FN2" s="19">
        <v>8087249704</v>
      </c>
      <c r="FO2" s="47" t="s">
        <v>172</v>
      </c>
      <c r="FP2" s="19">
        <v>624606418</v>
      </c>
      <c r="FQ2" s="19">
        <v>270614177</v>
      </c>
      <c r="FR2" s="19">
        <v>524304387</v>
      </c>
      <c r="FS2" s="47" t="s">
        <v>130</v>
      </c>
      <c r="FT2" s="19">
        <v>18146395082</v>
      </c>
      <c r="FU2" s="19">
        <v>15023558</v>
      </c>
      <c r="FV2" s="19">
        <v>4443335390</v>
      </c>
      <c r="FW2" s="19">
        <v>192011384</v>
      </c>
      <c r="FX2" s="19">
        <v>162693532</v>
      </c>
      <c r="FY2" s="19">
        <v>2013250198</v>
      </c>
      <c r="FZ2" s="47" t="s">
        <v>175</v>
      </c>
      <c r="GA2" s="19">
        <v>1481662745</v>
      </c>
      <c r="GB2" s="19">
        <v>427542103</v>
      </c>
      <c r="GC2" s="19">
        <v>284781983</v>
      </c>
      <c r="GD2" s="48" t="s">
        <v>96</v>
      </c>
      <c r="GE2" s="48" t="s">
        <v>96</v>
      </c>
      <c r="GF2" s="19">
        <v>1206275768</v>
      </c>
      <c r="GG2" s="19">
        <v>5534091049</v>
      </c>
      <c r="GH2" s="47" t="s">
        <v>172</v>
      </c>
      <c r="GI2" s="19">
        <v>205533900</v>
      </c>
      <c r="GJ2" s="47" t="s">
        <v>96</v>
      </c>
      <c r="GK2" s="19">
        <v>288773931</v>
      </c>
      <c r="GL2" s="47" t="s">
        <v>96</v>
      </c>
      <c r="GM2" s="19">
        <v>84332685</v>
      </c>
      <c r="GN2" s="19">
        <v>706729954</v>
      </c>
      <c r="GO2" s="47" t="s">
        <v>96</v>
      </c>
      <c r="GP2" s="19">
        <v>8570242220</v>
      </c>
      <c r="GQ2" s="19">
        <v>534940746</v>
      </c>
      <c r="GR2" s="19">
        <v>3194748834</v>
      </c>
      <c r="GS2" s="19">
        <f>GS3+GS14</f>
        <v>1161152166</v>
      </c>
      <c r="GT2" s="19">
        <v>302298216</v>
      </c>
      <c r="GU2" s="19">
        <v>93124457</v>
      </c>
      <c r="GV2" s="19">
        <f>GV3+GV14</f>
        <v>3658263564</v>
      </c>
      <c r="GW2" s="19">
        <v>25367672214</v>
      </c>
      <c r="GX2" s="19">
        <v>2399234164</v>
      </c>
      <c r="GY2" s="19">
        <v>1092646513</v>
      </c>
      <c r="GZ2" s="19">
        <v>4703652044</v>
      </c>
      <c r="HA2" s="19">
        <v>54796275</v>
      </c>
      <c r="HB2" s="19">
        <v>802948617</v>
      </c>
      <c r="HC2" s="19">
        <v>1157547363</v>
      </c>
      <c r="HD2" s="19">
        <v>682410027</v>
      </c>
      <c r="HE2" s="19">
        <v>400175252</v>
      </c>
      <c r="HF2" s="19">
        <v>1934233207</v>
      </c>
      <c r="HG2" s="19">
        <v>278589800</v>
      </c>
      <c r="HH2" s="47" t="s">
        <v>130</v>
      </c>
      <c r="HI2" s="19">
        <v>2794241243</v>
      </c>
      <c r="HJ2" s="19">
        <v>966862670</v>
      </c>
      <c r="HK2" s="19">
        <v>3046739431</v>
      </c>
      <c r="HL2" s="19">
        <v>1536042093</v>
      </c>
      <c r="HM2" s="19">
        <v>814335272</v>
      </c>
      <c r="HN2" s="19">
        <v>631582978</v>
      </c>
      <c r="HO2" s="19">
        <v>1528416382</v>
      </c>
      <c r="HP2" s="19">
        <v>789877934</v>
      </c>
      <c r="HQ2" s="19">
        <v>308325486</v>
      </c>
      <c r="HR2" s="19">
        <v>2063488828</v>
      </c>
      <c r="HS2" s="19">
        <v>775097166</v>
      </c>
      <c r="HT2" s="19">
        <v>367248501</v>
      </c>
      <c r="HU2" s="19">
        <v>1424170533</v>
      </c>
      <c r="HV2" s="19">
        <v>143651666</v>
      </c>
      <c r="HW2" s="19" t="s">
        <v>96</v>
      </c>
      <c r="HX2" s="19">
        <v>4018951271</v>
      </c>
      <c r="HY2" s="19" t="s">
        <v>172</v>
      </c>
      <c r="HZ2" s="19">
        <v>9699737296</v>
      </c>
      <c r="IA2" s="19">
        <v>1189884851</v>
      </c>
      <c r="IB2" s="19">
        <v>7113643147</v>
      </c>
      <c r="IC2" s="19">
        <v>2277396036</v>
      </c>
      <c r="ID2" s="19">
        <v>28437022</v>
      </c>
      <c r="IE2" s="47" t="s">
        <v>96</v>
      </c>
      <c r="IF2" s="19">
        <v>122049058</v>
      </c>
      <c r="IG2" s="19">
        <v>87873975</v>
      </c>
      <c r="IH2" s="19">
        <v>1100571917</v>
      </c>
      <c r="II2" s="19">
        <v>498160396</v>
      </c>
      <c r="IJ2" s="19">
        <v>354856149</v>
      </c>
      <c r="IK2" s="19">
        <v>569849508</v>
      </c>
      <c r="IL2" s="19">
        <v>1464778478</v>
      </c>
      <c r="IM2" s="19">
        <v>1725326651</v>
      </c>
      <c r="IN2" s="19">
        <v>762553845</v>
      </c>
      <c r="IO2" s="19">
        <v>774460771</v>
      </c>
      <c r="IP2" s="19">
        <v>468168098</v>
      </c>
      <c r="IQ2" s="19">
        <v>888634017</v>
      </c>
      <c r="IR2" s="19">
        <v>1228275665</v>
      </c>
      <c r="IS2" s="19">
        <v>6209838463</v>
      </c>
      <c r="IT2" s="19">
        <v>1530334555</v>
      </c>
      <c r="IU2" s="45">
        <v>2147237477</v>
      </c>
      <c r="IV2" s="45">
        <v>657999627</v>
      </c>
      <c r="IW2" s="45">
        <v>220228358</v>
      </c>
      <c r="IX2" s="45">
        <v>1505751676</v>
      </c>
      <c r="IY2" s="45">
        <v>1830501079</v>
      </c>
      <c r="IZ2" s="45">
        <v>468805682</v>
      </c>
      <c r="JA2" s="45">
        <v>1665892621</v>
      </c>
      <c r="JB2" s="45">
        <v>489278264</v>
      </c>
      <c r="JC2" s="45">
        <v>1456374333</v>
      </c>
      <c r="JD2" s="45">
        <v>534973290</v>
      </c>
      <c r="JE2" s="45">
        <v>121063027</v>
      </c>
      <c r="JF2" s="45">
        <v>947670615</v>
      </c>
      <c r="JG2" s="45">
        <v>45375013</v>
      </c>
      <c r="JH2" s="45">
        <v>159101663</v>
      </c>
      <c r="JI2" s="45">
        <v>204698706</v>
      </c>
      <c r="JJ2" s="45">
        <v>253963329</v>
      </c>
      <c r="JK2" s="45">
        <v>307704361</v>
      </c>
      <c r="JL2" s="45">
        <v>3508518029</v>
      </c>
      <c r="JM2" s="45">
        <v>756208405</v>
      </c>
      <c r="JN2" s="45">
        <v>4366396974</v>
      </c>
      <c r="JO2" s="46">
        <v>138337514</v>
      </c>
      <c r="JP2" s="46">
        <v>344938807</v>
      </c>
      <c r="JQ2" s="63" t="s">
        <v>175</v>
      </c>
      <c r="JR2" s="46">
        <v>719338312</v>
      </c>
      <c r="JS2" s="46">
        <v>93884678</v>
      </c>
      <c r="JT2" s="46">
        <v>61609348</v>
      </c>
      <c r="JU2" s="46">
        <v>415056277</v>
      </c>
      <c r="JV2" s="46">
        <v>546267662</v>
      </c>
      <c r="JW2" s="46">
        <v>130905194</v>
      </c>
      <c r="JX2" s="46">
        <v>2315374173</v>
      </c>
      <c r="JY2" s="46">
        <v>1498812846</v>
      </c>
      <c r="JZ2" s="46">
        <v>43262123</v>
      </c>
      <c r="KA2" s="46">
        <v>48680936</v>
      </c>
      <c r="KB2" s="46">
        <v>7609557738</v>
      </c>
      <c r="KC2" s="46">
        <v>550748570</v>
      </c>
      <c r="KD2" s="46">
        <v>341079045</v>
      </c>
      <c r="KE2" s="46">
        <v>127364202</v>
      </c>
      <c r="KF2" s="46">
        <v>384563979</v>
      </c>
      <c r="KG2" s="46">
        <v>224987043</v>
      </c>
      <c r="KH2" s="46">
        <v>992223592</v>
      </c>
    </row>
    <row r="3" spans="1:294">
      <c r="A3" s="7" t="s">
        <v>182</v>
      </c>
      <c r="B3" s="8" t="s">
        <v>84</v>
      </c>
      <c r="C3" s="19">
        <v>374371553</v>
      </c>
      <c r="D3" s="19">
        <v>1521909168</v>
      </c>
      <c r="E3" s="19">
        <v>574427423</v>
      </c>
      <c r="F3" s="19">
        <v>741362409</v>
      </c>
      <c r="G3" s="47" t="s">
        <v>130</v>
      </c>
      <c r="H3" s="19">
        <v>1689097545</v>
      </c>
      <c r="I3" s="19">
        <v>1427674035</v>
      </c>
      <c r="J3" s="19" t="s">
        <v>4</v>
      </c>
      <c r="K3" s="19">
        <v>803193012</v>
      </c>
      <c r="L3" s="47" t="s">
        <v>96</v>
      </c>
      <c r="M3" s="47" t="s">
        <v>96</v>
      </c>
      <c r="N3" s="19">
        <v>175811077</v>
      </c>
      <c r="O3" s="19">
        <v>2661986603</v>
      </c>
      <c r="P3" s="19">
        <v>967178831</v>
      </c>
      <c r="Q3" s="19">
        <v>151133201</v>
      </c>
      <c r="R3" s="19">
        <v>248380866</v>
      </c>
      <c r="S3" s="19">
        <v>2637661407</v>
      </c>
      <c r="T3" s="47" t="s">
        <v>96</v>
      </c>
      <c r="U3" s="47" t="s">
        <v>172</v>
      </c>
      <c r="V3" s="47" t="s">
        <v>172</v>
      </c>
      <c r="W3" s="19">
        <v>192124595</v>
      </c>
      <c r="X3" s="19">
        <v>2467287883</v>
      </c>
      <c r="Y3" s="19">
        <v>98938626</v>
      </c>
      <c r="Z3" s="19">
        <v>1093662621</v>
      </c>
      <c r="AA3" s="19">
        <v>3292686903</v>
      </c>
      <c r="AB3" s="19">
        <v>85551814</v>
      </c>
      <c r="AC3" s="19">
        <v>392215212</v>
      </c>
      <c r="AD3" s="19">
        <v>1216882613</v>
      </c>
      <c r="AE3" s="19">
        <v>1055353686</v>
      </c>
      <c r="AF3" s="47" t="s">
        <v>172</v>
      </c>
      <c r="AG3" s="19">
        <v>248066113</v>
      </c>
      <c r="AH3" s="19">
        <v>2310004022</v>
      </c>
      <c r="AI3" s="19">
        <v>34993752</v>
      </c>
      <c r="AJ3" s="19">
        <v>839265373</v>
      </c>
      <c r="AK3" s="19">
        <v>1951179915</v>
      </c>
      <c r="AL3" s="19">
        <v>442394442</v>
      </c>
      <c r="AM3" s="47" t="s">
        <v>4</v>
      </c>
      <c r="AN3" s="19">
        <v>134877514</v>
      </c>
      <c r="AO3" s="19">
        <v>1103331248</v>
      </c>
      <c r="AP3" s="19">
        <v>532241321</v>
      </c>
      <c r="AQ3" s="47" t="s">
        <v>96</v>
      </c>
      <c r="AR3" s="19">
        <v>1004052637</v>
      </c>
      <c r="AS3" s="19">
        <v>1321663724</v>
      </c>
      <c r="AT3" s="47" t="s">
        <v>172</v>
      </c>
      <c r="AU3" s="19">
        <v>7762994254</v>
      </c>
      <c r="AV3" s="19">
        <v>369444960</v>
      </c>
      <c r="AW3" s="19">
        <v>46173925</v>
      </c>
      <c r="AX3" s="47" t="s">
        <v>4</v>
      </c>
      <c r="AY3" s="19">
        <v>132332897</v>
      </c>
      <c r="AZ3" s="19">
        <v>244945318</v>
      </c>
      <c r="BA3" s="19">
        <v>2057684937</v>
      </c>
      <c r="BB3" s="19">
        <v>19486271</v>
      </c>
      <c r="BC3" s="47" t="s">
        <v>4</v>
      </c>
      <c r="BD3" s="47" t="s">
        <v>130</v>
      </c>
      <c r="BE3" s="19">
        <v>480708292</v>
      </c>
      <c r="BF3" s="47" t="s">
        <v>96</v>
      </c>
      <c r="BG3" s="19">
        <v>1143208133</v>
      </c>
      <c r="BH3" s="19">
        <v>244777070</v>
      </c>
      <c r="BI3" s="19">
        <v>565820308</v>
      </c>
      <c r="BJ3" s="19">
        <v>720569824</v>
      </c>
      <c r="BK3" s="19">
        <v>2078622337</v>
      </c>
      <c r="BL3" s="19">
        <v>1297791867</v>
      </c>
      <c r="BM3" s="19">
        <v>883027775</v>
      </c>
      <c r="BN3" s="19">
        <v>37107312</v>
      </c>
      <c r="BO3" s="19">
        <v>336581732</v>
      </c>
      <c r="BP3" s="47" t="s">
        <v>96</v>
      </c>
      <c r="BQ3" s="47" t="s">
        <v>4</v>
      </c>
      <c r="BR3" s="19">
        <v>4661952582</v>
      </c>
      <c r="BS3" s="19">
        <v>6142040</v>
      </c>
      <c r="BT3" s="47" t="s">
        <v>130</v>
      </c>
      <c r="BU3" s="19">
        <v>702426465</v>
      </c>
      <c r="BV3" s="19">
        <v>508217045</v>
      </c>
      <c r="BW3" s="19">
        <v>16383477</v>
      </c>
      <c r="BX3" s="19">
        <v>201219921</v>
      </c>
      <c r="BY3" s="19">
        <v>853082283</v>
      </c>
      <c r="BZ3" s="19">
        <v>1464102808</v>
      </c>
      <c r="CA3" s="19">
        <v>1109206388</v>
      </c>
      <c r="CB3" s="19">
        <v>234297702</v>
      </c>
      <c r="CC3" s="19">
        <v>147353056</v>
      </c>
      <c r="CD3" s="19">
        <v>1255991196</v>
      </c>
      <c r="CE3" s="19">
        <v>264011824</v>
      </c>
      <c r="CF3" s="19">
        <v>287396350</v>
      </c>
      <c r="CG3" s="19">
        <v>107078567</v>
      </c>
      <c r="CH3" s="19">
        <v>333819580</v>
      </c>
      <c r="CI3" s="47" t="s">
        <v>130</v>
      </c>
      <c r="CJ3" s="19">
        <v>515355428</v>
      </c>
      <c r="CK3" s="19">
        <v>359278247</v>
      </c>
      <c r="CL3" s="19">
        <v>103563490</v>
      </c>
      <c r="CM3" s="19">
        <v>1940965519</v>
      </c>
      <c r="CN3" s="19">
        <v>91664586</v>
      </c>
      <c r="CO3" s="19">
        <v>107377870</v>
      </c>
      <c r="CP3" s="19">
        <v>1859907321</v>
      </c>
      <c r="CQ3" s="47" t="s">
        <v>96</v>
      </c>
      <c r="CR3" s="19">
        <v>790935659</v>
      </c>
      <c r="CS3" s="47" t="s">
        <v>172</v>
      </c>
      <c r="CT3" s="19">
        <v>24258515311</v>
      </c>
      <c r="CU3" s="19">
        <v>366427608</v>
      </c>
      <c r="CV3" s="19">
        <v>27548212</v>
      </c>
      <c r="CW3" s="19">
        <v>1394391536</v>
      </c>
      <c r="CX3" s="19">
        <v>2544323490</v>
      </c>
      <c r="CY3" s="47" t="s">
        <v>96</v>
      </c>
      <c r="CZ3" s="19">
        <v>1590481579</v>
      </c>
      <c r="DA3" s="47" t="s">
        <v>89</v>
      </c>
      <c r="DB3" s="19">
        <v>591154830</v>
      </c>
      <c r="DC3" s="19">
        <v>9193007</v>
      </c>
      <c r="DD3" s="19">
        <v>41363779</v>
      </c>
      <c r="DE3" s="19">
        <v>144047587</v>
      </c>
      <c r="DF3" s="19">
        <v>37992188</v>
      </c>
      <c r="DG3" s="19">
        <v>3217669</v>
      </c>
      <c r="DH3" s="19">
        <v>707744302</v>
      </c>
      <c r="DI3" s="19">
        <v>1417105212</v>
      </c>
      <c r="DJ3" s="19">
        <v>132020429</v>
      </c>
      <c r="DK3" s="19">
        <v>7443005387</v>
      </c>
      <c r="DL3" s="19">
        <v>496160258</v>
      </c>
      <c r="DM3" s="19">
        <v>1749926891</v>
      </c>
      <c r="DN3" s="19">
        <v>399900150</v>
      </c>
      <c r="DO3" s="19">
        <v>13855829</v>
      </c>
      <c r="DP3" s="19">
        <v>1980941329</v>
      </c>
      <c r="DQ3" s="19">
        <v>449285717</v>
      </c>
      <c r="DR3" s="19">
        <v>1493198990</v>
      </c>
      <c r="DS3" s="19">
        <v>358304086</v>
      </c>
      <c r="DT3" s="19">
        <v>1421817949</v>
      </c>
      <c r="DU3" s="19">
        <v>173800161</v>
      </c>
      <c r="DV3" s="19">
        <v>3606291025</v>
      </c>
      <c r="DW3" s="19">
        <v>814812315</v>
      </c>
      <c r="DX3" s="19">
        <v>7581798440</v>
      </c>
      <c r="DY3" s="19">
        <v>592541672</v>
      </c>
      <c r="DZ3" s="19">
        <v>881450032</v>
      </c>
      <c r="EA3" s="19">
        <v>60108672</v>
      </c>
      <c r="EB3" s="19">
        <v>2430586522</v>
      </c>
      <c r="EC3" s="19">
        <v>425417548</v>
      </c>
      <c r="ED3" s="19">
        <v>163009509</v>
      </c>
      <c r="EE3" s="19">
        <v>449410458</v>
      </c>
      <c r="EF3" s="19">
        <v>754825929</v>
      </c>
      <c r="EG3" s="19">
        <v>6204779782</v>
      </c>
      <c r="EH3" s="19">
        <v>445655784</v>
      </c>
      <c r="EI3" s="19">
        <v>19364599367</v>
      </c>
      <c r="EJ3" s="19">
        <v>263474839</v>
      </c>
      <c r="EK3" s="19">
        <v>522241928</v>
      </c>
      <c r="EL3" s="19">
        <v>2795622896</v>
      </c>
      <c r="EM3" s="19">
        <v>625608555</v>
      </c>
      <c r="EN3" s="19">
        <v>3315258800</v>
      </c>
      <c r="EO3" s="19">
        <v>262259508</v>
      </c>
      <c r="EP3" s="19">
        <v>269048288</v>
      </c>
      <c r="EQ3" s="19">
        <v>1557284721</v>
      </c>
      <c r="ER3" s="19">
        <v>1499074560</v>
      </c>
      <c r="ES3" s="19">
        <v>780516495</v>
      </c>
      <c r="ET3" s="19">
        <v>14322649326</v>
      </c>
      <c r="EU3" s="19">
        <v>2673452647</v>
      </c>
      <c r="EV3" s="19">
        <v>227968481</v>
      </c>
      <c r="EW3" s="19">
        <v>330261410</v>
      </c>
      <c r="EX3" s="19">
        <v>327058059</v>
      </c>
      <c r="EY3" s="19">
        <v>971217269</v>
      </c>
      <c r="EZ3" s="19">
        <v>395688765</v>
      </c>
      <c r="FA3" s="47" t="s">
        <v>130</v>
      </c>
      <c r="FB3" s="19">
        <v>17094704</v>
      </c>
      <c r="FC3" s="19">
        <v>602267547</v>
      </c>
      <c r="FD3" s="19">
        <v>217624156</v>
      </c>
      <c r="FE3" s="19">
        <v>4684236053</v>
      </c>
      <c r="FF3" s="19">
        <v>129671977</v>
      </c>
      <c r="FG3" s="19">
        <v>4142566611</v>
      </c>
      <c r="FH3" s="19">
        <v>819469505</v>
      </c>
      <c r="FI3" s="47" t="s">
        <v>96</v>
      </c>
      <c r="FJ3" s="19">
        <v>231643725</v>
      </c>
      <c r="FK3" s="19">
        <v>512176871</v>
      </c>
      <c r="FL3" s="47" t="s">
        <v>130</v>
      </c>
      <c r="FM3" s="19">
        <v>112972292</v>
      </c>
      <c r="FN3" s="19">
        <v>5317007769</v>
      </c>
      <c r="FO3" s="47" t="s">
        <v>172</v>
      </c>
      <c r="FP3" s="19">
        <v>238980809</v>
      </c>
      <c r="FQ3" s="19">
        <v>200064842</v>
      </c>
      <c r="FR3" s="19">
        <v>363006499</v>
      </c>
      <c r="FS3" s="47" t="s">
        <v>130</v>
      </c>
      <c r="FT3" s="19">
        <v>10755090814</v>
      </c>
      <c r="FU3" s="19">
        <v>15023558</v>
      </c>
      <c r="FV3" s="19">
        <v>1757622864</v>
      </c>
      <c r="FW3" s="19">
        <v>172172406</v>
      </c>
      <c r="FX3" s="19">
        <v>70981446</v>
      </c>
      <c r="FY3" s="19">
        <v>1169265287</v>
      </c>
      <c r="FZ3" s="47" t="s">
        <v>175</v>
      </c>
      <c r="GA3" s="19">
        <v>1344993494</v>
      </c>
      <c r="GB3" s="19">
        <v>199127921</v>
      </c>
      <c r="GC3" s="19">
        <v>222305544</v>
      </c>
      <c r="GD3" s="48" t="s">
        <v>96</v>
      </c>
      <c r="GE3" s="48" t="s">
        <v>96</v>
      </c>
      <c r="GF3" s="19">
        <v>663563646</v>
      </c>
      <c r="GG3" s="19">
        <v>3306195368</v>
      </c>
      <c r="GH3" s="47" t="s">
        <v>172</v>
      </c>
      <c r="GI3" s="19">
        <v>200628273</v>
      </c>
      <c r="GJ3" s="47" t="s">
        <v>96</v>
      </c>
      <c r="GK3" s="19">
        <v>156863570</v>
      </c>
      <c r="GL3" s="47" t="s">
        <v>96</v>
      </c>
      <c r="GM3" s="19">
        <v>12819858</v>
      </c>
      <c r="GN3" s="19">
        <v>150768613</v>
      </c>
      <c r="GO3" s="47" t="s">
        <v>96</v>
      </c>
      <c r="GP3" s="19">
        <v>2689676725</v>
      </c>
      <c r="GQ3" s="19">
        <v>508660886</v>
      </c>
      <c r="GR3" s="19">
        <v>2082133908</v>
      </c>
      <c r="GS3" s="19">
        <f>GS4+GS12+GS13</f>
        <v>837991785</v>
      </c>
      <c r="GT3" s="19">
        <v>36590772</v>
      </c>
      <c r="GU3" s="19">
        <v>63124457</v>
      </c>
      <c r="GV3" s="19">
        <f>GV4+GV12+GV13</f>
        <v>622731361</v>
      </c>
      <c r="GW3" s="19">
        <v>14169150238</v>
      </c>
      <c r="GX3" s="19">
        <v>1181290440</v>
      </c>
      <c r="GY3" s="19">
        <v>350932881</v>
      </c>
      <c r="GZ3" s="19">
        <v>527648478</v>
      </c>
      <c r="HA3" s="19">
        <v>54543538</v>
      </c>
      <c r="HB3" s="19">
        <v>786995760</v>
      </c>
      <c r="HC3" s="19">
        <v>626724852</v>
      </c>
      <c r="HD3" s="19">
        <v>590211706</v>
      </c>
      <c r="HE3" s="19">
        <v>359446511</v>
      </c>
      <c r="HF3" s="19">
        <v>979452232</v>
      </c>
      <c r="HG3" s="19">
        <v>265029641</v>
      </c>
      <c r="HH3" s="47" t="s">
        <v>130</v>
      </c>
      <c r="HI3" s="19">
        <v>1393992743</v>
      </c>
      <c r="HJ3" s="19">
        <v>617416755</v>
      </c>
      <c r="HK3" s="19">
        <v>2492976212</v>
      </c>
      <c r="HL3" s="19">
        <v>1344887853</v>
      </c>
      <c r="HM3" s="19">
        <v>132051494</v>
      </c>
      <c r="HN3" s="19">
        <v>299707520</v>
      </c>
      <c r="HO3" s="19">
        <v>718739044</v>
      </c>
      <c r="HP3" s="19">
        <v>415834434</v>
      </c>
      <c r="HQ3" s="19">
        <v>215668652</v>
      </c>
      <c r="HR3" s="19">
        <v>1701024917</v>
      </c>
      <c r="HS3" s="19">
        <v>655164752</v>
      </c>
      <c r="HT3" s="19">
        <v>349082916</v>
      </c>
      <c r="HU3" s="19">
        <v>1058532475</v>
      </c>
      <c r="HV3" s="19">
        <v>113579422</v>
      </c>
      <c r="HW3" s="19" t="s">
        <v>96</v>
      </c>
      <c r="HX3" s="19">
        <v>1027147139</v>
      </c>
      <c r="HY3" s="19" t="s">
        <v>172</v>
      </c>
      <c r="HZ3" s="19">
        <v>3715650962</v>
      </c>
      <c r="IA3" s="19">
        <v>695258196</v>
      </c>
      <c r="IB3" s="19">
        <v>1124777963</v>
      </c>
      <c r="IC3" s="19">
        <v>1156375224</v>
      </c>
      <c r="ID3" s="19">
        <v>25879224</v>
      </c>
      <c r="IE3" s="47" t="s">
        <v>96</v>
      </c>
      <c r="IF3" s="19">
        <v>82997712</v>
      </c>
      <c r="IG3" s="19">
        <v>82149844</v>
      </c>
      <c r="IH3" s="19">
        <v>797880122</v>
      </c>
      <c r="II3" s="19">
        <v>123755192</v>
      </c>
      <c r="IJ3" s="19">
        <v>56400440</v>
      </c>
      <c r="IK3" s="19">
        <v>445385506</v>
      </c>
      <c r="IL3" s="19">
        <v>315777770</v>
      </c>
      <c r="IM3" s="19">
        <v>1386263759</v>
      </c>
      <c r="IN3" s="19">
        <v>108112828</v>
      </c>
      <c r="IO3" s="19">
        <v>697055040</v>
      </c>
      <c r="IP3" s="19">
        <v>256172317</v>
      </c>
      <c r="IQ3" s="19">
        <v>765066105</v>
      </c>
      <c r="IR3" s="19">
        <v>1094283248</v>
      </c>
      <c r="IS3" s="19">
        <v>278669459</v>
      </c>
      <c r="IT3" s="19">
        <v>504804863</v>
      </c>
      <c r="IU3" s="45">
        <v>1937350406</v>
      </c>
      <c r="IV3" s="45">
        <v>356061789</v>
      </c>
      <c r="IW3" s="45">
        <v>101673463</v>
      </c>
      <c r="IX3" s="45">
        <v>481897403</v>
      </c>
      <c r="IY3" s="45">
        <v>1426883123</v>
      </c>
      <c r="IZ3" s="45">
        <v>318385571</v>
      </c>
      <c r="JA3" s="45">
        <v>1566249405</v>
      </c>
      <c r="JB3" s="45">
        <v>423778680</v>
      </c>
      <c r="JC3" s="45">
        <v>390022202</v>
      </c>
      <c r="JD3" s="45">
        <v>489947944</v>
      </c>
      <c r="JE3" s="45">
        <v>96207787</v>
      </c>
      <c r="JF3" s="45">
        <v>354803013</v>
      </c>
      <c r="JG3" s="45">
        <v>28792925</v>
      </c>
      <c r="JH3" s="45">
        <v>54054513</v>
      </c>
      <c r="JI3" s="45">
        <v>137716894</v>
      </c>
      <c r="JJ3" s="45">
        <v>17125699</v>
      </c>
      <c r="JK3" s="45">
        <v>195479976</v>
      </c>
      <c r="JL3" s="45">
        <v>835297025</v>
      </c>
      <c r="JM3" s="45">
        <v>136863745</v>
      </c>
      <c r="JN3" s="45">
        <v>2147110179</v>
      </c>
      <c r="JO3" s="46">
        <v>35032871</v>
      </c>
      <c r="JP3" s="46">
        <v>308990173</v>
      </c>
      <c r="JQ3" s="63" t="s">
        <v>175</v>
      </c>
      <c r="JR3" s="46">
        <v>614434057</v>
      </c>
      <c r="JS3" s="46">
        <v>31763283</v>
      </c>
      <c r="JT3" s="46">
        <v>35469576</v>
      </c>
      <c r="JU3" s="46">
        <v>235452457</v>
      </c>
      <c r="JV3" s="46">
        <v>396382516</v>
      </c>
      <c r="JW3" s="46">
        <v>63905194</v>
      </c>
      <c r="JX3" s="46">
        <v>2080890405</v>
      </c>
      <c r="JY3" s="46">
        <v>1145629560</v>
      </c>
      <c r="JZ3" s="46">
        <v>8325951</v>
      </c>
      <c r="KA3" s="46">
        <v>38285936</v>
      </c>
      <c r="KB3" s="46">
        <v>2762378752</v>
      </c>
      <c r="KC3" s="46">
        <v>506740922</v>
      </c>
      <c r="KD3" s="46">
        <v>251901604</v>
      </c>
      <c r="KE3" s="46">
        <v>40200948</v>
      </c>
      <c r="KF3" s="46">
        <v>240570888</v>
      </c>
      <c r="KG3" s="46">
        <v>195677481</v>
      </c>
      <c r="KH3" s="46">
        <v>327833107</v>
      </c>
    </row>
    <row r="4" spans="1:294">
      <c r="A4" s="7" t="s">
        <v>182</v>
      </c>
      <c r="B4" s="11" t="s">
        <v>23</v>
      </c>
      <c r="C4" s="19">
        <v>374371553</v>
      </c>
      <c r="D4" s="19">
        <v>1445972268</v>
      </c>
      <c r="E4" s="19">
        <v>529149440</v>
      </c>
      <c r="F4" s="19">
        <v>741362409</v>
      </c>
      <c r="G4" s="47" t="s">
        <v>130</v>
      </c>
      <c r="H4" s="19">
        <v>1689097545</v>
      </c>
      <c r="I4" s="19">
        <v>1427674035</v>
      </c>
      <c r="J4" s="19" t="s">
        <v>4</v>
      </c>
      <c r="K4" s="19">
        <v>617790767</v>
      </c>
      <c r="L4" s="47" t="s">
        <v>96</v>
      </c>
      <c r="M4" s="47" t="s">
        <v>96</v>
      </c>
      <c r="N4" s="19">
        <v>170276713</v>
      </c>
      <c r="O4" s="19">
        <v>2555483246</v>
      </c>
      <c r="P4" s="19">
        <v>867455288</v>
      </c>
      <c r="Q4" s="19">
        <v>76473201</v>
      </c>
      <c r="R4" s="19">
        <v>248380866</v>
      </c>
      <c r="S4" s="19">
        <v>1947695285</v>
      </c>
      <c r="T4" s="47" t="s">
        <v>96</v>
      </c>
      <c r="U4" s="47" t="s">
        <v>172</v>
      </c>
      <c r="V4" s="47" t="s">
        <v>172</v>
      </c>
      <c r="W4" s="19">
        <v>159632150</v>
      </c>
      <c r="X4" s="19">
        <v>2467287883</v>
      </c>
      <c r="Y4" s="19">
        <v>98938626</v>
      </c>
      <c r="Z4" s="19">
        <v>971147621</v>
      </c>
      <c r="AA4" s="19">
        <v>2770925873</v>
      </c>
      <c r="AB4" s="19">
        <v>85551814</v>
      </c>
      <c r="AC4" s="19">
        <v>359573112</v>
      </c>
      <c r="AD4" s="19">
        <v>961693123</v>
      </c>
      <c r="AE4" s="19">
        <v>731155878</v>
      </c>
      <c r="AF4" s="47" t="s">
        <v>172</v>
      </c>
      <c r="AG4" s="19">
        <v>248066113</v>
      </c>
      <c r="AH4" s="19">
        <v>2068334796</v>
      </c>
      <c r="AI4" s="19">
        <v>22740752</v>
      </c>
      <c r="AJ4" s="19">
        <v>228841471</v>
      </c>
      <c r="AK4" s="19">
        <v>1896179915</v>
      </c>
      <c r="AL4" s="19">
        <v>442394442</v>
      </c>
      <c r="AM4" s="47" t="s">
        <v>4</v>
      </c>
      <c r="AN4" s="19">
        <v>112909514</v>
      </c>
      <c r="AO4" s="19">
        <v>1077915589</v>
      </c>
      <c r="AP4" s="19">
        <v>532241321</v>
      </c>
      <c r="AQ4" s="47" t="s">
        <v>96</v>
      </c>
      <c r="AR4" s="19">
        <v>594885087</v>
      </c>
      <c r="AS4" s="19">
        <v>1321663724</v>
      </c>
      <c r="AT4" s="47" t="s">
        <v>172</v>
      </c>
      <c r="AU4" s="19">
        <v>7762994254</v>
      </c>
      <c r="AV4" s="19">
        <v>369444960</v>
      </c>
      <c r="AW4" s="19">
        <v>46173925</v>
      </c>
      <c r="AX4" s="47" t="s">
        <v>4</v>
      </c>
      <c r="AY4" s="19">
        <v>126188897</v>
      </c>
      <c r="AZ4" s="19">
        <v>244945318</v>
      </c>
      <c r="BA4" s="19">
        <v>1321282876</v>
      </c>
      <c r="BB4" s="19">
        <v>19486271</v>
      </c>
      <c r="BC4" s="47" t="s">
        <v>4</v>
      </c>
      <c r="BD4" s="47" t="s">
        <v>130</v>
      </c>
      <c r="BE4" s="19">
        <v>357431542</v>
      </c>
      <c r="BF4" s="47" t="s">
        <v>96</v>
      </c>
      <c r="BG4" s="19">
        <v>829229529</v>
      </c>
      <c r="BH4" s="19">
        <v>124550784</v>
      </c>
      <c r="BI4" s="19">
        <v>468364090</v>
      </c>
      <c r="BJ4" s="19">
        <v>446502504</v>
      </c>
      <c r="BK4" s="19">
        <v>1752217720</v>
      </c>
      <c r="BL4" s="19">
        <v>1297791867</v>
      </c>
      <c r="BM4" s="19">
        <v>695668990</v>
      </c>
      <c r="BN4" s="19">
        <v>37107312</v>
      </c>
      <c r="BO4" s="19">
        <v>87763250</v>
      </c>
      <c r="BP4" s="47" t="s">
        <v>96</v>
      </c>
      <c r="BQ4" s="47" t="s">
        <v>4</v>
      </c>
      <c r="BR4" s="19">
        <v>4013132972</v>
      </c>
      <c r="BS4" s="19">
        <v>6142040</v>
      </c>
      <c r="BT4" s="47" t="s">
        <v>130</v>
      </c>
      <c r="BU4" s="19">
        <v>112753223</v>
      </c>
      <c r="BV4" s="19">
        <v>508217045</v>
      </c>
      <c r="BW4" s="19">
        <v>16383477</v>
      </c>
      <c r="BX4" s="19">
        <v>201219921</v>
      </c>
      <c r="BY4" s="19">
        <v>745933007</v>
      </c>
      <c r="BZ4" s="19">
        <v>1234024876</v>
      </c>
      <c r="CA4" s="19">
        <v>1109206388</v>
      </c>
      <c r="CB4" s="19">
        <v>83486232</v>
      </c>
      <c r="CC4" s="19">
        <v>100558816</v>
      </c>
      <c r="CD4" s="19">
        <v>1229221078</v>
      </c>
      <c r="CE4" s="19">
        <v>196331343</v>
      </c>
      <c r="CF4" s="19">
        <v>209258654</v>
      </c>
      <c r="CG4" s="19">
        <v>107078567</v>
      </c>
      <c r="CH4" s="19">
        <v>269588190</v>
      </c>
      <c r="CI4" s="47" t="s">
        <v>130</v>
      </c>
      <c r="CJ4" s="19">
        <v>56704328</v>
      </c>
      <c r="CK4" s="19">
        <v>106011112</v>
      </c>
      <c r="CL4" s="19">
        <v>62788650</v>
      </c>
      <c r="CM4" s="19">
        <v>1940965519</v>
      </c>
      <c r="CN4" s="19">
        <v>91664586</v>
      </c>
      <c r="CO4" s="19">
        <v>107377870</v>
      </c>
      <c r="CP4" s="19">
        <v>458102421</v>
      </c>
      <c r="CQ4" s="47" t="s">
        <v>96</v>
      </c>
      <c r="CR4" s="19">
        <v>779859619</v>
      </c>
      <c r="CS4" s="47" t="s">
        <v>172</v>
      </c>
      <c r="CT4" s="19">
        <v>24258515311</v>
      </c>
      <c r="CU4" s="19">
        <v>366427608</v>
      </c>
      <c r="CV4" s="19">
        <v>27548212</v>
      </c>
      <c r="CW4" s="19">
        <v>1350758920</v>
      </c>
      <c r="CX4" s="19">
        <v>2544323490</v>
      </c>
      <c r="CY4" s="47" t="s">
        <v>96</v>
      </c>
      <c r="CZ4" s="19">
        <v>1590481579</v>
      </c>
      <c r="DA4" s="47" t="s">
        <v>89</v>
      </c>
      <c r="DB4" s="19">
        <v>591154830</v>
      </c>
      <c r="DC4" s="19">
        <v>9193007</v>
      </c>
      <c r="DD4" s="19">
        <v>40511599</v>
      </c>
      <c r="DE4" s="19">
        <v>144047587</v>
      </c>
      <c r="DF4" s="19">
        <v>32167826</v>
      </c>
      <c r="DG4" s="19">
        <v>3217669</v>
      </c>
      <c r="DH4" s="19">
        <v>705196335</v>
      </c>
      <c r="DI4" s="19">
        <v>1160610212</v>
      </c>
      <c r="DJ4" s="19">
        <v>132020429</v>
      </c>
      <c r="DK4" s="19">
        <v>5103113418</v>
      </c>
      <c r="DL4" s="19">
        <v>477477758</v>
      </c>
      <c r="DM4" s="19">
        <v>1251596391</v>
      </c>
      <c r="DN4" s="19">
        <v>206753573</v>
      </c>
      <c r="DO4" s="19">
        <v>13855829</v>
      </c>
      <c r="DP4" s="19">
        <v>1941581479</v>
      </c>
      <c r="DQ4" s="19">
        <v>329102677</v>
      </c>
      <c r="DR4" s="19">
        <v>1225058362</v>
      </c>
      <c r="DS4" s="19">
        <v>358304086</v>
      </c>
      <c r="DT4" s="19">
        <v>1421817949</v>
      </c>
      <c r="DU4" s="19">
        <v>173800161</v>
      </c>
      <c r="DV4" s="19">
        <v>3604374025</v>
      </c>
      <c r="DW4" s="19">
        <v>814812315</v>
      </c>
      <c r="DX4" s="19">
        <v>7581798440</v>
      </c>
      <c r="DY4" s="19">
        <v>107940410</v>
      </c>
      <c r="DZ4" s="19">
        <v>777295192</v>
      </c>
      <c r="EA4" s="19">
        <v>60108672</v>
      </c>
      <c r="EB4" s="19">
        <v>2320839022</v>
      </c>
      <c r="EC4" s="19">
        <v>182308980</v>
      </c>
      <c r="ED4" s="19">
        <v>163009509</v>
      </c>
      <c r="EE4" s="19">
        <v>449410458</v>
      </c>
      <c r="EF4" s="19">
        <v>708679425</v>
      </c>
      <c r="EG4" s="19">
        <v>4810849222</v>
      </c>
      <c r="EH4" s="19">
        <v>445655784</v>
      </c>
      <c r="EI4" s="19">
        <v>19364599367</v>
      </c>
      <c r="EJ4" s="19">
        <v>263474839</v>
      </c>
      <c r="EK4" s="19">
        <v>522241928</v>
      </c>
      <c r="EL4" s="19">
        <v>2578889488</v>
      </c>
      <c r="EM4" s="19">
        <v>567404355</v>
      </c>
      <c r="EN4" s="19">
        <v>3315258800</v>
      </c>
      <c r="EO4" s="19">
        <v>235450287</v>
      </c>
      <c r="EP4" s="19">
        <v>155118517</v>
      </c>
      <c r="EQ4" s="19">
        <v>1557284721</v>
      </c>
      <c r="ER4" s="19">
        <v>1457148394</v>
      </c>
      <c r="ES4" s="19">
        <v>449550994</v>
      </c>
      <c r="ET4" s="19">
        <v>14322649326</v>
      </c>
      <c r="EU4" s="19">
        <v>2673452647</v>
      </c>
      <c r="EV4" s="19">
        <v>134481171</v>
      </c>
      <c r="EW4" s="19">
        <v>20613327</v>
      </c>
      <c r="EX4" s="19">
        <v>282373651</v>
      </c>
      <c r="EY4" s="19">
        <v>971217269</v>
      </c>
      <c r="EZ4" s="19">
        <v>380896966</v>
      </c>
      <c r="FA4" s="47" t="s">
        <v>130</v>
      </c>
      <c r="FB4" s="19">
        <v>14045314</v>
      </c>
      <c r="FC4" s="19">
        <v>541026547</v>
      </c>
      <c r="FD4" s="19">
        <v>194674156</v>
      </c>
      <c r="FE4" s="19">
        <v>4540269931</v>
      </c>
      <c r="FF4" s="19">
        <v>129671977</v>
      </c>
      <c r="FG4" s="19">
        <v>2781936185</v>
      </c>
      <c r="FH4" s="19">
        <v>722921505</v>
      </c>
      <c r="FI4" s="47" t="s">
        <v>96</v>
      </c>
      <c r="FJ4" s="19">
        <v>231643725</v>
      </c>
      <c r="FK4" s="19">
        <v>479298231</v>
      </c>
      <c r="FL4" s="47" t="s">
        <v>130</v>
      </c>
      <c r="FM4" s="19">
        <v>62617703</v>
      </c>
      <c r="FN4" s="19">
        <v>5083456560</v>
      </c>
      <c r="FO4" s="47" t="s">
        <v>172</v>
      </c>
      <c r="FP4" s="19">
        <v>238980809</v>
      </c>
      <c r="FQ4" s="19">
        <v>104724842</v>
      </c>
      <c r="FR4" s="19">
        <v>311124399</v>
      </c>
      <c r="FS4" s="47" t="s">
        <v>130</v>
      </c>
      <c r="FT4" s="19">
        <v>7820475083</v>
      </c>
      <c r="FU4" s="19">
        <v>15023558</v>
      </c>
      <c r="FV4" s="19">
        <v>1757622864</v>
      </c>
      <c r="FW4" s="19">
        <v>6326055</v>
      </c>
      <c r="FX4" s="19">
        <v>70981446</v>
      </c>
      <c r="FY4" s="19">
        <v>1169265287</v>
      </c>
      <c r="FZ4" s="47" t="s">
        <v>175</v>
      </c>
      <c r="GA4" s="19">
        <v>1316093250</v>
      </c>
      <c r="GB4" s="19">
        <v>199127921</v>
      </c>
      <c r="GC4" s="19">
        <v>222305544</v>
      </c>
      <c r="GD4" s="48" t="s">
        <v>96</v>
      </c>
      <c r="GE4" s="48" t="s">
        <v>96</v>
      </c>
      <c r="GF4" s="19">
        <v>569863271</v>
      </c>
      <c r="GG4" s="19">
        <v>2399613341</v>
      </c>
      <c r="GH4" s="47" t="s">
        <v>172</v>
      </c>
      <c r="GI4" s="19">
        <v>86197869</v>
      </c>
      <c r="GJ4" s="47" t="s">
        <v>96</v>
      </c>
      <c r="GK4" s="19">
        <v>99727970</v>
      </c>
      <c r="GL4" s="47" t="s">
        <v>96</v>
      </c>
      <c r="GM4" s="19">
        <v>12819858</v>
      </c>
      <c r="GN4" s="19">
        <v>150768613</v>
      </c>
      <c r="GO4" s="47" t="s">
        <v>96</v>
      </c>
      <c r="GP4" s="19">
        <v>1573930711</v>
      </c>
      <c r="GQ4" s="19">
        <v>454154086</v>
      </c>
      <c r="GR4" s="19">
        <v>1319899858</v>
      </c>
      <c r="GS4" s="19">
        <f>SUM(GS5:GS11)</f>
        <v>837991785</v>
      </c>
      <c r="GT4" s="19">
        <v>27013012</v>
      </c>
      <c r="GU4" s="19">
        <v>63124457</v>
      </c>
      <c r="GV4" s="19">
        <f>SUM(GV5:GV11)</f>
        <v>622731361</v>
      </c>
      <c r="GW4" s="19">
        <v>13231988764</v>
      </c>
      <c r="GX4" s="19">
        <v>736512513</v>
      </c>
      <c r="GY4" s="19">
        <v>279433431</v>
      </c>
      <c r="GZ4" s="19">
        <v>375148478</v>
      </c>
      <c r="HA4" s="19">
        <v>54543538</v>
      </c>
      <c r="HB4" s="19">
        <v>786995760</v>
      </c>
      <c r="HC4" s="19">
        <v>571723902</v>
      </c>
      <c r="HD4" s="19">
        <v>554575321</v>
      </c>
      <c r="HE4" s="19">
        <v>251201511</v>
      </c>
      <c r="HF4" s="19">
        <v>979452232</v>
      </c>
      <c r="HG4" s="19">
        <v>226883203</v>
      </c>
      <c r="HH4" s="47" t="s">
        <v>130</v>
      </c>
      <c r="HI4" s="19">
        <v>1393992743</v>
      </c>
      <c r="HJ4" s="19">
        <v>617416755</v>
      </c>
      <c r="HK4" s="19">
        <v>1913877880</v>
      </c>
      <c r="HL4" s="19">
        <v>1279663453</v>
      </c>
      <c r="HM4" s="19">
        <v>132051494</v>
      </c>
      <c r="HN4" s="19">
        <v>299707520</v>
      </c>
      <c r="HO4" s="19">
        <v>702156144</v>
      </c>
      <c r="HP4" s="19">
        <v>242993553</v>
      </c>
      <c r="HQ4" s="19">
        <v>215668652</v>
      </c>
      <c r="HR4" s="19">
        <v>1701024917</v>
      </c>
      <c r="HS4" s="19">
        <v>593378152</v>
      </c>
      <c r="HT4" s="19">
        <v>273102916</v>
      </c>
      <c r="HU4" s="19">
        <v>1057219175</v>
      </c>
      <c r="HV4" s="19">
        <v>90683442</v>
      </c>
      <c r="HW4" s="19" t="s">
        <v>96</v>
      </c>
      <c r="HX4" s="19">
        <v>567568011</v>
      </c>
      <c r="HY4" s="19" t="s">
        <v>172</v>
      </c>
      <c r="HZ4" s="19">
        <v>3360512882</v>
      </c>
      <c r="IA4" s="19">
        <v>695258196</v>
      </c>
      <c r="IB4" s="19">
        <v>1104237789</v>
      </c>
      <c r="IC4" s="19">
        <v>1156375224</v>
      </c>
      <c r="ID4" s="19">
        <v>21605727</v>
      </c>
      <c r="IE4" s="47" t="s">
        <v>96</v>
      </c>
      <c r="IF4" s="19">
        <v>82997712</v>
      </c>
      <c r="IG4" s="19">
        <v>21838144</v>
      </c>
      <c r="IH4" s="19">
        <v>214966316</v>
      </c>
      <c r="II4" s="19">
        <v>48961838</v>
      </c>
      <c r="IJ4" s="19">
        <v>56400440</v>
      </c>
      <c r="IK4" s="19">
        <v>100475691</v>
      </c>
      <c r="IL4" s="19">
        <v>240093770</v>
      </c>
      <c r="IM4" s="19">
        <v>1386263759</v>
      </c>
      <c r="IN4" s="19">
        <v>108112828</v>
      </c>
      <c r="IO4" s="19">
        <v>514685638</v>
      </c>
      <c r="IP4" s="19">
        <v>256172317</v>
      </c>
      <c r="IQ4" s="19">
        <v>765066105</v>
      </c>
      <c r="IR4" s="19">
        <v>899477128</v>
      </c>
      <c r="IS4" s="19">
        <v>278669459</v>
      </c>
      <c r="IT4" s="19">
        <v>497772093</v>
      </c>
      <c r="IU4" s="45">
        <v>1937350406</v>
      </c>
      <c r="IV4" s="45">
        <v>356061789</v>
      </c>
      <c r="IW4" s="45">
        <v>101673463</v>
      </c>
      <c r="IX4" s="45">
        <v>424545896</v>
      </c>
      <c r="IY4" s="45">
        <v>1426883123</v>
      </c>
      <c r="IZ4" s="45">
        <v>103034409</v>
      </c>
      <c r="JA4" s="45">
        <v>713927394</v>
      </c>
      <c r="JB4" s="45">
        <v>279650820</v>
      </c>
      <c r="JC4" s="45">
        <v>178806452</v>
      </c>
      <c r="JD4" s="45">
        <v>489947944</v>
      </c>
      <c r="JE4" s="45">
        <v>96207787</v>
      </c>
      <c r="JF4" s="45">
        <v>252803013</v>
      </c>
      <c r="JG4" s="45">
        <v>28792925</v>
      </c>
      <c r="JH4" s="45">
        <v>54054513</v>
      </c>
      <c r="JI4" s="45">
        <v>112500309</v>
      </c>
      <c r="JJ4" s="45">
        <v>17125699</v>
      </c>
      <c r="JK4" s="45">
        <v>142179976</v>
      </c>
      <c r="JL4" s="45">
        <v>835297025</v>
      </c>
      <c r="JM4" s="45">
        <v>136863745</v>
      </c>
      <c r="JN4" s="45">
        <v>1447237278</v>
      </c>
      <c r="JO4" s="46">
        <v>35032871</v>
      </c>
      <c r="JP4" s="46">
        <v>292167686</v>
      </c>
      <c r="JQ4" s="63" t="s">
        <v>175</v>
      </c>
      <c r="JR4" s="46">
        <v>592598430</v>
      </c>
      <c r="JS4" s="46">
        <v>31763283</v>
      </c>
      <c r="JT4" s="46">
        <v>22994076</v>
      </c>
      <c r="JU4" s="46">
        <v>202253337</v>
      </c>
      <c r="JV4" s="46">
        <v>386963842</v>
      </c>
      <c r="JW4" s="46">
        <v>63905194</v>
      </c>
      <c r="JX4" s="46">
        <v>2080890405</v>
      </c>
      <c r="JY4" s="46">
        <v>1145629560</v>
      </c>
      <c r="JZ4" s="46">
        <v>5138001</v>
      </c>
      <c r="KA4" s="46">
        <v>36827936</v>
      </c>
      <c r="KB4" s="46">
        <v>916829590</v>
      </c>
      <c r="KC4" s="46">
        <v>378240922</v>
      </c>
      <c r="KD4" s="46">
        <v>251901604</v>
      </c>
      <c r="KE4" s="46">
        <v>18244948</v>
      </c>
      <c r="KF4" s="46">
        <v>87250888</v>
      </c>
      <c r="KG4" s="46">
        <v>143890924</v>
      </c>
      <c r="KH4" s="46">
        <v>327833107</v>
      </c>
    </row>
    <row r="5" spans="1:294">
      <c r="A5" s="7" t="s">
        <v>182</v>
      </c>
      <c r="B5" s="12" t="s">
        <v>61</v>
      </c>
      <c r="C5" s="19">
        <v>64360647</v>
      </c>
      <c r="D5" s="19">
        <v>212115363</v>
      </c>
      <c r="E5" s="19">
        <v>435089510</v>
      </c>
      <c r="F5" s="19">
        <v>82381687</v>
      </c>
      <c r="G5" s="47" t="s">
        <v>130</v>
      </c>
      <c r="H5" s="19">
        <v>1328495920</v>
      </c>
      <c r="I5" s="19">
        <v>29128921</v>
      </c>
      <c r="J5" s="19" t="s">
        <v>4</v>
      </c>
      <c r="K5" s="19">
        <v>340540446</v>
      </c>
      <c r="L5" s="47" t="s">
        <v>96</v>
      </c>
      <c r="M5" s="47" t="s">
        <v>96</v>
      </c>
      <c r="N5" s="19">
        <v>107527232</v>
      </c>
      <c r="O5" s="19">
        <v>1730491844</v>
      </c>
      <c r="P5" s="19">
        <v>439608070</v>
      </c>
      <c r="Q5" s="19">
        <v>60502398</v>
      </c>
      <c r="R5" s="19">
        <v>245929809</v>
      </c>
      <c r="S5" s="19">
        <v>1054568288</v>
      </c>
      <c r="T5" s="47" t="s">
        <v>96</v>
      </c>
      <c r="U5" s="47" t="s">
        <v>172</v>
      </c>
      <c r="V5" s="47" t="s">
        <v>172</v>
      </c>
      <c r="W5" s="19">
        <v>125782142</v>
      </c>
      <c r="X5" s="19">
        <v>794130970</v>
      </c>
      <c r="Y5" s="19">
        <v>37239261</v>
      </c>
      <c r="Z5" s="19">
        <v>27243951</v>
      </c>
      <c r="AA5" s="19">
        <v>323828021</v>
      </c>
      <c r="AB5" s="19">
        <v>33402039</v>
      </c>
      <c r="AC5" s="19">
        <v>237250738</v>
      </c>
      <c r="AD5" s="19">
        <v>705716965</v>
      </c>
      <c r="AE5" s="19">
        <v>244528318</v>
      </c>
      <c r="AF5" s="47" t="s">
        <v>172</v>
      </c>
      <c r="AG5" s="19">
        <v>8112467</v>
      </c>
      <c r="AH5" s="19">
        <v>90674490</v>
      </c>
      <c r="AI5" s="19">
        <v>3178741</v>
      </c>
      <c r="AJ5" s="19">
        <v>145456345</v>
      </c>
      <c r="AK5" s="19">
        <v>61831639</v>
      </c>
      <c r="AL5" s="19">
        <v>410208189</v>
      </c>
      <c r="AM5" s="47" t="s">
        <v>4</v>
      </c>
      <c r="AN5" s="19">
        <v>95539872</v>
      </c>
      <c r="AO5" s="19">
        <v>722539295</v>
      </c>
      <c r="AP5" s="19">
        <v>473755965</v>
      </c>
      <c r="AQ5" s="47" t="s">
        <v>96</v>
      </c>
      <c r="AR5" s="19">
        <v>492010232</v>
      </c>
      <c r="AS5" s="19">
        <v>55718107</v>
      </c>
      <c r="AT5" s="47" t="s">
        <v>172</v>
      </c>
      <c r="AU5" s="19">
        <v>63031848</v>
      </c>
      <c r="AV5" s="19">
        <v>233975468</v>
      </c>
      <c r="AW5" s="19">
        <v>7218776</v>
      </c>
      <c r="AX5" s="47" t="s">
        <v>4</v>
      </c>
      <c r="AY5" s="19">
        <v>118128285</v>
      </c>
      <c r="AZ5" s="19">
        <v>194923918</v>
      </c>
      <c r="BA5" s="19">
        <v>114429893</v>
      </c>
      <c r="BB5" s="19">
        <v>18726341</v>
      </c>
      <c r="BC5" s="47" t="s">
        <v>4</v>
      </c>
      <c r="BD5" s="47" t="s">
        <v>130</v>
      </c>
      <c r="BE5" s="19">
        <v>182567775</v>
      </c>
      <c r="BF5" s="47" t="s">
        <v>96</v>
      </c>
      <c r="BG5" s="19">
        <v>632048369</v>
      </c>
      <c r="BH5" s="19">
        <v>40768595</v>
      </c>
      <c r="BI5" s="19">
        <v>442216305</v>
      </c>
      <c r="BJ5" s="19">
        <v>32094708</v>
      </c>
      <c r="BK5" s="19">
        <v>827084947</v>
      </c>
      <c r="BL5" s="19">
        <v>1253199967</v>
      </c>
      <c r="BM5" s="19">
        <v>563418320</v>
      </c>
      <c r="BN5" s="19">
        <v>34894977</v>
      </c>
      <c r="BO5" s="19">
        <v>87763250</v>
      </c>
      <c r="BP5" s="47" t="s">
        <v>96</v>
      </c>
      <c r="BQ5" s="47" t="s">
        <v>4</v>
      </c>
      <c r="BR5" s="19">
        <v>2884327039</v>
      </c>
      <c r="BS5" s="19">
        <v>5933610</v>
      </c>
      <c r="BT5" s="47" t="s">
        <v>130</v>
      </c>
      <c r="BU5" s="19">
        <v>83786790</v>
      </c>
      <c r="BV5" s="19">
        <v>36733107</v>
      </c>
      <c r="BW5" s="19">
        <v>16132477</v>
      </c>
      <c r="BX5" s="19">
        <v>168129158</v>
      </c>
      <c r="BY5" s="19">
        <v>296748579</v>
      </c>
      <c r="BZ5" s="19">
        <v>12904210</v>
      </c>
      <c r="CA5" s="19">
        <v>533280223</v>
      </c>
      <c r="CB5" s="19">
        <v>60142234</v>
      </c>
      <c r="CC5" s="19">
        <v>92154108</v>
      </c>
      <c r="CD5" s="19">
        <v>1186454228</v>
      </c>
      <c r="CE5" s="19">
        <v>958507</v>
      </c>
      <c r="CF5" s="19">
        <v>162969540</v>
      </c>
      <c r="CG5" s="19">
        <v>98007013</v>
      </c>
      <c r="CH5" s="19">
        <v>206707966</v>
      </c>
      <c r="CI5" s="47" t="s">
        <v>130</v>
      </c>
      <c r="CJ5" s="19">
        <v>830396</v>
      </c>
      <c r="CK5" s="19">
        <v>552497</v>
      </c>
      <c r="CL5" s="19">
        <v>15318725</v>
      </c>
      <c r="CM5" s="19">
        <v>344369621</v>
      </c>
      <c r="CN5" s="19">
        <v>61210747</v>
      </c>
      <c r="CO5" s="19">
        <v>87815706</v>
      </c>
      <c r="CP5" s="19">
        <v>3460386</v>
      </c>
      <c r="CQ5" s="47" t="s">
        <v>96</v>
      </c>
      <c r="CR5" s="19">
        <v>733137796</v>
      </c>
      <c r="CS5" s="47" t="s">
        <v>172</v>
      </c>
      <c r="CT5" s="19">
        <v>3573211075</v>
      </c>
      <c r="CU5" s="19">
        <v>366352758</v>
      </c>
      <c r="CV5" s="19">
        <v>6615824</v>
      </c>
      <c r="CW5" s="19">
        <v>1077874880</v>
      </c>
      <c r="CX5" s="19">
        <v>94942968</v>
      </c>
      <c r="CY5" s="47" t="s">
        <v>96</v>
      </c>
      <c r="CZ5" s="19">
        <v>905091094</v>
      </c>
      <c r="DA5" s="47" t="s">
        <v>89</v>
      </c>
      <c r="DB5" s="19">
        <v>331612777</v>
      </c>
      <c r="DC5" s="19">
        <v>3744035</v>
      </c>
      <c r="DD5" s="19">
        <v>39136949</v>
      </c>
      <c r="DE5" s="19">
        <v>144047587</v>
      </c>
      <c r="DF5" s="19">
        <v>10570263</v>
      </c>
      <c r="DG5" s="19">
        <v>634465</v>
      </c>
      <c r="DH5" s="19">
        <v>368705672</v>
      </c>
      <c r="DI5" s="19">
        <v>269005686</v>
      </c>
      <c r="DJ5" s="19">
        <v>94583474</v>
      </c>
      <c r="DK5" s="19">
        <v>1381895700</v>
      </c>
      <c r="DL5" s="19">
        <v>302204953</v>
      </c>
      <c r="DM5" s="19">
        <v>145551769</v>
      </c>
      <c r="DN5" s="19">
        <v>80931701</v>
      </c>
      <c r="DO5" s="19">
        <v>12195452</v>
      </c>
      <c r="DP5" s="19">
        <v>1142551864</v>
      </c>
      <c r="DQ5" s="19">
        <v>12322147</v>
      </c>
      <c r="DR5" s="19">
        <v>1074548891</v>
      </c>
      <c r="DS5" s="19">
        <v>119736635</v>
      </c>
      <c r="DT5" s="19">
        <v>570213454</v>
      </c>
      <c r="DU5" s="19">
        <v>173800161</v>
      </c>
      <c r="DV5" s="19">
        <v>3592421489</v>
      </c>
      <c r="DW5" s="19">
        <v>312243430</v>
      </c>
      <c r="DX5" s="19">
        <v>4723117452</v>
      </c>
      <c r="DY5" s="19">
        <v>32679443</v>
      </c>
      <c r="DZ5" s="19">
        <v>284614478</v>
      </c>
      <c r="EA5" s="19">
        <v>18810741</v>
      </c>
      <c r="EB5" s="19">
        <v>1616085241</v>
      </c>
      <c r="EC5" s="19">
        <v>14050901</v>
      </c>
      <c r="ED5" s="19">
        <v>159756110</v>
      </c>
      <c r="EE5" s="19">
        <f>247281706-18000000</f>
        <v>229281706</v>
      </c>
      <c r="EF5" s="19">
        <v>144556196</v>
      </c>
      <c r="EG5" s="19">
        <v>4712104450</v>
      </c>
      <c r="EH5" s="19">
        <v>327059558</v>
      </c>
      <c r="EI5" s="19">
        <v>16891411698</v>
      </c>
      <c r="EJ5" s="19">
        <v>263293106</v>
      </c>
      <c r="EK5" s="19">
        <v>402032063</v>
      </c>
      <c r="EL5" s="19">
        <v>2309787074</v>
      </c>
      <c r="EM5" s="19">
        <v>255126347</v>
      </c>
      <c r="EN5" s="19">
        <v>3126958563</v>
      </c>
      <c r="EO5" s="19">
        <v>224988014</v>
      </c>
      <c r="EP5" s="19">
        <v>145303522</v>
      </c>
      <c r="EQ5" s="19">
        <v>1557284721</v>
      </c>
      <c r="ER5" s="19">
        <v>1086253067</v>
      </c>
      <c r="ES5" s="19">
        <v>27782171</v>
      </c>
      <c r="ET5" s="19">
        <v>14056349553</v>
      </c>
      <c r="EU5" s="19">
        <v>2196483264</v>
      </c>
      <c r="EV5" s="19">
        <v>68112531</v>
      </c>
      <c r="EW5" s="19">
        <v>12968996</v>
      </c>
      <c r="EX5" s="19">
        <v>209201819</v>
      </c>
      <c r="EY5" s="19">
        <v>720914194</v>
      </c>
      <c r="EZ5" s="19">
        <v>360469704</v>
      </c>
      <c r="FA5" s="47" t="s">
        <v>130</v>
      </c>
      <c r="FB5" s="19">
        <v>13042857</v>
      </c>
      <c r="FC5" s="19">
        <v>422025472</v>
      </c>
      <c r="FD5" s="19">
        <v>7292547</v>
      </c>
      <c r="FE5" s="19">
        <v>2774552438</v>
      </c>
      <c r="FF5" s="19">
        <v>104166937</v>
      </c>
      <c r="FG5" s="19">
        <v>2182268529</v>
      </c>
      <c r="FH5" s="19">
        <v>400665688</v>
      </c>
      <c r="FI5" s="47" t="s">
        <v>96</v>
      </c>
      <c r="FJ5" s="19">
        <v>143220050</v>
      </c>
      <c r="FK5" s="19">
        <v>385674280</v>
      </c>
      <c r="FL5" s="47" t="s">
        <v>130</v>
      </c>
      <c r="FM5" s="19">
        <v>28869381</v>
      </c>
      <c r="FN5" s="19">
        <v>2762483364</v>
      </c>
      <c r="FO5" s="47" t="s">
        <v>172</v>
      </c>
      <c r="FP5" s="19">
        <v>233746509</v>
      </c>
      <c r="FQ5" s="19">
        <v>97373912</v>
      </c>
      <c r="FR5" s="19">
        <v>148070254</v>
      </c>
      <c r="FS5" s="47" t="s">
        <v>130</v>
      </c>
      <c r="FT5" s="19">
        <v>4526740908</v>
      </c>
      <c r="FU5" s="19">
        <v>13153558</v>
      </c>
      <c r="FV5" s="19">
        <v>2128</v>
      </c>
      <c r="FW5" s="19">
        <v>3489361</v>
      </c>
      <c r="FX5" s="19">
        <v>69150342</v>
      </c>
      <c r="FY5" s="19">
        <v>792138273</v>
      </c>
      <c r="FZ5" s="47" t="s">
        <v>175</v>
      </c>
      <c r="GA5" s="19">
        <v>1218409275</v>
      </c>
      <c r="GB5" s="19">
        <v>194876207</v>
      </c>
      <c r="GC5" s="19">
        <v>221880408</v>
      </c>
      <c r="GD5" s="48" t="s">
        <v>96</v>
      </c>
      <c r="GE5" s="48" t="s">
        <v>96</v>
      </c>
      <c r="GF5" s="19">
        <v>359627437</v>
      </c>
      <c r="GG5" s="19">
        <v>1541453832</v>
      </c>
      <c r="GH5" s="47" t="s">
        <v>172</v>
      </c>
      <c r="GI5" s="19">
        <v>37480293</v>
      </c>
      <c r="GJ5" s="47" t="s">
        <v>96</v>
      </c>
      <c r="GK5" s="19">
        <v>50470368</v>
      </c>
      <c r="GL5" s="47" t="s">
        <v>96</v>
      </c>
      <c r="GM5" s="19">
        <v>12184873</v>
      </c>
      <c r="GN5" s="19">
        <v>82205900</v>
      </c>
      <c r="GO5" s="47" t="s">
        <v>96</v>
      </c>
      <c r="GP5" s="19">
        <v>812365430</v>
      </c>
      <c r="GQ5" s="19">
        <v>384832961</v>
      </c>
      <c r="GR5" s="19">
        <v>978304659</v>
      </c>
      <c r="GS5" s="19">
        <v>738001838</v>
      </c>
      <c r="GT5" s="19">
        <v>6793460</v>
      </c>
      <c r="GU5" s="19">
        <v>62681137</v>
      </c>
      <c r="GV5" s="19">
        <f>578490411+24500000</f>
        <v>602990411</v>
      </c>
      <c r="GW5" s="19">
        <v>9348349161</v>
      </c>
      <c r="GX5" s="19">
        <v>190695325</v>
      </c>
      <c r="GY5" s="19">
        <v>241807059</v>
      </c>
      <c r="GZ5" s="19">
        <v>221678286</v>
      </c>
      <c r="HA5" s="19">
        <v>38464290</v>
      </c>
      <c r="HB5" s="19">
        <v>335347346</v>
      </c>
      <c r="HC5" s="19">
        <v>71218682</v>
      </c>
      <c r="HD5" s="19">
        <v>91164725</v>
      </c>
      <c r="HE5" s="19">
        <v>10215243</v>
      </c>
      <c r="HF5" s="19">
        <v>720855641</v>
      </c>
      <c r="HG5" s="19">
        <v>112845635</v>
      </c>
      <c r="HH5" s="47" t="s">
        <v>130</v>
      </c>
      <c r="HI5" s="19">
        <v>1100193906</v>
      </c>
      <c r="HJ5" s="19">
        <v>599469335</v>
      </c>
      <c r="HK5" s="19">
        <v>1423458607</v>
      </c>
      <c r="HL5" s="19">
        <v>1203274688</v>
      </c>
      <c r="HM5" s="19">
        <v>64133181</v>
      </c>
      <c r="HN5" s="19">
        <v>291570042</v>
      </c>
      <c r="HO5" s="19">
        <v>604047629</v>
      </c>
      <c r="HP5" s="19">
        <v>237120987</v>
      </c>
      <c r="HQ5" s="19">
        <v>146664520</v>
      </c>
      <c r="HR5" s="19">
        <v>1115857648</v>
      </c>
      <c r="HS5" s="19">
        <v>453598295</v>
      </c>
      <c r="HT5" s="19">
        <v>2600765</v>
      </c>
      <c r="HU5" s="19">
        <v>886373431</v>
      </c>
      <c r="HV5" s="19">
        <v>58577303</v>
      </c>
      <c r="HW5" s="19" t="s">
        <v>96</v>
      </c>
      <c r="HX5" s="19">
        <v>192779276</v>
      </c>
      <c r="HY5" s="19" t="s">
        <v>172</v>
      </c>
      <c r="HZ5" s="19">
        <v>504053184</v>
      </c>
      <c r="IA5" s="19">
        <v>133749676</v>
      </c>
      <c r="IB5" s="19">
        <v>174645376</v>
      </c>
      <c r="IC5" s="19">
        <v>550823294</v>
      </c>
      <c r="ID5" s="19">
        <v>14889500</v>
      </c>
      <c r="IE5" s="47" t="s">
        <v>96</v>
      </c>
      <c r="IF5" s="19">
        <v>82997712</v>
      </c>
      <c r="IG5" s="19">
        <v>12654814</v>
      </c>
      <c r="IH5" s="19">
        <v>81944316</v>
      </c>
      <c r="II5" s="19">
        <v>30797103</v>
      </c>
      <c r="IJ5" s="19">
        <v>50729256</v>
      </c>
      <c r="IK5" s="19">
        <v>42333610</v>
      </c>
      <c r="IL5" s="19">
        <v>59907667</v>
      </c>
      <c r="IM5" s="19">
        <v>1354754933</v>
      </c>
      <c r="IN5" s="19">
        <v>41421981</v>
      </c>
      <c r="IO5" s="19">
        <v>377665547</v>
      </c>
      <c r="IP5" s="19">
        <v>84770892</v>
      </c>
      <c r="IQ5" s="19">
        <v>756614177</v>
      </c>
      <c r="IR5" s="19">
        <v>626331103</v>
      </c>
      <c r="IS5" s="19">
        <v>192605479</v>
      </c>
      <c r="IT5" s="19">
        <v>479267504</v>
      </c>
      <c r="IU5" s="45">
        <v>1695240171</v>
      </c>
      <c r="IV5" s="45">
        <v>80943080</v>
      </c>
      <c r="IW5" s="45">
        <v>52755602</v>
      </c>
      <c r="IX5" s="45">
        <v>349389897</v>
      </c>
      <c r="IY5" s="45">
        <v>1257650653</v>
      </c>
      <c r="IZ5" s="45">
        <v>28565633</v>
      </c>
      <c r="JA5" s="45">
        <v>116239477</v>
      </c>
      <c r="JB5" s="45">
        <v>21179213</v>
      </c>
      <c r="JC5" s="45">
        <v>168355923</v>
      </c>
      <c r="JD5" s="45">
        <v>467006452</v>
      </c>
      <c r="JE5" s="45">
        <v>93617397</v>
      </c>
      <c r="JF5" s="45">
        <v>183375416</v>
      </c>
      <c r="JG5" s="45">
        <v>12824366</v>
      </c>
      <c r="JH5" s="45">
        <v>7890555</v>
      </c>
      <c r="JI5" s="45">
        <v>2672478</v>
      </c>
      <c r="JJ5" s="45">
        <v>14150810</v>
      </c>
      <c r="JK5" s="45">
        <v>127951631</v>
      </c>
      <c r="JL5" s="45">
        <v>807849375</v>
      </c>
      <c r="JM5" s="45">
        <v>115552555</v>
      </c>
      <c r="JN5" s="45">
        <v>114923216</v>
      </c>
      <c r="JO5" s="46">
        <v>35032871</v>
      </c>
      <c r="JP5" s="46">
        <v>262171869</v>
      </c>
      <c r="JQ5" s="63" t="s">
        <v>175</v>
      </c>
      <c r="JR5" s="46">
        <v>525481383</v>
      </c>
      <c r="JS5" s="46">
        <v>21991637</v>
      </c>
      <c r="JT5" s="46">
        <v>9649671</v>
      </c>
      <c r="JU5" s="46">
        <v>135957666</v>
      </c>
      <c r="JV5" s="46">
        <v>273827617</v>
      </c>
      <c r="JW5" s="46">
        <v>63905194</v>
      </c>
      <c r="JX5" s="46">
        <v>1916479405</v>
      </c>
      <c r="JY5" s="46">
        <v>999435544</v>
      </c>
      <c r="JZ5" s="46">
        <v>5138001</v>
      </c>
      <c r="KA5" s="46">
        <v>24737</v>
      </c>
      <c r="KB5" s="46">
        <v>235277251</v>
      </c>
      <c r="KC5" s="46">
        <v>238998673</v>
      </c>
      <c r="KD5" s="46">
        <v>216691144</v>
      </c>
      <c r="KE5" s="46">
        <v>13244628</v>
      </c>
      <c r="KF5" s="46">
        <v>678402</v>
      </c>
      <c r="KG5" s="46">
        <v>54152995</v>
      </c>
      <c r="KH5" s="46">
        <v>182981011</v>
      </c>
    </row>
    <row r="6" spans="1:294">
      <c r="A6" s="7" t="s">
        <v>182</v>
      </c>
      <c r="B6" s="12" t="s">
        <v>75</v>
      </c>
      <c r="C6" s="19">
        <v>18000000</v>
      </c>
      <c r="D6" s="19"/>
      <c r="E6" s="19"/>
      <c r="F6" s="19">
        <v>650774485</v>
      </c>
      <c r="G6" s="47" t="s">
        <v>130</v>
      </c>
      <c r="H6" s="19">
        <v>150910000</v>
      </c>
      <c r="I6" s="19">
        <v>162893300</v>
      </c>
      <c r="J6" s="47" t="s">
        <v>4</v>
      </c>
      <c r="K6" s="19"/>
      <c r="L6" s="47" t="s">
        <v>96</v>
      </c>
      <c r="M6" s="47" t="s">
        <v>96</v>
      </c>
      <c r="N6" s="19">
        <v>20300000</v>
      </c>
      <c r="O6" s="19"/>
      <c r="P6" s="19"/>
      <c r="Q6" s="19"/>
      <c r="R6" s="19"/>
      <c r="S6" s="19"/>
      <c r="T6" s="47" t="s">
        <v>96</v>
      </c>
      <c r="U6" s="47" t="s">
        <v>172</v>
      </c>
      <c r="V6" s="47" t="s">
        <v>172</v>
      </c>
      <c r="W6" s="19"/>
      <c r="X6" s="19">
        <v>10029140</v>
      </c>
      <c r="Y6" s="19">
        <v>5000000</v>
      </c>
      <c r="Z6" s="19"/>
      <c r="AA6" s="19"/>
      <c r="AB6" s="19"/>
      <c r="AC6" s="19"/>
      <c r="AD6" s="19"/>
      <c r="AE6" s="19"/>
      <c r="AF6" s="47" t="s">
        <v>172</v>
      </c>
      <c r="AG6" s="19"/>
      <c r="AH6" s="19">
        <v>1603286359</v>
      </c>
      <c r="AI6" s="19"/>
      <c r="AJ6" s="19"/>
      <c r="AK6" s="19"/>
      <c r="AL6" s="19"/>
      <c r="AM6" s="47" t="s">
        <v>4</v>
      </c>
      <c r="AN6" s="19"/>
      <c r="AO6" s="19"/>
      <c r="AP6" s="19"/>
      <c r="AQ6" s="47" t="s">
        <v>96</v>
      </c>
      <c r="AR6" s="19"/>
      <c r="AS6" s="19"/>
      <c r="AT6" s="47" t="s">
        <v>172</v>
      </c>
      <c r="AU6" s="19">
        <v>4577776</v>
      </c>
      <c r="AV6" s="19"/>
      <c r="AW6" s="19">
        <v>21364097</v>
      </c>
      <c r="AX6" s="47" t="s">
        <v>4</v>
      </c>
      <c r="AY6" s="19"/>
      <c r="AZ6" s="19"/>
      <c r="BA6" s="19"/>
      <c r="BB6" s="19"/>
      <c r="BC6" s="47" t="s">
        <v>4</v>
      </c>
      <c r="BD6" s="47" t="s">
        <v>130</v>
      </c>
      <c r="BE6" s="19"/>
      <c r="BF6" s="47" t="s">
        <v>96</v>
      </c>
      <c r="BG6" s="19"/>
      <c r="BH6" s="19">
        <v>28000000</v>
      </c>
      <c r="BI6" s="19"/>
      <c r="BJ6" s="19">
        <v>23985672</v>
      </c>
      <c r="BK6" s="19"/>
      <c r="BL6" s="19"/>
      <c r="BM6" s="19"/>
      <c r="BN6" s="19"/>
      <c r="BO6" s="19"/>
      <c r="BP6" s="47" t="s">
        <v>96</v>
      </c>
      <c r="BQ6" s="47" t="s">
        <v>4</v>
      </c>
      <c r="BR6" s="19"/>
      <c r="BS6" s="19"/>
      <c r="BT6" s="47" t="s">
        <v>130</v>
      </c>
      <c r="BU6" s="19"/>
      <c r="BV6" s="19"/>
      <c r="BW6" s="19"/>
      <c r="BX6" s="19"/>
      <c r="BY6" s="19"/>
      <c r="BZ6" s="19">
        <v>1026070735</v>
      </c>
      <c r="CA6" s="19"/>
      <c r="CB6" s="19"/>
      <c r="CC6" s="19"/>
      <c r="CD6" s="19"/>
      <c r="CE6" s="19"/>
      <c r="CF6" s="19"/>
      <c r="CG6" s="19"/>
      <c r="CH6" s="19"/>
      <c r="CI6" s="47" t="s">
        <v>130</v>
      </c>
      <c r="CJ6" s="19">
        <v>20000000</v>
      </c>
      <c r="CK6" s="19">
        <v>21500000</v>
      </c>
      <c r="CL6" s="19">
        <v>4821785</v>
      </c>
      <c r="CM6" s="19">
        <v>1231355321</v>
      </c>
      <c r="CN6" s="19">
        <v>6679541</v>
      </c>
      <c r="CO6" s="19"/>
      <c r="CP6" s="19">
        <v>18000000</v>
      </c>
      <c r="CQ6" s="47" t="s">
        <v>96</v>
      </c>
      <c r="CR6" s="19"/>
      <c r="CS6" s="47" t="s">
        <v>172</v>
      </c>
      <c r="CT6" s="19">
        <v>20258714109</v>
      </c>
      <c r="CU6" s="19"/>
      <c r="CV6" s="19"/>
      <c r="CW6" s="19"/>
      <c r="CX6" s="19">
        <v>2119792939</v>
      </c>
      <c r="CY6" s="47" t="s">
        <v>96</v>
      </c>
      <c r="CZ6" s="19">
        <v>3845657</v>
      </c>
      <c r="DA6" s="47" t="s">
        <v>89</v>
      </c>
      <c r="DB6" s="19"/>
      <c r="DC6" s="19"/>
      <c r="DD6" s="19"/>
      <c r="DE6" s="19"/>
      <c r="DF6" s="19"/>
      <c r="DG6" s="19"/>
      <c r="DH6" s="19"/>
      <c r="DI6" s="19">
        <v>88002110</v>
      </c>
      <c r="DJ6" s="19">
        <v>36000000</v>
      </c>
      <c r="DK6" s="19"/>
      <c r="DL6" s="19"/>
      <c r="DM6" s="19"/>
      <c r="DN6" s="19"/>
      <c r="DO6" s="19"/>
      <c r="DP6" s="19">
        <v>5179289</v>
      </c>
      <c r="DQ6" s="19"/>
      <c r="DR6" s="19"/>
      <c r="DS6" s="19">
        <v>82201500</v>
      </c>
      <c r="DT6" s="19"/>
      <c r="DU6" s="19"/>
      <c r="DV6" s="19"/>
      <c r="DW6" s="19"/>
      <c r="DX6" s="19">
        <v>1500000000</v>
      </c>
      <c r="DY6" s="19"/>
      <c r="DZ6" s="19"/>
      <c r="EA6" s="19"/>
      <c r="EB6" s="19"/>
      <c r="EC6" s="19"/>
      <c r="ED6" s="19"/>
      <c r="EE6" s="19"/>
      <c r="EF6" s="19">
        <v>6917250</v>
      </c>
      <c r="EG6" s="19"/>
      <c r="EH6" s="19"/>
      <c r="EI6" s="19"/>
      <c r="EJ6" s="19"/>
      <c r="EK6" s="19">
        <v>5908800</v>
      </c>
      <c r="EL6" s="19"/>
      <c r="EM6" s="19">
        <v>273600000</v>
      </c>
      <c r="EN6" s="19"/>
      <c r="EO6" s="19"/>
      <c r="EP6" s="19"/>
      <c r="EQ6" s="19"/>
      <c r="ER6" s="19">
        <v>83000000</v>
      </c>
      <c r="ES6" s="19">
        <v>36000000</v>
      </c>
      <c r="ET6" s="19">
        <v>808201</v>
      </c>
      <c r="EU6" s="19"/>
      <c r="EV6" s="19"/>
      <c r="EW6" s="19"/>
      <c r="EX6" s="19">
        <v>4000000</v>
      </c>
      <c r="EY6" s="19"/>
      <c r="EZ6" s="19"/>
      <c r="FA6" s="47" t="s">
        <v>130</v>
      </c>
      <c r="FB6" s="19"/>
      <c r="FC6" s="19"/>
      <c r="FD6" s="19"/>
      <c r="FE6" s="19">
        <v>90610000</v>
      </c>
      <c r="FF6" s="19"/>
      <c r="FG6" s="19"/>
      <c r="FH6" s="19">
        <v>54700000</v>
      </c>
      <c r="FI6" s="47" t="s">
        <v>96</v>
      </c>
      <c r="FJ6" s="19">
        <v>47383675</v>
      </c>
      <c r="FK6" s="19">
        <v>6092840</v>
      </c>
      <c r="FL6" s="47" t="s">
        <v>130</v>
      </c>
      <c r="FM6" s="19"/>
      <c r="FN6" s="19">
        <v>1911271608</v>
      </c>
      <c r="FO6" s="47" t="s">
        <v>172</v>
      </c>
      <c r="FP6" s="19"/>
      <c r="FQ6" s="19"/>
      <c r="FR6" s="19"/>
      <c r="FS6" s="47" t="s">
        <v>130</v>
      </c>
      <c r="FT6" s="19">
        <v>1200069532</v>
      </c>
      <c r="FU6" s="19"/>
      <c r="FV6" s="19"/>
      <c r="FW6" s="19"/>
      <c r="FX6" s="19"/>
      <c r="FY6" s="19"/>
      <c r="FZ6" s="47" t="s">
        <v>175</v>
      </c>
      <c r="GA6" s="19"/>
      <c r="GB6" s="19"/>
      <c r="GC6" s="19"/>
      <c r="GD6" s="48" t="s">
        <v>96</v>
      </c>
      <c r="GE6" s="48" t="s">
        <v>96</v>
      </c>
      <c r="GF6" s="19"/>
      <c r="GG6" s="19"/>
      <c r="GH6" s="47" t="s">
        <v>172</v>
      </c>
      <c r="GI6" s="19"/>
      <c r="GJ6" s="47" t="s">
        <v>96</v>
      </c>
      <c r="GK6" s="19"/>
      <c r="GL6" s="47" t="s">
        <v>96</v>
      </c>
      <c r="GM6" s="19"/>
      <c r="GN6" s="19"/>
      <c r="GO6" s="47" t="s">
        <v>96</v>
      </c>
      <c r="GP6" s="19"/>
      <c r="GQ6" s="19"/>
      <c r="GR6" s="19"/>
      <c r="GS6" s="19"/>
      <c r="GT6" s="19"/>
      <c r="GU6" s="19"/>
      <c r="GV6" s="19"/>
      <c r="GW6" s="19">
        <v>3000000000</v>
      </c>
      <c r="GX6" s="19"/>
      <c r="GY6" s="19"/>
      <c r="GZ6" s="19"/>
      <c r="HA6" s="19"/>
      <c r="HB6" s="19">
        <v>375189500</v>
      </c>
      <c r="HC6" s="19">
        <v>12000000</v>
      </c>
      <c r="HD6" s="19"/>
      <c r="HE6" s="19"/>
      <c r="HF6" s="19"/>
      <c r="HG6" s="19"/>
      <c r="HH6" s="47" t="s">
        <v>130</v>
      </c>
      <c r="HI6" s="19"/>
      <c r="HJ6" s="19"/>
      <c r="HK6" s="19"/>
      <c r="HL6" s="19"/>
      <c r="HM6" s="19">
        <v>36000000</v>
      </c>
      <c r="HN6" s="19"/>
      <c r="HO6" s="19"/>
      <c r="HP6" s="19"/>
      <c r="HQ6" s="19"/>
      <c r="HR6" s="19"/>
      <c r="HS6" s="19">
        <v>5000000</v>
      </c>
      <c r="HT6" s="19"/>
      <c r="HU6" s="19"/>
      <c r="HV6" s="19"/>
      <c r="HW6" s="19" t="s">
        <v>96</v>
      </c>
      <c r="HX6" s="19"/>
      <c r="HY6" s="19" t="s">
        <v>172</v>
      </c>
      <c r="HZ6" s="19"/>
      <c r="IA6" s="19"/>
      <c r="IB6" s="19"/>
      <c r="IC6" s="19" t="s">
        <v>118</v>
      </c>
      <c r="ID6" s="19"/>
      <c r="IE6" s="47" t="s">
        <v>96</v>
      </c>
      <c r="IF6" s="19"/>
      <c r="IG6" s="19"/>
      <c r="IH6" s="19"/>
      <c r="II6" s="19"/>
      <c r="IJ6" s="19">
        <v>974827</v>
      </c>
      <c r="IK6" s="19"/>
      <c r="IL6" s="19"/>
      <c r="IM6" s="19"/>
      <c r="IN6" s="19"/>
      <c r="IO6" s="19"/>
      <c r="IP6" s="19"/>
      <c r="IQ6" s="19"/>
      <c r="IR6" s="19"/>
      <c r="IS6" s="19"/>
      <c r="IT6" s="19"/>
      <c r="IU6" s="45"/>
      <c r="IV6" s="45"/>
      <c r="IW6" s="45"/>
      <c r="IX6" s="45"/>
      <c r="IY6" s="45"/>
      <c r="IZ6" s="45"/>
      <c r="JA6" s="45"/>
      <c r="JB6" s="45"/>
      <c r="JC6" s="45"/>
      <c r="JD6" s="45"/>
      <c r="JE6" s="45"/>
      <c r="JF6" s="45"/>
      <c r="JG6" s="45"/>
      <c r="JH6" s="45"/>
      <c r="JI6" s="45"/>
      <c r="JJ6" s="45"/>
      <c r="JK6" s="45"/>
      <c r="JL6" s="45"/>
      <c r="JM6" s="45"/>
      <c r="JN6" s="45"/>
      <c r="JO6" s="46"/>
      <c r="JP6" s="46"/>
      <c r="JQ6" s="63" t="s">
        <v>175</v>
      </c>
      <c r="JR6" s="46"/>
      <c r="JS6" s="46"/>
      <c r="JT6" s="46"/>
      <c r="JU6" s="46"/>
      <c r="JV6" s="46"/>
      <c r="JW6" s="46"/>
      <c r="JX6" s="46"/>
      <c r="JY6" s="46"/>
      <c r="JZ6" s="46"/>
      <c r="KA6" s="46"/>
      <c r="KB6" s="46">
        <v>40000000</v>
      </c>
      <c r="KC6" s="46"/>
      <c r="KD6" s="46"/>
      <c r="KE6" s="46"/>
      <c r="KF6" s="46"/>
      <c r="KG6" s="46"/>
      <c r="KH6" s="46"/>
    </row>
    <row r="7" spans="1:294">
      <c r="A7" s="7" t="s">
        <v>182</v>
      </c>
      <c r="B7" s="13" t="s">
        <v>51</v>
      </c>
      <c r="C7" s="19">
        <v>16049132</v>
      </c>
      <c r="D7" s="19">
        <v>1227488006</v>
      </c>
      <c r="E7" s="19">
        <v>79716992</v>
      </c>
      <c r="F7" s="19"/>
      <c r="G7" s="47" t="s">
        <v>130</v>
      </c>
      <c r="H7" s="19"/>
      <c r="I7" s="19"/>
      <c r="J7" s="47" t="s">
        <v>4</v>
      </c>
      <c r="K7" s="19">
        <v>273219553</v>
      </c>
      <c r="L7" s="47" t="s">
        <v>96</v>
      </c>
      <c r="M7" s="47" t="s">
        <v>96</v>
      </c>
      <c r="N7" s="19">
        <v>23343274</v>
      </c>
      <c r="O7" s="19">
        <v>792536117</v>
      </c>
      <c r="P7" s="19"/>
      <c r="Q7" s="19"/>
      <c r="R7" s="19">
        <v>850000</v>
      </c>
      <c r="S7" s="19">
        <v>541148138</v>
      </c>
      <c r="T7" s="47" t="s">
        <v>96</v>
      </c>
      <c r="U7" s="47" t="s">
        <v>172</v>
      </c>
      <c r="V7" s="47" t="s">
        <v>172</v>
      </c>
      <c r="W7" s="19">
        <v>33768597</v>
      </c>
      <c r="X7" s="19">
        <v>597767580</v>
      </c>
      <c r="Y7" s="19">
        <v>54470300</v>
      </c>
      <c r="Z7" s="19">
        <v>13900500</v>
      </c>
      <c r="AA7" s="19">
        <v>1761462638</v>
      </c>
      <c r="AB7" s="19"/>
      <c r="AC7" s="19">
        <v>104074200</v>
      </c>
      <c r="AD7" s="19">
        <v>226875455</v>
      </c>
      <c r="AE7" s="19">
        <v>608676</v>
      </c>
      <c r="AF7" s="47" t="s">
        <v>172</v>
      </c>
      <c r="AG7" s="19">
        <v>8718646</v>
      </c>
      <c r="AH7" s="19">
        <v>174629404</v>
      </c>
      <c r="AI7" s="19">
        <v>13069614</v>
      </c>
      <c r="AJ7" s="19">
        <v>79919036</v>
      </c>
      <c r="AK7" s="19">
        <v>685953937</v>
      </c>
      <c r="AL7" s="19">
        <v>5509676</v>
      </c>
      <c r="AM7" s="47" t="s">
        <v>4</v>
      </c>
      <c r="AN7" s="19"/>
      <c r="AO7" s="19">
        <v>351012507</v>
      </c>
      <c r="AP7" s="19">
        <v>18749028</v>
      </c>
      <c r="AQ7" s="47" t="s">
        <v>96</v>
      </c>
      <c r="AR7" s="19">
        <v>1629522</v>
      </c>
      <c r="AS7" s="19">
        <v>658399642</v>
      </c>
      <c r="AT7" s="47" t="s">
        <v>172</v>
      </c>
      <c r="AU7" s="19">
        <v>32381030</v>
      </c>
      <c r="AV7" s="19">
        <v>65469492</v>
      </c>
      <c r="AW7" s="19">
        <v>13133812</v>
      </c>
      <c r="AX7" s="47" t="s">
        <v>4</v>
      </c>
      <c r="AY7" s="19">
        <v>444433</v>
      </c>
      <c r="AZ7" s="19">
        <v>45814400</v>
      </c>
      <c r="BA7" s="19">
        <v>1037479571</v>
      </c>
      <c r="BB7" s="19"/>
      <c r="BC7" s="47" t="s">
        <v>4</v>
      </c>
      <c r="BD7" s="47" t="s">
        <v>130</v>
      </c>
      <c r="BE7" s="19">
        <v>155106359</v>
      </c>
      <c r="BF7" s="47" t="s">
        <v>96</v>
      </c>
      <c r="BG7" s="19">
        <v>117218055</v>
      </c>
      <c r="BH7" s="19">
        <v>49272467</v>
      </c>
      <c r="BI7" s="19">
        <v>15349531</v>
      </c>
      <c r="BJ7" s="19">
        <v>311171496</v>
      </c>
      <c r="BK7" s="19">
        <v>911939364</v>
      </c>
      <c r="BL7" s="19">
        <v>43560000</v>
      </c>
      <c r="BM7" s="19">
        <v>23710480</v>
      </c>
      <c r="BN7" s="19"/>
      <c r="BO7" s="19"/>
      <c r="BP7" s="47" t="s">
        <v>96</v>
      </c>
      <c r="BQ7" s="47" t="s">
        <v>4</v>
      </c>
      <c r="BR7" s="19">
        <v>1111688263</v>
      </c>
      <c r="BS7" s="19"/>
      <c r="BT7" s="47" t="s">
        <v>130</v>
      </c>
      <c r="BU7" s="19">
        <v>25546750</v>
      </c>
      <c r="BV7" s="19">
        <v>134151041</v>
      </c>
      <c r="BW7" s="19"/>
      <c r="BX7" s="19">
        <v>19509923</v>
      </c>
      <c r="BY7" s="19">
        <v>392004538</v>
      </c>
      <c r="BZ7" s="19">
        <v>162116119</v>
      </c>
      <c r="CA7" s="19">
        <v>159535899</v>
      </c>
      <c r="CB7" s="19">
        <v>17729891</v>
      </c>
      <c r="CC7" s="19"/>
      <c r="CD7" s="19">
        <v>34292300</v>
      </c>
      <c r="CE7" s="19">
        <v>194798840</v>
      </c>
      <c r="CF7" s="19">
        <v>26308632</v>
      </c>
      <c r="CG7" s="19"/>
      <c r="CH7" s="19">
        <v>30010569</v>
      </c>
      <c r="CI7" s="47" t="s">
        <v>130</v>
      </c>
      <c r="CJ7" s="19">
        <v>24464547</v>
      </c>
      <c r="CK7" s="19">
        <v>62963411</v>
      </c>
      <c r="CL7" s="19">
        <v>29648599</v>
      </c>
      <c r="CM7" s="19">
        <v>338283270</v>
      </c>
      <c r="CN7" s="19">
        <v>5061649</v>
      </c>
      <c r="CO7" s="19"/>
      <c r="CP7" s="19">
        <v>374108797</v>
      </c>
      <c r="CQ7" s="47" t="s">
        <v>96</v>
      </c>
      <c r="CR7" s="19"/>
      <c r="CS7" s="47" t="s">
        <v>172</v>
      </c>
      <c r="CT7" s="19">
        <v>186033621</v>
      </c>
      <c r="CU7" s="19"/>
      <c r="CV7" s="19">
        <v>18004208</v>
      </c>
      <c r="CW7" s="19">
        <v>169192398</v>
      </c>
      <c r="CX7" s="19">
        <v>161891373</v>
      </c>
      <c r="CY7" s="47" t="s">
        <v>96</v>
      </c>
      <c r="CZ7" s="19">
        <v>585251191</v>
      </c>
      <c r="DA7" s="47" t="s">
        <v>89</v>
      </c>
      <c r="DB7" s="19">
        <v>258406777</v>
      </c>
      <c r="DC7" s="19">
        <v>2512580</v>
      </c>
      <c r="DD7" s="19"/>
      <c r="DE7" s="19"/>
      <c r="DF7" s="19">
        <v>656993</v>
      </c>
      <c r="DG7" s="19"/>
      <c r="DH7" s="19">
        <v>181646673</v>
      </c>
      <c r="DI7" s="19">
        <v>789428026</v>
      </c>
      <c r="DJ7" s="19">
        <v>653675</v>
      </c>
      <c r="DK7" s="19">
        <v>3370870168</v>
      </c>
      <c r="DL7" s="19">
        <v>102998200</v>
      </c>
      <c r="DM7" s="19">
        <v>497030100</v>
      </c>
      <c r="DN7" s="19">
        <v>25797000</v>
      </c>
      <c r="DO7" s="19">
        <v>432400</v>
      </c>
      <c r="DP7" s="19">
        <v>295938231</v>
      </c>
      <c r="DQ7" s="19">
        <v>274946886</v>
      </c>
      <c r="DR7" s="19">
        <v>32376417</v>
      </c>
      <c r="DS7" s="19">
        <v>131615251</v>
      </c>
      <c r="DT7" s="19">
        <v>611817522</v>
      </c>
      <c r="DU7" s="19"/>
      <c r="DV7" s="19"/>
      <c r="DW7" s="19">
        <v>124064214</v>
      </c>
      <c r="DX7" s="19">
        <v>912474200</v>
      </c>
      <c r="DY7" s="19">
        <v>67047134</v>
      </c>
      <c r="DZ7" s="19"/>
      <c r="EA7" s="19"/>
      <c r="EB7" s="19"/>
      <c r="EC7" s="19">
        <v>47104316</v>
      </c>
      <c r="ED7" s="19">
        <v>168410</v>
      </c>
      <c r="EE7" s="19"/>
      <c r="EF7" s="19">
        <v>526422651</v>
      </c>
      <c r="EG7" s="19">
        <v>19600000</v>
      </c>
      <c r="EH7" s="19">
        <v>63110476</v>
      </c>
      <c r="EI7" s="19">
        <v>2171358504</v>
      </c>
      <c r="EJ7" s="19"/>
      <c r="EK7" s="19">
        <v>108203077</v>
      </c>
      <c r="EL7" s="19">
        <v>142974683</v>
      </c>
      <c r="EM7" s="19">
        <v>37634263</v>
      </c>
      <c r="EN7" s="19">
        <v>178745331</v>
      </c>
      <c r="EO7" s="19"/>
      <c r="EP7" s="19"/>
      <c r="EQ7" s="19"/>
      <c r="ER7" s="19"/>
      <c r="ES7" s="19">
        <v>231412837</v>
      </c>
      <c r="ET7" s="19">
        <v>163607826</v>
      </c>
      <c r="EU7" s="19">
        <v>123538128</v>
      </c>
      <c r="EV7" s="19">
        <v>43072030</v>
      </c>
      <c r="EW7" s="19">
        <v>5415706</v>
      </c>
      <c r="EX7" s="19">
        <v>63919765</v>
      </c>
      <c r="EY7" s="19"/>
      <c r="EZ7" s="19">
        <v>5861244</v>
      </c>
      <c r="FA7" s="47" t="s">
        <v>130</v>
      </c>
      <c r="FB7" s="19"/>
      <c r="FC7" s="19">
        <v>107992475</v>
      </c>
      <c r="FD7" s="19">
        <v>29210534</v>
      </c>
      <c r="FE7" s="19">
        <v>1179187255</v>
      </c>
      <c r="FF7" s="19">
        <v>23057240</v>
      </c>
      <c r="FG7" s="19">
        <v>388168166</v>
      </c>
      <c r="FH7" s="19">
        <v>56461156</v>
      </c>
      <c r="FI7" s="47" t="s">
        <v>96</v>
      </c>
      <c r="FJ7" s="19">
        <v>77000</v>
      </c>
      <c r="FK7" s="19">
        <v>74226481</v>
      </c>
      <c r="FL7" s="47" t="s">
        <v>130</v>
      </c>
      <c r="FM7" s="19">
        <v>19655507</v>
      </c>
      <c r="FN7" s="19">
        <v>275000000</v>
      </c>
      <c r="FO7" s="47" t="s">
        <v>172</v>
      </c>
      <c r="FP7" s="19"/>
      <c r="FQ7" s="19">
        <v>6600000</v>
      </c>
      <c r="FR7" s="19">
        <v>160203745</v>
      </c>
      <c r="FS7" s="47" t="s">
        <v>130</v>
      </c>
      <c r="FT7" s="19">
        <v>1092767245</v>
      </c>
      <c r="FU7" s="19">
        <v>1870000</v>
      </c>
      <c r="FV7" s="19">
        <v>1636567979</v>
      </c>
      <c r="FW7" s="19">
        <v>2836694</v>
      </c>
      <c r="FX7" s="19">
        <v>99000</v>
      </c>
      <c r="FY7" s="19">
        <v>20402477</v>
      </c>
      <c r="FZ7" s="47" t="s">
        <v>175</v>
      </c>
      <c r="GA7" s="19">
        <v>92447235</v>
      </c>
      <c r="GB7" s="19">
        <v>1120684</v>
      </c>
      <c r="GC7" s="19"/>
      <c r="GD7" s="48" t="s">
        <v>96</v>
      </c>
      <c r="GE7" s="48" t="s">
        <v>96</v>
      </c>
      <c r="GF7" s="19">
        <v>148441609</v>
      </c>
      <c r="GG7" s="19">
        <v>104519759</v>
      </c>
      <c r="GH7" s="47" t="s">
        <v>172</v>
      </c>
      <c r="GI7" s="19">
        <v>1195840</v>
      </c>
      <c r="GJ7" s="47" t="s">
        <v>96</v>
      </c>
      <c r="GK7" s="19">
        <v>27072316</v>
      </c>
      <c r="GL7" s="47" t="s">
        <v>96</v>
      </c>
      <c r="GM7" s="19"/>
      <c r="GN7" s="19">
        <v>38687757</v>
      </c>
      <c r="GO7" s="47" t="s">
        <v>96</v>
      </c>
      <c r="GP7" s="19">
        <v>499886811</v>
      </c>
      <c r="GQ7" s="19">
        <v>8034615</v>
      </c>
      <c r="GR7" s="19">
        <v>217636940</v>
      </c>
      <c r="GS7" s="19">
        <v>-9722207</v>
      </c>
      <c r="GT7" s="19">
        <v>15220250</v>
      </c>
      <c r="GU7" s="19"/>
      <c r="GV7" s="19"/>
      <c r="GW7" s="19">
        <v>445406479</v>
      </c>
      <c r="GX7" s="19">
        <v>320662890</v>
      </c>
      <c r="GY7" s="19"/>
      <c r="GZ7" s="19">
        <v>36480998</v>
      </c>
      <c r="HA7" s="19">
        <v>4532583</v>
      </c>
      <c r="HB7" s="19">
        <v>25953320</v>
      </c>
      <c r="HC7" s="19">
        <v>194219238</v>
      </c>
      <c r="HD7" s="19">
        <v>137603511</v>
      </c>
      <c r="HE7" s="19">
        <v>186956538</v>
      </c>
      <c r="HF7" s="19">
        <v>247295016</v>
      </c>
      <c r="HG7" s="19">
        <v>12773756</v>
      </c>
      <c r="HH7" s="47" t="s">
        <v>130</v>
      </c>
      <c r="HI7" s="19">
        <v>291698628</v>
      </c>
      <c r="HJ7" s="19">
        <v>4400000</v>
      </c>
      <c r="HK7" s="19">
        <v>373603032</v>
      </c>
      <c r="HL7" s="19">
        <v>57590069</v>
      </c>
      <c r="HM7" s="19">
        <v>10592296</v>
      </c>
      <c r="HN7" s="19"/>
      <c r="HO7" s="19">
        <v>72672850</v>
      </c>
      <c r="HP7" s="19">
        <v>5867106</v>
      </c>
      <c r="HQ7" s="19"/>
      <c r="HR7" s="19">
        <v>388803611</v>
      </c>
      <c r="HS7" s="19">
        <v>110612478</v>
      </c>
      <c r="HT7" s="19">
        <v>270502151</v>
      </c>
      <c r="HU7" s="19">
        <v>5819674</v>
      </c>
      <c r="HV7" s="19">
        <v>32106139</v>
      </c>
      <c r="HW7" s="19" t="s">
        <v>96</v>
      </c>
      <c r="HX7" s="19">
        <v>135023414</v>
      </c>
      <c r="HY7" s="19" t="s">
        <v>172</v>
      </c>
      <c r="HZ7" s="19">
        <v>2402864944</v>
      </c>
      <c r="IA7" s="19"/>
      <c r="IB7" s="19">
        <v>863484223</v>
      </c>
      <c r="IC7" s="19"/>
      <c r="ID7" s="19">
        <v>5068017</v>
      </c>
      <c r="IE7" s="47" t="s">
        <v>96</v>
      </c>
      <c r="IF7" s="19"/>
      <c r="IG7" s="19">
        <v>7690917</v>
      </c>
      <c r="IH7" s="19">
        <v>98208809</v>
      </c>
      <c r="II7" s="19">
        <v>5423990</v>
      </c>
      <c r="IJ7" s="19">
        <v>4611827</v>
      </c>
      <c r="IK7" s="19">
        <v>4199000</v>
      </c>
      <c r="IL7" s="19">
        <v>109054439</v>
      </c>
      <c r="IM7" s="19">
        <v>18050606</v>
      </c>
      <c r="IN7" s="19">
        <v>30356308</v>
      </c>
      <c r="IO7" s="19">
        <v>79642857</v>
      </c>
      <c r="IP7" s="19"/>
      <c r="IQ7" s="19">
        <v>2845000</v>
      </c>
      <c r="IR7" s="19">
        <v>17836206</v>
      </c>
      <c r="IS7" s="19">
        <v>61934255</v>
      </c>
      <c r="IT7" s="19">
        <v>11548854</v>
      </c>
      <c r="IU7" s="45"/>
      <c r="IV7" s="45"/>
      <c r="IW7" s="45">
        <v>163500</v>
      </c>
      <c r="IX7" s="45">
        <v>188800</v>
      </c>
      <c r="IY7" s="45">
        <v>106750000</v>
      </c>
      <c r="IZ7" s="45">
        <v>53432681</v>
      </c>
      <c r="JA7" s="45">
        <v>445186970</v>
      </c>
      <c r="JB7" s="45">
        <v>204067665</v>
      </c>
      <c r="JC7" s="45">
        <v>2615516</v>
      </c>
      <c r="JD7" s="45">
        <v>12974691</v>
      </c>
      <c r="JE7" s="45">
        <v>1620000</v>
      </c>
      <c r="JF7" s="45">
        <v>57628294</v>
      </c>
      <c r="JG7" s="45">
        <v>958559</v>
      </c>
      <c r="JH7" s="45">
        <v>23167325</v>
      </c>
      <c r="JI7" s="45">
        <v>107054127</v>
      </c>
      <c r="JJ7" s="45"/>
      <c r="JK7" s="45"/>
      <c r="JL7" s="45">
        <v>7442200</v>
      </c>
      <c r="JM7" s="45"/>
      <c r="JN7" s="45">
        <v>757741501</v>
      </c>
      <c r="JO7" s="46"/>
      <c r="JP7" s="46">
        <v>8502046</v>
      </c>
      <c r="JQ7" s="63" t="s">
        <v>175</v>
      </c>
      <c r="JR7" s="46">
        <v>7326308</v>
      </c>
      <c r="JS7" s="46">
        <v>4361320</v>
      </c>
      <c r="JT7" s="46">
        <v>12071030</v>
      </c>
      <c r="JU7" s="46">
        <v>46765029</v>
      </c>
      <c r="JV7" s="46"/>
      <c r="JW7" s="46"/>
      <c r="JX7" s="46"/>
      <c r="JY7" s="46">
        <v>121071564</v>
      </c>
      <c r="JZ7" s="46"/>
      <c r="KA7" s="46">
        <v>26803199</v>
      </c>
      <c r="KB7" s="46">
        <v>302280890</v>
      </c>
      <c r="KC7" s="46">
        <v>74991440</v>
      </c>
      <c r="KD7" s="46">
        <v>34852080</v>
      </c>
      <c r="KE7" s="46">
        <v>268700</v>
      </c>
      <c r="KF7" s="46"/>
      <c r="KG7" s="46">
        <v>89584843</v>
      </c>
      <c r="KH7" s="46">
        <v>135920000</v>
      </c>
    </row>
    <row r="8" spans="1:294">
      <c r="A8" s="7" t="s">
        <v>182</v>
      </c>
      <c r="B8" s="13" t="s">
        <v>69</v>
      </c>
      <c r="C8" s="19">
        <v>15152254</v>
      </c>
      <c r="D8" s="19"/>
      <c r="E8" s="19"/>
      <c r="F8" s="19"/>
      <c r="G8" s="47" t="s">
        <v>130</v>
      </c>
      <c r="H8" s="19">
        <v>50000000</v>
      </c>
      <c r="I8" s="19"/>
      <c r="J8" s="47" t="s">
        <v>4</v>
      </c>
      <c r="K8" s="19"/>
      <c r="L8" s="47" t="s">
        <v>96</v>
      </c>
      <c r="M8" s="47" t="s">
        <v>96</v>
      </c>
      <c r="N8" s="19"/>
      <c r="O8" s="19"/>
      <c r="P8" s="19"/>
      <c r="Q8" s="19"/>
      <c r="R8" s="19"/>
      <c r="S8" s="19"/>
      <c r="T8" s="47" t="s">
        <v>96</v>
      </c>
      <c r="U8" s="47" t="s">
        <v>172</v>
      </c>
      <c r="V8" s="47" t="s">
        <v>172</v>
      </c>
      <c r="W8" s="19"/>
      <c r="X8" s="19"/>
      <c r="Y8" s="19"/>
      <c r="Z8" s="19">
        <v>30000000</v>
      </c>
      <c r="AA8" s="19">
        <v>300000000</v>
      </c>
      <c r="AB8" s="19">
        <v>50000000</v>
      </c>
      <c r="AC8" s="19"/>
      <c r="AD8" s="19"/>
      <c r="AE8" s="19">
        <v>250000000</v>
      </c>
      <c r="AF8" s="47" t="s">
        <v>172</v>
      </c>
      <c r="AG8" s="19">
        <v>208488650</v>
      </c>
      <c r="AH8" s="19"/>
      <c r="AI8" s="19"/>
      <c r="AJ8" s="19">
        <v>1005000</v>
      </c>
      <c r="AK8" s="19"/>
      <c r="AL8" s="19"/>
      <c r="AM8" s="47" t="s">
        <v>4</v>
      </c>
      <c r="AN8" s="19"/>
      <c r="AO8" s="19"/>
      <c r="AP8" s="19"/>
      <c r="AQ8" s="47" t="s">
        <v>96</v>
      </c>
      <c r="AR8" s="19"/>
      <c r="AS8" s="19">
        <v>10000000</v>
      </c>
      <c r="AT8" s="47" t="s">
        <v>172</v>
      </c>
      <c r="AU8" s="19">
        <v>7293227512</v>
      </c>
      <c r="AV8" s="19"/>
      <c r="AW8" s="19"/>
      <c r="AX8" s="47" t="s">
        <v>4</v>
      </c>
      <c r="AY8" s="19">
        <v>5614760</v>
      </c>
      <c r="AZ8" s="19"/>
      <c r="BA8" s="19">
        <v>154918177</v>
      </c>
      <c r="BB8" s="19"/>
      <c r="BC8" s="47" t="s">
        <v>4</v>
      </c>
      <c r="BD8" s="47" t="s">
        <v>130</v>
      </c>
      <c r="BE8" s="19">
        <v>10000000</v>
      </c>
      <c r="BF8" s="47" t="s">
        <v>96</v>
      </c>
      <c r="BG8" s="19"/>
      <c r="BH8" s="19"/>
      <c r="BI8" s="19"/>
      <c r="BJ8" s="19"/>
      <c r="BK8" s="19"/>
      <c r="BL8" s="19"/>
      <c r="BM8" s="19">
        <v>85500000</v>
      </c>
      <c r="BN8" s="19"/>
      <c r="BO8" s="19"/>
      <c r="BP8" s="47" t="s">
        <v>96</v>
      </c>
      <c r="BQ8" s="47" t="s">
        <v>4</v>
      </c>
      <c r="BR8" s="19">
        <v>59000000</v>
      </c>
      <c r="BS8" s="19"/>
      <c r="BT8" s="47" t="s">
        <v>130</v>
      </c>
      <c r="BU8" s="19"/>
      <c r="BV8" s="19"/>
      <c r="BW8" s="19"/>
      <c r="BX8" s="19"/>
      <c r="BY8" s="19">
        <v>5813269</v>
      </c>
      <c r="BZ8" s="19"/>
      <c r="CA8" s="19">
        <v>20000000</v>
      </c>
      <c r="CB8" s="19"/>
      <c r="CC8" s="19"/>
      <c r="CD8" s="19"/>
      <c r="CE8" s="19"/>
      <c r="CF8" s="19"/>
      <c r="CG8" s="19"/>
      <c r="CH8" s="19"/>
      <c r="CI8" s="47" t="s">
        <v>130</v>
      </c>
      <c r="CJ8" s="19"/>
      <c r="CK8" s="19"/>
      <c r="CL8" s="19"/>
      <c r="CM8" s="19"/>
      <c r="CN8" s="19"/>
      <c r="CO8" s="19"/>
      <c r="CP8" s="19">
        <v>2431904</v>
      </c>
      <c r="CQ8" s="47" t="s">
        <v>96</v>
      </c>
      <c r="CR8" s="19"/>
      <c r="CS8" s="47" t="s">
        <v>172</v>
      </c>
      <c r="CT8" s="19"/>
      <c r="CU8" s="19"/>
      <c r="CV8" s="19"/>
      <c r="CW8" s="19">
        <v>5000000</v>
      </c>
      <c r="CX8" s="19">
        <v>20920000</v>
      </c>
      <c r="CY8" s="47" t="s">
        <v>96</v>
      </c>
      <c r="CZ8" s="19">
        <v>40000000</v>
      </c>
      <c r="DA8" s="47" t="s">
        <v>89</v>
      </c>
      <c r="DB8" s="19"/>
      <c r="DC8" s="19"/>
      <c r="DD8" s="19"/>
      <c r="DE8" s="19"/>
      <c r="DF8" s="19"/>
      <c r="DG8" s="19"/>
      <c r="DH8" s="19">
        <v>114000000</v>
      </c>
      <c r="DI8" s="19"/>
      <c r="DJ8" s="19"/>
      <c r="DK8" s="19">
        <v>167530446</v>
      </c>
      <c r="DL8" s="19"/>
      <c r="DM8" s="19">
        <v>571376301</v>
      </c>
      <c r="DN8" s="19">
        <v>52943789</v>
      </c>
      <c r="DO8" s="19"/>
      <c r="DP8" s="19"/>
      <c r="DQ8" s="19"/>
      <c r="DR8" s="19">
        <v>14812154</v>
      </c>
      <c r="DS8" s="19"/>
      <c r="DT8" s="19">
        <v>32000000</v>
      </c>
      <c r="DU8" s="19"/>
      <c r="DV8" s="19"/>
      <c r="DW8" s="19">
        <v>374000000</v>
      </c>
      <c r="DX8" s="19"/>
      <c r="DY8" s="19"/>
      <c r="DZ8" s="19"/>
      <c r="EA8" s="19"/>
      <c r="EB8" s="19">
        <v>300000000</v>
      </c>
      <c r="EC8" s="19"/>
      <c r="ED8" s="19"/>
      <c r="EE8" s="19">
        <v>24000000</v>
      </c>
      <c r="EF8" s="19"/>
      <c r="EG8" s="19"/>
      <c r="EH8" s="19"/>
      <c r="EI8" s="19"/>
      <c r="EJ8" s="19"/>
      <c r="EK8" s="19"/>
      <c r="EL8" s="19">
        <v>100000000</v>
      </c>
      <c r="EM8" s="19"/>
      <c r="EN8" s="19"/>
      <c r="EO8" s="19"/>
      <c r="EP8" s="19"/>
      <c r="EQ8" s="19"/>
      <c r="ER8" s="19"/>
      <c r="ES8" s="19"/>
      <c r="ET8" s="19"/>
      <c r="EU8" s="19"/>
      <c r="EV8" s="19">
        <v>1401144</v>
      </c>
      <c r="EW8" s="19"/>
      <c r="EX8" s="19"/>
      <c r="EY8" s="19">
        <v>19000000</v>
      </c>
      <c r="EZ8" s="19"/>
      <c r="FA8" s="47" t="s">
        <v>130</v>
      </c>
      <c r="FB8" s="19"/>
      <c r="FC8" s="19"/>
      <c r="FD8" s="19"/>
      <c r="FE8" s="19"/>
      <c r="FF8" s="19"/>
      <c r="FG8" s="19">
        <v>155370650</v>
      </c>
      <c r="FH8" s="19"/>
      <c r="FI8" s="47" t="s">
        <v>96</v>
      </c>
      <c r="FJ8" s="19"/>
      <c r="FK8" s="19"/>
      <c r="FL8" s="47" t="s">
        <v>130</v>
      </c>
      <c r="FM8" s="19"/>
      <c r="FN8" s="19"/>
      <c r="FO8" s="47" t="s">
        <v>172</v>
      </c>
      <c r="FP8" s="19">
        <v>605120</v>
      </c>
      <c r="FQ8" s="19"/>
      <c r="FR8" s="19"/>
      <c r="FS8" s="47" t="s">
        <v>130</v>
      </c>
      <c r="FT8" s="19"/>
      <c r="FU8" s="19"/>
      <c r="FV8" s="19">
        <v>1301000</v>
      </c>
      <c r="FW8" s="19"/>
      <c r="FX8" s="19"/>
      <c r="FY8" s="19"/>
      <c r="FZ8" s="47" t="s">
        <v>175</v>
      </c>
      <c r="GA8" s="19"/>
      <c r="GB8" s="19"/>
      <c r="GC8" s="19"/>
      <c r="GD8" s="48" t="s">
        <v>96</v>
      </c>
      <c r="GE8" s="48" t="s">
        <v>96</v>
      </c>
      <c r="GF8" s="19">
        <v>12518283</v>
      </c>
      <c r="GG8" s="19"/>
      <c r="GH8" s="47" t="s">
        <v>172</v>
      </c>
      <c r="GI8" s="19"/>
      <c r="GJ8" s="47" t="s">
        <v>96</v>
      </c>
      <c r="GK8" s="19">
        <v>10876914</v>
      </c>
      <c r="GL8" s="47" t="s">
        <v>96</v>
      </c>
      <c r="GM8" s="19"/>
      <c r="GN8" s="19"/>
      <c r="GO8" s="47" t="s">
        <v>96</v>
      </c>
      <c r="GP8" s="19">
        <v>13882995</v>
      </c>
      <c r="GQ8" s="19"/>
      <c r="GR8" s="19">
        <v>52930166</v>
      </c>
      <c r="GS8" s="19">
        <v>12444414</v>
      </c>
      <c r="GT8" s="19"/>
      <c r="GU8" s="19"/>
      <c r="GV8" s="19">
        <v>10000000</v>
      </c>
      <c r="GW8" s="19">
        <v>16500000</v>
      </c>
      <c r="GX8" s="19"/>
      <c r="GY8" s="19"/>
      <c r="GZ8" s="19"/>
      <c r="HA8" s="19"/>
      <c r="HB8" s="19"/>
      <c r="HC8" s="19"/>
      <c r="HD8" s="19"/>
      <c r="HE8" s="19"/>
      <c r="HF8" s="19"/>
      <c r="HG8" s="19"/>
      <c r="HH8" s="47" t="s">
        <v>130</v>
      </c>
      <c r="HI8" s="19"/>
      <c r="HJ8" s="19"/>
      <c r="HK8" s="19"/>
      <c r="HL8" s="19"/>
      <c r="HM8" s="19"/>
      <c r="HN8" s="19"/>
      <c r="HO8" s="19"/>
      <c r="HP8" s="19"/>
      <c r="HQ8" s="19"/>
      <c r="HR8" s="19"/>
      <c r="HS8" s="19"/>
      <c r="HT8" s="19"/>
      <c r="HU8" s="19">
        <v>23884010</v>
      </c>
      <c r="HV8" s="19"/>
      <c r="HW8" s="19" t="s">
        <v>96</v>
      </c>
      <c r="HX8" s="19"/>
      <c r="HY8" s="19" t="s">
        <v>172</v>
      </c>
      <c r="HZ8" s="19">
        <v>68343000</v>
      </c>
      <c r="IA8" s="19"/>
      <c r="IB8" s="19"/>
      <c r="IC8" s="19"/>
      <c r="ID8" s="19"/>
      <c r="IE8" s="47" t="s">
        <v>96</v>
      </c>
      <c r="IF8" s="19"/>
      <c r="IG8" s="19"/>
      <c r="IH8" s="19"/>
      <c r="II8" s="19"/>
      <c r="IJ8" s="19"/>
      <c r="IK8" s="19"/>
      <c r="IL8" s="19"/>
      <c r="IM8" s="19"/>
      <c r="IN8" s="19"/>
      <c r="IO8" s="19"/>
      <c r="IP8" s="19"/>
      <c r="IQ8" s="19"/>
      <c r="IR8" s="19">
        <v>156731139</v>
      </c>
      <c r="IS8" s="19"/>
      <c r="IT8" s="19"/>
      <c r="IU8" s="45"/>
      <c r="IV8" s="45">
        <v>45000000</v>
      </c>
      <c r="IW8" s="45"/>
      <c r="IX8" s="45"/>
      <c r="IY8" s="45"/>
      <c r="IZ8" s="45"/>
      <c r="JA8" s="45"/>
      <c r="JB8" s="45"/>
      <c r="JC8" s="45"/>
      <c r="JD8" s="45"/>
      <c r="JE8" s="45"/>
      <c r="JF8" s="45"/>
      <c r="JG8" s="45"/>
      <c r="JH8" s="45"/>
      <c r="JI8" s="45"/>
      <c r="JJ8" s="45"/>
      <c r="JK8" s="45"/>
      <c r="JL8" s="45">
        <v>10000000</v>
      </c>
      <c r="JM8" s="45"/>
      <c r="JN8" s="45"/>
      <c r="JO8" s="46"/>
      <c r="JP8" s="46"/>
      <c r="JQ8" s="63" t="s">
        <v>175</v>
      </c>
      <c r="JR8" s="46"/>
      <c r="JS8" s="46"/>
      <c r="JT8" s="46"/>
      <c r="JU8" s="46">
        <v>10000000</v>
      </c>
      <c r="JV8" s="46"/>
      <c r="JW8" s="46"/>
      <c r="JX8" s="46"/>
      <c r="JY8" s="46"/>
      <c r="JZ8" s="46"/>
      <c r="KA8" s="46"/>
      <c r="KB8" s="46">
        <v>17486280</v>
      </c>
      <c r="KC8" s="46">
        <v>50000000</v>
      </c>
      <c r="KD8" s="46"/>
      <c r="KE8" s="46"/>
      <c r="KF8" s="46">
        <v>76023490</v>
      </c>
      <c r="KG8" s="46"/>
      <c r="KH8" s="46"/>
    </row>
    <row r="9" spans="1:294">
      <c r="A9" s="7" t="s">
        <v>182</v>
      </c>
      <c r="B9" s="13" t="s">
        <v>134</v>
      </c>
      <c r="C9" s="19">
        <v>1050000</v>
      </c>
      <c r="D9" s="19">
        <v>1392960</v>
      </c>
      <c r="E9" s="19">
        <v>7275740</v>
      </c>
      <c r="F9" s="19"/>
      <c r="G9" s="47" t="s">
        <v>130</v>
      </c>
      <c r="H9" s="19"/>
      <c r="I9" s="19">
        <v>1134675613</v>
      </c>
      <c r="J9" s="47" t="s">
        <v>4</v>
      </c>
      <c r="K9" s="19"/>
      <c r="L9" s="47" t="s">
        <v>96</v>
      </c>
      <c r="M9" s="47" t="s">
        <v>96</v>
      </c>
      <c r="N9" s="19"/>
      <c r="O9" s="19"/>
      <c r="P9" s="19">
        <v>416869208</v>
      </c>
      <c r="Q9" s="19"/>
      <c r="R9" s="19">
        <v>411405</v>
      </c>
      <c r="S9" s="19">
        <v>16038242</v>
      </c>
      <c r="T9" s="47" t="s">
        <v>96</v>
      </c>
      <c r="U9" s="47" t="s">
        <v>172</v>
      </c>
      <c r="V9" s="47" t="s">
        <v>172</v>
      </c>
      <c r="W9" s="19">
        <v>71441</v>
      </c>
      <c r="X9" s="19">
        <v>13800000</v>
      </c>
      <c r="Y9" s="19">
        <v>2222590</v>
      </c>
      <c r="Z9" s="19"/>
      <c r="AA9" s="19">
        <v>7485304</v>
      </c>
      <c r="AB9" s="19">
        <v>2149775</v>
      </c>
      <c r="AC9" s="19">
        <v>89500</v>
      </c>
      <c r="AD9" s="19">
        <v>14484471</v>
      </c>
      <c r="AE9" s="19">
        <v>20497594</v>
      </c>
      <c r="AF9" s="47" t="s">
        <v>172</v>
      </c>
      <c r="AG9" s="19">
        <v>20394000</v>
      </c>
      <c r="AH9" s="19">
        <v>35857779</v>
      </c>
      <c r="AI9" s="19"/>
      <c r="AJ9" s="19">
        <v>828215</v>
      </c>
      <c r="AK9" s="19">
        <v>48098472</v>
      </c>
      <c r="AL9" s="19">
        <v>24726270</v>
      </c>
      <c r="AM9" s="47" t="s">
        <v>4</v>
      </c>
      <c r="AN9" s="19">
        <v>13814320</v>
      </c>
      <c r="AO9" s="19"/>
      <c r="AP9" s="19">
        <v>38815627</v>
      </c>
      <c r="AQ9" s="47" t="s">
        <v>96</v>
      </c>
      <c r="AR9" s="19"/>
      <c r="AS9" s="19">
        <v>33608249</v>
      </c>
      <c r="AT9" s="47" t="s">
        <v>172</v>
      </c>
      <c r="AU9" s="19">
        <v>314044118</v>
      </c>
      <c r="AV9" s="19">
        <v>70000000</v>
      </c>
      <c r="AW9" s="19"/>
      <c r="AX9" s="47" t="s">
        <v>4</v>
      </c>
      <c r="AY9" s="19"/>
      <c r="AZ9" s="19"/>
      <c r="BA9" s="19">
        <v>12970070</v>
      </c>
      <c r="BB9" s="19"/>
      <c r="BC9" s="47" t="s">
        <v>4</v>
      </c>
      <c r="BD9" s="47" t="s">
        <v>130</v>
      </c>
      <c r="BE9" s="19">
        <v>2239398</v>
      </c>
      <c r="BF9" s="47" t="s">
        <v>96</v>
      </c>
      <c r="BG9" s="19">
        <v>44260612</v>
      </c>
      <c r="BH9" s="19"/>
      <c r="BI9" s="19">
        <v>8152744</v>
      </c>
      <c r="BJ9" s="19">
        <v>5333472</v>
      </c>
      <c r="BK9" s="19"/>
      <c r="BL9" s="19">
        <v>748200</v>
      </c>
      <c r="BM9" s="19">
        <v>1401440</v>
      </c>
      <c r="BN9" s="19"/>
      <c r="BO9" s="19"/>
      <c r="BP9" s="47" t="s">
        <v>96</v>
      </c>
      <c r="BQ9" s="47" t="s">
        <v>4</v>
      </c>
      <c r="BR9" s="19">
        <v>169972</v>
      </c>
      <c r="BS9" s="19"/>
      <c r="BT9" s="47" t="s">
        <v>130</v>
      </c>
      <c r="BU9" s="19">
        <v>112699</v>
      </c>
      <c r="BV9" s="19"/>
      <c r="BW9" s="19">
        <v>176000</v>
      </c>
      <c r="BX9" s="19">
        <v>177790</v>
      </c>
      <c r="BY9" s="19">
        <v>206118</v>
      </c>
      <c r="BZ9" s="19">
        <v>32933812</v>
      </c>
      <c r="CA9" s="19">
        <v>13077717</v>
      </c>
      <c r="CB9" s="19">
        <v>609500</v>
      </c>
      <c r="CC9" s="19">
        <v>910000</v>
      </c>
      <c r="CD9" s="19">
        <v>8218230</v>
      </c>
      <c r="CE9" s="19">
        <v>573996</v>
      </c>
      <c r="CF9" s="19">
        <v>1318030</v>
      </c>
      <c r="CG9" s="19"/>
      <c r="CH9" s="19">
        <v>2367750</v>
      </c>
      <c r="CI9" s="47" t="s">
        <v>130</v>
      </c>
      <c r="CJ9" s="19"/>
      <c r="CK9" s="19"/>
      <c r="CL9" s="19">
        <v>64000</v>
      </c>
      <c r="CM9" s="19"/>
      <c r="CN9" s="19">
        <v>18920</v>
      </c>
      <c r="CO9" s="19">
        <v>12203162</v>
      </c>
      <c r="CP9" s="19">
        <v>90000</v>
      </c>
      <c r="CQ9" s="47" t="s">
        <v>96</v>
      </c>
      <c r="CR9" s="19">
        <v>29406762</v>
      </c>
      <c r="CS9" s="47" t="s">
        <v>172</v>
      </c>
      <c r="CT9" s="19">
        <v>221573009</v>
      </c>
      <c r="CU9" s="19"/>
      <c r="CV9" s="19">
        <v>2307945</v>
      </c>
      <c r="CW9" s="19">
        <v>21957049</v>
      </c>
      <c r="CX9" s="19">
        <v>25665742</v>
      </c>
      <c r="CY9" s="47" t="s">
        <v>96</v>
      </c>
      <c r="CZ9" s="19">
        <v>34348427</v>
      </c>
      <c r="DA9" s="47" t="s">
        <v>89</v>
      </c>
      <c r="DB9" s="19"/>
      <c r="DC9" s="19"/>
      <c r="DD9" s="19">
        <v>884139</v>
      </c>
      <c r="DE9" s="19"/>
      <c r="DF9" s="19"/>
      <c r="DG9" s="19"/>
      <c r="DH9" s="19">
        <v>39473884</v>
      </c>
      <c r="DI9" s="19">
        <v>7746890</v>
      </c>
      <c r="DJ9" s="19">
        <v>249280</v>
      </c>
      <c r="DK9" s="19">
        <v>101903377</v>
      </c>
      <c r="DL9" s="19"/>
      <c r="DM9" s="19">
        <v>24211409</v>
      </c>
      <c r="DN9" s="19">
        <v>3116505</v>
      </c>
      <c r="DO9" s="19">
        <v>25720</v>
      </c>
      <c r="DP9" s="19"/>
      <c r="DQ9" s="19">
        <v>579592</v>
      </c>
      <c r="DR9" s="19">
        <v>444248</v>
      </c>
      <c r="DS9" s="19">
        <v>9396550</v>
      </c>
      <c r="DT9" s="19">
        <v>7786973</v>
      </c>
      <c r="DU9" s="19"/>
      <c r="DV9" s="19">
        <v>3711053</v>
      </c>
      <c r="DW9" s="19">
        <v>3723671</v>
      </c>
      <c r="DX9" s="19">
        <v>47717348</v>
      </c>
      <c r="DY9" s="19">
        <v>6120420</v>
      </c>
      <c r="DZ9" s="19">
        <v>492680714</v>
      </c>
      <c r="EA9" s="19">
        <v>11297931</v>
      </c>
      <c r="EB9" s="19">
        <v>359393628</v>
      </c>
      <c r="EC9" s="19">
        <v>27000000</v>
      </c>
      <c r="ED9" s="19"/>
      <c r="EE9" s="19">
        <v>116538046</v>
      </c>
      <c r="EF9" s="19"/>
      <c r="EG9" s="19">
        <v>3363053</v>
      </c>
      <c r="EH9" s="19">
        <v>8295534</v>
      </c>
      <c r="EI9" s="19">
        <v>127678968</v>
      </c>
      <c r="EJ9" s="19">
        <v>30980</v>
      </c>
      <c r="EK9" s="19">
        <v>1967370</v>
      </c>
      <c r="EL9" s="19">
        <v>26127731</v>
      </c>
      <c r="EM9" s="19"/>
      <c r="EN9" s="19">
        <v>8801116</v>
      </c>
      <c r="EO9" s="19">
        <v>6522141</v>
      </c>
      <c r="EP9" s="19"/>
      <c r="EQ9" s="19"/>
      <c r="ER9" s="19">
        <v>111320673</v>
      </c>
      <c r="ES9" s="19">
        <v>69839650</v>
      </c>
      <c r="ET9" s="19">
        <v>134942818</v>
      </c>
      <c r="EU9" s="19"/>
      <c r="EV9" s="19">
        <v>99000</v>
      </c>
      <c r="EW9" s="19">
        <v>2228625</v>
      </c>
      <c r="EX9" s="19">
        <v>1032035</v>
      </c>
      <c r="EY9" s="19">
        <v>225476020</v>
      </c>
      <c r="EZ9" s="19">
        <v>2239168</v>
      </c>
      <c r="FA9" s="47" t="s">
        <v>130</v>
      </c>
      <c r="FB9" s="19">
        <v>250590</v>
      </c>
      <c r="FC9" s="19"/>
      <c r="FD9" s="19"/>
      <c r="FE9" s="19">
        <v>327294875</v>
      </c>
      <c r="FF9" s="19"/>
      <c r="FG9" s="19">
        <v>1173108</v>
      </c>
      <c r="FH9" s="19">
        <v>6328711</v>
      </c>
      <c r="FI9" s="47" t="s">
        <v>96</v>
      </c>
      <c r="FJ9" s="19"/>
      <c r="FK9" s="19">
        <v>10425090</v>
      </c>
      <c r="FL9" s="47" t="s">
        <v>130</v>
      </c>
      <c r="FM9" s="19"/>
      <c r="FN9" s="19">
        <v>68659950</v>
      </c>
      <c r="FO9" s="47" t="s">
        <v>172</v>
      </c>
      <c r="FP9" s="19">
        <v>33000</v>
      </c>
      <c r="FQ9" s="19"/>
      <c r="FR9" s="19"/>
      <c r="FS9" s="47" t="s">
        <v>130</v>
      </c>
      <c r="FT9" s="19">
        <v>339605478</v>
      </c>
      <c r="FU9" s="19"/>
      <c r="FV9" s="19">
        <v>42066962</v>
      </c>
      <c r="FW9" s="19"/>
      <c r="FX9" s="19"/>
      <c r="FY9" s="19">
        <v>40975721</v>
      </c>
      <c r="FZ9" s="47" t="s">
        <v>175</v>
      </c>
      <c r="GA9" s="19"/>
      <c r="GB9" s="19">
        <v>1743500</v>
      </c>
      <c r="GC9" s="19"/>
      <c r="GD9" s="48" t="s">
        <v>96</v>
      </c>
      <c r="GE9" s="48" t="s">
        <v>96</v>
      </c>
      <c r="GF9" s="19">
        <v>19382845</v>
      </c>
      <c r="GG9" s="19">
        <v>534305160</v>
      </c>
      <c r="GH9" s="47" t="s">
        <v>172</v>
      </c>
      <c r="GI9" s="19">
        <v>313710</v>
      </c>
      <c r="GJ9" s="47" t="s">
        <v>96</v>
      </c>
      <c r="GK9" s="19">
        <v>918217</v>
      </c>
      <c r="GL9" s="47" t="s">
        <v>96</v>
      </c>
      <c r="GM9" s="19"/>
      <c r="GN9" s="19">
        <v>29874956</v>
      </c>
      <c r="GO9" s="47" t="s">
        <v>96</v>
      </c>
      <c r="GP9" s="19">
        <v>54975128</v>
      </c>
      <c r="GQ9" s="19">
        <v>12779064</v>
      </c>
      <c r="GR9" s="19">
        <v>16504626</v>
      </c>
      <c r="GS9" s="19">
        <v>94907500</v>
      </c>
      <c r="GT9" s="19">
        <v>3257068</v>
      </c>
      <c r="GU9" s="19">
        <v>435680</v>
      </c>
      <c r="GV9" s="19">
        <v>1993300</v>
      </c>
      <c r="GW9" s="19">
        <v>81346795</v>
      </c>
      <c r="GX9" s="19"/>
      <c r="GY9" s="19">
        <v>24039173</v>
      </c>
      <c r="GZ9" s="19">
        <v>6</v>
      </c>
      <c r="HA9" s="19">
        <v>11546665</v>
      </c>
      <c r="HB9" s="19">
        <v>49205594</v>
      </c>
      <c r="HC9" s="19">
        <v>8533028</v>
      </c>
      <c r="HD9" s="19">
        <v>21143285</v>
      </c>
      <c r="HE9" s="19">
        <v>105610</v>
      </c>
      <c r="HF9" s="19"/>
      <c r="HG9" s="19">
        <v>4243782</v>
      </c>
      <c r="HH9" s="47" t="s">
        <v>130</v>
      </c>
      <c r="HI9" s="19">
        <v>1000000</v>
      </c>
      <c r="HJ9" s="19"/>
      <c r="HK9" s="19">
        <v>36178798</v>
      </c>
      <c r="HL9" s="19">
        <v>1765250</v>
      </c>
      <c r="HM9" s="19">
        <v>758617</v>
      </c>
      <c r="HN9" s="19">
        <v>5007653</v>
      </c>
      <c r="HO9" s="19"/>
      <c r="HP9" s="19"/>
      <c r="HQ9" s="19">
        <v>63886447</v>
      </c>
      <c r="HR9" s="19">
        <v>9685179</v>
      </c>
      <c r="HS9" s="19">
        <v>326867</v>
      </c>
      <c r="HT9" s="19"/>
      <c r="HU9" s="19">
        <v>7545744</v>
      </c>
      <c r="HV9" s="19"/>
      <c r="HW9" s="19" t="s">
        <v>96</v>
      </c>
      <c r="HX9" s="19">
        <v>196719204</v>
      </c>
      <c r="HY9" s="19" t="s">
        <v>172</v>
      </c>
      <c r="HZ9" s="19">
        <v>46500000</v>
      </c>
      <c r="IA9" s="19"/>
      <c r="IB9" s="19">
        <v>14310403</v>
      </c>
      <c r="IC9" s="19">
        <v>598203944</v>
      </c>
      <c r="ID9" s="19">
        <v>1480210</v>
      </c>
      <c r="IE9" s="47" t="s">
        <v>96</v>
      </c>
      <c r="IF9" s="19"/>
      <c r="IG9" s="19">
        <v>1423510</v>
      </c>
      <c r="IH9" s="19">
        <v>15628715</v>
      </c>
      <c r="II9" s="19">
        <v>5223755</v>
      </c>
      <c r="IJ9" s="19">
        <v>84530</v>
      </c>
      <c r="IK9" s="19">
        <v>75830</v>
      </c>
      <c r="IL9" s="19"/>
      <c r="IM9" s="19">
        <v>13415960</v>
      </c>
      <c r="IN9" s="19">
        <v>33051823</v>
      </c>
      <c r="IO9" s="19"/>
      <c r="IP9" s="19">
        <v>160456905</v>
      </c>
      <c r="IQ9" s="19">
        <v>87360</v>
      </c>
      <c r="IR9" s="19">
        <v>5746333</v>
      </c>
      <c r="IS9" s="19">
        <v>94772</v>
      </c>
      <c r="IT9" s="19"/>
      <c r="IU9" s="45">
        <v>242110235</v>
      </c>
      <c r="IV9" s="45">
        <v>170276490</v>
      </c>
      <c r="IW9" s="45">
        <v>10599849</v>
      </c>
      <c r="IX9" s="45">
        <v>248269</v>
      </c>
      <c r="IY9" s="45"/>
      <c r="IZ9" s="45">
        <v>3229010</v>
      </c>
      <c r="JA9" s="45"/>
      <c r="JB9" s="45">
        <v>4930180</v>
      </c>
      <c r="JC9" s="45"/>
      <c r="JD9" s="45"/>
      <c r="JE9" s="45"/>
      <c r="JF9" s="45">
        <v>5297413</v>
      </c>
      <c r="JG9" s="45"/>
      <c r="JH9" s="45"/>
      <c r="JI9" s="45">
        <v>2773704</v>
      </c>
      <c r="JJ9" s="45">
        <v>2503186</v>
      </c>
      <c r="JK9" s="45">
        <v>1457465</v>
      </c>
      <c r="JL9" s="45">
        <v>1206220</v>
      </c>
      <c r="JM9" s="45">
        <v>20000000</v>
      </c>
      <c r="JN9" s="45">
        <v>14257436</v>
      </c>
      <c r="JO9" s="46"/>
      <c r="JP9" s="46">
        <v>20008821</v>
      </c>
      <c r="JQ9" s="63" t="s">
        <v>175</v>
      </c>
      <c r="JR9" s="46">
        <v>20556239</v>
      </c>
      <c r="JS9" s="46"/>
      <c r="JT9" s="46"/>
      <c r="JU9" s="46">
        <v>3446380</v>
      </c>
      <c r="JV9" s="46">
        <v>111153925</v>
      </c>
      <c r="JW9" s="46"/>
      <c r="JX9" s="46">
        <v>154825920</v>
      </c>
      <c r="JY9" s="46">
        <v>17347093</v>
      </c>
      <c r="JZ9" s="46"/>
      <c r="KA9" s="46">
        <v>10000000</v>
      </c>
      <c r="KB9" s="46">
        <v>222061310</v>
      </c>
      <c r="KC9" s="46">
        <v>1000000</v>
      </c>
      <c r="KD9" s="46">
        <v>358380</v>
      </c>
      <c r="KE9" s="46">
        <v>2220120</v>
      </c>
      <c r="KF9" s="46">
        <v>9551306</v>
      </c>
      <c r="KG9" s="46"/>
      <c r="KH9" s="46"/>
    </row>
    <row r="10" spans="1:294">
      <c r="A10" s="7" t="s">
        <v>182</v>
      </c>
      <c r="B10" s="13" t="s">
        <v>135</v>
      </c>
      <c r="C10" s="19">
        <v>1877586</v>
      </c>
      <c r="D10" s="19">
        <v>4975939</v>
      </c>
      <c r="E10" s="19">
        <v>6985398</v>
      </c>
      <c r="F10" s="19">
        <v>3996180</v>
      </c>
      <c r="G10" s="47" t="s">
        <v>130</v>
      </c>
      <c r="H10" s="19"/>
      <c r="I10" s="19">
        <v>100976201</v>
      </c>
      <c r="J10" s="47" t="s">
        <v>4</v>
      </c>
      <c r="K10" s="19">
        <v>4030768</v>
      </c>
      <c r="L10" s="47" t="s">
        <v>96</v>
      </c>
      <c r="M10" s="47" t="s">
        <v>96</v>
      </c>
      <c r="N10" s="19">
        <v>19106207</v>
      </c>
      <c r="O10" s="19">
        <v>23145565</v>
      </c>
      <c r="P10" s="19">
        <v>583743</v>
      </c>
      <c r="Q10" s="19"/>
      <c r="R10" s="19">
        <v>1189652</v>
      </c>
      <c r="S10" s="19">
        <v>339940617</v>
      </c>
      <c r="T10" s="47" t="s">
        <v>96</v>
      </c>
      <c r="U10" s="47" t="s">
        <v>172</v>
      </c>
      <c r="V10" s="47" t="s">
        <v>172</v>
      </c>
      <c r="W10" s="19">
        <v>9970</v>
      </c>
      <c r="X10" s="19">
        <v>781902635</v>
      </c>
      <c r="Y10" s="19">
        <v>6475</v>
      </c>
      <c r="Z10" s="19">
        <v>900003170</v>
      </c>
      <c r="AA10" s="19">
        <v>48149910</v>
      </c>
      <c r="AB10" s="19"/>
      <c r="AC10" s="19">
        <v>17773408</v>
      </c>
      <c r="AD10" s="19">
        <v>14616232</v>
      </c>
      <c r="AE10" s="19">
        <v>205971290</v>
      </c>
      <c r="AF10" s="47" t="s">
        <v>172</v>
      </c>
      <c r="AG10" s="19">
        <v>1560</v>
      </c>
      <c r="AH10" s="19">
        <v>163886764</v>
      </c>
      <c r="AI10" s="19">
        <v>6492397</v>
      </c>
      <c r="AJ10" s="19">
        <v>1317665</v>
      </c>
      <c r="AK10" s="19">
        <v>214324682</v>
      </c>
      <c r="AL10" s="19">
        <v>1950307</v>
      </c>
      <c r="AM10" s="47" t="s">
        <v>4</v>
      </c>
      <c r="AN10" s="19">
        <v>3555322</v>
      </c>
      <c r="AO10" s="19">
        <v>4363787</v>
      </c>
      <c r="AP10" s="19">
        <v>800701</v>
      </c>
      <c r="AQ10" s="47" t="s">
        <v>96</v>
      </c>
      <c r="AR10" s="19">
        <v>101245333</v>
      </c>
      <c r="AS10" s="19">
        <v>563937726</v>
      </c>
      <c r="AT10" s="47" t="s">
        <v>172</v>
      </c>
      <c r="AU10" s="19">
        <v>55731970</v>
      </c>
      <c r="AV10" s="19"/>
      <c r="AW10" s="19">
        <v>4457240</v>
      </c>
      <c r="AX10" s="47" t="s">
        <v>4</v>
      </c>
      <c r="AY10" s="19">
        <v>2001419</v>
      </c>
      <c r="AZ10" s="19">
        <v>4207000</v>
      </c>
      <c r="BA10" s="19">
        <v>1485165</v>
      </c>
      <c r="BB10" s="19">
        <v>759930</v>
      </c>
      <c r="BC10" s="47" t="s">
        <v>4</v>
      </c>
      <c r="BD10" s="47" t="s">
        <v>130</v>
      </c>
      <c r="BE10" s="19">
        <v>7018010</v>
      </c>
      <c r="BF10" s="47" t="s">
        <v>96</v>
      </c>
      <c r="BG10" s="19">
        <v>35702493</v>
      </c>
      <c r="BH10" s="19">
        <v>6509722</v>
      </c>
      <c r="BI10" s="19">
        <v>2645510</v>
      </c>
      <c r="BJ10" s="19">
        <v>73917156</v>
      </c>
      <c r="BK10" s="19">
        <v>8223408</v>
      </c>
      <c r="BL10" s="19">
        <v>283700</v>
      </c>
      <c r="BM10" s="19">
        <v>21638750</v>
      </c>
      <c r="BN10" s="19">
        <v>2212335</v>
      </c>
      <c r="BO10" s="19"/>
      <c r="BP10" s="47" t="s">
        <v>96</v>
      </c>
      <c r="BQ10" s="47" t="s">
        <v>4</v>
      </c>
      <c r="BR10" s="19">
        <v>-42052302</v>
      </c>
      <c r="BS10" s="19">
        <v>208430</v>
      </c>
      <c r="BT10" s="47" t="s">
        <v>130</v>
      </c>
      <c r="BU10" s="19">
        <v>3306984</v>
      </c>
      <c r="BV10" s="19">
        <v>337332897</v>
      </c>
      <c r="BW10" s="19">
        <v>75000</v>
      </c>
      <c r="BX10" s="19">
        <v>13403050</v>
      </c>
      <c r="BY10" s="19">
        <v>51160503</v>
      </c>
      <c r="BZ10" s="19"/>
      <c r="CA10" s="19">
        <v>203270799</v>
      </c>
      <c r="CB10" s="19">
        <v>5004607</v>
      </c>
      <c r="CC10" s="19">
        <v>4992658</v>
      </c>
      <c r="CD10" s="19">
        <v>256320</v>
      </c>
      <c r="CE10" s="19"/>
      <c r="CF10" s="19">
        <v>18662452</v>
      </c>
      <c r="CG10" s="19">
        <v>9071554</v>
      </c>
      <c r="CH10" s="19">
        <v>30501905</v>
      </c>
      <c r="CI10" s="47" t="s">
        <v>130</v>
      </c>
      <c r="CJ10" s="19">
        <v>11409385</v>
      </c>
      <c r="CK10" s="19">
        <v>20995204</v>
      </c>
      <c r="CL10" s="19">
        <v>5221541</v>
      </c>
      <c r="CM10" s="19">
        <v>26957307</v>
      </c>
      <c r="CN10" s="19">
        <v>18693729</v>
      </c>
      <c r="CO10" s="19">
        <v>7359002</v>
      </c>
      <c r="CP10" s="19">
        <v>60011334</v>
      </c>
      <c r="CQ10" s="47" t="s">
        <v>96</v>
      </c>
      <c r="CR10" s="19">
        <v>17093031</v>
      </c>
      <c r="CS10" s="47" t="s">
        <v>172</v>
      </c>
      <c r="CT10" s="19">
        <v>18983497</v>
      </c>
      <c r="CU10" s="19">
        <v>74850</v>
      </c>
      <c r="CV10" s="19">
        <v>620235</v>
      </c>
      <c r="CW10" s="19">
        <v>76734593</v>
      </c>
      <c r="CX10" s="19">
        <v>121110468</v>
      </c>
      <c r="CY10" s="47" t="s">
        <v>96</v>
      </c>
      <c r="CZ10" s="19">
        <v>20945210</v>
      </c>
      <c r="DA10" s="47" t="s">
        <v>89</v>
      </c>
      <c r="DB10" s="19">
        <v>1135276</v>
      </c>
      <c r="DC10" s="19">
        <v>2936392</v>
      </c>
      <c r="DD10" s="19">
        <v>490511</v>
      </c>
      <c r="DE10" s="19"/>
      <c r="DF10" s="19">
        <v>20940570</v>
      </c>
      <c r="DG10" s="19">
        <v>2583204</v>
      </c>
      <c r="DH10" s="19">
        <v>1175306</v>
      </c>
      <c r="DI10" s="19">
        <v>6427500</v>
      </c>
      <c r="DJ10" s="19">
        <v>534000</v>
      </c>
      <c r="DK10" s="19">
        <v>80913727</v>
      </c>
      <c r="DL10" s="19">
        <v>72274605</v>
      </c>
      <c r="DM10" s="19">
        <v>13426812</v>
      </c>
      <c r="DN10" s="19">
        <v>43964578</v>
      </c>
      <c r="DO10" s="19">
        <v>1202257</v>
      </c>
      <c r="DP10" s="19">
        <v>492912095</v>
      </c>
      <c r="DQ10" s="19">
        <v>41254052</v>
      </c>
      <c r="DR10" s="19">
        <v>102876652</v>
      </c>
      <c r="DS10" s="19">
        <v>15354150</v>
      </c>
      <c r="DT10" s="19">
        <v>200000000</v>
      </c>
      <c r="DU10" s="19"/>
      <c r="DV10" s="19">
        <v>8241483</v>
      </c>
      <c r="DW10" s="19">
        <v>781000</v>
      </c>
      <c r="DX10" s="19">
        <v>398489440</v>
      </c>
      <c r="DY10" s="19">
        <v>2093413</v>
      </c>
      <c r="DZ10" s="19"/>
      <c r="EA10" s="19"/>
      <c r="EB10" s="19">
        <v>45360153</v>
      </c>
      <c r="EC10" s="19">
        <v>94153763</v>
      </c>
      <c r="ED10" s="19">
        <v>2510190</v>
      </c>
      <c r="EE10" s="19">
        <v>61590706</v>
      </c>
      <c r="EF10" s="19">
        <v>5574022</v>
      </c>
      <c r="EG10" s="19">
        <v>75781719</v>
      </c>
      <c r="EH10" s="19">
        <v>47190216</v>
      </c>
      <c r="EI10" s="19">
        <v>174150197</v>
      </c>
      <c r="EJ10" s="19">
        <v>150753</v>
      </c>
      <c r="EK10" s="19">
        <v>4130618</v>
      </c>
      <c r="EL10" s="19"/>
      <c r="EM10" s="19">
        <v>1043745</v>
      </c>
      <c r="EN10" s="19">
        <v>753790</v>
      </c>
      <c r="EO10" s="19">
        <v>3940132</v>
      </c>
      <c r="EP10" s="19"/>
      <c r="EQ10" s="19"/>
      <c r="ER10" s="19">
        <v>32168104</v>
      </c>
      <c r="ES10" s="19">
        <v>69035475</v>
      </c>
      <c r="ET10" s="19">
        <v>66292700</v>
      </c>
      <c r="EU10" s="19">
        <v>323431255</v>
      </c>
      <c r="EV10" s="19">
        <v>21796466</v>
      </c>
      <c r="EW10" s="19"/>
      <c r="EX10" s="19">
        <v>4220032</v>
      </c>
      <c r="EY10" s="19">
        <v>5827055</v>
      </c>
      <c r="EZ10" s="19">
        <v>12326850</v>
      </c>
      <c r="FA10" s="47" t="s">
        <v>130</v>
      </c>
      <c r="FB10" s="19">
        <v>751867</v>
      </c>
      <c r="FC10" s="19">
        <v>11008600</v>
      </c>
      <c r="FD10" s="19">
        <v>158171075</v>
      </c>
      <c r="FE10" s="19">
        <v>168625363</v>
      </c>
      <c r="FF10" s="19">
        <v>2447800</v>
      </c>
      <c r="FG10" s="19">
        <v>54955732</v>
      </c>
      <c r="FH10" s="19">
        <v>204765950</v>
      </c>
      <c r="FI10" s="47" t="s">
        <v>96</v>
      </c>
      <c r="FJ10" s="19">
        <v>40963000</v>
      </c>
      <c r="FK10" s="19">
        <v>2879540</v>
      </c>
      <c r="FL10" s="47" t="s">
        <v>130</v>
      </c>
      <c r="FM10" s="19">
        <v>14092815</v>
      </c>
      <c r="FN10" s="19">
        <v>66041638</v>
      </c>
      <c r="FO10" s="47" t="s">
        <v>172</v>
      </c>
      <c r="FP10" s="19">
        <v>3569763</v>
      </c>
      <c r="FQ10" s="19">
        <v>14230</v>
      </c>
      <c r="FR10" s="19">
        <v>2850400</v>
      </c>
      <c r="FS10" s="47" t="s">
        <v>130</v>
      </c>
      <c r="FT10" s="19">
        <v>661291920</v>
      </c>
      <c r="FU10" s="19"/>
      <c r="FV10" s="19">
        <v>1134384</v>
      </c>
      <c r="FW10" s="19"/>
      <c r="FX10" s="19">
        <v>1732104</v>
      </c>
      <c r="FY10" s="19">
        <v>293961653</v>
      </c>
      <c r="FZ10" s="47" t="s">
        <v>175</v>
      </c>
      <c r="GA10" s="19">
        <v>5236740</v>
      </c>
      <c r="GB10" s="19">
        <v>1387530</v>
      </c>
      <c r="GC10" s="19">
        <v>425136</v>
      </c>
      <c r="GD10" s="48" t="s">
        <v>96</v>
      </c>
      <c r="GE10" s="48" t="s">
        <v>96</v>
      </c>
      <c r="GF10" s="19">
        <v>29893097</v>
      </c>
      <c r="GG10" s="19">
        <v>218051792</v>
      </c>
      <c r="GH10" s="47" t="s">
        <v>172</v>
      </c>
      <c r="GI10" s="19">
        <v>47208026</v>
      </c>
      <c r="GJ10" s="47" t="s">
        <v>96</v>
      </c>
      <c r="GK10" s="19">
        <v>10390155</v>
      </c>
      <c r="GL10" s="47" t="s">
        <v>96</v>
      </c>
      <c r="GM10" s="19">
        <v>634985</v>
      </c>
      <c r="GN10" s="19"/>
      <c r="GO10" s="47" t="s">
        <v>96</v>
      </c>
      <c r="GP10" s="19">
        <v>192820347</v>
      </c>
      <c r="GQ10" s="19">
        <v>48507446</v>
      </c>
      <c r="GR10" s="19">
        <v>54780094</v>
      </c>
      <c r="GS10" s="19">
        <v>2360240</v>
      </c>
      <c r="GT10" s="19">
        <v>1742234</v>
      </c>
      <c r="GU10" s="19">
        <v>7640</v>
      </c>
      <c r="GV10" s="19">
        <v>133770</v>
      </c>
      <c r="GW10" s="19">
        <v>155722150</v>
      </c>
      <c r="GX10" s="19">
        <v>225154298</v>
      </c>
      <c r="GY10" s="19">
        <v>13587199</v>
      </c>
      <c r="GZ10" s="19">
        <v>64975052</v>
      </c>
      <c r="HA10" s="19"/>
      <c r="HB10" s="19">
        <v>1300000</v>
      </c>
      <c r="HC10" s="19">
        <v>81062382</v>
      </c>
      <c r="HD10" s="19">
        <v>12468687</v>
      </c>
      <c r="HE10" s="19">
        <v>53924120</v>
      </c>
      <c r="HF10" s="19">
        <v>11301575</v>
      </c>
      <c r="HG10" s="19">
        <v>96607327</v>
      </c>
      <c r="HH10" s="47" t="s">
        <v>130</v>
      </c>
      <c r="HI10" s="19">
        <v>1100209</v>
      </c>
      <c r="HJ10" s="19">
        <v>153640</v>
      </c>
      <c r="HK10" s="19">
        <v>80637443</v>
      </c>
      <c r="HL10" s="19">
        <v>17033446</v>
      </c>
      <c r="HM10" s="19">
        <v>20567400</v>
      </c>
      <c r="HN10" s="19">
        <v>3129825</v>
      </c>
      <c r="HO10" s="19">
        <v>19225665</v>
      </c>
      <c r="HP10" s="19">
        <v>5460</v>
      </c>
      <c r="HQ10" s="19">
        <v>2147089</v>
      </c>
      <c r="HR10" s="19">
        <v>180092868</v>
      </c>
      <c r="HS10" s="19">
        <v>23840512</v>
      </c>
      <c r="HT10" s="19"/>
      <c r="HU10" s="19">
        <v>127853177</v>
      </c>
      <c r="HV10" s="19"/>
      <c r="HW10" s="19" t="s">
        <v>96</v>
      </c>
      <c r="HX10" s="19">
        <v>43046117</v>
      </c>
      <c r="HY10" s="19" t="s">
        <v>172</v>
      </c>
      <c r="HZ10" s="19">
        <v>338751754</v>
      </c>
      <c r="IA10" s="19">
        <v>228756</v>
      </c>
      <c r="IB10" s="19">
        <v>51797787</v>
      </c>
      <c r="IC10" s="19">
        <v>7347986</v>
      </c>
      <c r="ID10" s="19">
        <v>168000</v>
      </c>
      <c r="IE10" s="47" t="s">
        <v>96</v>
      </c>
      <c r="IF10" s="19"/>
      <c r="IG10" s="19">
        <v>68903</v>
      </c>
      <c r="IH10" s="19">
        <v>18873876</v>
      </c>
      <c r="II10" s="19">
        <v>7516990</v>
      </c>
      <c r="IJ10" s="19"/>
      <c r="IK10" s="19">
        <v>53867251</v>
      </c>
      <c r="IL10" s="19">
        <v>70787010</v>
      </c>
      <c r="IM10" s="19">
        <v>42260</v>
      </c>
      <c r="IN10" s="19">
        <v>3282716</v>
      </c>
      <c r="IO10" s="19">
        <v>57377234</v>
      </c>
      <c r="IP10" s="19">
        <v>10944520</v>
      </c>
      <c r="IQ10" s="19">
        <v>5519568</v>
      </c>
      <c r="IR10" s="19">
        <v>1730917</v>
      </c>
      <c r="IS10" s="19">
        <v>24034953</v>
      </c>
      <c r="IT10" s="19">
        <v>6955735</v>
      </c>
      <c r="IU10" s="45"/>
      <c r="IV10" s="45"/>
      <c r="IW10" s="45">
        <v>38154512</v>
      </c>
      <c r="IX10" s="45">
        <v>74718930</v>
      </c>
      <c r="IY10" s="45">
        <v>62482470</v>
      </c>
      <c r="IZ10" s="45">
        <v>17807085</v>
      </c>
      <c r="JA10" s="45">
        <v>152500947</v>
      </c>
      <c r="JB10" s="45">
        <v>49473762</v>
      </c>
      <c r="JC10" s="45">
        <v>7835013</v>
      </c>
      <c r="JD10" s="45">
        <v>9966801</v>
      </c>
      <c r="JE10" s="45">
        <v>970390</v>
      </c>
      <c r="JF10" s="45">
        <v>6501890</v>
      </c>
      <c r="JG10" s="45">
        <v>15010000</v>
      </c>
      <c r="JH10" s="45">
        <v>2996633</v>
      </c>
      <c r="JI10" s="45"/>
      <c r="JJ10" s="45">
        <v>471703</v>
      </c>
      <c r="JK10" s="45">
        <v>12770880</v>
      </c>
      <c r="JL10" s="45">
        <v>2599230</v>
      </c>
      <c r="JM10" s="45">
        <v>1311190</v>
      </c>
      <c r="JN10" s="45">
        <v>560315125</v>
      </c>
      <c r="JO10" s="46"/>
      <c r="JP10" s="46">
        <v>1484950</v>
      </c>
      <c r="JQ10" s="63" t="s">
        <v>175</v>
      </c>
      <c r="JR10" s="46">
        <v>39234500</v>
      </c>
      <c r="JS10" s="46">
        <v>5410326</v>
      </c>
      <c r="JT10" s="46">
        <v>1273375</v>
      </c>
      <c r="JU10" s="46">
        <v>6084262</v>
      </c>
      <c r="JV10" s="46">
        <v>1982300</v>
      </c>
      <c r="JW10" s="46"/>
      <c r="JX10" s="46">
        <v>9585080</v>
      </c>
      <c r="JY10" s="46">
        <v>7775359</v>
      </c>
      <c r="JZ10" s="46"/>
      <c r="KA10" s="46"/>
      <c r="KB10" s="46">
        <v>99601128</v>
      </c>
      <c r="KC10" s="46">
        <v>12629980</v>
      </c>
      <c r="KD10" s="46"/>
      <c r="KE10" s="46">
        <v>2511500</v>
      </c>
      <c r="KF10" s="46">
        <v>997690</v>
      </c>
      <c r="KG10" s="46">
        <v>153086</v>
      </c>
      <c r="KH10" s="46">
        <v>1960000</v>
      </c>
    </row>
    <row r="11" spans="1:294">
      <c r="A11" s="7" t="s">
        <v>182</v>
      </c>
      <c r="B11" s="13" t="s">
        <v>40</v>
      </c>
      <c r="C11" s="19">
        <v>257881934</v>
      </c>
      <c r="D11" s="19"/>
      <c r="E11" s="19">
        <v>81800</v>
      </c>
      <c r="F11" s="19">
        <v>4210057</v>
      </c>
      <c r="G11" s="47" t="s">
        <v>130</v>
      </c>
      <c r="H11" s="19">
        <v>159691625</v>
      </c>
      <c r="I11" s="19"/>
      <c r="J11" s="47" t="s">
        <v>4</v>
      </c>
      <c r="K11" s="19"/>
      <c r="L11" s="47" t="s">
        <v>96</v>
      </c>
      <c r="M11" s="47" t="s">
        <v>96</v>
      </c>
      <c r="N11" s="19"/>
      <c r="O11" s="19">
        <v>9309720</v>
      </c>
      <c r="P11" s="19">
        <v>10394267</v>
      </c>
      <c r="Q11" s="19">
        <v>15970803</v>
      </c>
      <c r="R11" s="19"/>
      <c r="S11" s="19">
        <v>-4000000</v>
      </c>
      <c r="T11" s="47" t="s">
        <v>96</v>
      </c>
      <c r="U11" s="47" t="s">
        <v>172</v>
      </c>
      <c r="V11" s="47" t="s">
        <v>172</v>
      </c>
      <c r="W11" s="19"/>
      <c r="X11" s="19">
        <v>269657558</v>
      </c>
      <c r="Y11" s="19"/>
      <c r="Z11" s="19"/>
      <c r="AA11" s="19">
        <v>330000000</v>
      </c>
      <c r="AB11" s="19"/>
      <c r="AC11" s="19">
        <v>385266</v>
      </c>
      <c r="AD11" s="19"/>
      <c r="AE11" s="19">
        <v>9550000</v>
      </c>
      <c r="AF11" s="47" t="s">
        <v>172</v>
      </c>
      <c r="AG11" s="19">
        <v>2350790</v>
      </c>
      <c r="AH11" s="19"/>
      <c r="AI11" s="19"/>
      <c r="AJ11" s="19">
        <v>315210</v>
      </c>
      <c r="AK11" s="19">
        <v>885971185</v>
      </c>
      <c r="AL11" s="19"/>
      <c r="AM11" s="47" t="s">
        <v>4</v>
      </c>
      <c r="AN11" s="19"/>
      <c r="AO11" s="19"/>
      <c r="AP11" s="19">
        <v>120000</v>
      </c>
      <c r="AQ11" s="47" t="s">
        <v>96</v>
      </c>
      <c r="AR11" s="19"/>
      <c r="AS11" s="19"/>
      <c r="AT11" s="47" t="s">
        <v>172</v>
      </c>
      <c r="AU11" s="19"/>
      <c r="AV11" s="19"/>
      <c r="AW11" s="19"/>
      <c r="AX11" s="47" t="s">
        <v>4</v>
      </c>
      <c r="AY11" s="19"/>
      <c r="AZ11" s="19"/>
      <c r="BA11" s="19"/>
      <c r="BB11" s="19"/>
      <c r="BC11" s="47" t="s">
        <v>4</v>
      </c>
      <c r="BD11" s="47" t="s">
        <v>130</v>
      </c>
      <c r="BE11" s="19">
        <v>500000</v>
      </c>
      <c r="BF11" s="47" t="s">
        <v>96</v>
      </c>
      <c r="BG11" s="19"/>
      <c r="BH11" s="19"/>
      <c r="BI11" s="19"/>
      <c r="BJ11" s="19"/>
      <c r="BK11" s="19">
        <v>4970001</v>
      </c>
      <c r="BL11" s="19"/>
      <c r="BM11" s="19"/>
      <c r="BN11" s="19"/>
      <c r="BO11" s="19"/>
      <c r="BP11" s="47" t="s">
        <v>96</v>
      </c>
      <c r="BQ11" s="47" t="s">
        <v>4</v>
      </c>
      <c r="BR11" s="19"/>
      <c r="BS11" s="19"/>
      <c r="BT11" s="47" t="s">
        <v>130</v>
      </c>
      <c r="BU11" s="19"/>
      <c r="BV11" s="19"/>
      <c r="BW11" s="19"/>
      <c r="BX11" s="19"/>
      <c r="BY11" s="19"/>
      <c r="BZ11" s="19"/>
      <c r="CA11" s="19">
        <v>180041750</v>
      </c>
      <c r="CB11" s="19"/>
      <c r="CC11" s="19">
        <v>2502050</v>
      </c>
      <c r="CD11" s="19"/>
      <c r="CE11" s="19"/>
      <c r="CF11" s="19"/>
      <c r="CG11" s="19"/>
      <c r="CH11" s="19"/>
      <c r="CI11" s="47" t="s">
        <v>130</v>
      </c>
      <c r="CJ11" s="19"/>
      <c r="CK11" s="19"/>
      <c r="CL11" s="19">
        <v>7714000</v>
      </c>
      <c r="CM11" s="19"/>
      <c r="CN11" s="19"/>
      <c r="CO11" s="19"/>
      <c r="CP11" s="19"/>
      <c r="CQ11" s="47" t="s">
        <v>96</v>
      </c>
      <c r="CR11" s="19">
        <v>222030</v>
      </c>
      <c r="CS11" s="47" t="s">
        <v>172</v>
      </c>
      <c r="CT11" s="19"/>
      <c r="CU11" s="19"/>
      <c r="CV11" s="19"/>
      <c r="CW11" s="19"/>
      <c r="CX11" s="19"/>
      <c r="CY11" s="47" t="s">
        <v>96</v>
      </c>
      <c r="CZ11" s="19">
        <v>1000000</v>
      </c>
      <c r="DA11" s="47" t="s">
        <v>89</v>
      </c>
      <c r="DB11" s="19"/>
      <c r="DC11" s="19"/>
      <c r="DD11" s="19"/>
      <c r="DE11" s="19"/>
      <c r="DF11" s="19"/>
      <c r="DG11" s="19"/>
      <c r="DH11" s="19">
        <v>194800</v>
      </c>
      <c r="DI11" s="19"/>
      <c r="DJ11" s="19"/>
      <c r="DK11" s="19"/>
      <c r="DL11" s="19"/>
      <c r="DM11" s="19"/>
      <c r="DN11" s="19"/>
      <c r="DO11" s="19"/>
      <c r="DP11" s="19">
        <v>5000000</v>
      </c>
      <c r="DQ11" s="19"/>
      <c r="DR11" s="19"/>
      <c r="DS11" s="19"/>
      <c r="DT11" s="19"/>
      <c r="DU11" s="19"/>
      <c r="DV11" s="19"/>
      <c r="DW11" s="19"/>
      <c r="DX11" s="19"/>
      <c r="DY11" s="19"/>
      <c r="DZ11" s="19"/>
      <c r="EA11" s="19">
        <v>30000000</v>
      </c>
      <c r="EB11" s="19"/>
      <c r="EC11" s="19"/>
      <c r="ED11" s="19">
        <v>574799</v>
      </c>
      <c r="EE11" s="19">
        <v>18000000</v>
      </c>
      <c r="EF11" s="19">
        <v>25209306</v>
      </c>
      <c r="EG11" s="19"/>
      <c r="EH11" s="19"/>
      <c r="EI11" s="19"/>
      <c r="EJ11" s="19"/>
      <c r="EK11" s="19"/>
      <c r="EL11" s="19"/>
      <c r="EM11" s="19"/>
      <c r="EN11" s="19"/>
      <c r="EO11" s="19"/>
      <c r="EP11" s="19">
        <v>9814995</v>
      </c>
      <c r="EQ11" s="19"/>
      <c r="ER11" s="19">
        <v>144406550</v>
      </c>
      <c r="ES11" s="19">
        <v>15480861</v>
      </c>
      <c r="ET11" s="19">
        <v>-99351772</v>
      </c>
      <c r="EU11" s="19">
        <v>30000000</v>
      </c>
      <c r="EV11" s="19"/>
      <c r="EW11" s="19"/>
      <c r="EX11" s="19"/>
      <c r="EY11" s="19"/>
      <c r="EZ11" s="19"/>
      <c r="FA11" s="47" t="s">
        <v>130</v>
      </c>
      <c r="FB11" s="19"/>
      <c r="FC11" s="19"/>
      <c r="FD11" s="19"/>
      <c r="FE11" s="19"/>
      <c r="FF11" s="19"/>
      <c r="FG11" s="19"/>
      <c r="FH11" s="19"/>
      <c r="FI11" s="47" t="s">
        <v>96</v>
      </c>
      <c r="FJ11" s="19"/>
      <c r="FK11" s="19"/>
      <c r="FL11" s="47" t="s">
        <v>130</v>
      </c>
      <c r="FM11" s="19"/>
      <c r="FN11" s="19"/>
      <c r="FO11" s="47" t="s">
        <v>172</v>
      </c>
      <c r="FP11" s="19">
        <v>1026417</v>
      </c>
      <c r="FQ11" s="19">
        <v>736700</v>
      </c>
      <c r="FR11" s="19"/>
      <c r="FS11" s="47" t="s">
        <v>130</v>
      </c>
      <c r="FT11" s="19"/>
      <c r="FU11" s="19"/>
      <c r="FV11" s="19">
        <v>76550411</v>
      </c>
      <c r="FW11" s="19"/>
      <c r="FX11" s="19"/>
      <c r="FY11" s="19">
        <v>21787163</v>
      </c>
      <c r="FZ11" s="47" t="s">
        <v>175</v>
      </c>
      <c r="GA11" s="19"/>
      <c r="GB11" s="19"/>
      <c r="GC11" s="19"/>
      <c r="GD11" s="48" t="s">
        <v>96</v>
      </c>
      <c r="GE11" s="48" t="s">
        <v>96</v>
      </c>
      <c r="GF11" s="19"/>
      <c r="GG11" s="19">
        <v>1282798</v>
      </c>
      <c r="GH11" s="47" t="s">
        <v>172</v>
      </c>
      <c r="GI11" s="19"/>
      <c r="GJ11" s="47" t="s">
        <v>96</v>
      </c>
      <c r="GK11" s="19"/>
      <c r="GL11" s="47" t="s">
        <v>96</v>
      </c>
      <c r="GM11" s="19"/>
      <c r="GN11" s="19"/>
      <c r="GO11" s="47" t="s">
        <v>96</v>
      </c>
      <c r="GP11" s="19"/>
      <c r="GQ11" s="19"/>
      <c r="GR11" s="19">
        <v>-256627</v>
      </c>
      <c r="GS11" s="19"/>
      <c r="GT11" s="19"/>
      <c r="GU11" s="19"/>
      <c r="GV11" s="19">
        <v>7613880</v>
      </c>
      <c r="GW11" s="19">
        <v>184664179</v>
      </c>
      <c r="GX11" s="19"/>
      <c r="GY11" s="19"/>
      <c r="GZ11" s="19">
        <v>52014136</v>
      </c>
      <c r="HA11" s="19"/>
      <c r="HB11" s="19"/>
      <c r="HC11" s="19">
        <v>204690572</v>
      </c>
      <c r="HD11" s="19">
        <v>292195113</v>
      </c>
      <c r="HE11" s="19"/>
      <c r="HF11" s="19"/>
      <c r="HG11" s="19">
        <v>412703</v>
      </c>
      <c r="HH11" s="47" t="s">
        <v>130</v>
      </c>
      <c r="HI11" s="19"/>
      <c r="HJ11" s="19">
        <v>13393780</v>
      </c>
      <c r="HK11" s="19"/>
      <c r="HL11" s="19"/>
      <c r="HM11" s="19"/>
      <c r="HN11" s="19"/>
      <c r="HO11" s="19">
        <v>6210000</v>
      </c>
      <c r="HP11" s="19"/>
      <c r="HQ11" s="19">
        <v>2970596</v>
      </c>
      <c r="HR11" s="19">
        <v>6585611</v>
      </c>
      <c r="HS11" s="19"/>
      <c r="HT11" s="19"/>
      <c r="HU11" s="19">
        <v>5743139</v>
      </c>
      <c r="HV11" s="19"/>
      <c r="HW11" s="19" t="s">
        <v>96</v>
      </c>
      <c r="HX11" s="19"/>
      <c r="HY11" s="19" t="s">
        <v>172</v>
      </c>
      <c r="HZ11" s="19"/>
      <c r="IA11" s="19">
        <v>561279764</v>
      </c>
      <c r="IB11" s="19"/>
      <c r="IC11" s="19"/>
      <c r="ID11" s="19"/>
      <c r="IE11" s="47" t="s">
        <v>96</v>
      </c>
      <c r="IF11" s="19"/>
      <c r="IG11" s="19"/>
      <c r="IH11" s="19">
        <v>310600</v>
      </c>
      <c r="II11" s="19"/>
      <c r="IJ11" s="19"/>
      <c r="IK11" s="19"/>
      <c r="IL11" s="19">
        <v>344654</v>
      </c>
      <c r="IM11" s="19"/>
      <c r="IN11" s="19"/>
      <c r="IO11" s="19"/>
      <c r="IP11" s="19"/>
      <c r="IQ11" s="19"/>
      <c r="IR11" s="19">
        <v>91101430</v>
      </c>
      <c r="IS11" s="19"/>
      <c r="IT11" s="19"/>
      <c r="IU11" s="45"/>
      <c r="IV11" s="45">
        <v>59842219</v>
      </c>
      <c r="IW11" s="45"/>
      <c r="IX11" s="45"/>
      <c r="IY11" s="45"/>
      <c r="IZ11" s="45"/>
      <c r="JA11" s="45"/>
      <c r="JB11" s="45"/>
      <c r="JC11" s="45"/>
      <c r="JD11" s="45"/>
      <c r="JE11" s="45"/>
      <c r="JF11" s="45"/>
      <c r="JG11" s="45"/>
      <c r="JH11" s="45">
        <v>20000000</v>
      </c>
      <c r="JI11" s="45"/>
      <c r="JJ11" s="45"/>
      <c r="JK11" s="45"/>
      <c r="JL11" s="45">
        <v>6200000</v>
      </c>
      <c r="JM11" s="45"/>
      <c r="JN11" s="45"/>
      <c r="JO11" s="46"/>
      <c r="JP11" s="46"/>
      <c r="JQ11" s="63" t="s">
        <v>175</v>
      </c>
      <c r="JR11" s="46"/>
      <c r="JS11" s="46"/>
      <c r="JT11" s="46"/>
      <c r="JU11" s="46"/>
      <c r="JV11" s="46"/>
      <c r="JW11" s="46"/>
      <c r="JX11" s="46"/>
      <c r="JY11" s="46"/>
      <c r="JZ11" s="46"/>
      <c r="KA11" s="46"/>
      <c r="KB11" s="46">
        <v>122731</v>
      </c>
      <c r="KC11" s="46">
        <v>620829</v>
      </c>
      <c r="KD11" s="46"/>
      <c r="KE11" s="46"/>
      <c r="KF11" s="46"/>
      <c r="KG11" s="46"/>
      <c r="KH11" s="46">
        <v>6972096</v>
      </c>
    </row>
    <row r="12" spans="1:294">
      <c r="A12" s="7" t="s">
        <v>182</v>
      </c>
      <c r="B12" s="14" t="s">
        <v>30</v>
      </c>
      <c r="C12" s="19"/>
      <c r="D12" s="19">
        <v>75936900</v>
      </c>
      <c r="E12" s="19">
        <v>45277983</v>
      </c>
      <c r="F12" s="19">
        <v>0</v>
      </c>
      <c r="G12" s="47" t="s">
        <v>130</v>
      </c>
      <c r="H12" s="19">
        <v>0</v>
      </c>
      <c r="I12" s="19"/>
      <c r="J12" s="47" t="s">
        <v>4</v>
      </c>
      <c r="K12" s="19">
        <v>185402245</v>
      </c>
      <c r="L12" s="47" t="s">
        <v>96</v>
      </c>
      <c r="M12" s="47" t="s">
        <v>96</v>
      </c>
      <c r="N12" s="19">
        <v>5534364</v>
      </c>
      <c r="O12" s="19">
        <v>106503357</v>
      </c>
      <c r="P12" s="19">
        <v>99723543</v>
      </c>
      <c r="Q12" s="19">
        <v>74660000</v>
      </c>
      <c r="R12" s="19">
        <v>0</v>
      </c>
      <c r="S12" s="19">
        <v>689966122</v>
      </c>
      <c r="T12" s="47" t="s">
        <v>96</v>
      </c>
      <c r="U12" s="47" t="s">
        <v>172</v>
      </c>
      <c r="V12" s="47" t="s">
        <v>172</v>
      </c>
      <c r="W12" s="19">
        <v>32492445</v>
      </c>
      <c r="X12" s="19"/>
      <c r="Y12" s="19"/>
      <c r="Z12" s="19">
        <v>122515000</v>
      </c>
      <c r="AA12" s="19">
        <v>521761030</v>
      </c>
      <c r="AB12" s="19"/>
      <c r="AC12" s="19">
        <v>32642100</v>
      </c>
      <c r="AD12" s="19">
        <v>255189490</v>
      </c>
      <c r="AE12" s="19">
        <v>324197808</v>
      </c>
      <c r="AF12" s="47" t="s">
        <v>172</v>
      </c>
      <c r="AG12" s="19"/>
      <c r="AH12" s="19">
        <v>241669226</v>
      </c>
      <c r="AI12" s="19">
        <v>12253000</v>
      </c>
      <c r="AJ12" s="19">
        <v>610423902</v>
      </c>
      <c r="AK12" s="19">
        <v>55000000</v>
      </c>
      <c r="AL12" s="19">
        <v>0</v>
      </c>
      <c r="AM12" s="47" t="s">
        <v>4</v>
      </c>
      <c r="AN12" s="19">
        <v>21968000</v>
      </c>
      <c r="AO12" s="19">
        <v>25415659</v>
      </c>
      <c r="AP12" s="19"/>
      <c r="AQ12" s="47" t="s">
        <v>96</v>
      </c>
      <c r="AR12" s="19">
        <v>409167550</v>
      </c>
      <c r="AS12" s="19"/>
      <c r="AT12" s="47" t="s">
        <v>172</v>
      </c>
      <c r="AU12" s="19"/>
      <c r="AV12" s="19"/>
      <c r="AW12" s="19"/>
      <c r="AX12" s="47" t="s">
        <v>4</v>
      </c>
      <c r="AY12" s="19">
        <v>6144000</v>
      </c>
      <c r="AZ12" s="19"/>
      <c r="BA12" s="19">
        <v>736402061</v>
      </c>
      <c r="BB12" s="19"/>
      <c r="BC12" s="47" t="s">
        <v>4</v>
      </c>
      <c r="BD12" s="47" t="s">
        <v>130</v>
      </c>
      <c r="BE12" s="19">
        <v>123276750</v>
      </c>
      <c r="BF12" s="47" t="s">
        <v>96</v>
      </c>
      <c r="BG12" s="19">
        <v>313978604</v>
      </c>
      <c r="BH12" s="19">
        <v>120226286</v>
      </c>
      <c r="BI12" s="19">
        <v>97456218</v>
      </c>
      <c r="BJ12" s="19">
        <v>274067320</v>
      </c>
      <c r="BK12" s="19">
        <v>326404617</v>
      </c>
      <c r="BL12" s="19"/>
      <c r="BM12" s="19">
        <v>187358785</v>
      </c>
      <c r="BN12" s="19"/>
      <c r="BO12" s="19">
        <v>248818482</v>
      </c>
      <c r="BP12" s="47" t="s">
        <v>96</v>
      </c>
      <c r="BQ12" s="47" t="s">
        <v>4</v>
      </c>
      <c r="BR12" s="19">
        <v>648819610</v>
      </c>
      <c r="BS12" s="19"/>
      <c r="BT12" s="47" t="s">
        <v>130</v>
      </c>
      <c r="BU12" s="19">
        <v>589673242</v>
      </c>
      <c r="BV12" s="19"/>
      <c r="BW12" s="19"/>
      <c r="BX12" s="19"/>
      <c r="BY12" s="19">
        <v>107149276</v>
      </c>
      <c r="BZ12" s="19">
        <v>230077932</v>
      </c>
      <c r="CA12" s="19"/>
      <c r="CB12" s="19">
        <v>150811470</v>
      </c>
      <c r="CC12" s="19">
        <v>46794240</v>
      </c>
      <c r="CD12" s="19">
        <v>26770118</v>
      </c>
      <c r="CE12" s="19">
        <v>67680481</v>
      </c>
      <c r="CF12" s="19">
        <v>78137696</v>
      </c>
      <c r="CG12" s="19"/>
      <c r="CH12" s="19">
        <v>64231390</v>
      </c>
      <c r="CI12" s="47" t="s">
        <v>130</v>
      </c>
      <c r="CJ12" s="19">
        <v>458651100</v>
      </c>
      <c r="CK12" s="19">
        <v>253267135</v>
      </c>
      <c r="CL12" s="19">
        <v>40774840</v>
      </c>
      <c r="CM12" s="19"/>
      <c r="CN12" s="19"/>
      <c r="CO12" s="19"/>
      <c r="CP12" s="19">
        <v>1401804900</v>
      </c>
      <c r="CQ12" s="47" t="s">
        <v>96</v>
      </c>
      <c r="CR12" s="19">
        <v>11076040</v>
      </c>
      <c r="CS12" s="47" t="s">
        <v>172</v>
      </c>
      <c r="CT12" s="19"/>
      <c r="CU12" s="19"/>
      <c r="CV12" s="19"/>
      <c r="CW12" s="19">
        <v>43632616</v>
      </c>
      <c r="CX12" s="19"/>
      <c r="CY12" s="47" t="s">
        <v>96</v>
      </c>
      <c r="CZ12" s="19"/>
      <c r="DA12" s="47" t="s">
        <v>89</v>
      </c>
      <c r="DB12" s="19"/>
      <c r="DC12" s="19"/>
      <c r="DD12" s="19">
        <v>852180</v>
      </c>
      <c r="DE12" s="19"/>
      <c r="DF12" s="19">
        <v>5824362</v>
      </c>
      <c r="DG12" s="19"/>
      <c r="DH12" s="19">
        <v>2547967</v>
      </c>
      <c r="DI12" s="19">
        <v>256495000</v>
      </c>
      <c r="DJ12" s="19"/>
      <c r="DK12" s="19">
        <v>2339891969</v>
      </c>
      <c r="DL12" s="19">
        <v>18682500</v>
      </c>
      <c r="DM12" s="19">
        <v>498330500</v>
      </c>
      <c r="DN12" s="19">
        <v>193146577</v>
      </c>
      <c r="DO12" s="19"/>
      <c r="DP12" s="19">
        <v>39359850</v>
      </c>
      <c r="DQ12" s="19">
        <v>120183040</v>
      </c>
      <c r="DR12" s="19">
        <v>268140628</v>
      </c>
      <c r="DS12" s="19"/>
      <c r="DT12" s="19"/>
      <c r="DU12" s="19"/>
      <c r="DV12" s="19">
        <v>1917000</v>
      </c>
      <c r="DW12" s="19"/>
      <c r="DX12" s="19"/>
      <c r="DY12" s="19">
        <v>484601262</v>
      </c>
      <c r="DZ12" s="19">
        <v>104154840</v>
      </c>
      <c r="EA12" s="19"/>
      <c r="EB12" s="19">
        <v>109747500</v>
      </c>
      <c r="EC12" s="19">
        <v>243108568</v>
      </c>
      <c r="ED12" s="19"/>
      <c r="EE12" s="19"/>
      <c r="EF12" s="19">
        <v>46146504</v>
      </c>
      <c r="EG12" s="19">
        <v>1282030063</v>
      </c>
      <c r="EH12" s="19"/>
      <c r="EI12" s="19"/>
      <c r="EJ12" s="19"/>
      <c r="EK12" s="19"/>
      <c r="EL12" s="19">
        <v>216733408</v>
      </c>
      <c r="EM12" s="19">
        <v>58204200</v>
      </c>
      <c r="EN12" s="19"/>
      <c r="EO12" s="19">
        <v>26809221</v>
      </c>
      <c r="EP12" s="19">
        <v>113929771</v>
      </c>
      <c r="EQ12" s="19"/>
      <c r="ER12" s="19">
        <v>41926166</v>
      </c>
      <c r="ES12" s="19">
        <v>330965501</v>
      </c>
      <c r="ET12" s="19"/>
      <c r="EU12" s="19"/>
      <c r="EV12" s="19">
        <v>93487310</v>
      </c>
      <c r="EW12" s="19">
        <v>309648083</v>
      </c>
      <c r="EX12" s="19">
        <v>44684408</v>
      </c>
      <c r="EY12" s="19"/>
      <c r="EZ12" s="19">
        <v>14791799</v>
      </c>
      <c r="FA12" s="47" t="s">
        <v>130</v>
      </c>
      <c r="FB12" s="19">
        <v>3049390</v>
      </c>
      <c r="FC12" s="19">
        <v>61241000</v>
      </c>
      <c r="FD12" s="19">
        <v>22950000</v>
      </c>
      <c r="FE12" s="19">
        <v>143966122</v>
      </c>
      <c r="FF12" s="19"/>
      <c r="FG12" s="19">
        <v>1360630426</v>
      </c>
      <c r="FH12" s="19">
        <v>96548000</v>
      </c>
      <c r="FI12" s="47" t="s">
        <v>96</v>
      </c>
      <c r="FJ12" s="19"/>
      <c r="FK12" s="19">
        <v>32878640</v>
      </c>
      <c r="FL12" s="47" t="s">
        <v>130</v>
      </c>
      <c r="FM12" s="19">
        <v>50354589</v>
      </c>
      <c r="FN12" s="19">
        <v>233551209</v>
      </c>
      <c r="FO12" s="47" t="s">
        <v>172</v>
      </c>
      <c r="FP12" s="19"/>
      <c r="FQ12" s="19">
        <v>95340000</v>
      </c>
      <c r="FR12" s="19">
        <v>51882100</v>
      </c>
      <c r="FS12" s="47" t="s">
        <v>130</v>
      </c>
      <c r="FT12" s="19">
        <v>2934615731</v>
      </c>
      <c r="FU12" s="19"/>
      <c r="FV12" s="19"/>
      <c r="FW12" s="19">
        <v>165846351</v>
      </c>
      <c r="FX12" s="19"/>
      <c r="FY12" s="19"/>
      <c r="FZ12" s="47" t="s">
        <v>175</v>
      </c>
      <c r="GA12" s="19">
        <v>28900244</v>
      </c>
      <c r="GB12" s="19"/>
      <c r="GC12" s="19"/>
      <c r="GD12" s="48" t="s">
        <v>96</v>
      </c>
      <c r="GE12" s="48" t="s">
        <v>96</v>
      </c>
      <c r="GF12" s="19">
        <v>93700375</v>
      </c>
      <c r="GG12" s="19">
        <v>906582027</v>
      </c>
      <c r="GH12" s="47" t="s">
        <v>172</v>
      </c>
      <c r="GI12" s="19">
        <v>114430404</v>
      </c>
      <c r="GJ12" s="47" t="s">
        <v>96</v>
      </c>
      <c r="GK12" s="19">
        <v>57135600</v>
      </c>
      <c r="GL12" s="47" t="s">
        <v>96</v>
      </c>
      <c r="GM12" s="19"/>
      <c r="GN12" s="19"/>
      <c r="GO12" s="47" t="s">
        <v>96</v>
      </c>
      <c r="GP12" s="19">
        <v>1115746014</v>
      </c>
      <c r="GQ12" s="19">
        <v>54506800</v>
      </c>
      <c r="GR12" s="19">
        <v>762234050</v>
      </c>
      <c r="GS12" s="19"/>
      <c r="GT12" s="19">
        <v>9577760</v>
      </c>
      <c r="GU12" s="19"/>
      <c r="GV12" s="19"/>
      <c r="GW12" s="19">
        <v>937161474</v>
      </c>
      <c r="GX12" s="19">
        <v>444777927</v>
      </c>
      <c r="GY12" s="19">
        <v>71499450</v>
      </c>
      <c r="GZ12" s="19">
        <v>152500000</v>
      </c>
      <c r="HA12" s="19"/>
      <c r="HB12" s="19"/>
      <c r="HC12" s="19">
        <v>55000950</v>
      </c>
      <c r="HD12" s="19">
        <v>35636385</v>
      </c>
      <c r="HE12" s="19">
        <v>108245000</v>
      </c>
      <c r="HF12" s="19"/>
      <c r="HG12" s="19">
        <v>38146438</v>
      </c>
      <c r="HH12" s="47" t="s">
        <v>130</v>
      </c>
      <c r="HI12" s="19"/>
      <c r="HJ12" s="19"/>
      <c r="HK12" s="19">
        <v>579098332</v>
      </c>
      <c r="HL12" s="19">
        <v>65224400</v>
      </c>
      <c r="HM12" s="19"/>
      <c r="HN12" s="19"/>
      <c r="HO12" s="19">
        <v>16582900</v>
      </c>
      <c r="HP12" s="19">
        <v>172840881</v>
      </c>
      <c r="HQ12" s="19"/>
      <c r="HR12" s="19"/>
      <c r="HS12" s="19">
        <v>61786600</v>
      </c>
      <c r="HT12" s="19">
        <v>75980000</v>
      </c>
      <c r="HU12" s="19">
        <v>1313300</v>
      </c>
      <c r="HV12" s="19">
        <v>22895980</v>
      </c>
      <c r="HW12" s="19" t="s">
        <v>96</v>
      </c>
      <c r="HX12" s="19">
        <v>459579128</v>
      </c>
      <c r="HY12" s="19" t="s">
        <v>172</v>
      </c>
      <c r="HZ12" s="19">
        <v>355138080</v>
      </c>
      <c r="IA12" s="19"/>
      <c r="IB12" s="19">
        <v>20540174</v>
      </c>
      <c r="IC12" s="19"/>
      <c r="ID12" s="19">
        <v>4273497</v>
      </c>
      <c r="IE12" s="47" t="s">
        <v>96</v>
      </c>
      <c r="IF12" s="19"/>
      <c r="IG12" s="19">
        <v>60311700</v>
      </c>
      <c r="IH12" s="19">
        <v>582913806</v>
      </c>
      <c r="II12" s="19">
        <v>74793354</v>
      </c>
      <c r="IJ12" s="19"/>
      <c r="IK12" s="19">
        <v>344909815</v>
      </c>
      <c r="IL12" s="19">
        <v>75684000</v>
      </c>
      <c r="IM12" s="19"/>
      <c r="IN12" s="19"/>
      <c r="IO12" s="19">
        <v>182369402</v>
      </c>
      <c r="IP12" s="19"/>
      <c r="IQ12" s="19"/>
      <c r="IR12" s="19">
        <v>194806120</v>
      </c>
      <c r="IS12" s="19"/>
      <c r="IT12" s="19">
        <v>7032770</v>
      </c>
      <c r="IU12" s="45"/>
      <c r="IV12" s="45"/>
      <c r="IW12" s="45"/>
      <c r="IX12" s="45">
        <v>57351507</v>
      </c>
      <c r="IY12" s="45"/>
      <c r="IZ12" s="45">
        <v>215351162</v>
      </c>
      <c r="JA12" s="45">
        <v>852322011</v>
      </c>
      <c r="JB12" s="45">
        <v>144127860</v>
      </c>
      <c r="JC12" s="45">
        <v>211215750</v>
      </c>
      <c r="JD12" s="45"/>
      <c r="JE12" s="45"/>
      <c r="JF12" s="45">
        <v>102000000</v>
      </c>
      <c r="JG12" s="45"/>
      <c r="JH12" s="45"/>
      <c r="JI12" s="45">
        <v>25216585</v>
      </c>
      <c r="JJ12" s="45"/>
      <c r="JK12" s="45">
        <v>53300000</v>
      </c>
      <c r="JL12" s="45"/>
      <c r="JM12" s="45"/>
      <c r="JN12" s="45">
        <v>699872901</v>
      </c>
      <c r="JO12" s="46"/>
      <c r="JP12" s="46">
        <v>16822487</v>
      </c>
      <c r="JQ12" s="63" t="s">
        <v>175</v>
      </c>
      <c r="JR12" s="46">
        <v>21835627</v>
      </c>
      <c r="JS12" s="46"/>
      <c r="JT12" s="46">
        <v>12475500</v>
      </c>
      <c r="JU12" s="46">
        <v>33199120</v>
      </c>
      <c r="JV12" s="46">
        <v>9418674</v>
      </c>
      <c r="JW12" s="46"/>
      <c r="JX12" s="46"/>
      <c r="JY12" s="46"/>
      <c r="JZ12" s="46">
        <v>3187950</v>
      </c>
      <c r="KA12" s="46">
        <v>1458000</v>
      </c>
      <c r="KB12" s="46">
        <v>1845549162</v>
      </c>
      <c r="KC12" s="46">
        <v>128500000</v>
      </c>
      <c r="KD12" s="46"/>
      <c r="KE12" s="46">
        <v>21956000</v>
      </c>
      <c r="KF12" s="46">
        <v>153320000</v>
      </c>
      <c r="KG12" s="46">
        <v>51786557</v>
      </c>
      <c r="KH12" s="46"/>
    </row>
    <row r="13" spans="1:294">
      <c r="A13" s="7" t="s">
        <v>182</v>
      </c>
      <c r="B13" s="14" t="s">
        <v>66</v>
      </c>
      <c r="C13" s="19"/>
      <c r="D13" s="19"/>
      <c r="E13" s="19"/>
      <c r="F13" s="19">
        <v>0</v>
      </c>
      <c r="G13" s="47" t="s">
        <v>130</v>
      </c>
      <c r="H13" s="19">
        <v>0</v>
      </c>
      <c r="I13" s="19"/>
      <c r="J13" s="47" t="s">
        <v>4</v>
      </c>
      <c r="K13" s="19"/>
      <c r="L13" s="47" t="s">
        <v>96</v>
      </c>
      <c r="M13" s="47" t="s">
        <v>96</v>
      </c>
      <c r="N13" s="19"/>
      <c r="O13" s="19"/>
      <c r="P13" s="19"/>
      <c r="Q13" s="19"/>
      <c r="R13" s="19">
        <v>0</v>
      </c>
      <c r="S13" s="19"/>
      <c r="T13" s="47" t="s">
        <v>96</v>
      </c>
      <c r="U13" s="47" t="s">
        <v>172</v>
      </c>
      <c r="V13" s="47" t="s">
        <v>172</v>
      </c>
      <c r="W13" s="19"/>
      <c r="X13" s="19"/>
      <c r="Y13" s="19"/>
      <c r="Z13" s="19">
        <v>0</v>
      </c>
      <c r="AA13" s="19">
        <v>0</v>
      </c>
      <c r="AB13" s="19"/>
      <c r="AC13" s="19"/>
      <c r="AD13" s="19"/>
      <c r="AE13" s="19"/>
      <c r="AF13" s="47" t="s">
        <v>172</v>
      </c>
      <c r="AG13" s="19"/>
      <c r="AH13" s="19"/>
      <c r="AI13" s="19"/>
      <c r="AJ13" s="19"/>
      <c r="AK13" s="19"/>
      <c r="AL13" s="19"/>
      <c r="AM13" s="47" t="s">
        <v>4</v>
      </c>
      <c r="AN13" s="19"/>
      <c r="AO13" s="19"/>
      <c r="AP13" s="19"/>
      <c r="AQ13" s="47" t="s">
        <v>96</v>
      </c>
      <c r="AR13" s="19"/>
      <c r="AS13" s="19"/>
      <c r="AT13" s="47" t="s">
        <v>172</v>
      </c>
      <c r="AU13" s="19"/>
      <c r="AV13" s="19"/>
      <c r="AW13" s="19"/>
      <c r="AX13" s="47" t="s">
        <v>4</v>
      </c>
      <c r="AY13" s="19"/>
      <c r="AZ13" s="19"/>
      <c r="BA13" s="19"/>
      <c r="BB13" s="19"/>
      <c r="BC13" s="47" t="s">
        <v>4</v>
      </c>
      <c r="BD13" s="47" t="s">
        <v>130</v>
      </c>
      <c r="BE13" s="19"/>
      <c r="BF13" s="47" t="s">
        <v>96</v>
      </c>
      <c r="BG13" s="19"/>
      <c r="BH13" s="19"/>
      <c r="BI13" s="19"/>
      <c r="BJ13" s="19"/>
      <c r="BK13" s="19"/>
      <c r="BL13" s="19"/>
      <c r="BM13" s="19"/>
      <c r="BN13" s="19"/>
      <c r="BO13" s="19"/>
      <c r="BP13" s="47" t="s">
        <v>96</v>
      </c>
      <c r="BQ13" s="47" t="s">
        <v>4</v>
      </c>
      <c r="BR13" s="19"/>
      <c r="BS13" s="19"/>
      <c r="BT13" s="47" t="s">
        <v>130</v>
      </c>
      <c r="BU13" s="19"/>
      <c r="BV13" s="19"/>
      <c r="BW13" s="19"/>
      <c r="BX13" s="19"/>
      <c r="BY13" s="19"/>
      <c r="BZ13" s="19"/>
      <c r="CA13" s="19"/>
      <c r="CB13" s="19"/>
      <c r="CC13" s="19"/>
      <c r="CD13" s="19"/>
      <c r="CE13" s="19"/>
      <c r="CF13" s="19"/>
      <c r="CG13" s="19"/>
      <c r="CH13" s="19"/>
      <c r="CI13" s="47" t="s">
        <v>130</v>
      </c>
      <c r="CJ13" s="19"/>
      <c r="CK13" s="19"/>
      <c r="CL13" s="19"/>
      <c r="CM13" s="19"/>
      <c r="CN13" s="19"/>
      <c r="CO13" s="19"/>
      <c r="CP13" s="19"/>
      <c r="CQ13" s="47" t="s">
        <v>96</v>
      </c>
      <c r="CR13" s="19"/>
      <c r="CS13" s="47" t="s">
        <v>172</v>
      </c>
      <c r="CT13" s="19"/>
      <c r="CU13" s="19"/>
      <c r="CV13" s="19"/>
      <c r="CW13" s="19"/>
      <c r="CX13" s="19"/>
      <c r="CY13" s="47" t="s">
        <v>96</v>
      </c>
      <c r="CZ13" s="19"/>
      <c r="DA13" s="47" t="s">
        <v>89</v>
      </c>
      <c r="DB13" s="19"/>
      <c r="DC13" s="19"/>
      <c r="DD13" s="19"/>
      <c r="DE13" s="19"/>
      <c r="DF13" s="19"/>
      <c r="DG13" s="19"/>
      <c r="DH13" s="19"/>
      <c r="DI13" s="19"/>
      <c r="DJ13" s="19"/>
      <c r="DK13" s="19"/>
      <c r="DL13" s="19"/>
      <c r="DM13" s="19"/>
      <c r="DN13" s="19"/>
      <c r="DO13" s="19"/>
      <c r="DP13" s="19"/>
      <c r="DQ13" s="19"/>
      <c r="DR13" s="19"/>
      <c r="DS13" s="19"/>
      <c r="DT13" s="19"/>
      <c r="DU13" s="19"/>
      <c r="DV13" s="19"/>
      <c r="DW13" s="19"/>
      <c r="DX13" s="19"/>
      <c r="DY13" s="19"/>
      <c r="DZ13" s="19"/>
      <c r="EA13" s="19"/>
      <c r="EB13" s="19"/>
      <c r="EC13" s="19"/>
      <c r="ED13" s="19"/>
      <c r="EE13" s="19"/>
      <c r="EF13" s="19"/>
      <c r="EG13" s="19">
        <v>111900497</v>
      </c>
      <c r="EH13" s="19"/>
      <c r="EI13" s="19"/>
      <c r="EJ13" s="19"/>
      <c r="EK13" s="19"/>
      <c r="EL13" s="19"/>
      <c r="EM13" s="19"/>
      <c r="EN13" s="19"/>
      <c r="EO13" s="19"/>
      <c r="EP13" s="19"/>
      <c r="EQ13" s="19"/>
      <c r="ER13" s="19"/>
      <c r="ES13" s="19"/>
      <c r="ET13" s="19"/>
      <c r="EU13" s="19"/>
      <c r="EV13" s="19"/>
      <c r="EW13" s="19"/>
      <c r="EX13" s="19"/>
      <c r="EY13" s="19"/>
      <c r="EZ13" s="19"/>
      <c r="FA13" s="47" t="s">
        <v>130</v>
      </c>
      <c r="FB13" s="19"/>
      <c r="FC13" s="19"/>
      <c r="FD13" s="19"/>
      <c r="FE13" s="19"/>
      <c r="FF13" s="19"/>
      <c r="FG13" s="19"/>
      <c r="FH13" s="19"/>
      <c r="FI13" s="47" t="s">
        <v>96</v>
      </c>
      <c r="FJ13" s="19"/>
      <c r="FK13" s="19"/>
      <c r="FL13" s="47" t="s">
        <v>130</v>
      </c>
      <c r="FM13" s="19"/>
      <c r="FN13" s="19"/>
      <c r="FO13" s="47" t="s">
        <v>172</v>
      </c>
      <c r="FP13" s="19"/>
      <c r="FQ13" s="19"/>
      <c r="FR13" s="19"/>
      <c r="FS13" s="47" t="s">
        <v>130</v>
      </c>
      <c r="FT13" s="19"/>
      <c r="FU13" s="19"/>
      <c r="FV13" s="19"/>
      <c r="FW13" s="19"/>
      <c r="FX13" s="19"/>
      <c r="FY13" s="19"/>
      <c r="FZ13" s="47" t="s">
        <v>175</v>
      </c>
      <c r="GA13" s="19"/>
      <c r="GB13" s="19"/>
      <c r="GC13" s="19"/>
      <c r="GD13" s="48" t="s">
        <v>96</v>
      </c>
      <c r="GE13" s="48" t="s">
        <v>96</v>
      </c>
      <c r="GF13" s="19"/>
      <c r="GG13" s="19"/>
      <c r="GH13" s="47" t="s">
        <v>172</v>
      </c>
      <c r="GI13" s="19"/>
      <c r="GJ13" s="47" t="s">
        <v>96</v>
      </c>
      <c r="GK13" s="19"/>
      <c r="GL13" s="47" t="s">
        <v>96</v>
      </c>
      <c r="GM13" s="19"/>
      <c r="GN13" s="19"/>
      <c r="GO13" s="47" t="s">
        <v>96</v>
      </c>
      <c r="GP13" s="19"/>
      <c r="GQ13" s="19"/>
      <c r="GR13" s="19"/>
      <c r="GS13" s="19"/>
      <c r="GT13" s="19"/>
      <c r="GU13" s="19"/>
      <c r="GV13" s="19"/>
      <c r="GW13" s="19"/>
      <c r="GX13" s="19"/>
      <c r="GY13" s="19"/>
      <c r="GZ13" s="19"/>
      <c r="HA13" s="19"/>
      <c r="HB13" s="19"/>
      <c r="HC13" s="19"/>
      <c r="HD13" s="19"/>
      <c r="HE13" s="19"/>
      <c r="HF13" s="19"/>
      <c r="HG13" s="19"/>
      <c r="HH13" s="47" t="s">
        <v>130</v>
      </c>
      <c r="HI13" s="19"/>
      <c r="HJ13" s="19"/>
      <c r="HK13" s="19"/>
      <c r="HL13" s="19"/>
      <c r="HM13" s="19"/>
      <c r="HN13" s="19"/>
      <c r="HO13" s="19"/>
      <c r="HP13" s="19"/>
      <c r="HQ13" s="19"/>
      <c r="HR13" s="19"/>
      <c r="HS13" s="19"/>
      <c r="HT13" s="19"/>
      <c r="HU13" s="19"/>
      <c r="HV13" s="19"/>
      <c r="HW13" s="19" t="s">
        <v>96</v>
      </c>
      <c r="HX13" s="19"/>
      <c r="HY13" s="19" t="s">
        <v>172</v>
      </c>
      <c r="HZ13" s="19"/>
      <c r="IA13" s="19"/>
      <c r="IB13" s="19"/>
      <c r="IC13" s="19"/>
      <c r="ID13" s="19"/>
      <c r="IE13" s="47" t="s">
        <v>96</v>
      </c>
      <c r="IF13" s="19"/>
      <c r="IG13" s="19"/>
      <c r="IH13" s="19"/>
      <c r="II13" s="19"/>
      <c r="IJ13" s="19"/>
      <c r="IK13" s="19"/>
      <c r="IL13" s="19"/>
      <c r="IM13" s="19"/>
      <c r="IN13" s="19"/>
      <c r="IO13" s="19"/>
      <c r="IP13" s="19"/>
      <c r="IQ13" s="19"/>
      <c r="IR13" s="19"/>
      <c r="IS13" s="19"/>
      <c r="IT13" s="19"/>
      <c r="IU13" s="45"/>
      <c r="IV13" s="45"/>
      <c r="IW13" s="45"/>
      <c r="IX13" s="45"/>
      <c r="IY13" s="45"/>
      <c r="IZ13" s="45"/>
      <c r="JA13" s="45"/>
      <c r="JB13" s="45"/>
      <c r="JC13" s="45"/>
      <c r="JD13" s="45"/>
      <c r="JE13" s="45"/>
      <c r="JF13" s="45"/>
      <c r="JG13" s="45"/>
      <c r="JH13" s="45"/>
      <c r="JI13" s="45"/>
      <c r="JJ13" s="45"/>
      <c r="JK13" s="45"/>
      <c r="JL13" s="45"/>
      <c r="JM13" s="45"/>
      <c r="JN13" s="45"/>
      <c r="JO13" s="46"/>
      <c r="JP13" s="46"/>
      <c r="JQ13" s="63" t="s">
        <v>175</v>
      </c>
      <c r="JR13" s="46"/>
      <c r="JS13" s="46"/>
      <c r="JT13" s="46"/>
      <c r="JU13" s="46"/>
      <c r="JV13" s="46"/>
      <c r="JW13" s="46"/>
      <c r="JX13" s="46"/>
      <c r="JY13" s="46"/>
      <c r="JZ13" s="46"/>
      <c r="KA13" s="46"/>
      <c r="KB13" s="46"/>
      <c r="KC13" s="46"/>
      <c r="KD13" s="46"/>
      <c r="KE13" s="46"/>
      <c r="KF13" s="46"/>
      <c r="KG13" s="46"/>
      <c r="KH13" s="46"/>
    </row>
    <row r="14" spans="1:294">
      <c r="A14" s="7" t="s">
        <v>182</v>
      </c>
      <c r="B14" s="8" t="s">
        <v>19</v>
      </c>
      <c r="C14" s="19">
        <v>130803092</v>
      </c>
      <c r="D14" s="19">
        <v>920751241</v>
      </c>
      <c r="E14" s="19">
        <v>456513407</v>
      </c>
      <c r="F14" s="19">
        <v>1233619076</v>
      </c>
      <c r="G14" s="47" t="s">
        <v>130</v>
      </c>
      <c r="H14" s="19">
        <v>3104674735</v>
      </c>
      <c r="I14" s="19">
        <v>3643592334</v>
      </c>
      <c r="J14" s="47" t="s">
        <v>4</v>
      </c>
      <c r="K14" s="19">
        <v>247583898</v>
      </c>
      <c r="L14" s="47" t="s">
        <v>96</v>
      </c>
      <c r="M14" s="47" t="s">
        <v>96</v>
      </c>
      <c r="N14" s="19">
        <v>107362798</v>
      </c>
      <c r="O14" s="19">
        <v>5423559910</v>
      </c>
      <c r="P14" s="19">
        <v>5778627671</v>
      </c>
      <c r="Q14" s="19">
        <v>22900910</v>
      </c>
      <c r="R14" s="19">
        <v>169882750</v>
      </c>
      <c r="S14" s="19">
        <v>11149808116</v>
      </c>
      <c r="T14" s="47" t="s">
        <v>96</v>
      </c>
      <c r="U14" s="47" t="s">
        <v>172</v>
      </c>
      <c r="V14" s="47" t="s">
        <v>172</v>
      </c>
      <c r="W14" s="19">
        <v>802677442</v>
      </c>
      <c r="X14" s="19">
        <v>4831207660</v>
      </c>
      <c r="Y14" s="19">
        <v>255219717</v>
      </c>
      <c r="Z14" s="19">
        <v>6537777002</v>
      </c>
      <c r="AA14" s="19">
        <v>2478124560</v>
      </c>
      <c r="AB14" s="19">
        <v>59455604</v>
      </c>
      <c r="AC14" s="19">
        <v>1244896443</v>
      </c>
      <c r="AD14" s="19">
        <v>3378758553</v>
      </c>
      <c r="AE14" s="19">
        <v>4982061313</v>
      </c>
      <c r="AF14" s="47" t="s">
        <v>172</v>
      </c>
      <c r="AG14" s="19">
        <v>501424639</v>
      </c>
      <c r="AH14" s="19">
        <v>583937927</v>
      </c>
      <c r="AI14" s="19">
        <v>433359339</v>
      </c>
      <c r="AJ14" s="19">
        <v>192680758</v>
      </c>
      <c r="AK14" s="19">
        <v>332971246</v>
      </c>
      <c r="AL14" s="19">
        <v>247425848</v>
      </c>
      <c r="AM14" s="47" t="s">
        <v>4</v>
      </c>
      <c r="AN14" s="19">
        <v>1868736547</v>
      </c>
      <c r="AO14" s="19">
        <v>119695022</v>
      </c>
      <c r="AP14" s="19">
        <v>3276929</v>
      </c>
      <c r="AQ14" s="47" t="s">
        <v>96</v>
      </c>
      <c r="AR14" s="19">
        <v>765081575</v>
      </c>
      <c r="AS14" s="19">
        <v>108295733</v>
      </c>
      <c r="AT14" s="47" t="s">
        <v>172</v>
      </c>
      <c r="AU14" s="19">
        <v>7694089485</v>
      </c>
      <c r="AV14" s="19">
        <v>87257660</v>
      </c>
      <c r="AW14" s="19">
        <v>564528813</v>
      </c>
      <c r="AX14" s="47" t="s">
        <v>4</v>
      </c>
      <c r="AY14" s="19">
        <v>245718457</v>
      </c>
      <c r="AZ14" s="19">
        <v>314248742</v>
      </c>
      <c r="BA14" s="19">
        <v>1303321724</v>
      </c>
      <c r="BB14" s="19">
        <v>12975665</v>
      </c>
      <c r="BC14" s="47" t="s">
        <v>4</v>
      </c>
      <c r="BD14" s="47" t="s">
        <v>130</v>
      </c>
      <c r="BE14" s="19">
        <v>1171063102</v>
      </c>
      <c r="BF14" s="47" t="s">
        <v>96</v>
      </c>
      <c r="BG14" s="19">
        <v>80082152</v>
      </c>
      <c r="BH14" s="19">
        <v>718343087</v>
      </c>
      <c r="BI14" s="19">
        <v>60399517</v>
      </c>
      <c r="BJ14" s="19">
        <v>140248314</v>
      </c>
      <c r="BK14" s="19">
        <v>464785255</v>
      </c>
      <c r="BL14" s="19">
        <v>160544565</v>
      </c>
      <c r="BM14" s="19">
        <v>863469774</v>
      </c>
      <c r="BN14" s="19">
        <v>161880320</v>
      </c>
      <c r="BO14" s="19">
        <v>39848377</v>
      </c>
      <c r="BP14" s="47" t="s">
        <v>96</v>
      </c>
      <c r="BQ14" s="47" t="s">
        <v>4</v>
      </c>
      <c r="BR14" s="19">
        <v>4510514672</v>
      </c>
      <c r="BS14" s="19">
        <v>22567602</v>
      </c>
      <c r="BT14" s="47" t="s">
        <v>130</v>
      </c>
      <c r="BU14" s="19">
        <v>672175041</v>
      </c>
      <c r="BV14" s="19">
        <v>24616000</v>
      </c>
      <c r="BW14" s="19">
        <v>2845959</v>
      </c>
      <c r="BX14" s="19">
        <v>55038478</v>
      </c>
      <c r="BY14" s="19">
        <v>273729064</v>
      </c>
      <c r="BZ14" s="19">
        <v>1178005407</v>
      </c>
      <c r="CA14" s="19">
        <v>876340429</v>
      </c>
      <c r="CB14" s="19">
        <v>1496288300</v>
      </c>
      <c r="CC14" s="19">
        <v>3050000</v>
      </c>
      <c r="CD14" s="19">
        <v>4323848</v>
      </c>
      <c r="CE14" s="19">
        <v>90746000</v>
      </c>
      <c r="CF14" s="19">
        <v>254283862</v>
      </c>
      <c r="CG14" s="19">
        <v>98951309</v>
      </c>
      <c r="CH14" s="19">
        <v>67390398</v>
      </c>
      <c r="CI14" s="47" t="s">
        <v>130</v>
      </c>
      <c r="CJ14" s="19">
        <v>62146127</v>
      </c>
      <c r="CK14" s="19">
        <v>8170798297</v>
      </c>
      <c r="CL14" s="19">
        <v>663875731</v>
      </c>
      <c r="CM14" s="19">
        <v>1567122097</v>
      </c>
      <c r="CN14" s="19">
        <v>8309567</v>
      </c>
      <c r="CO14" s="19">
        <v>41753489</v>
      </c>
      <c r="CP14" s="19">
        <v>482519372</v>
      </c>
      <c r="CQ14" s="47" t="s">
        <v>96</v>
      </c>
      <c r="CR14" s="19">
        <v>141443722</v>
      </c>
      <c r="CS14" s="47" t="s">
        <v>172</v>
      </c>
      <c r="CT14" s="19">
        <v>3699716167</v>
      </c>
      <c r="CU14" s="19">
        <v>206679286</v>
      </c>
      <c r="CV14" s="19">
        <v>4750000</v>
      </c>
      <c r="CW14" s="19">
        <v>3979136724</v>
      </c>
      <c r="CX14" s="19">
        <v>796276371</v>
      </c>
      <c r="CY14" s="47" t="s">
        <v>96</v>
      </c>
      <c r="CZ14" s="19">
        <v>4788696507</v>
      </c>
      <c r="DA14" s="47" t="s">
        <v>89</v>
      </c>
      <c r="DB14" s="19">
        <v>23195553</v>
      </c>
      <c r="DC14" s="19">
        <v>5748783</v>
      </c>
      <c r="DD14" s="19">
        <v>63471351</v>
      </c>
      <c r="DE14" s="19">
        <v>851528787</v>
      </c>
      <c r="DF14" s="19">
        <v>21877291</v>
      </c>
      <c r="DG14" s="19">
        <v>814229886</v>
      </c>
      <c r="DH14" s="19">
        <v>42541824</v>
      </c>
      <c r="DI14" s="19">
        <v>5520311442</v>
      </c>
      <c r="DJ14" s="19">
        <v>34616000</v>
      </c>
      <c r="DK14" s="19">
        <v>5865913680</v>
      </c>
      <c r="DL14" s="19">
        <v>68000844</v>
      </c>
      <c r="DM14" s="19">
        <v>1268854870</v>
      </c>
      <c r="DN14" s="19">
        <v>514922242</v>
      </c>
      <c r="DO14" s="19">
        <v>78149589</v>
      </c>
      <c r="DP14" s="19">
        <v>2075528051</v>
      </c>
      <c r="DQ14" s="19">
        <v>20287098</v>
      </c>
      <c r="DR14" s="19">
        <v>5185161541</v>
      </c>
      <c r="DS14" s="19">
        <v>109323860</v>
      </c>
      <c r="DT14" s="19">
        <v>1000465947</v>
      </c>
      <c r="DU14" s="19">
        <v>41802379</v>
      </c>
      <c r="DV14" s="19">
        <v>1301396422</v>
      </c>
      <c r="DW14" s="19">
        <v>816404779</v>
      </c>
      <c r="DX14" s="19">
        <v>1566299963</v>
      </c>
      <c r="DY14" s="19">
        <v>626501623</v>
      </c>
      <c r="DZ14" s="19">
        <v>133079443</v>
      </c>
      <c r="EA14" s="19">
        <v>39163574</v>
      </c>
      <c r="EB14" s="19">
        <v>3964487425</v>
      </c>
      <c r="EC14" s="19">
        <v>6368644</v>
      </c>
      <c r="ED14" s="19">
        <v>45640030</v>
      </c>
      <c r="EE14" s="19">
        <v>151200578</v>
      </c>
      <c r="EF14" s="19">
        <v>2918134256</v>
      </c>
      <c r="EG14" s="19">
        <v>1762753374</v>
      </c>
      <c r="EH14" s="19">
        <v>5395339199</v>
      </c>
      <c r="EI14" s="19">
        <v>3248659859</v>
      </c>
      <c r="EJ14" s="19">
        <v>15945996</v>
      </c>
      <c r="EK14" s="19">
        <v>164019000</v>
      </c>
      <c r="EL14" s="19">
        <v>330748479</v>
      </c>
      <c r="EM14" s="19">
        <v>317520510</v>
      </c>
      <c r="EN14" s="19">
        <v>619910507</v>
      </c>
      <c r="EO14" s="19">
        <v>120783478</v>
      </c>
      <c r="EP14" s="19">
        <v>391558680</v>
      </c>
      <c r="EQ14" s="19">
        <v>18030000</v>
      </c>
      <c r="ER14" s="19">
        <v>1000425952</v>
      </c>
      <c r="ES14" s="19">
        <v>1088122687</v>
      </c>
      <c r="ET14" s="19">
        <v>2592136137</v>
      </c>
      <c r="EU14" s="19">
        <v>482006934</v>
      </c>
      <c r="EV14" s="19">
        <v>5496556</v>
      </c>
      <c r="EW14" s="19">
        <v>792100791</v>
      </c>
      <c r="EX14" s="19">
        <v>2649331761</v>
      </c>
      <c r="EY14" s="19">
        <v>3548101339</v>
      </c>
      <c r="EZ14" s="19">
        <v>348421546</v>
      </c>
      <c r="FA14" s="47" t="s">
        <v>130</v>
      </c>
      <c r="FB14" s="19">
        <v>149158395</v>
      </c>
      <c r="FC14" s="19">
        <v>792932375</v>
      </c>
      <c r="FD14" s="19">
        <v>1032587036</v>
      </c>
      <c r="FE14" s="19">
        <v>2182920994</v>
      </c>
      <c r="FF14" s="19">
        <v>3002636</v>
      </c>
      <c r="FG14" s="19">
        <v>261316116</v>
      </c>
      <c r="FH14" s="19">
        <v>381905282</v>
      </c>
      <c r="FI14" s="47" t="s">
        <v>96</v>
      </c>
      <c r="FJ14" s="19">
        <v>100354869</v>
      </c>
      <c r="FK14" s="19">
        <v>290837145</v>
      </c>
      <c r="FL14" s="47" t="s">
        <v>130</v>
      </c>
      <c r="FM14" s="19">
        <v>232095466</v>
      </c>
      <c r="FN14" s="19">
        <v>2770241935</v>
      </c>
      <c r="FO14" s="47" t="s">
        <v>172</v>
      </c>
      <c r="FP14" s="19">
        <v>385625609</v>
      </c>
      <c r="FQ14" s="19">
        <v>70549335</v>
      </c>
      <c r="FR14" s="19">
        <v>161297888</v>
      </c>
      <c r="FS14" s="47" t="s">
        <v>130</v>
      </c>
      <c r="FT14" s="19">
        <v>7391304268</v>
      </c>
      <c r="FU14" s="19">
        <v>0</v>
      </c>
      <c r="FV14" s="19">
        <v>2685712526</v>
      </c>
      <c r="FW14" s="19">
        <v>19838978</v>
      </c>
      <c r="FX14" s="19">
        <v>91712086</v>
      </c>
      <c r="FY14" s="19">
        <v>843984911</v>
      </c>
      <c r="FZ14" s="47" t="s">
        <v>175</v>
      </c>
      <c r="GA14" s="19">
        <v>136669251</v>
      </c>
      <c r="GB14" s="19">
        <v>228414182</v>
      </c>
      <c r="GC14" s="19">
        <v>62476439</v>
      </c>
      <c r="GD14" s="48" t="s">
        <v>96</v>
      </c>
      <c r="GE14" s="48" t="s">
        <v>96</v>
      </c>
      <c r="GF14" s="19">
        <v>542712122</v>
      </c>
      <c r="GG14" s="19">
        <v>2227895681</v>
      </c>
      <c r="GH14" s="47" t="s">
        <v>172</v>
      </c>
      <c r="GI14" s="19">
        <v>4905627</v>
      </c>
      <c r="GJ14" s="47" t="s">
        <v>96</v>
      </c>
      <c r="GK14" s="19">
        <v>131910361</v>
      </c>
      <c r="GL14" s="47" t="s">
        <v>96</v>
      </c>
      <c r="GM14" s="19">
        <v>71512827</v>
      </c>
      <c r="GN14" s="19">
        <v>555961341</v>
      </c>
      <c r="GO14" s="47" t="s">
        <v>96</v>
      </c>
      <c r="GP14" s="19">
        <v>5880565495</v>
      </c>
      <c r="GQ14" s="19">
        <v>26279860</v>
      </c>
      <c r="GR14" s="19">
        <v>1112614926</v>
      </c>
      <c r="GS14" s="19">
        <f>GS15+GS16+GS17+GS22</f>
        <v>323160381</v>
      </c>
      <c r="GT14" s="19">
        <v>265707444</v>
      </c>
      <c r="GU14" s="19">
        <v>30000000</v>
      </c>
      <c r="GV14" s="19">
        <v>3035532203</v>
      </c>
      <c r="GW14" s="19">
        <v>11198521976</v>
      </c>
      <c r="GX14" s="19">
        <v>1217943724</v>
      </c>
      <c r="GY14" s="19">
        <v>741713632</v>
      </c>
      <c r="GZ14" s="19">
        <v>4176003566</v>
      </c>
      <c r="HA14" s="19">
        <v>252737</v>
      </c>
      <c r="HB14" s="19">
        <v>15952857</v>
      </c>
      <c r="HC14" s="19">
        <v>530822511</v>
      </c>
      <c r="HD14" s="19">
        <v>92198321</v>
      </c>
      <c r="HE14" s="19">
        <v>40728741</v>
      </c>
      <c r="HF14" s="19">
        <v>954780975</v>
      </c>
      <c r="HG14" s="19">
        <v>13560159</v>
      </c>
      <c r="HH14" s="47" t="s">
        <v>130</v>
      </c>
      <c r="HI14" s="19">
        <v>1400248500</v>
      </c>
      <c r="HJ14" s="19">
        <v>349445915</v>
      </c>
      <c r="HK14" s="19">
        <v>553763219</v>
      </c>
      <c r="HL14" s="19">
        <v>191154240</v>
      </c>
      <c r="HM14" s="19">
        <v>682283778</v>
      </c>
      <c r="HN14" s="19">
        <v>331875458</v>
      </c>
      <c r="HO14" s="19">
        <v>809677338</v>
      </c>
      <c r="HP14" s="19">
        <v>374043500</v>
      </c>
      <c r="HQ14" s="19">
        <v>92656834</v>
      </c>
      <c r="HR14" s="19">
        <v>362463911</v>
      </c>
      <c r="HS14" s="19">
        <v>119932414</v>
      </c>
      <c r="HT14" s="19">
        <v>18165585</v>
      </c>
      <c r="HU14" s="19">
        <v>365638058</v>
      </c>
      <c r="HV14" s="19">
        <v>30072244</v>
      </c>
      <c r="HW14" s="19" t="s">
        <v>96</v>
      </c>
      <c r="HX14" s="19">
        <v>2991804132</v>
      </c>
      <c r="HY14" s="19" t="s">
        <v>172</v>
      </c>
      <c r="HZ14" s="19">
        <v>5984086334</v>
      </c>
      <c r="IA14" s="19">
        <v>494626655</v>
      </c>
      <c r="IB14" s="19">
        <v>5988865184</v>
      </c>
      <c r="IC14" s="19">
        <v>1121020812</v>
      </c>
      <c r="ID14" s="19">
        <v>2557798</v>
      </c>
      <c r="IE14" s="47" t="s">
        <v>96</v>
      </c>
      <c r="IF14" s="19">
        <v>39051346</v>
      </c>
      <c r="IG14" s="19">
        <v>5724131</v>
      </c>
      <c r="IH14" s="19">
        <v>302691795</v>
      </c>
      <c r="II14" s="19">
        <v>374405204</v>
      </c>
      <c r="IJ14" s="19">
        <v>298455709</v>
      </c>
      <c r="IK14" s="19">
        <v>124464002</v>
      </c>
      <c r="IL14" s="19">
        <v>1149000708</v>
      </c>
      <c r="IM14" s="19">
        <v>339062892</v>
      </c>
      <c r="IN14" s="19">
        <v>654441017</v>
      </c>
      <c r="IO14" s="19">
        <v>77405731</v>
      </c>
      <c r="IP14" s="19">
        <v>211995781</v>
      </c>
      <c r="IQ14" s="19">
        <v>123567912</v>
      </c>
      <c r="IR14" s="19">
        <v>133992417</v>
      </c>
      <c r="IS14" s="19">
        <v>5931169004</v>
      </c>
      <c r="IT14" s="19">
        <v>1025529692</v>
      </c>
      <c r="IU14" s="45">
        <v>209887071</v>
      </c>
      <c r="IV14" s="45">
        <v>301937838</v>
      </c>
      <c r="IW14" s="45">
        <v>118554895</v>
      </c>
      <c r="IX14" s="45">
        <v>1023854273</v>
      </c>
      <c r="IY14" s="45">
        <v>403617956</v>
      </c>
      <c r="IZ14" s="45">
        <v>150420111</v>
      </c>
      <c r="JA14" s="45">
        <v>99643216</v>
      </c>
      <c r="JB14" s="45">
        <v>65499584</v>
      </c>
      <c r="JC14" s="45">
        <v>1066352131</v>
      </c>
      <c r="JD14" s="45">
        <v>45025346</v>
      </c>
      <c r="JE14" s="45">
        <v>24855240</v>
      </c>
      <c r="JF14" s="45">
        <v>592867602</v>
      </c>
      <c r="JG14" s="45">
        <v>16582088</v>
      </c>
      <c r="JH14" s="45">
        <v>105047150</v>
      </c>
      <c r="JI14" s="45">
        <v>66981812</v>
      </c>
      <c r="JJ14" s="45">
        <v>236837630</v>
      </c>
      <c r="JK14" s="45">
        <v>112224385</v>
      </c>
      <c r="JL14" s="45">
        <v>2673221004</v>
      </c>
      <c r="JM14" s="45">
        <v>619344660</v>
      </c>
      <c r="JN14" s="45">
        <v>2219286795</v>
      </c>
      <c r="JO14" s="46">
        <v>103304643</v>
      </c>
      <c r="JP14" s="46">
        <v>35948634</v>
      </c>
      <c r="JQ14" s="63" t="s">
        <v>175</v>
      </c>
      <c r="JR14" s="46">
        <v>104904255</v>
      </c>
      <c r="JS14" s="46">
        <v>62121395</v>
      </c>
      <c r="JT14" s="46">
        <v>26139772</v>
      </c>
      <c r="JU14" s="46">
        <v>179603820</v>
      </c>
      <c r="JV14" s="46">
        <v>149885146</v>
      </c>
      <c r="JW14" s="46">
        <v>67000000</v>
      </c>
      <c r="JX14" s="46">
        <v>234483768</v>
      </c>
      <c r="JY14" s="46">
        <v>353183286</v>
      </c>
      <c r="JZ14" s="46">
        <v>34936172</v>
      </c>
      <c r="KA14" s="46">
        <v>10395000</v>
      </c>
      <c r="KB14" s="46">
        <v>4847178986</v>
      </c>
      <c r="KC14" s="46">
        <v>44007648</v>
      </c>
      <c r="KD14" s="46">
        <v>89177441</v>
      </c>
      <c r="KE14" s="46">
        <v>87163254</v>
      </c>
      <c r="KF14" s="46">
        <v>143993091</v>
      </c>
      <c r="KG14" s="46">
        <v>29309562</v>
      </c>
      <c r="KH14" s="46">
        <v>664390485</v>
      </c>
    </row>
    <row r="15" spans="1:294">
      <c r="A15" s="7" t="s">
        <v>182</v>
      </c>
      <c r="B15" s="11" t="s">
        <v>8</v>
      </c>
      <c r="C15" s="19"/>
      <c r="D15" s="19">
        <v>5000000</v>
      </c>
      <c r="E15" s="19">
        <v>38183386</v>
      </c>
      <c r="F15" s="19">
        <v>93135436</v>
      </c>
      <c r="G15" s="47" t="s">
        <v>130</v>
      </c>
      <c r="H15" s="19">
        <v>275000000</v>
      </c>
      <c r="I15" s="19">
        <v>131000000</v>
      </c>
      <c r="J15" s="47" t="s">
        <v>4</v>
      </c>
      <c r="K15" s="19"/>
      <c r="L15" s="47" t="s">
        <v>96</v>
      </c>
      <c r="M15" s="47" t="s">
        <v>96</v>
      </c>
      <c r="N15" s="19"/>
      <c r="O15" s="19">
        <v>151121060</v>
      </c>
      <c r="P15" s="19">
        <v>17660000</v>
      </c>
      <c r="Q15" s="19"/>
      <c r="R15" s="19">
        <v>29900000</v>
      </c>
      <c r="S15" s="19">
        <v>217160262</v>
      </c>
      <c r="T15" s="47" t="s">
        <v>96</v>
      </c>
      <c r="U15" s="47" t="s">
        <v>172</v>
      </c>
      <c r="V15" s="47" t="s">
        <v>172</v>
      </c>
      <c r="W15" s="19">
        <v>444062954</v>
      </c>
      <c r="X15" s="19">
        <v>256676663</v>
      </c>
      <c r="Y15" s="19">
        <v>20000000</v>
      </c>
      <c r="Z15" s="19">
        <v>452566255</v>
      </c>
      <c r="AA15" s="19">
        <v>345000480</v>
      </c>
      <c r="AB15" s="19">
        <v>0</v>
      </c>
      <c r="AC15" s="19">
        <v>18000000</v>
      </c>
      <c r="AD15" s="19">
        <v>398744006</v>
      </c>
      <c r="AE15" s="19"/>
      <c r="AF15" s="47" t="s">
        <v>172</v>
      </c>
      <c r="AG15" s="19">
        <v>71435791</v>
      </c>
      <c r="AH15" s="19">
        <v>5000000</v>
      </c>
      <c r="AI15" s="19">
        <v>20000000</v>
      </c>
      <c r="AJ15" s="19">
        <v>2700000</v>
      </c>
      <c r="AK15" s="19">
        <v>107292042</v>
      </c>
      <c r="AL15" s="19">
        <v>175722759</v>
      </c>
      <c r="AM15" s="47" t="s">
        <v>4</v>
      </c>
      <c r="AN15" s="19">
        <v>43122067</v>
      </c>
      <c r="AO15" s="19"/>
      <c r="AP15" s="19">
        <v>0</v>
      </c>
      <c r="AQ15" s="47" t="s">
        <v>96</v>
      </c>
      <c r="AR15" s="19"/>
      <c r="AS15" s="19"/>
      <c r="AT15" s="47" t="s">
        <v>172</v>
      </c>
      <c r="AU15" s="19">
        <v>114987000</v>
      </c>
      <c r="AV15" s="19">
        <v>200000</v>
      </c>
      <c r="AW15" s="19"/>
      <c r="AX15" s="47" t="s">
        <v>4</v>
      </c>
      <c r="AY15" s="19">
        <v>70000000</v>
      </c>
      <c r="AZ15" s="19">
        <v>29548477</v>
      </c>
      <c r="BA15" s="19">
        <v>117883630</v>
      </c>
      <c r="BB15" s="19"/>
      <c r="BC15" s="47" t="s">
        <v>4</v>
      </c>
      <c r="BD15" s="47" t="s">
        <v>130</v>
      </c>
      <c r="BE15" s="19"/>
      <c r="BF15" s="47" t="s">
        <v>96</v>
      </c>
      <c r="BG15" s="19"/>
      <c r="BH15" s="19">
        <v>5600000</v>
      </c>
      <c r="BI15" s="19"/>
      <c r="BJ15" s="19">
        <v>3972044</v>
      </c>
      <c r="BK15" s="19">
        <v>156252180</v>
      </c>
      <c r="BL15" s="19">
        <v>38970053</v>
      </c>
      <c r="BM15" s="19">
        <v>47316738</v>
      </c>
      <c r="BN15" s="19">
        <v>22268173</v>
      </c>
      <c r="BO15" s="19">
        <v>3629199</v>
      </c>
      <c r="BP15" s="47" t="s">
        <v>96</v>
      </c>
      <c r="BQ15" s="47" t="s">
        <v>4</v>
      </c>
      <c r="BR15" s="19">
        <v>10200000</v>
      </c>
      <c r="BS15" s="19">
        <v>53706</v>
      </c>
      <c r="BT15" s="47" t="s">
        <v>130</v>
      </c>
      <c r="BU15" s="19"/>
      <c r="BV15" s="19"/>
      <c r="BW15" s="19"/>
      <c r="BX15" s="19"/>
      <c r="BY15" s="19">
        <v>59000000</v>
      </c>
      <c r="BZ15" s="19">
        <v>1150000000</v>
      </c>
      <c r="CA15" s="19">
        <v>18800000</v>
      </c>
      <c r="CB15" s="19">
        <v>19200000</v>
      </c>
      <c r="CC15" s="19">
        <v>3050000</v>
      </c>
      <c r="CD15" s="19">
        <v>300000</v>
      </c>
      <c r="CE15" s="19"/>
      <c r="CF15" s="19">
        <v>5000000</v>
      </c>
      <c r="CG15" s="19">
        <v>75502632</v>
      </c>
      <c r="CH15" s="19">
        <v>0</v>
      </c>
      <c r="CI15" s="47" t="s">
        <v>130</v>
      </c>
      <c r="CJ15" s="19">
        <v>2069705</v>
      </c>
      <c r="CK15" s="19">
        <v>12762849</v>
      </c>
      <c r="CL15" s="19">
        <v>69571838</v>
      </c>
      <c r="CM15" s="19">
        <v>377423028</v>
      </c>
      <c r="CN15" s="19">
        <v>60494</v>
      </c>
      <c r="CO15" s="19"/>
      <c r="CP15" s="19">
        <v>51400000</v>
      </c>
      <c r="CQ15" s="47" t="s">
        <v>96</v>
      </c>
      <c r="CR15" s="19"/>
      <c r="CS15" s="47" t="s">
        <v>172</v>
      </c>
      <c r="CT15" s="19">
        <v>3252661138</v>
      </c>
      <c r="CU15" s="19">
        <v>103013589</v>
      </c>
      <c r="CV15" s="19"/>
      <c r="CW15" s="19"/>
      <c r="CX15" s="19">
        <v>506900000</v>
      </c>
      <c r="CY15" s="47" t="s">
        <v>96</v>
      </c>
      <c r="CZ15" s="19"/>
      <c r="DA15" s="47" t="s">
        <v>89</v>
      </c>
      <c r="DB15" s="19"/>
      <c r="DC15" s="19"/>
      <c r="DD15" s="19"/>
      <c r="DE15" s="19">
        <v>3200000</v>
      </c>
      <c r="DF15" s="19">
        <v>9000000</v>
      </c>
      <c r="DG15" s="19"/>
      <c r="DH15" s="19"/>
      <c r="DI15" s="19">
        <v>4000000</v>
      </c>
      <c r="DJ15" s="19">
        <v>3000000</v>
      </c>
      <c r="DK15" s="19">
        <v>126615920</v>
      </c>
      <c r="DL15" s="19">
        <v>4600000</v>
      </c>
      <c r="DM15" s="19">
        <v>31314577</v>
      </c>
      <c r="DN15" s="19">
        <v>6000000</v>
      </c>
      <c r="DO15" s="19">
        <v>7200000</v>
      </c>
      <c r="DP15" s="19"/>
      <c r="DQ15" s="19"/>
      <c r="DR15" s="19">
        <v>1224900</v>
      </c>
      <c r="DS15" s="19"/>
      <c r="DT15" s="19"/>
      <c r="DU15" s="19"/>
      <c r="DV15" s="19">
        <v>176898000</v>
      </c>
      <c r="DW15" s="19">
        <v>1305000</v>
      </c>
      <c r="DX15" s="19">
        <v>185000000</v>
      </c>
      <c r="DY15" s="19"/>
      <c r="DZ15" s="19">
        <v>88579352</v>
      </c>
      <c r="EA15" s="19">
        <v>3904560</v>
      </c>
      <c r="EB15" s="19">
        <v>3000000</v>
      </c>
      <c r="EC15" s="19"/>
      <c r="ED15" s="19"/>
      <c r="EE15" s="19">
        <v>6000000</v>
      </c>
      <c r="EF15" s="19"/>
      <c r="EG15" s="19">
        <v>343882000</v>
      </c>
      <c r="EH15" s="19">
        <v>40000000</v>
      </c>
      <c r="EI15" s="19">
        <v>40000000</v>
      </c>
      <c r="EJ15" s="19"/>
      <c r="EK15" s="19"/>
      <c r="EL15" s="19"/>
      <c r="EM15" s="19">
        <v>3000000</v>
      </c>
      <c r="EN15" s="19">
        <v>22500000</v>
      </c>
      <c r="EO15" s="19">
        <v>45161840</v>
      </c>
      <c r="EP15" s="19"/>
      <c r="EQ15" s="19"/>
      <c r="ER15" s="19">
        <v>59184000</v>
      </c>
      <c r="ES15" s="19"/>
      <c r="ET15" s="19"/>
      <c r="EU15" s="19">
        <v>100000000</v>
      </c>
      <c r="EV15" s="19"/>
      <c r="EW15" s="19">
        <v>8100000</v>
      </c>
      <c r="EX15" s="19">
        <v>88500000</v>
      </c>
      <c r="EY15" s="19">
        <v>140299374</v>
      </c>
      <c r="EZ15" s="19">
        <v>5988</v>
      </c>
      <c r="FA15" s="47" t="s">
        <v>130</v>
      </c>
      <c r="FB15" s="19"/>
      <c r="FC15" s="19">
        <v>33017100</v>
      </c>
      <c r="FD15" s="19"/>
      <c r="FE15" s="19">
        <v>1696487435</v>
      </c>
      <c r="FF15" s="19">
        <v>3002636</v>
      </c>
      <c r="FG15" s="19"/>
      <c r="FH15" s="19">
        <v>1600000</v>
      </c>
      <c r="FI15" s="47" t="s">
        <v>96</v>
      </c>
      <c r="FJ15" s="19"/>
      <c r="FK15" s="19"/>
      <c r="FL15" s="47" t="s">
        <v>130</v>
      </c>
      <c r="FM15" s="19"/>
      <c r="FN15" s="19">
        <v>34038000</v>
      </c>
      <c r="FO15" s="47" t="s">
        <v>172</v>
      </c>
      <c r="FP15" s="19"/>
      <c r="FQ15" s="19"/>
      <c r="FR15" s="19"/>
      <c r="FS15" s="47" t="s">
        <v>130</v>
      </c>
      <c r="FT15" s="19"/>
      <c r="FU15" s="19"/>
      <c r="FV15" s="19"/>
      <c r="FW15" s="19"/>
      <c r="FX15" s="19"/>
      <c r="FY15" s="19"/>
      <c r="FZ15" s="47" t="s">
        <v>175</v>
      </c>
      <c r="GA15" s="19">
        <v>38494320</v>
      </c>
      <c r="GB15" s="19"/>
      <c r="GC15" s="19">
        <v>1000000</v>
      </c>
      <c r="GD15" s="48" t="s">
        <v>96</v>
      </c>
      <c r="GE15" s="48" t="s">
        <v>96</v>
      </c>
      <c r="GF15" s="19"/>
      <c r="GG15" s="19"/>
      <c r="GH15" s="47" t="s">
        <v>172</v>
      </c>
      <c r="GI15" s="19"/>
      <c r="GJ15" s="47" t="s">
        <v>96</v>
      </c>
      <c r="GK15" s="19"/>
      <c r="GL15" s="47" t="s">
        <v>96</v>
      </c>
      <c r="GM15" s="19">
        <v>3400000</v>
      </c>
      <c r="GN15" s="19"/>
      <c r="GO15" s="47" t="s">
        <v>96</v>
      </c>
      <c r="GP15" s="19">
        <v>669653060</v>
      </c>
      <c r="GQ15" s="19"/>
      <c r="GR15" s="19">
        <v>10000000</v>
      </c>
      <c r="GS15" s="19">
        <f>30000000+180000000</f>
        <v>210000000</v>
      </c>
      <c r="GT15" s="19">
        <v>9800000</v>
      </c>
      <c r="GU15" s="19"/>
      <c r="GV15" s="19">
        <v>36112991</v>
      </c>
      <c r="GW15" s="19"/>
      <c r="GX15" s="19"/>
      <c r="GY15" s="19">
        <v>980000</v>
      </c>
      <c r="GZ15" s="19"/>
      <c r="HA15" s="19"/>
      <c r="HB15" s="19"/>
      <c r="HC15" s="19"/>
      <c r="HD15" s="19"/>
      <c r="HE15" s="19"/>
      <c r="HF15" s="19">
        <v>69100000</v>
      </c>
      <c r="HG15" s="19"/>
      <c r="HH15" s="47" t="s">
        <v>130</v>
      </c>
      <c r="HI15" s="19">
        <v>1205398390</v>
      </c>
      <c r="HJ15" s="19"/>
      <c r="HK15" s="19"/>
      <c r="HL15" s="19"/>
      <c r="HM15" s="19"/>
      <c r="HN15" s="19">
        <v>290537624</v>
      </c>
      <c r="HO15" s="19">
        <v>52087430</v>
      </c>
      <c r="HP15" s="19">
        <v>1900000</v>
      </c>
      <c r="HQ15" s="19"/>
      <c r="HR15" s="19"/>
      <c r="HS15" s="19"/>
      <c r="HT15" s="19"/>
      <c r="HU15" s="19"/>
      <c r="HV15" s="19"/>
      <c r="HW15" s="19" t="s">
        <v>96</v>
      </c>
      <c r="HX15" s="19">
        <v>97632409</v>
      </c>
      <c r="HY15" s="19" t="s">
        <v>172</v>
      </c>
      <c r="HZ15" s="19">
        <v>308427625</v>
      </c>
      <c r="IA15" s="19"/>
      <c r="IB15" s="19">
        <v>193292263</v>
      </c>
      <c r="IC15" s="19"/>
      <c r="ID15" s="19"/>
      <c r="IE15" s="47" t="s">
        <v>96</v>
      </c>
      <c r="IF15" s="19"/>
      <c r="IG15" s="19">
        <v>4200000</v>
      </c>
      <c r="IH15" s="19">
        <v>5000000</v>
      </c>
      <c r="II15" s="19"/>
      <c r="IJ15" s="19"/>
      <c r="IK15" s="19"/>
      <c r="IL15" s="19"/>
      <c r="IM15" s="19"/>
      <c r="IN15" s="19"/>
      <c r="IO15" s="19">
        <v>55000000</v>
      </c>
      <c r="IP15" s="19">
        <v>71364936</v>
      </c>
      <c r="IQ15" s="19"/>
      <c r="IR15" s="19">
        <v>50294844</v>
      </c>
      <c r="IS15" s="19">
        <v>32753588</v>
      </c>
      <c r="IT15" s="19">
        <v>6148935</v>
      </c>
      <c r="IU15" s="45">
        <v>170534458</v>
      </c>
      <c r="IV15" s="45"/>
      <c r="IW15" s="45"/>
      <c r="IX15" s="45">
        <v>11000000</v>
      </c>
      <c r="IY15" s="45"/>
      <c r="IZ15" s="45">
        <v>56704629</v>
      </c>
      <c r="JA15" s="45">
        <v>22171984</v>
      </c>
      <c r="JB15" s="45"/>
      <c r="JC15" s="45"/>
      <c r="JD15" s="45"/>
      <c r="JE15" s="45"/>
      <c r="JF15" s="45"/>
      <c r="JG15" s="45"/>
      <c r="JH15" s="45"/>
      <c r="JI15" s="45"/>
      <c r="JJ15" s="45"/>
      <c r="JK15" s="45"/>
      <c r="JL15" s="45">
        <v>16650000</v>
      </c>
      <c r="JM15" s="45"/>
      <c r="JN15" s="45"/>
      <c r="JO15" s="46"/>
      <c r="JP15" s="46"/>
      <c r="JQ15" s="63" t="s">
        <v>175</v>
      </c>
      <c r="JR15" s="46"/>
      <c r="JS15" s="46">
        <v>674675</v>
      </c>
      <c r="JT15" s="46"/>
      <c r="JU15" s="46"/>
      <c r="JV15" s="46">
        <v>2300000</v>
      </c>
      <c r="JW15" s="46"/>
      <c r="JX15" s="46"/>
      <c r="JY15" s="46">
        <v>18500000</v>
      </c>
      <c r="JZ15" s="46"/>
      <c r="KA15" s="46"/>
      <c r="KB15" s="46"/>
      <c r="KC15" s="46"/>
      <c r="KD15" s="46">
        <v>43951096</v>
      </c>
      <c r="KE15" s="46"/>
      <c r="KF15" s="46"/>
      <c r="KG15" s="46">
        <v>14000000</v>
      </c>
      <c r="KH15" s="46"/>
    </row>
    <row r="16" spans="1:294">
      <c r="A16" s="7" t="s">
        <v>182</v>
      </c>
      <c r="B16" s="11" t="s">
        <v>151</v>
      </c>
      <c r="C16" s="19">
        <v>7200092</v>
      </c>
      <c r="D16" s="19">
        <v>915751241</v>
      </c>
      <c r="E16" s="19">
        <v>398330021</v>
      </c>
      <c r="F16" s="19">
        <v>1105443400</v>
      </c>
      <c r="G16" s="47" t="s">
        <v>130</v>
      </c>
      <c r="H16" s="19">
        <v>1933271735</v>
      </c>
      <c r="I16" s="19">
        <v>2804604734</v>
      </c>
      <c r="J16" s="47" t="s">
        <v>4</v>
      </c>
      <c r="K16" s="19">
        <v>241310298</v>
      </c>
      <c r="L16" s="47" t="s">
        <v>96</v>
      </c>
      <c r="M16" s="47" t="s">
        <v>96</v>
      </c>
      <c r="N16" s="19">
        <v>1861555</v>
      </c>
      <c r="O16" s="19">
        <v>5072686139</v>
      </c>
      <c r="P16" s="19">
        <v>5582015679</v>
      </c>
      <c r="Q16" s="19">
        <v>3731055</v>
      </c>
      <c r="R16" s="19">
        <v>102013900</v>
      </c>
      <c r="S16" s="19">
        <v>10812906983</v>
      </c>
      <c r="T16" s="47" t="s">
        <v>96</v>
      </c>
      <c r="U16" s="47" t="s">
        <v>172</v>
      </c>
      <c r="V16" s="47" t="s">
        <v>172</v>
      </c>
      <c r="W16" s="19">
        <v>108419081</v>
      </c>
      <c r="X16" s="19">
        <v>4554530997</v>
      </c>
      <c r="Y16" s="19">
        <v>57926458</v>
      </c>
      <c r="Z16" s="19">
        <v>4934350525</v>
      </c>
      <c r="AA16" s="19">
        <v>1597466175</v>
      </c>
      <c r="AB16" s="19">
        <v>8954604</v>
      </c>
      <c r="AC16" s="19">
        <v>1226456203</v>
      </c>
      <c r="AD16" s="19">
        <v>2947014547</v>
      </c>
      <c r="AE16" s="19">
        <v>4770580187</v>
      </c>
      <c r="AF16" s="47" t="s">
        <v>172</v>
      </c>
      <c r="AG16" s="19">
        <v>73247850</v>
      </c>
      <c r="AH16" s="19">
        <v>202286914</v>
      </c>
      <c r="AI16" s="19">
        <v>166505053</v>
      </c>
      <c r="AJ16" s="19">
        <v>3460018</v>
      </c>
      <c r="AK16" s="19">
        <v>191516804</v>
      </c>
      <c r="AL16" s="19">
        <v>25010186</v>
      </c>
      <c r="AM16" s="47" t="s">
        <v>4</v>
      </c>
      <c r="AN16" s="19">
        <v>1755205007</v>
      </c>
      <c r="AO16" s="19">
        <v>36746348</v>
      </c>
      <c r="AP16" s="19">
        <v>3200767</v>
      </c>
      <c r="AQ16" s="47" t="s">
        <v>96</v>
      </c>
      <c r="AR16" s="19">
        <v>229696713</v>
      </c>
      <c r="AS16" s="19">
        <v>63111733</v>
      </c>
      <c r="AT16" s="47" t="s">
        <v>172</v>
      </c>
      <c r="AU16" s="19">
        <v>7160006655</v>
      </c>
      <c r="AV16" s="19">
        <v>37057660</v>
      </c>
      <c r="AW16" s="19">
        <v>563528813</v>
      </c>
      <c r="AX16" s="47" t="s">
        <v>4</v>
      </c>
      <c r="AY16" s="19">
        <v>142027701</v>
      </c>
      <c r="AZ16" s="19">
        <v>179200264</v>
      </c>
      <c r="BA16" s="19">
        <v>909229710</v>
      </c>
      <c r="BB16" s="19">
        <v>1485509</v>
      </c>
      <c r="BC16" s="47" t="s">
        <v>4</v>
      </c>
      <c r="BD16" s="47" t="s">
        <v>130</v>
      </c>
      <c r="BE16" s="19">
        <v>200149108</v>
      </c>
      <c r="BF16" s="47" t="s">
        <v>96</v>
      </c>
      <c r="BG16" s="19">
        <v>30422344</v>
      </c>
      <c r="BH16" s="19">
        <v>712739087</v>
      </c>
      <c r="BI16" s="19">
        <v>27389269</v>
      </c>
      <c r="BJ16" s="19">
        <v>24371033</v>
      </c>
      <c r="BK16" s="19">
        <v>124874211</v>
      </c>
      <c r="BL16" s="19">
        <v>19562012</v>
      </c>
      <c r="BM16" s="19">
        <v>733501621</v>
      </c>
      <c r="BN16" s="19">
        <v>39289300</v>
      </c>
      <c r="BO16" s="19">
        <v>3899444</v>
      </c>
      <c r="BP16" s="47" t="s">
        <v>96</v>
      </c>
      <c r="BQ16" s="47" t="s">
        <v>4</v>
      </c>
      <c r="BR16" s="19">
        <v>4340660576</v>
      </c>
      <c r="BS16" s="19">
        <v>17353896</v>
      </c>
      <c r="BT16" s="47" t="s">
        <v>130</v>
      </c>
      <c r="BU16" s="19">
        <v>62627447</v>
      </c>
      <c r="BV16" s="19">
        <v>24616000</v>
      </c>
      <c r="BW16" s="19">
        <v>2845959</v>
      </c>
      <c r="BX16" s="19">
        <v>17658478</v>
      </c>
      <c r="BY16" s="19">
        <v>4461006</v>
      </c>
      <c r="BZ16" s="19">
        <v>16688707</v>
      </c>
      <c r="CA16" s="19">
        <v>247787133</v>
      </c>
      <c r="CB16" s="19">
        <v>1477069300</v>
      </c>
      <c r="CC16" s="19"/>
      <c r="CD16" s="19">
        <v>4023848</v>
      </c>
      <c r="CE16" s="19">
        <v>17000</v>
      </c>
      <c r="CF16" s="19">
        <v>543961</v>
      </c>
      <c r="CG16" s="19">
        <v>18448677</v>
      </c>
      <c r="CH16" s="19">
        <v>2236483</v>
      </c>
      <c r="CI16" s="47" t="s">
        <v>130</v>
      </c>
      <c r="CJ16" s="19">
        <v>8675622</v>
      </c>
      <c r="CK16" s="19">
        <v>8138494994</v>
      </c>
      <c r="CL16" s="19">
        <v>563415983</v>
      </c>
      <c r="CM16" s="19">
        <v>874356069</v>
      </c>
      <c r="CN16" s="19">
        <v>3141673</v>
      </c>
      <c r="CO16" s="19">
        <v>32752489</v>
      </c>
      <c r="CP16" s="19">
        <v>62834736</v>
      </c>
      <c r="CQ16" s="47" t="s">
        <v>96</v>
      </c>
      <c r="CR16" s="19">
        <v>4694492</v>
      </c>
      <c r="CS16" s="47" t="s">
        <v>172</v>
      </c>
      <c r="CT16" s="19">
        <v>121558282</v>
      </c>
      <c r="CU16" s="19">
        <v>73425697</v>
      </c>
      <c r="CV16" s="19"/>
      <c r="CW16" s="19">
        <v>3589898624</v>
      </c>
      <c r="CX16" s="19">
        <v>76119763</v>
      </c>
      <c r="CY16" s="47" t="s">
        <v>96</v>
      </c>
      <c r="CZ16" s="19">
        <v>4747112507</v>
      </c>
      <c r="DA16" s="47" t="s">
        <v>89</v>
      </c>
      <c r="DB16" s="19">
        <v>22265553</v>
      </c>
      <c r="DC16" s="19">
        <v>5748783</v>
      </c>
      <c r="DD16" s="19">
        <v>43471351</v>
      </c>
      <c r="DE16" s="19">
        <v>813448187</v>
      </c>
      <c r="DF16" s="19">
        <v>877291</v>
      </c>
      <c r="DG16" s="19">
        <v>670526492</v>
      </c>
      <c r="DH16" s="19">
        <v>32315320</v>
      </c>
      <c r="DI16" s="19">
        <v>5484576070</v>
      </c>
      <c r="DJ16" s="19">
        <v>1000</v>
      </c>
      <c r="DK16" s="19">
        <v>5653727206</v>
      </c>
      <c r="DL16" s="19">
        <v>14525618</v>
      </c>
      <c r="DM16" s="19">
        <v>1237050293</v>
      </c>
      <c r="DN16" s="19">
        <v>309940338</v>
      </c>
      <c r="DO16" s="19">
        <v>45637589</v>
      </c>
      <c r="DP16" s="19">
        <v>1863689978</v>
      </c>
      <c r="DQ16" s="19">
        <v>287098</v>
      </c>
      <c r="DR16" s="19">
        <v>5088135437</v>
      </c>
      <c r="DS16" s="19">
        <v>109323860</v>
      </c>
      <c r="DT16" s="19">
        <v>881928289</v>
      </c>
      <c r="DU16" s="19">
        <v>1798379</v>
      </c>
      <c r="DV16" s="19">
        <v>1071938422</v>
      </c>
      <c r="DW16" s="19">
        <v>596718360</v>
      </c>
      <c r="DX16" s="19">
        <v>183278849</v>
      </c>
      <c r="DY16" s="19">
        <v>626501623</v>
      </c>
      <c r="DZ16" s="19">
        <v>26300091</v>
      </c>
      <c r="EA16" s="19">
        <v>25259014</v>
      </c>
      <c r="EB16" s="19">
        <v>3960824688</v>
      </c>
      <c r="EC16" s="19"/>
      <c r="ED16" s="19">
        <v>25640030</v>
      </c>
      <c r="EE16" s="19">
        <v>145200578</v>
      </c>
      <c r="EF16" s="19">
        <v>2867840256</v>
      </c>
      <c r="EG16" s="19">
        <v>289905579</v>
      </c>
      <c r="EH16" s="19">
        <v>5347844653</v>
      </c>
      <c r="EI16" s="19">
        <v>1303239957</v>
      </c>
      <c r="EJ16" s="19">
        <v>5594996</v>
      </c>
      <c r="EK16" s="19"/>
      <c r="EL16" s="19">
        <v>149254479</v>
      </c>
      <c r="EM16" s="19">
        <v>4520510</v>
      </c>
      <c r="EN16" s="19">
        <v>89908507</v>
      </c>
      <c r="EO16" s="19">
        <v>54826638</v>
      </c>
      <c r="EP16" s="19">
        <v>391558680</v>
      </c>
      <c r="EQ16" s="19">
        <v>8030000</v>
      </c>
      <c r="ER16" s="19">
        <v>928270952</v>
      </c>
      <c r="ES16" s="19">
        <v>1084334602</v>
      </c>
      <c r="ET16" s="19">
        <v>1083895224</v>
      </c>
      <c r="EU16" s="19">
        <v>48111234</v>
      </c>
      <c r="EV16" s="19">
        <v>396556</v>
      </c>
      <c r="EW16" s="19">
        <v>747452471</v>
      </c>
      <c r="EX16" s="19">
        <v>2176037094</v>
      </c>
      <c r="EY16" s="19">
        <v>3387913965</v>
      </c>
      <c r="EZ16" s="19">
        <v>219407613</v>
      </c>
      <c r="FA16" s="47" t="s">
        <v>130</v>
      </c>
      <c r="FB16" s="19">
        <v>137499455</v>
      </c>
      <c r="FC16" s="19">
        <v>597599885</v>
      </c>
      <c r="FD16" s="19">
        <v>1011087036</v>
      </c>
      <c r="FE16" s="19">
        <v>129718214</v>
      </c>
      <c r="FF16" s="19"/>
      <c r="FG16" s="19">
        <v>80002282</v>
      </c>
      <c r="FH16" s="19">
        <v>203270504</v>
      </c>
      <c r="FI16" s="47" t="s">
        <v>96</v>
      </c>
      <c r="FJ16" s="19">
        <v>39764869</v>
      </c>
      <c r="FK16" s="19">
        <v>178451145</v>
      </c>
      <c r="FL16" s="47" t="s">
        <v>130</v>
      </c>
      <c r="FM16" s="19"/>
      <c r="FN16" s="19">
        <v>2574788039</v>
      </c>
      <c r="FO16" s="47" t="s">
        <v>172</v>
      </c>
      <c r="FP16" s="19">
        <v>11638845</v>
      </c>
      <c r="FQ16" s="19">
        <v>45693935</v>
      </c>
      <c r="FR16" s="19"/>
      <c r="FS16" s="47" t="s">
        <v>130</v>
      </c>
      <c r="FT16" s="19">
        <v>7184004054</v>
      </c>
      <c r="FU16" s="19"/>
      <c r="FV16" s="19">
        <v>104871469</v>
      </c>
      <c r="FW16" s="19">
        <v>1838978</v>
      </c>
      <c r="FX16" s="19">
        <v>4151479</v>
      </c>
      <c r="FY16" s="19">
        <v>517634163</v>
      </c>
      <c r="FZ16" s="47" t="s">
        <v>175</v>
      </c>
      <c r="GA16" s="19">
        <v>31765674</v>
      </c>
      <c r="GB16" s="19">
        <v>11149404</v>
      </c>
      <c r="GC16" s="19">
        <v>27794459</v>
      </c>
      <c r="GD16" s="48" t="s">
        <v>96</v>
      </c>
      <c r="GE16" s="48" t="s">
        <v>96</v>
      </c>
      <c r="GF16" s="19">
        <v>407712122</v>
      </c>
      <c r="GG16" s="19">
        <v>2147953491</v>
      </c>
      <c r="GH16" s="47" t="s">
        <v>172</v>
      </c>
      <c r="GI16" s="19">
        <v>4905627</v>
      </c>
      <c r="GJ16" s="47" t="s">
        <v>96</v>
      </c>
      <c r="GK16" s="19">
        <v>29945636</v>
      </c>
      <c r="GL16" s="47" t="s">
        <v>96</v>
      </c>
      <c r="GM16" s="19">
        <v>52112827</v>
      </c>
      <c r="GN16" s="19">
        <v>232384978</v>
      </c>
      <c r="GO16" s="47" t="s">
        <v>96</v>
      </c>
      <c r="GP16" s="19">
        <v>5123330220</v>
      </c>
      <c r="GQ16" s="19">
        <v>17019960</v>
      </c>
      <c r="GR16" s="19">
        <v>209697002</v>
      </c>
      <c r="GS16" s="19">
        <v>3390199</v>
      </c>
      <c r="GT16" s="19">
        <v>168817444</v>
      </c>
      <c r="GU16" s="19"/>
      <c r="GV16" s="19">
        <v>2989213212</v>
      </c>
      <c r="GW16" s="19">
        <v>10302448331</v>
      </c>
      <c r="GX16" s="19">
        <v>1010015489</v>
      </c>
      <c r="GY16" s="19">
        <v>680266039</v>
      </c>
      <c r="GZ16" s="19">
        <v>4134910260</v>
      </c>
      <c r="HA16" s="19"/>
      <c r="HB16" s="19">
        <v>6417809</v>
      </c>
      <c r="HC16" s="19">
        <v>372231375</v>
      </c>
      <c r="HD16" s="19">
        <v>71145521</v>
      </c>
      <c r="HE16" s="19">
        <v>19890800</v>
      </c>
      <c r="HF16" s="19">
        <v>855680975</v>
      </c>
      <c r="HG16" s="19">
        <v>10709956</v>
      </c>
      <c r="HH16" s="47" t="s">
        <v>130</v>
      </c>
      <c r="HI16" s="19">
        <v>93677523</v>
      </c>
      <c r="HJ16" s="19">
        <v>324735915</v>
      </c>
      <c r="HK16" s="19">
        <v>357132017</v>
      </c>
      <c r="HL16" s="19">
        <v>31532511</v>
      </c>
      <c r="HM16" s="19">
        <v>605155778</v>
      </c>
      <c r="HN16" s="19">
        <v>2000</v>
      </c>
      <c r="HO16" s="19">
        <v>750029908</v>
      </c>
      <c r="HP16" s="19">
        <v>127807125</v>
      </c>
      <c r="HQ16" s="19">
        <v>4277500</v>
      </c>
      <c r="HR16" s="19">
        <v>94298911</v>
      </c>
      <c r="HS16" s="19">
        <v>32783540</v>
      </c>
      <c r="HT16" s="19">
        <v>11722585</v>
      </c>
      <c r="HU16" s="19">
        <v>20167324</v>
      </c>
      <c r="HV16" s="19">
        <v>20042244</v>
      </c>
      <c r="HW16" s="19" t="s">
        <v>96</v>
      </c>
      <c r="HX16" s="19">
        <v>2263100334</v>
      </c>
      <c r="HY16" s="19" t="s">
        <v>172</v>
      </c>
      <c r="HZ16" s="19">
        <v>5649144631</v>
      </c>
      <c r="IA16" s="19">
        <v>494626655</v>
      </c>
      <c r="IB16" s="19">
        <v>5628156175</v>
      </c>
      <c r="IC16" s="19">
        <v>669618801</v>
      </c>
      <c r="ID16" s="19">
        <v>2357798</v>
      </c>
      <c r="IE16" s="47" t="s">
        <v>96</v>
      </c>
      <c r="IF16" s="19">
        <v>9051346</v>
      </c>
      <c r="IG16" s="19">
        <v>226901</v>
      </c>
      <c r="IH16" s="19">
        <v>6994975</v>
      </c>
      <c r="II16" s="19">
        <v>150168818</v>
      </c>
      <c r="IJ16" s="19">
        <v>297419709</v>
      </c>
      <c r="IK16" s="19">
        <v>119884002</v>
      </c>
      <c r="IL16" s="19">
        <v>1113580300</v>
      </c>
      <c r="IM16" s="19">
        <v>322978465</v>
      </c>
      <c r="IN16" s="19">
        <v>624801017</v>
      </c>
      <c r="IO16" s="19">
        <v>4406731</v>
      </c>
      <c r="IP16" s="19">
        <v>18017178</v>
      </c>
      <c r="IQ16" s="19">
        <v>113267912</v>
      </c>
      <c r="IR16" s="19">
        <v>53697573</v>
      </c>
      <c r="IS16" s="19">
        <v>5887297233</v>
      </c>
      <c r="IT16" s="19">
        <v>1001997493</v>
      </c>
      <c r="IU16" s="45">
        <v>9352613</v>
      </c>
      <c r="IV16" s="45">
        <v>186937838</v>
      </c>
      <c r="IW16" s="45">
        <v>47806180</v>
      </c>
      <c r="IX16" s="45">
        <v>959597791</v>
      </c>
      <c r="IY16" s="45">
        <v>107141593</v>
      </c>
      <c r="IZ16" s="45">
        <v>49433997</v>
      </c>
      <c r="JA16" s="45"/>
      <c r="JB16" s="45">
        <v>21777917</v>
      </c>
      <c r="JC16" s="45">
        <v>1061474731</v>
      </c>
      <c r="JD16" s="45">
        <v>3000816</v>
      </c>
      <c r="JE16" s="45">
        <v>24528700</v>
      </c>
      <c r="JF16" s="45"/>
      <c r="JG16" s="45">
        <v>8662088</v>
      </c>
      <c r="JH16" s="45">
        <v>88127150</v>
      </c>
      <c r="JI16" s="45">
        <v>11981812</v>
      </c>
      <c r="JJ16" s="45">
        <v>216087630</v>
      </c>
      <c r="JK16" s="45">
        <v>91367905</v>
      </c>
      <c r="JL16" s="45">
        <v>2556571004</v>
      </c>
      <c r="JM16" s="45">
        <v>619344660</v>
      </c>
      <c r="JN16" s="45">
        <v>1408016327</v>
      </c>
      <c r="JO16" s="46">
        <v>68904643</v>
      </c>
      <c r="JP16" s="46">
        <v>5944634</v>
      </c>
      <c r="JQ16" s="63" t="s">
        <v>175</v>
      </c>
      <c r="JR16" s="46">
        <v>83969255</v>
      </c>
      <c r="JS16" s="46">
        <v>61446720</v>
      </c>
      <c r="JT16" s="46">
        <v>7589272</v>
      </c>
      <c r="JU16" s="46">
        <v>112291486</v>
      </c>
      <c r="JV16" s="46">
        <v>99335146</v>
      </c>
      <c r="JW16" s="46"/>
      <c r="JX16" s="46">
        <v>5983768</v>
      </c>
      <c r="JY16" s="46">
        <v>80623386</v>
      </c>
      <c r="JZ16" s="46">
        <v>24710372</v>
      </c>
      <c r="KA16" s="46">
        <v>10395000</v>
      </c>
      <c r="KB16" s="46">
        <v>4441542244</v>
      </c>
      <c r="KC16" s="46">
        <v>40267648</v>
      </c>
      <c r="KD16" s="46">
        <v>11507065</v>
      </c>
      <c r="KE16" s="46">
        <v>57163254</v>
      </c>
      <c r="KF16" s="46">
        <v>18574667</v>
      </c>
      <c r="KG16" s="46">
        <v>2505560</v>
      </c>
      <c r="KH16" s="46">
        <v>6164653</v>
      </c>
    </row>
    <row r="17" spans="1:294">
      <c r="A17" s="7" t="s">
        <v>182</v>
      </c>
      <c r="B17" s="11" t="s">
        <v>27</v>
      </c>
      <c r="C17" s="19">
        <v>58303000</v>
      </c>
      <c r="D17" s="19">
        <v>0</v>
      </c>
      <c r="E17" s="19">
        <v>0</v>
      </c>
      <c r="F17" s="19">
        <v>35040240</v>
      </c>
      <c r="G17" s="47" t="s">
        <v>130</v>
      </c>
      <c r="H17" s="19">
        <v>80000</v>
      </c>
      <c r="I17" s="19">
        <v>212300000</v>
      </c>
      <c r="J17" s="47" t="s">
        <v>4</v>
      </c>
      <c r="K17" s="19">
        <v>213600</v>
      </c>
      <c r="L17" s="47" t="s">
        <v>96</v>
      </c>
      <c r="M17" s="47" t="s">
        <v>96</v>
      </c>
      <c r="N17" s="19">
        <v>86801243</v>
      </c>
      <c r="O17" s="19">
        <v>24410591</v>
      </c>
      <c r="P17" s="19">
        <v>40382062</v>
      </c>
      <c r="Q17" s="19">
        <v>3169855</v>
      </c>
      <c r="R17" s="19">
        <v>1496850</v>
      </c>
      <c r="S17" s="19">
        <v>110740871</v>
      </c>
      <c r="T17" s="47" t="s">
        <v>96</v>
      </c>
      <c r="U17" s="47" t="s">
        <v>172</v>
      </c>
      <c r="V17" s="47" t="s">
        <v>172</v>
      </c>
      <c r="W17" s="19">
        <v>130165407</v>
      </c>
      <c r="X17" s="19">
        <v>0</v>
      </c>
      <c r="Y17" s="19">
        <v>155102799</v>
      </c>
      <c r="Z17" s="19">
        <v>730860222</v>
      </c>
      <c r="AA17" s="19">
        <v>657905</v>
      </c>
      <c r="AB17" s="19">
        <v>1000</v>
      </c>
      <c r="AC17" s="19">
        <v>440240</v>
      </c>
      <c r="AD17" s="19">
        <v>0</v>
      </c>
      <c r="AE17" s="19">
        <v>153164126</v>
      </c>
      <c r="AF17" s="47" t="s">
        <v>172</v>
      </c>
      <c r="AG17" s="19">
        <v>349551998</v>
      </c>
      <c r="AH17" s="19">
        <v>205420023</v>
      </c>
      <c r="AI17" s="19">
        <v>193499286</v>
      </c>
      <c r="AJ17" s="19">
        <v>139320740</v>
      </c>
      <c r="AK17" s="19">
        <v>0</v>
      </c>
      <c r="AL17" s="19">
        <v>1040000</v>
      </c>
      <c r="AM17" s="47" t="s">
        <v>4</v>
      </c>
      <c r="AN17" s="19">
        <v>15873473</v>
      </c>
      <c r="AO17" s="19">
        <v>66948674</v>
      </c>
      <c r="AP17" s="19">
        <v>76162</v>
      </c>
      <c r="AQ17" s="47" t="s">
        <v>96</v>
      </c>
      <c r="AR17" s="19">
        <v>35384862</v>
      </c>
      <c r="AS17" s="19">
        <v>4000</v>
      </c>
      <c r="AT17" s="47" t="s">
        <v>172</v>
      </c>
      <c r="AU17" s="19">
        <v>1000000</v>
      </c>
      <c r="AV17" s="19">
        <v>0</v>
      </c>
      <c r="AW17" s="19">
        <v>0</v>
      </c>
      <c r="AX17" s="47" t="s">
        <v>4</v>
      </c>
      <c r="AY17" s="19">
        <v>33190756</v>
      </c>
      <c r="AZ17" s="19">
        <v>5500001</v>
      </c>
      <c r="BA17" s="19">
        <v>98773784</v>
      </c>
      <c r="BB17" s="19">
        <v>10715156</v>
      </c>
      <c r="BC17" s="47" t="s">
        <v>4</v>
      </c>
      <c r="BD17" s="47" t="s">
        <v>130</v>
      </c>
      <c r="BE17" s="19">
        <v>920913994</v>
      </c>
      <c r="BF17" s="47" t="s">
        <v>96</v>
      </c>
      <c r="BG17" s="19">
        <v>12398144</v>
      </c>
      <c r="BH17" s="19">
        <v>4000</v>
      </c>
      <c r="BI17" s="19">
        <v>915248</v>
      </c>
      <c r="BJ17" s="19">
        <v>8025001</v>
      </c>
      <c r="BK17" s="19">
        <v>73208864</v>
      </c>
      <c r="BL17" s="19">
        <v>2012500</v>
      </c>
      <c r="BM17" s="19">
        <v>5896897</v>
      </c>
      <c r="BN17" s="19">
        <v>322847</v>
      </c>
      <c r="BO17" s="19">
        <v>31819734</v>
      </c>
      <c r="BP17" s="47" t="s">
        <v>96</v>
      </c>
      <c r="BQ17" s="47" t="s">
        <v>4</v>
      </c>
      <c r="BR17" s="19">
        <v>11117096</v>
      </c>
      <c r="BS17" s="19">
        <v>0</v>
      </c>
      <c r="BT17" s="47" t="s">
        <v>130</v>
      </c>
      <c r="BU17" s="19">
        <v>568542594</v>
      </c>
      <c r="BV17" s="19">
        <v>0</v>
      </c>
      <c r="BW17" s="19">
        <v>0</v>
      </c>
      <c r="BX17" s="19">
        <v>36180000</v>
      </c>
      <c r="BY17" s="19">
        <v>26868058</v>
      </c>
      <c r="BZ17" s="19">
        <v>1316700</v>
      </c>
      <c r="CA17" s="19">
        <v>474621166</v>
      </c>
      <c r="CB17" s="19">
        <v>19000</v>
      </c>
      <c r="CC17" s="19">
        <v>0</v>
      </c>
      <c r="CD17" s="19">
        <v>0</v>
      </c>
      <c r="CE17" s="19">
        <v>30729000</v>
      </c>
      <c r="CF17" s="19">
        <v>248439901</v>
      </c>
      <c r="CG17" s="19">
        <v>0</v>
      </c>
      <c r="CH17" s="19">
        <v>5053915</v>
      </c>
      <c r="CI17" s="47" t="s">
        <v>130</v>
      </c>
      <c r="CJ17" s="19">
        <v>38400800</v>
      </c>
      <c r="CK17" s="19">
        <v>3145454</v>
      </c>
      <c r="CL17" s="19">
        <v>30387910</v>
      </c>
      <c r="CM17" s="19">
        <v>0</v>
      </c>
      <c r="CN17" s="19">
        <v>5000</v>
      </c>
      <c r="CO17" s="19">
        <v>9001000</v>
      </c>
      <c r="CP17" s="19">
        <v>109163636</v>
      </c>
      <c r="CQ17" s="47" t="s">
        <v>96</v>
      </c>
      <c r="CR17" s="19">
        <v>0</v>
      </c>
      <c r="CS17" s="47" t="s">
        <v>172</v>
      </c>
      <c r="CT17" s="19">
        <v>9317747</v>
      </c>
      <c r="CU17" s="19">
        <v>0</v>
      </c>
      <c r="CV17" s="19">
        <v>4750000</v>
      </c>
      <c r="CW17" s="19">
        <v>0</v>
      </c>
      <c r="CX17" s="19">
        <v>6214608</v>
      </c>
      <c r="CY17" s="47" t="s">
        <v>96</v>
      </c>
      <c r="CZ17" s="19">
        <v>0</v>
      </c>
      <c r="DA17" s="47" t="s">
        <v>89</v>
      </c>
      <c r="DB17" s="19">
        <v>0</v>
      </c>
      <c r="DC17" s="19">
        <v>0</v>
      </c>
      <c r="DD17" s="19">
        <v>0</v>
      </c>
      <c r="DE17" s="19">
        <v>0</v>
      </c>
      <c r="DF17" s="19">
        <v>0</v>
      </c>
      <c r="DG17" s="19">
        <v>143403394</v>
      </c>
      <c r="DH17" s="19">
        <v>10226504</v>
      </c>
      <c r="DI17" s="19">
        <v>28435372</v>
      </c>
      <c r="DJ17" s="19">
        <v>31615000</v>
      </c>
      <c r="DK17" s="19">
        <v>16528465</v>
      </c>
      <c r="DL17" s="19">
        <v>41293226</v>
      </c>
      <c r="DM17" s="19">
        <v>0</v>
      </c>
      <c r="DN17" s="19">
        <v>175731904</v>
      </c>
      <c r="DO17" s="19">
        <v>312000</v>
      </c>
      <c r="DP17" s="19">
        <v>1673573</v>
      </c>
      <c r="DQ17" s="19">
        <v>0</v>
      </c>
      <c r="DR17" s="19">
        <v>14449264</v>
      </c>
      <c r="DS17" s="19">
        <v>0</v>
      </c>
      <c r="DT17" s="19">
        <v>76464442</v>
      </c>
      <c r="DU17" s="19">
        <v>4000</v>
      </c>
      <c r="DV17" s="19">
        <v>0</v>
      </c>
      <c r="DW17" s="19">
        <v>18081419</v>
      </c>
      <c r="DX17" s="19">
        <v>225411664</v>
      </c>
      <c r="DY17" s="19">
        <v>0</v>
      </c>
      <c r="DZ17" s="19">
        <v>0</v>
      </c>
      <c r="EA17" s="19">
        <v>0</v>
      </c>
      <c r="EB17" s="19">
        <v>662737</v>
      </c>
      <c r="EC17" s="19">
        <v>6206644</v>
      </c>
      <c r="ED17" s="19">
        <v>0</v>
      </c>
      <c r="EE17" s="19">
        <v>0</v>
      </c>
      <c r="EF17" s="19">
        <v>294000</v>
      </c>
      <c r="EG17" s="19">
        <v>572004795</v>
      </c>
      <c r="EH17" s="19">
        <v>7494546</v>
      </c>
      <c r="EI17" s="19">
        <v>106758270</v>
      </c>
      <c r="EJ17" s="19">
        <v>1000</v>
      </c>
      <c r="EK17" s="19">
        <v>102680000</v>
      </c>
      <c r="EL17" s="19">
        <v>0</v>
      </c>
      <c r="EM17" s="19">
        <v>0</v>
      </c>
      <c r="EN17" s="19">
        <v>5502000</v>
      </c>
      <c r="EO17" s="19">
        <v>1000</v>
      </c>
      <c r="EP17" s="19">
        <v>0</v>
      </c>
      <c r="EQ17" s="19">
        <v>0</v>
      </c>
      <c r="ER17" s="19">
        <v>3521000</v>
      </c>
      <c r="ES17" s="19">
        <v>3321085</v>
      </c>
      <c r="ET17" s="19">
        <v>1107227813</v>
      </c>
      <c r="EU17" s="19">
        <v>19000</v>
      </c>
      <c r="EV17" s="19">
        <v>0</v>
      </c>
      <c r="EW17" s="19">
        <v>23048320</v>
      </c>
      <c r="EX17" s="19">
        <v>39814667</v>
      </c>
      <c r="EY17" s="19">
        <v>0</v>
      </c>
      <c r="EZ17" s="19">
        <v>27357945</v>
      </c>
      <c r="FA17" s="47" t="s">
        <v>130</v>
      </c>
      <c r="FB17" s="19">
        <v>11658940</v>
      </c>
      <c r="FC17" s="19">
        <v>40900000</v>
      </c>
      <c r="FD17" s="19">
        <v>0</v>
      </c>
      <c r="FE17" s="19">
        <v>20824845</v>
      </c>
      <c r="FF17" s="19">
        <v>0</v>
      </c>
      <c r="FG17" s="19">
        <v>6207834</v>
      </c>
      <c r="FH17" s="19">
        <v>67034778</v>
      </c>
      <c r="FI17" s="47" t="s">
        <v>96</v>
      </c>
      <c r="FJ17" s="19">
        <v>0</v>
      </c>
      <c r="FK17" s="19">
        <v>0</v>
      </c>
      <c r="FL17" s="47" t="s">
        <v>130</v>
      </c>
      <c r="FM17" s="19">
        <v>226536666</v>
      </c>
      <c r="FN17" s="19">
        <v>121077896</v>
      </c>
      <c r="FO17" s="47" t="s">
        <v>172</v>
      </c>
      <c r="FP17" s="19">
        <v>353986764</v>
      </c>
      <c r="FQ17" s="19">
        <v>14795600</v>
      </c>
      <c r="FR17" s="19">
        <v>121297888</v>
      </c>
      <c r="FS17" s="47" t="s">
        <v>130</v>
      </c>
      <c r="FT17" s="19">
        <v>53724714</v>
      </c>
      <c r="FU17" s="19">
        <v>0</v>
      </c>
      <c r="FV17" s="19">
        <v>2518111057</v>
      </c>
      <c r="FW17" s="19">
        <v>18000000</v>
      </c>
      <c r="FX17" s="19">
        <v>87560607</v>
      </c>
      <c r="FY17" s="19">
        <v>7593046</v>
      </c>
      <c r="FZ17" s="47" t="s">
        <v>175</v>
      </c>
      <c r="GA17" s="19">
        <v>14346157</v>
      </c>
      <c r="GB17" s="19">
        <v>199780778</v>
      </c>
      <c r="GC17" s="19">
        <v>33481980</v>
      </c>
      <c r="GD17" s="48" t="s">
        <v>96</v>
      </c>
      <c r="GE17" s="48" t="s">
        <v>96</v>
      </c>
      <c r="GF17" s="19">
        <v>0</v>
      </c>
      <c r="GG17" s="19">
        <v>5332190</v>
      </c>
      <c r="GH17" s="47" t="s">
        <v>172</v>
      </c>
      <c r="GI17" s="19">
        <v>0</v>
      </c>
      <c r="GJ17" s="47" t="s">
        <v>96</v>
      </c>
      <c r="GK17" s="19">
        <v>1764725</v>
      </c>
      <c r="GL17" s="47" t="s">
        <v>96</v>
      </c>
      <c r="GM17" s="19">
        <v>0</v>
      </c>
      <c r="GN17" s="19">
        <v>170136363</v>
      </c>
      <c r="GO17" s="47" t="s">
        <v>96</v>
      </c>
      <c r="GP17" s="19">
        <v>43989215</v>
      </c>
      <c r="GQ17" s="19">
        <v>0</v>
      </c>
      <c r="GR17" s="19">
        <v>778497924</v>
      </c>
      <c r="GS17" s="19">
        <v>104670182</v>
      </c>
      <c r="GT17" s="19">
        <v>40000000</v>
      </c>
      <c r="GU17" s="19">
        <v>0</v>
      </c>
      <c r="GV17" s="19">
        <v>6000</v>
      </c>
      <c r="GW17" s="19">
        <v>287522745</v>
      </c>
      <c r="GX17" s="19">
        <v>183425235</v>
      </c>
      <c r="GY17" s="19">
        <v>15467593</v>
      </c>
      <c r="GZ17" s="19">
        <v>23717880</v>
      </c>
      <c r="HA17" s="19">
        <v>0</v>
      </c>
      <c r="HB17" s="19">
        <v>520048</v>
      </c>
      <c r="HC17" s="19">
        <v>131563636</v>
      </c>
      <c r="HD17" s="19">
        <v>1052800</v>
      </c>
      <c r="HE17" s="19">
        <v>19329731</v>
      </c>
      <c r="HF17" s="19">
        <v>0</v>
      </c>
      <c r="HG17" s="19">
        <v>2850203</v>
      </c>
      <c r="HH17" s="47" t="s">
        <v>130</v>
      </c>
      <c r="HI17" s="19">
        <v>91072587</v>
      </c>
      <c r="HJ17" s="19">
        <v>0</v>
      </c>
      <c r="HK17" s="19">
        <v>47360175</v>
      </c>
      <c r="HL17" s="19">
        <v>59562729</v>
      </c>
      <c r="HM17" s="19">
        <v>0</v>
      </c>
      <c r="HN17" s="19">
        <v>36335834</v>
      </c>
      <c r="HO17" s="19">
        <v>7560000</v>
      </c>
      <c r="HP17" s="19">
        <v>39336375</v>
      </c>
      <c r="HQ17" s="19">
        <v>39706334</v>
      </c>
      <c r="HR17" s="19">
        <v>1000</v>
      </c>
      <c r="HS17" s="19">
        <v>87148874</v>
      </c>
      <c r="HT17" s="19">
        <v>0</v>
      </c>
      <c r="HU17" s="19">
        <v>304355434</v>
      </c>
      <c r="HV17" s="19">
        <v>0</v>
      </c>
      <c r="HW17" s="19" t="s">
        <v>96</v>
      </c>
      <c r="HX17" s="19">
        <v>627071389</v>
      </c>
      <c r="HY17" s="19" t="s">
        <v>172</v>
      </c>
      <c r="HZ17" s="19">
        <v>0</v>
      </c>
      <c r="IA17" s="19">
        <v>0</v>
      </c>
      <c r="IB17" s="19">
        <v>119652216</v>
      </c>
      <c r="IC17" s="19">
        <v>423685111</v>
      </c>
      <c r="ID17" s="19">
        <v>0</v>
      </c>
      <c r="IE17" s="47" t="s">
        <v>96</v>
      </c>
      <c r="IF17" s="19">
        <v>0</v>
      </c>
      <c r="IG17" s="19">
        <v>1297230</v>
      </c>
      <c r="IH17" s="19">
        <v>140696820</v>
      </c>
      <c r="II17" s="19">
        <v>181266386</v>
      </c>
      <c r="IJ17" s="19">
        <v>0</v>
      </c>
      <c r="IK17" s="19">
        <v>0</v>
      </c>
      <c r="IL17" s="19">
        <v>27203408</v>
      </c>
      <c r="IM17" s="19">
        <v>7200000</v>
      </c>
      <c r="IN17" s="19">
        <v>0</v>
      </c>
      <c r="IO17" s="19">
        <v>0</v>
      </c>
      <c r="IP17" s="19">
        <v>806667</v>
      </c>
      <c r="IQ17" s="19">
        <v>0</v>
      </c>
      <c r="IR17" s="19">
        <v>0</v>
      </c>
      <c r="IS17" s="19">
        <v>1118183</v>
      </c>
      <c r="IT17" s="19">
        <v>16868904</v>
      </c>
      <c r="IU17" s="45">
        <v>0</v>
      </c>
      <c r="IV17" s="45">
        <v>0</v>
      </c>
      <c r="IW17" s="45">
        <v>39077875</v>
      </c>
      <c r="IX17" s="45">
        <v>1945482</v>
      </c>
      <c r="IY17" s="45">
        <v>262276363</v>
      </c>
      <c r="IZ17" s="45">
        <v>44281485</v>
      </c>
      <c r="JA17" s="45">
        <v>46971232</v>
      </c>
      <c r="JB17" s="45">
        <v>3721667</v>
      </c>
      <c r="JC17" s="45">
        <v>0</v>
      </c>
      <c r="JD17" s="45">
        <v>0</v>
      </c>
      <c r="JE17" s="45">
        <v>326540</v>
      </c>
      <c r="JF17" s="45">
        <v>563569414</v>
      </c>
      <c r="JG17" s="45">
        <v>7920000</v>
      </c>
      <c r="JH17" s="45">
        <v>0</v>
      </c>
      <c r="JI17" s="45">
        <v>0</v>
      </c>
      <c r="JJ17" s="45">
        <v>0</v>
      </c>
      <c r="JK17" s="45">
        <v>856480</v>
      </c>
      <c r="JL17" s="45">
        <v>0</v>
      </c>
      <c r="JM17" s="45">
        <v>0</v>
      </c>
      <c r="JN17" s="45">
        <v>497413245</v>
      </c>
      <c r="JO17" s="46">
        <v>4400000</v>
      </c>
      <c r="JP17" s="46">
        <v>4000</v>
      </c>
      <c r="JQ17" s="63" t="s">
        <v>175</v>
      </c>
      <c r="JR17" s="46">
        <v>0</v>
      </c>
      <c r="JS17" s="46">
        <v>0</v>
      </c>
      <c r="JT17" s="46">
        <v>4026000</v>
      </c>
      <c r="JU17" s="46">
        <v>32375834</v>
      </c>
      <c r="JV17" s="46">
        <v>0</v>
      </c>
      <c r="JW17" s="46">
        <v>0</v>
      </c>
      <c r="JX17" s="46">
        <v>0</v>
      </c>
      <c r="JY17" s="46">
        <v>0</v>
      </c>
      <c r="JZ17" s="46">
        <v>225800</v>
      </c>
      <c r="KA17" s="46">
        <v>0</v>
      </c>
      <c r="KB17" s="46">
        <v>120847822</v>
      </c>
      <c r="KC17" s="46">
        <v>440000</v>
      </c>
      <c r="KD17" s="46">
        <v>0</v>
      </c>
      <c r="KE17" s="46">
        <v>0</v>
      </c>
      <c r="KF17" s="46">
        <v>100542424</v>
      </c>
      <c r="KG17" s="46">
        <v>2804002</v>
      </c>
      <c r="KH17" s="46">
        <v>647562932</v>
      </c>
    </row>
    <row r="18" spans="1:294">
      <c r="A18" s="7" t="s">
        <v>182</v>
      </c>
      <c r="B18" s="12" t="s">
        <v>54</v>
      </c>
      <c r="C18" s="19">
        <v>58303000</v>
      </c>
      <c r="D18" s="19"/>
      <c r="E18" s="19"/>
      <c r="F18" s="19"/>
      <c r="G18" s="47" t="s">
        <v>130</v>
      </c>
      <c r="H18" s="19">
        <v>80000</v>
      </c>
      <c r="I18" s="19"/>
      <c r="J18" s="47" t="s">
        <v>4</v>
      </c>
      <c r="K18" s="19"/>
      <c r="L18" s="47" t="s">
        <v>96</v>
      </c>
      <c r="M18" s="47" t="s">
        <v>96</v>
      </c>
      <c r="N18" s="19">
        <v>86801243</v>
      </c>
      <c r="O18" s="19"/>
      <c r="P18" s="19">
        <v>40381062</v>
      </c>
      <c r="Q18" s="19">
        <v>348336</v>
      </c>
      <c r="R18" s="19"/>
      <c r="S18" s="19">
        <v>30570577</v>
      </c>
      <c r="T18" s="47" t="s">
        <v>96</v>
      </c>
      <c r="U18" s="47" t="s">
        <v>172</v>
      </c>
      <c r="V18" s="47" t="s">
        <v>172</v>
      </c>
      <c r="W18" s="19"/>
      <c r="X18" s="19"/>
      <c r="Y18" s="19">
        <v>20305789</v>
      </c>
      <c r="Z18" s="19"/>
      <c r="AA18" s="19"/>
      <c r="AB18" s="19">
        <v>1000</v>
      </c>
      <c r="AC18" s="19"/>
      <c r="AD18" s="19"/>
      <c r="AE18" s="19"/>
      <c r="AF18" s="47" t="s">
        <v>172</v>
      </c>
      <c r="AG18" s="19">
        <v>208449998</v>
      </c>
      <c r="AH18" s="19">
        <v>79698326</v>
      </c>
      <c r="AI18" s="19">
        <v>74631486</v>
      </c>
      <c r="AJ18" s="19"/>
      <c r="AK18" s="19"/>
      <c r="AL18" s="19">
        <v>1040000</v>
      </c>
      <c r="AM18" s="47" t="s">
        <v>4</v>
      </c>
      <c r="AN18" s="19">
        <v>4000</v>
      </c>
      <c r="AO18" s="19">
        <v>978334</v>
      </c>
      <c r="AP18" s="19">
        <v>76162</v>
      </c>
      <c r="AQ18" s="47" t="s">
        <v>96</v>
      </c>
      <c r="AR18" s="19"/>
      <c r="AS18" s="19"/>
      <c r="AT18" s="47" t="s">
        <v>172</v>
      </c>
      <c r="AU18" s="19"/>
      <c r="AV18" s="19"/>
      <c r="AW18" s="19"/>
      <c r="AX18" s="47" t="s">
        <v>4</v>
      </c>
      <c r="AY18" s="19"/>
      <c r="AZ18" s="19"/>
      <c r="BA18" s="19">
        <v>93864693</v>
      </c>
      <c r="BB18" s="19"/>
      <c r="BC18" s="47" t="s">
        <v>4</v>
      </c>
      <c r="BD18" s="47" t="s">
        <v>130</v>
      </c>
      <c r="BE18" s="19">
        <v>5447940</v>
      </c>
      <c r="BF18" s="47" t="s">
        <v>96</v>
      </c>
      <c r="BG18" s="19">
        <v>8677577</v>
      </c>
      <c r="BH18" s="19"/>
      <c r="BI18" s="19">
        <v>2000</v>
      </c>
      <c r="BJ18" s="19"/>
      <c r="BK18" s="19"/>
      <c r="BL18" s="19"/>
      <c r="BM18" s="19"/>
      <c r="BN18" s="19">
        <v>304547</v>
      </c>
      <c r="BO18" s="19">
        <v>1120100</v>
      </c>
      <c r="BP18" s="47" t="s">
        <v>96</v>
      </c>
      <c r="BQ18" s="47" t="s">
        <v>4</v>
      </c>
      <c r="BR18" s="19">
        <v>6283500</v>
      </c>
      <c r="BS18" s="19"/>
      <c r="BT18" s="47" t="s">
        <v>130</v>
      </c>
      <c r="BU18" s="19"/>
      <c r="BV18" s="19"/>
      <c r="BW18" s="19"/>
      <c r="BX18" s="19">
        <v>36180000</v>
      </c>
      <c r="BY18" s="19">
        <v>22687760</v>
      </c>
      <c r="BZ18" s="19"/>
      <c r="CA18" s="19">
        <v>470575166</v>
      </c>
      <c r="CB18" s="19"/>
      <c r="CC18" s="19"/>
      <c r="CD18" s="19"/>
      <c r="CE18" s="19"/>
      <c r="CF18" s="19"/>
      <c r="CG18" s="19"/>
      <c r="CH18" s="19"/>
      <c r="CI18" s="47" t="s">
        <v>130</v>
      </c>
      <c r="CJ18" s="19"/>
      <c r="CK18" s="19">
        <v>3145454</v>
      </c>
      <c r="CL18" s="19"/>
      <c r="CM18" s="19"/>
      <c r="CN18" s="19"/>
      <c r="CO18" s="19">
        <v>-19800000</v>
      </c>
      <c r="CP18" s="19">
        <v>43963636</v>
      </c>
      <c r="CQ18" s="47" t="s">
        <v>96</v>
      </c>
      <c r="CR18" s="19">
        <v>0</v>
      </c>
      <c r="CS18" s="47" t="s">
        <v>172</v>
      </c>
      <c r="CT18" s="19"/>
      <c r="CU18" s="19"/>
      <c r="CV18" s="19">
        <v>4750000</v>
      </c>
      <c r="CW18" s="19"/>
      <c r="CX18" s="19"/>
      <c r="CY18" s="47" t="s">
        <v>96</v>
      </c>
      <c r="CZ18" s="19"/>
      <c r="DA18" s="47" t="s">
        <v>89</v>
      </c>
      <c r="DB18" s="19"/>
      <c r="DC18" s="19"/>
      <c r="DD18" s="19"/>
      <c r="DE18" s="19"/>
      <c r="DF18" s="19"/>
      <c r="DG18" s="19"/>
      <c r="DH18" s="19"/>
      <c r="DI18" s="19"/>
      <c r="DJ18" s="19"/>
      <c r="DK18" s="19"/>
      <c r="DL18" s="19"/>
      <c r="DM18" s="19"/>
      <c r="DN18" s="19"/>
      <c r="DO18" s="19"/>
      <c r="DP18" s="19"/>
      <c r="DQ18" s="19"/>
      <c r="DR18" s="19"/>
      <c r="DS18" s="19"/>
      <c r="DT18" s="19">
        <v>459167</v>
      </c>
      <c r="DU18" s="19"/>
      <c r="DV18" s="19"/>
      <c r="DW18" s="19"/>
      <c r="DX18" s="19">
        <v>225411664</v>
      </c>
      <c r="DY18" s="19"/>
      <c r="DZ18" s="19"/>
      <c r="EA18" s="19"/>
      <c r="EB18" s="19"/>
      <c r="EC18" s="19"/>
      <c r="ED18" s="19"/>
      <c r="EE18" s="19"/>
      <c r="EF18" s="19"/>
      <c r="EG18" s="19"/>
      <c r="EH18" s="19"/>
      <c r="EI18" s="19">
        <v>153735600</v>
      </c>
      <c r="EJ18" s="19">
        <v>1000</v>
      </c>
      <c r="EK18" s="19">
        <v>102680000</v>
      </c>
      <c r="EL18" s="19"/>
      <c r="EM18" s="19"/>
      <c r="EN18" s="19"/>
      <c r="EO18" s="19"/>
      <c r="EP18" s="19"/>
      <c r="EQ18" s="19"/>
      <c r="ER18" s="19"/>
      <c r="ES18" s="19"/>
      <c r="ET18" s="19">
        <v>117099941</v>
      </c>
      <c r="EU18" s="19">
        <v>19000</v>
      </c>
      <c r="EV18" s="19"/>
      <c r="EW18" s="19"/>
      <c r="EX18" s="19"/>
      <c r="EY18" s="19"/>
      <c r="EZ18" s="19">
        <v>2960017</v>
      </c>
      <c r="FA18" s="47" t="s">
        <v>130</v>
      </c>
      <c r="FB18" s="19"/>
      <c r="FC18" s="19"/>
      <c r="FD18" s="19"/>
      <c r="FE18" s="19">
        <v>3322845</v>
      </c>
      <c r="FF18" s="19"/>
      <c r="FG18" s="19">
        <v>6206834</v>
      </c>
      <c r="FH18" s="19">
        <v>67034778</v>
      </c>
      <c r="FI18" s="47" t="s">
        <v>96</v>
      </c>
      <c r="FJ18" s="19"/>
      <c r="FK18" s="19"/>
      <c r="FL18" s="47" t="s">
        <v>130</v>
      </c>
      <c r="FM18" s="19"/>
      <c r="FN18" s="19">
        <v>8871699</v>
      </c>
      <c r="FO18" s="47" t="s">
        <v>172</v>
      </c>
      <c r="FP18" s="19"/>
      <c r="FQ18" s="19"/>
      <c r="FR18" s="19"/>
      <c r="FS18" s="47" t="s">
        <v>130</v>
      </c>
      <c r="FT18" s="19">
        <v>44852042</v>
      </c>
      <c r="FU18" s="19"/>
      <c r="FV18" s="19"/>
      <c r="FW18" s="19"/>
      <c r="FX18" s="19"/>
      <c r="FY18" s="19">
        <v>6240000</v>
      </c>
      <c r="FZ18" s="47" t="s">
        <v>175</v>
      </c>
      <c r="GA18" s="19"/>
      <c r="GB18" s="19"/>
      <c r="GC18" s="19"/>
      <c r="GD18" s="48" t="s">
        <v>96</v>
      </c>
      <c r="GE18" s="48" t="s">
        <v>96</v>
      </c>
      <c r="GF18" s="19"/>
      <c r="GG18" s="19"/>
      <c r="GH18" s="47" t="s">
        <v>172</v>
      </c>
      <c r="GI18" s="19"/>
      <c r="GJ18" s="47" t="s">
        <v>96</v>
      </c>
      <c r="GK18" s="19"/>
      <c r="GL18" s="47" t="s">
        <v>96</v>
      </c>
      <c r="GM18" s="19"/>
      <c r="GN18" s="19">
        <v>21136363</v>
      </c>
      <c r="GO18" s="47" t="s">
        <v>96</v>
      </c>
      <c r="GP18" s="19">
        <v>43989215</v>
      </c>
      <c r="GQ18" s="19"/>
      <c r="GR18" s="19"/>
      <c r="GS18" s="19">
        <v>88499078</v>
      </c>
      <c r="GT18" s="19"/>
      <c r="GU18" s="19"/>
      <c r="GV18" s="19">
        <v>1000</v>
      </c>
      <c r="GW18" s="19">
        <v>130599085</v>
      </c>
      <c r="GX18" s="19"/>
      <c r="GY18" s="19"/>
      <c r="GZ18" s="19"/>
      <c r="HA18" s="19"/>
      <c r="HB18" s="19"/>
      <c r="HC18" s="19"/>
      <c r="HD18" s="19"/>
      <c r="HE18" s="19"/>
      <c r="HF18" s="19"/>
      <c r="HG18" s="19"/>
      <c r="HH18" s="47" t="s">
        <v>130</v>
      </c>
      <c r="HI18" s="19">
        <v>86545455</v>
      </c>
      <c r="HJ18" s="19"/>
      <c r="HK18" s="19">
        <v>6583409</v>
      </c>
      <c r="HL18" s="19">
        <v>59562729</v>
      </c>
      <c r="HM18" s="19"/>
      <c r="HN18" s="19">
        <v>13333334</v>
      </c>
      <c r="HO18" s="19">
        <v>7560000</v>
      </c>
      <c r="HP18" s="19">
        <v>33336375</v>
      </c>
      <c r="HQ18" s="19">
        <v>39706334</v>
      </c>
      <c r="HR18" s="19"/>
      <c r="HS18" s="19"/>
      <c r="HT18" s="19"/>
      <c r="HU18" s="19">
        <v>1693334</v>
      </c>
      <c r="HV18" s="19"/>
      <c r="HW18" s="19" t="s">
        <v>96</v>
      </c>
      <c r="HX18" s="19"/>
      <c r="HY18" s="19" t="s">
        <v>172</v>
      </c>
      <c r="HZ18" s="19"/>
      <c r="IA18" s="19"/>
      <c r="IB18" s="19">
        <v>91363826</v>
      </c>
      <c r="IC18" s="19">
        <v>302676657</v>
      </c>
      <c r="ID18" s="19"/>
      <c r="IE18" s="47" t="s">
        <v>96</v>
      </c>
      <c r="IF18" s="19"/>
      <c r="IG18" s="19"/>
      <c r="IH18" s="19"/>
      <c r="II18" s="19"/>
      <c r="IJ18" s="19"/>
      <c r="IK18" s="19"/>
      <c r="IL18" s="19"/>
      <c r="IM18" s="19"/>
      <c r="IN18" s="19"/>
      <c r="IO18" s="19"/>
      <c r="IP18" s="19">
        <v>806667</v>
      </c>
      <c r="IQ18" s="19"/>
      <c r="IR18" s="19"/>
      <c r="IS18" s="19">
        <v>1118183</v>
      </c>
      <c r="IT18" s="19">
        <v>14750000</v>
      </c>
      <c r="IU18" s="45"/>
      <c r="IV18" s="45"/>
      <c r="IW18" s="45">
        <v>2572728</v>
      </c>
      <c r="IX18" s="45">
        <v>1545455</v>
      </c>
      <c r="IY18" s="45"/>
      <c r="IZ18" s="45">
        <v>33372726</v>
      </c>
      <c r="JA18" s="45"/>
      <c r="JB18" s="45">
        <v>3721667</v>
      </c>
      <c r="JC18" s="45"/>
      <c r="JD18" s="45"/>
      <c r="JE18" s="45"/>
      <c r="JF18" s="45"/>
      <c r="JG18" s="45"/>
      <c r="JH18" s="45"/>
      <c r="JI18" s="45"/>
      <c r="JJ18" s="45"/>
      <c r="JK18" s="45"/>
      <c r="JL18" s="45"/>
      <c r="JM18" s="45"/>
      <c r="JN18" s="45">
        <v>1160000</v>
      </c>
      <c r="JO18" s="46"/>
      <c r="JP18" s="46">
        <v>4000</v>
      </c>
      <c r="JQ18" s="63" t="s">
        <v>175</v>
      </c>
      <c r="JR18" s="46"/>
      <c r="JS18" s="46"/>
      <c r="JT18" s="46"/>
      <c r="JU18" s="46">
        <v>18180000</v>
      </c>
      <c r="JV18" s="46"/>
      <c r="JW18" s="46"/>
      <c r="JX18" s="46"/>
      <c r="JY18" s="46"/>
      <c r="JZ18" s="46"/>
      <c r="KA18" s="46"/>
      <c r="KB18" s="46"/>
      <c r="KC18" s="46"/>
      <c r="KD18" s="46"/>
      <c r="KE18" s="46"/>
      <c r="KF18" s="46"/>
      <c r="KG18" s="46"/>
      <c r="KH18" s="46"/>
    </row>
    <row r="19" spans="1:294">
      <c r="A19" s="7" t="s">
        <v>182</v>
      </c>
      <c r="B19" s="12" t="s">
        <v>74</v>
      </c>
      <c r="C19" s="19"/>
      <c r="D19" s="19"/>
      <c r="E19" s="19"/>
      <c r="F19" s="19"/>
      <c r="G19" s="47" t="s">
        <v>130</v>
      </c>
      <c r="H19" s="19"/>
      <c r="I19" s="19"/>
      <c r="J19" s="47" t="s">
        <v>4</v>
      </c>
      <c r="K19" s="19">
        <v>213600</v>
      </c>
      <c r="L19" s="47" t="s">
        <v>96</v>
      </c>
      <c r="M19" s="47" t="s">
        <v>96</v>
      </c>
      <c r="N19" s="19"/>
      <c r="O19" s="19"/>
      <c r="P19" s="19"/>
      <c r="Q19" s="19">
        <v>99152</v>
      </c>
      <c r="R19" s="19">
        <v>1496850</v>
      </c>
      <c r="S19" s="19">
        <v>7845910</v>
      </c>
      <c r="T19" s="47" t="s">
        <v>96</v>
      </c>
      <c r="U19" s="47" t="s">
        <v>172</v>
      </c>
      <c r="V19" s="47" t="s">
        <v>172</v>
      </c>
      <c r="W19" s="19">
        <v>5702513</v>
      </c>
      <c r="X19" s="19"/>
      <c r="Y19" s="19"/>
      <c r="Z19" s="19"/>
      <c r="AA19" s="19">
        <v>657905</v>
      </c>
      <c r="AB19" s="19"/>
      <c r="AC19" s="19">
        <v>440240</v>
      </c>
      <c r="AD19" s="19"/>
      <c r="AE19" s="19">
        <v>3145455</v>
      </c>
      <c r="AF19" s="47" t="s">
        <v>172</v>
      </c>
      <c r="AG19" s="19">
        <v>2452000</v>
      </c>
      <c r="AH19" s="19">
        <v>100152368</v>
      </c>
      <c r="AI19" s="19">
        <v>12514580</v>
      </c>
      <c r="AJ19" s="19"/>
      <c r="AK19" s="19"/>
      <c r="AL19" s="19"/>
      <c r="AM19" s="47" t="s">
        <v>4</v>
      </c>
      <c r="AN19" s="19">
        <v>1022122</v>
      </c>
      <c r="AO19" s="19">
        <v>18658665</v>
      </c>
      <c r="AP19" s="19"/>
      <c r="AQ19" s="47" t="s">
        <v>96</v>
      </c>
      <c r="AR19" s="19">
        <v>884862</v>
      </c>
      <c r="AS19" s="19"/>
      <c r="AT19" s="47" t="s">
        <v>172</v>
      </c>
      <c r="AU19" s="19">
        <v>1000000</v>
      </c>
      <c r="AV19" s="19"/>
      <c r="AW19" s="19"/>
      <c r="AX19" s="47" t="s">
        <v>4</v>
      </c>
      <c r="AY19" s="19">
        <v>1277125</v>
      </c>
      <c r="AZ19" s="19">
        <v>5500001</v>
      </c>
      <c r="BA19" s="19"/>
      <c r="BB19" s="19"/>
      <c r="BC19" s="47" t="s">
        <v>4</v>
      </c>
      <c r="BD19" s="47" t="s">
        <v>130</v>
      </c>
      <c r="BE19" s="19">
        <v>5388568</v>
      </c>
      <c r="BF19" s="47" t="s">
        <v>96</v>
      </c>
      <c r="BG19" s="19">
        <v>3720567</v>
      </c>
      <c r="BH19" s="19"/>
      <c r="BI19" s="19">
        <v>910248</v>
      </c>
      <c r="BJ19" s="19"/>
      <c r="BK19" s="19">
        <v>73208864</v>
      </c>
      <c r="BL19" s="19"/>
      <c r="BM19" s="19">
        <v>5896897</v>
      </c>
      <c r="BN19" s="19">
        <v>16300</v>
      </c>
      <c r="BO19" s="19">
        <v>1166281</v>
      </c>
      <c r="BP19" s="47" t="s">
        <v>96</v>
      </c>
      <c r="BQ19" s="47" t="s">
        <v>4</v>
      </c>
      <c r="BR19" s="19">
        <v>166929</v>
      </c>
      <c r="BS19" s="19"/>
      <c r="BT19" s="47" t="s">
        <v>130</v>
      </c>
      <c r="BU19" s="19">
        <v>20007891</v>
      </c>
      <c r="BV19" s="19"/>
      <c r="BW19" s="19"/>
      <c r="BX19" s="19"/>
      <c r="BY19" s="19">
        <v>4179298</v>
      </c>
      <c r="BZ19" s="19">
        <v>1316700</v>
      </c>
      <c r="CA19" s="19">
        <v>4046000</v>
      </c>
      <c r="CB19" s="19">
        <v>1000</v>
      </c>
      <c r="CC19" s="19"/>
      <c r="CD19" s="19"/>
      <c r="CE19" s="19"/>
      <c r="CF19" s="19">
        <v>2258792</v>
      </c>
      <c r="CG19" s="19"/>
      <c r="CH19" s="19">
        <v>5053915</v>
      </c>
      <c r="CI19" s="47" t="s">
        <v>130</v>
      </c>
      <c r="CJ19" s="19"/>
      <c r="CK19" s="19"/>
      <c r="CL19" s="19">
        <v>4397000</v>
      </c>
      <c r="CM19" s="19"/>
      <c r="CN19" s="19">
        <v>5000</v>
      </c>
      <c r="CO19" s="19"/>
      <c r="CP19" s="19">
        <v>200000</v>
      </c>
      <c r="CQ19" s="47" t="s">
        <v>96</v>
      </c>
      <c r="CR19" s="19"/>
      <c r="CS19" s="47" t="s">
        <v>172</v>
      </c>
      <c r="CT19" s="19">
        <v>1404414</v>
      </c>
      <c r="CU19" s="19"/>
      <c r="CV19" s="19"/>
      <c r="CW19" s="19"/>
      <c r="CX19" s="19"/>
      <c r="CY19" s="47" t="s">
        <v>96</v>
      </c>
      <c r="CZ19" s="19"/>
      <c r="DA19" s="47" t="s">
        <v>89</v>
      </c>
      <c r="DB19" s="19"/>
      <c r="DC19" s="19"/>
      <c r="DD19" s="19"/>
      <c r="DE19" s="19"/>
      <c r="DF19" s="19">
        <v>0</v>
      </c>
      <c r="DG19" s="19"/>
      <c r="DH19" s="19">
        <v>1082860</v>
      </c>
      <c r="DI19" s="19">
        <v>17750523</v>
      </c>
      <c r="DJ19" s="19"/>
      <c r="DK19" s="19">
        <v>16528465</v>
      </c>
      <c r="DL19" s="19"/>
      <c r="DM19" s="19"/>
      <c r="DN19" s="19">
        <v>88334</v>
      </c>
      <c r="DO19" s="19">
        <v>312000</v>
      </c>
      <c r="DP19" s="19">
        <v>1673573</v>
      </c>
      <c r="DQ19" s="19"/>
      <c r="DR19" s="19">
        <v>14449264</v>
      </c>
      <c r="DS19" s="19"/>
      <c r="DT19" s="19">
        <v>283334</v>
      </c>
      <c r="DU19" s="19"/>
      <c r="DV19" s="19"/>
      <c r="DW19" s="19">
        <v>18081419</v>
      </c>
      <c r="DX19" s="19"/>
      <c r="DY19" s="19"/>
      <c r="DZ19" s="19"/>
      <c r="EA19" s="19"/>
      <c r="EB19" s="19">
        <v>662737</v>
      </c>
      <c r="EC19" s="19">
        <v>5631644</v>
      </c>
      <c r="ED19" s="19"/>
      <c r="EE19" s="19"/>
      <c r="EF19" s="19">
        <v>291000</v>
      </c>
      <c r="EG19" s="19">
        <v>572004795</v>
      </c>
      <c r="EH19" s="19"/>
      <c r="EI19" s="19">
        <v>1011007</v>
      </c>
      <c r="EJ19" s="19"/>
      <c r="EK19" s="19"/>
      <c r="EL19" s="19"/>
      <c r="EM19" s="19"/>
      <c r="EN19" s="19"/>
      <c r="EO19" s="19"/>
      <c r="EP19" s="19"/>
      <c r="EQ19" s="19"/>
      <c r="ER19" s="19"/>
      <c r="ES19" s="19">
        <v>632885</v>
      </c>
      <c r="ET19" s="19">
        <v>16182535</v>
      </c>
      <c r="EU19" s="19"/>
      <c r="EV19" s="19"/>
      <c r="EW19" s="19">
        <v>23048320</v>
      </c>
      <c r="EX19" s="19"/>
      <c r="EY19" s="19"/>
      <c r="EZ19" s="19"/>
      <c r="FA19" s="47" t="s">
        <v>130</v>
      </c>
      <c r="FB19" s="19">
        <v>2458940</v>
      </c>
      <c r="FC19" s="19"/>
      <c r="FD19" s="19"/>
      <c r="FE19" s="19"/>
      <c r="FF19" s="19"/>
      <c r="FG19" s="19">
        <v>1000</v>
      </c>
      <c r="FH19" s="19"/>
      <c r="FI19" s="47" t="s">
        <v>96</v>
      </c>
      <c r="FJ19" s="19"/>
      <c r="FK19" s="19"/>
      <c r="FL19" s="47" t="s">
        <v>130</v>
      </c>
      <c r="FM19" s="19">
        <v>7421001</v>
      </c>
      <c r="FN19" s="19">
        <v>34826689</v>
      </c>
      <c r="FO19" s="47" t="s">
        <v>172</v>
      </c>
      <c r="FP19" s="19">
        <v>10330844</v>
      </c>
      <c r="FQ19" s="19">
        <v>14795600</v>
      </c>
      <c r="FR19" s="19"/>
      <c r="FS19" s="47" t="s">
        <v>130</v>
      </c>
      <c r="FT19" s="19">
        <v>8872672</v>
      </c>
      <c r="FU19" s="19"/>
      <c r="FV19" s="19">
        <v>17382094</v>
      </c>
      <c r="FW19" s="19"/>
      <c r="FX19" s="19"/>
      <c r="FY19" s="19">
        <v>1353046</v>
      </c>
      <c r="FZ19" s="47" t="s">
        <v>175</v>
      </c>
      <c r="GA19" s="19">
        <v>14346157</v>
      </c>
      <c r="GB19" s="19">
        <v>900630</v>
      </c>
      <c r="GC19" s="19">
        <v>479340</v>
      </c>
      <c r="GD19" s="48" t="s">
        <v>96</v>
      </c>
      <c r="GE19" s="48" t="s">
        <v>96</v>
      </c>
      <c r="GF19" s="19"/>
      <c r="GG19" s="19">
        <v>5332190</v>
      </c>
      <c r="GH19" s="47" t="s">
        <v>172</v>
      </c>
      <c r="GI19" s="19"/>
      <c r="GJ19" s="47" t="s">
        <v>96</v>
      </c>
      <c r="GK19" s="19">
        <v>1764725</v>
      </c>
      <c r="GL19" s="47" t="s">
        <v>96</v>
      </c>
      <c r="GM19" s="19"/>
      <c r="GN19" s="19"/>
      <c r="GO19" s="47" t="s">
        <v>96</v>
      </c>
      <c r="GP19" s="19"/>
      <c r="GQ19" s="19"/>
      <c r="GR19" s="19">
        <v>1287000</v>
      </c>
      <c r="GS19" s="19"/>
      <c r="GT19" s="19"/>
      <c r="GU19" s="19"/>
      <c r="GV19" s="19">
        <v>5000</v>
      </c>
      <c r="GW19" s="19">
        <v>24551917</v>
      </c>
      <c r="GX19" s="19"/>
      <c r="GY19" s="19">
        <v>14987593</v>
      </c>
      <c r="GZ19" s="19">
        <v>7811970</v>
      </c>
      <c r="HA19" s="19"/>
      <c r="HB19" s="19">
        <v>520048</v>
      </c>
      <c r="HC19" s="19"/>
      <c r="HD19" s="19">
        <v>1052800</v>
      </c>
      <c r="HE19" s="19">
        <v>12329731</v>
      </c>
      <c r="HF19" s="19"/>
      <c r="HG19" s="19">
        <v>1050203</v>
      </c>
      <c r="HH19" s="47" t="s">
        <v>130</v>
      </c>
      <c r="HI19" s="19">
        <v>4527132</v>
      </c>
      <c r="HJ19" s="19"/>
      <c r="HK19" s="19">
        <v>40776766</v>
      </c>
      <c r="HL19" s="19"/>
      <c r="HM19" s="19"/>
      <c r="HN19" s="19"/>
      <c r="HO19" s="19"/>
      <c r="HP19" s="19"/>
      <c r="HQ19" s="19"/>
      <c r="HR19" s="19"/>
      <c r="HS19" s="19">
        <v>3398851</v>
      </c>
      <c r="HT19" s="19"/>
      <c r="HU19" s="19">
        <v>5209400</v>
      </c>
      <c r="HV19" s="19"/>
      <c r="HW19" s="19" t="s">
        <v>96</v>
      </c>
      <c r="HX19" s="19">
        <v>339593498</v>
      </c>
      <c r="HY19" s="19" t="s">
        <v>172</v>
      </c>
      <c r="HZ19" s="19"/>
      <c r="IA19" s="19"/>
      <c r="IB19" s="19"/>
      <c r="IC19" s="19">
        <v>1332457</v>
      </c>
      <c r="ID19" s="19"/>
      <c r="IE19" s="47" t="s">
        <v>96</v>
      </c>
      <c r="IF19" s="19"/>
      <c r="IG19" s="19">
        <v>1297230</v>
      </c>
      <c r="IH19" s="19">
        <v>396014</v>
      </c>
      <c r="II19" s="19">
        <v>5098700</v>
      </c>
      <c r="IJ19" s="19"/>
      <c r="IK19" s="19"/>
      <c r="IL19" s="19">
        <v>9973408</v>
      </c>
      <c r="IM19" s="19"/>
      <c r="IN19" s="19"/>
      <c r="IO19" s="19"/>
      <c r="IP19" s="19"/>
      <c r="IQ19" s="19"/>
      <c r="IR19" s="19"/>
      <c r="IS19" s="19"/>
      <c r="IT19" s="19">
        <v>2118904</v>
      </c>
      <c r="IU19" s="45"/>
      <c r="IV19" s="45"/>
      <c r="IW19" s="45">
        <v>36505147</v>
      </c>
      <c r="IX19" s="45">
        <v>400027</v>
      </c>
      <c r="IY19" s="45">
        <v>108640000</v>
      </c>
      <c r="IZ19" s="45">
        <v>1817850</v>
      </c>
      <c r="JA19" s="45">
        <v>3774262</v>
      </c>
      <c r="JB19" s="45"/>
      <c r="JC19" s="45"/>
      <c r="JD19" s="45"/>
      <c r="JE19" s="45">
        <v>326540</v>
      </c>
      <c r="JF19" s="45"/>
      <c r="JG19" s="45"/>
      <c r="JH19" s="45"/>
      <c r="JI19" s="45"/>
      <c r="JJ19" s="45"/>
      <c r="JK19" s="45">
        <v>856480</v>
      </c>
      <c r="JL19" s="45"/>
      <c r="JM19" s="45"/>
      <c r="JN19" s="45">
        <v>405556320</v>
      </c>
      <c r="JO19" s="46"/>
      <c r="JP19" s="46"/>
      <c r="JQ19" s="63" t="s">
        <v>175</v>
      </c>
      <c r="JR19" s="46"/>
      <c r="JS19" s="46"/>
      <c r="JT19" s="46"/>
      <c r="JU19" s="46"/>
      <c r="JV19" s="46"/>
      <c r="JW19" s="46"/>
      <c r="JX19" s="46"/>
      <c r="JY19" s="46"/>
      <c r="JZ19" s="46"/>
      <c r="KA19" s="46"/>
      <c r="KB19" s="46"/>
      <c r="KC19" s="46">
        <v>440000</v>
      </c>
      <c r="KD19" s="46"/>
      <c r="KE19" s="46"/>
      <c r="KF19" s="46"/>
      <c r="KG19" s="46">
        <v>2804002</v>
      </c>
      <c r="KH19" s="46">
        <v>31312132</v>
      </c>
    </row>
    <row r="20" spans="1:294">
      <c r="A20" s="7" t="s">
        <v>182</v>
      </c>
      <c r="B20" s="12" t="s">
        <v>137</v>
      </c>
      <c r="C20" s="19"/>
      <c r="D20" s="19"/>
      <c r="E20" s="19"/>
      <c r="F20" s="19">
        <v>8000</v>
      </c>
      <c r="G20" s="47" t="s">
        <v>130</v>
      </c>
      <c r="H20" s="19"/>
      <c r="I20" s="19">
        <v>212300000</v>
      </c>
      <c r="J20" s="47" t="s">
        <v>4</v>
      </c>
      <c r="K20" s="19"/>
      <c r="L20" s="47" t="s">
        <v>96</v>
      </c>
      <c r="M20" s="47" t="s">
        <v>96</v>
      </c>
      <c r="N20" s="19"/>
      <c r="O20" s="19">
        <v>24410591</v>
      </c>
      <c r="P20" s="19"/>
      <c r="Q20" s="19">
        <v>2722367</v>
      </c>
      <c r="R20" s="19"/>
      <c r="S20" s="19">
        <v>72324384</v>
      </c>
      <c r="T20" s="47" t="s">
        <v>96</v>
      </c>
      <c r="U20" s="47" t="s">
        <v>172</v>
      </c>
      <c r="V20" s="47" t="s">
        <v>172</v>
      </c>
      <c r="W20" s="19">
        <v>124462894</v>
      </c>
      <c r="X20" s="19"/>
      <c r="Y20" s="19">
        <v>134797010</v>
      </c>
      <c r="Z20" s="19">
        <v>730860222</v>
      </c>
      <c r="AA20" s="19"/>
      <c r="AB20" s="19"/>
      <c r="AC20" s="19"/>
      <c r="AD20" s="19"/>
      <c r="AE20" s="19">
        <v>153163126</v>
      </c>
      <c r="AF20" s="47" t="s">
        <v>172</v>
      </c>
      <c r="AG20" s="19">
        <v>88650000</v>
      </c>
      <c r="AH20" s="19">
        <v>25569329</v>
      </c>
      <c r="AI20" s="19">
        <v>106353220</v>
      </c>
      <c r="AJ20" s="19">
        <v>139320740</v>
      </c>
      <c r="AK20" s="19"/>
      <c r="AL20" s="19"/>
      <c r="AM20" s="47" t="s">
        <v>4</v>
      </c>
      <c r="AN20" s="19">
        <v>41642351</v>
      </c>
      <c r="AO20" s="19">
        <v>47311675</v>
      </c>
      <c r="AP20" s="19"/>
      <c r="AQ20" s="47" t="s">
        <v>96</v>
      </c>
      <c r="AR20" s="19">
        <v>34500000</v>
      </c>
      <c r="AS20" s="19"/>
      <c r="AT20" s="47" t="s">
        <v>172</v>
      </c>
      <c r="AU20" s="19"/>
      <c r="AV20" s="19"/>
      <c r="AW20" s="19"/>
      <c r="AX20" s="47" t="s">
        <v>4</v>
      </c>
      <c r="AY20" s="19">
        <v>31913631</v>
      </c>
      <c r="AZ20" s="19"/>
      <c r="BA20" s="19"/>
      <c r="BB20" s="19"/>
      <c r="BC20" s="47" t="s">
        <v>4</v>
      </c>
      <c r="BD20" s="47" t="s">
        <v>130</v>
      </c>
      <c r="BE20" s="19">
        <v>910077486</v>
      </c>
      <c r="BF20" s="47" t="s">
        <v>96</v>
      </c>
      <c r="BG20" s="19"/>
      <c r="BH20" s="19">
        <v>4000</v>
      </c>
      <c r="BI20" s="19">
        <v>3000</v>
      </c>
      <c r="BJ20" s="19">
        <v>8025001</v>
      </c>
      <c r="BK20" s="19"/>
      <c r="BL20" s="19"/>
      <c r="BM20" s="19"/>
      <c r="BN20" s="19">
        <v>2000</v>
      </c>
      <c r="BO20" s="19">
        <v>29533353</v>
      </c>
      <c r="BP20" s="47" t="s">
        <v>96</v>
      </c>
      <c r="BQ20" s="47" t="s">
        <v>4</v>
      </c>
      <c r="BR20" s="19"/>
      <c r="BS20" s="19"/>
      <c r="BT20" s="47" t="s">
        <v>130</v>
      </c>
      <c r="BU20" s="19">
        <v>548534703</v>
      </c>
      <c r="BV20" s="19"/>
      <c r="BW20" s="19"/>
      <c r="BX20" s="19"/>
      <c r="BY20" s="19"/>
      <c r="BZ20" s="19"/>
      <c r="CA20" s="19"/>
      <c r="CB20" s="19">
        <v>18000</v>
      </c>
      <c r="CC20" s="19"/>
      <c r="CD20" s="19"/>
      <c r="CE20" s="19">
        <v>30729000</v>
      </c>
      <c r="CF20" s="19">
        <v>246181109</v>
      </c>
      <c r="CG20" s="19"/>
      <c r="CH20" s="19"/>
      <c r="CI20" s="47" t="s">
        <v>130</v>
      </c>
      <c r="CJ20" s="19">
        <v>38400800</v>
      </c>
      <c r="CK20" s="19"/>
      <c r="CL20" s="19">
        <v>25990910</v>
      </c>
      <c r="CM20" s="19"/>
      <c r="CN20" s="19"/>
      <c r="CO20" s="19">
        <v>28801000</v>
      </c>
      <c r="CP20" s="19">
        <v>65000000</v>
      </c>
      <c r="CQ20" s="47" t="s">
        <v>96</v>
      </c>
      <c r="CR20" s="19"/>
      <c r="CS20" s="47" t="s">
        <v>172</v>
      </c>
      <c r="CT20" s="19">
        <v>7913333</v>
      </c>
      <c r="CU20" s="19"/>
      <c r="CV20" s="19"/>
      <c r="CW20" s="19"/>
      <c r="CX20" s="19">
        <v>6214608</v>
      </c>
      <c r="CY20" s="47" t="s">
        <v>96</v>
      </c>
      <c r="CZ20" s="19"/>
      <c r="DA20" s="47" t="s">
        <v>89</v>
      </c>
      <c r="DB20" s="19"/>
      <c r="DC20" s="19"/>
      <c r="DD20" s="19"/>
      <c r="DE20" s="19"/>
      <c r="DF20" s="19"/>
      <c r="DG20" s="19">
        <v>143403394</v>
      </c>
      <c r="DH20" s="19">
        <v>9143644</v>
      </c>
      <c r="DI20" s="19">
        <v>10684849</v>
      </c>
      <c r="DJ20" s="19">
        <v>31615000</v>
      </c>
      <c r="DK20" s="19"/>
      <c r="DL20" s="19">
        <v>41293226</v>
      </c>
      <c r="DM20" s="19"/>
      <c r="DN20" s="19">
        <v>175643570</v>
      </c>
      <c r="DO20" s="19"/>
      <c r="DP20" s="19"/>
      <c r="DQ20" s="19"/>
      <c r="DR20" s="19"/>
      <c r="DS20" s="19"/>
      <c r="DT20" s="19">
        <v>75721941</v>
      </c>
      <c r="DU20" s="19">
        <v>4000</v>
      </c>
      <c r="DV20" s="19"/>
      <c r="DW20" s="19"/>
      <c r="DX20" s="19"/>
      <c r="DY20" s="19"/>
      <c r="DZ20" s="19"/>
      <c r="EA20" s="19"/>
      <c r="EB20" s="19"/>
      <c r="EC20" s="19">
        <v>575000</v>
      </c>
      <c r="ED20" s="19"/>
      <c r="EE20" s="19"/>
      <c r="EF20" s="19">
        <v>3000</v>
      </c>
      <c r="EG20" s="19"/>
      <c r="EH20" s="19">
        <v>7494546</v>
      </c>
      <c r="EI20" s="19"/>
      <c r="EJ20" s="19"/>
      <c r="EK20" s="19"/>
      <c r="EL20" s="19"/>
      <c r="EM20" s="19"/>
      <c r="EN20" s="19">
        <v>5502000</v>
      </c>
      <c r="EO20" s="19"/>
      <c r="EP20" s="19"/>
      <c r="EQ20" s="19"/>
      <c r="ER20" s="19">
        <v>3521000</v>
      </c>
      <c r="ES20" s="19">
        <v>2687200</v>
      </c>
      <c r="ET20" s="19">
        <v>983220504</v>
      </c>
      <c r="EU20" s="19"/>
      <c r="EV20" s="19"/>
      <c r="EW20" s="19"/>
      <c r="EX20" s="19">
        <v>19814667</v>
      </c>
      <c r="EY20" s="19"/>
      <c r="EZ20" s="19"/>
      <c r="FA20" s="47" t="s">
        <v>130</v>
      </c>
      <c r="FB20" s="19">
        <v>3200000</v>
      </c>
      <c r="FC20" s="19">
        <v>40900000</v>
      </c>
      <c r="FD20" s="19"/>
      <c r="FE20" s="19"/>
      <c r="FF20" s="19"/>
      <c r="FG20" s="19"/>
      <c r="FH20" s="19"/>
      <c r="FI20" s="47" t="s">
        <v>96</v>
      </c>
      <c r="FJ20" s="19"/>
      <c r="FK20" s="19"/>
      <c r="FL20" s="47" t="s">
        <v>130</v>
      </c>
      <c r="FM20" s="19">
        <v>219115665</v>
      </c>
      <c r="FN20" s="19">
        <v>77379508</v>
      </c>
      <c r="FO20" s="47" t="s">
        <v>172</v>
      </c>
      <c r="FP20" s="19">
        <v>376312590</v>
      </c>
      <c r="FQ20" s="19"/>
      <c r="FR20" s="19">
        <v>121297888</v>
      </c>
      <c r="FS20" s="47" t="s">
        <v>130</v>
      </c>
      <c r="FT20" s="19"/>
      <c r="FU20" s="19"/>
      <c r="FV20" s="19">
        <v>2500728963</v>
      </c>
      <c r="FW20" s="19">
        <v>18000000</v>
      </c>
      <c r="FX20" s="19">
        <v>87560607</v>
      </c>
      <c r="FY20" s="19"/>
      <c r="FZ20" s="47" t="s">
        <v>175</v>
      </c>
      <c r="GA20" s="19">
        <v>0</v>
      </c>
      <c r="GB20" s="19">
        <v>198880148</v>
      </c>
      <c r="GC20" s="19">
        <v>33002640</v>
      </c>
      <c r="GD20" s="48" t="s">
        <v>96</v>
      </c>
      <c r="GE20" s="48" t="s">
        <v>96</v>
      </c>
      <c r="GF20" s="19"/>
      <c r="GG20" s="19"/>
      <c r="GH20" s="47" t="s">
        <v>172</v>
      </c>
      <c r="GI20" s="19"/>
      <c r="GJ20" s="47" t="s">
        <v>96</v>
      </c>
      <c r="GK20" s="19"/>
      <c r="GL20" s="47" t="s">
        <v>96</v>
      </c>
      <c r="GM20" s="19"/>
      <c r="GN20" s="19"/>
      <c r="GO20" s="47" t="s">
        <v>96</v>
      </c>
      <c r="GP20" s="19"/>
      <c r="GQ20" s="19"/>
      <c r="GR20" s="19">
        <v>757210924</v>
      </c>
      <c r="GS20" s="19"/>
      <c r="GT20" s="19"/>
      <c r="GU20" s="19"/>
      <c r="GV20" s="19"/>
      <c r="GW20" s="19"/>
      <c r="GX20" s="19">
        <v>183425235</v>
      </c>
      <c r="GY20" s="19">
        <v>480000</v>
      </c>
      <c r="GZ20" s="19">
        <v>15905910</v>
      </c>
      <c r="HA20" s="19"/>
      <c r="HB20" s="19"/>
      <c r="HC20" s="19">
        <v>131563636</v>
      </c>
      <c r="HD20" s="19"/>
      <c r="HE20" s="19">
        <v>7000000</v>
      </c>
      <c r="HF20" s="19"/>
      <c r="HG20" s="19">
        <v>1800000</v>
      </c>
      <c r="HH20" s="47" t="s">
        <v>130</v>
      </c>
      <c r="HI20" s="19"/>
      <c r="HJ20" s="19"/>
      <c r="HK20" s="19"/>
      <c r="HL20" s="19"/>
      <c r="HM20" s="19"/>
      <c r="HN20" s="19">
        <v>23002500</v>
      </c>
      <c r="HO20" s="19"/>
      <c r="HP20" s="19"/>
      <c r="HQ20" s="19"/>
      <c r="HR20" s="19"/>
      <c r="HS20" s="19">
        <v>83750023</v>
      </c>
      <c r="HT20" s="19"/>
      <c r="HU20" s="19">
        <v>297452700</v>
      </c>
      <c r="HV20" s="19"/>
      <c r="HW20" s="19" t="s">
        <v>96</v>
      </c>
      <c r="HX20" s="19">
        <v>287477891</v>
      </c>
      <c r="HY20" s="19" t="s">
        <v>172</v>
      </c>
      <c r="HZ20" s="19"/>
      <c r="IA20" s="19"/>
      <c r="IB20" s="19">
        <v>23788390</v>
      </c>
      <c r="IC20" s="19">
        <v>119675997</v>
      </c>
      <c r="ID20" s="19"/>
      <c r="IE20" s="47" t="s">
        <v>96</v>
      </c>
      <c r="IF20" s="19"/>
      <c r="IG20" s="19"/>
      <c r="IH20" s="19">
        <v>23300806</v>
      </c>
      <c r="II20" s="19">
        <v>176167686</v>
      </c>
      <c r="IJ20" s="19"/>
      <c r="IK20" s="19"/>
      <c r="IL20" s="19"/>
      <c r="IM20" s="19">
        <v>7200000</v>
      </c>
      <c r="IN20" s="19"/>
      <c r="IO20" s="19"/>
      <c r="IP20" s="19"/>
      <c r="IQ20" s="19"/>
      <c r="IR20" s="19"/>
      <c r="IS20" s="19"/>
      <c r="IT20" s="19"/>
      <c r="IU20" s="45"/>
      <c r="IV20" s="45"/>
      <c r="IW20" s="45"/>
      <c r="IX20" s="45"/>
      <c r="IY20" s="45">
        <v>153636363</v>
      </c>
      <c r="IZ20" s="45">
        <v>9090909</v>
      </c>
      <c r="JA20" s="45">
        <v>43196970</v>
      </c>
      <c r="JB20" s="45"/>
      <c r="JC20" s="45"/>
      <c r="JD20" s="45"/>
      <c r="JE20" s="45"/>
      <c r="JF20" s="45">
        <v>563569414</v>
      </c>
      <c r="JG20" s="45">
        <v>7920000</v>
      </c>
      <c r="JH20" s="45"/>
      <c r="JI20" s="45"/>
      <c r="JJ20" s="45"/>
      <c r="JK20" s="45"/>
      <c r="JL20" s="45"/>
      <c r="JM20" s="45"/>
      <c r="JN20" s="45">
        <v>89373325</v>
      </c>
      <c r="JO20" s="46">
        <v>4400000</v>
      </c>
      <c r="JP20" s="46"/>
      <c r="JQ20" s="63" t="s">
        <v>175</v>
      </c>
      <c r="JR20" s="46"/>
      <c r="JS20" s="46"/>
      <c r="JT20" s="46">
        <v>4026000</v>
      </c>
      <c r="JU20" s="46">
        <v>14195834</v>
      </c>
      <c r="JV20" s="46"/>
      <c r="JW20" s="46"/>
      <c r="JX20" s="46"/>
      <c r="JY20" s="46"/>
      <c r="JZ20" s="46">
        <v>225800</v>
      </c>
      <c r="KA20" s="46"/>
      <c r="KB20" s="46">
        <v>120847822</v>
      </c>
      <c r="KC20" s="46"/>
      <c r="KD20" s="46"/>
      <c r="KE20" s="46"/>
      <c r="KF20" s="46">
        <v>100542424</v>
      </c>
      <c r="KG20" s="46"/>
      <c r="KH20" s="46">
        <v>616250800</v>
      </c>
    </row>
    <row r="21" spans="1:294">
      <c r="A21" s="7" t="s">
        <v>182</v>
      </c>
      <c r="B21" s="12" t="s">
        <v>39</v>
      </c>
      <c r="C21" s="19"/>
      <c r="D21" s="19"/>
      <c r="E21" s="19"/>
      <c r="F21" s="19">
        <v>35032240</v>
      </c>
      <c r="G21" s="47" t="s">
        <v>130</v>
      </c>
      <c r="H21" s="19"/>
      <c r="I21" s="19"/>
      <c r="J21" s="47" t="s">
        <v>4</v>
      </c>
      <c r="K21" s="19"/>
      <c r="L21" s="47" t="s">
        <v>96</v>
      </c>
      <c r="M21" s="47" t="s">
        <v>96</v>
      </c>
      <c r="N21" s="19"/>
      <c r="O21" s="19"/>
      <c r="P21" s="19">
        <v>1000</v>
      </c>
      <c r="Q21" s="19"/>
      <c r="R21" s="19"/>
      <c r="S21" s="19"/>
      <c r="T21" s="47" t="s">
        <v>96</v>
      </c>
      <c r="U21" s="47" t="s">
        <v>172</v>
      </c>
      <c r="V21" s="47" t="s">
        <v>172</v>
      </c>
      <c r="W21" s="19"/>
      <c r="X21" s="19"/>
      <c r="Y21" s="19"/>
      <c r="Z21" s="19"/>
      <c r="AA21" s="19"/>
      <c r="AB21" s="19"/>
      <c r="AC21" s="19"/>
      <c r="AD21" s="19"/>
      <c r="AE21" s="19">
        <v>-3144455</v>
      </c>
      <c r="AF21" s="47" t="s">
        <v>172</v>
      </c>
      <c r="AG21" s="19">
        <v>50000000</v>
      </c>
      <c r="AH21" s="19"/>
      <c r="AI21" s="19"/>
      <c r="AJ21" s="19"/>
      <c r="AK21" s="19"/>
      <c r="AL21" s="19"/>
      <c r="AM21" s="47" t="s">
        <v>4</v>
      </c>
      <c r="AN21" s="19">
        <v>-26795000</v>
      </c>
      <c r="AO21" s="19"/>
      <c r="AP21" s="19"/>
      <c r="AQ21" s="47" t="s">
        <v>96</v>
      </c>
      <c r="AR21" s="19"/>
      <c r="AS21" s="19">
        <v>4000</v>
      </c>
      <c r="AT21" s="47" t="s">
        <v>172</v>
      </c>
      <c r="AU21" s="19"/>
      <c r="AV21" s="19"/>
      <c r="AW21" s="19"/>
      <c r="AX21" s="47" t="s">
        <v>4</v>
      </c>
      <c r="AY21" s="19"/>
      <c r="AZ21" s="19"/>
      <c r="BA21" s="19">
        <v>4909091</v>
      </c>
      <c r="BB21" s="19">
        <v>10715156</v>
      </c>
      <c r="BC21" s="47" t="s">
        <v>4</v>
      </c>
      <c r="BD21" s="47" t="s">
        <v>130</v>
      </c>
      <c r="BE21" s="19"/>
      <c r="BF21" s="47" t="s">
        <v>96</v>
      </c>
      <c r="BG21" s="19"/>
      <c r="BH21" s="19"/>
      <c r="BI21" s="19"/>
      <c r="BJ21" s="19"/>
      <c r="BK21" s="19"/>
      <c r="BL21" s="19">
        <v>2012500</v>
      </c>
      <c r="BM21" s="19"/>
      <c r="BN21" s="19"/>
      <c r="BO21" s="19"/>
      <c r="BP21" s="47" t="s">
        <v>96</v>
      </c>
      <c r="BQ21" s="47" t="s">
        <v>4</v>
      </c>
      <c r="BR21" s="19">
        <v>4666667</v>
      </c>
      <c r="BS21" s="19"/>
      <c r="BT21" s="47" t="s">
        <v>130</v>
      </c>
      <c r="BU21" s="19"/>
      <c r="BV21" s="19"/>
      <c r="BW21" s="19"/>
      <c r="BX21" s="19"/>
      <c r="BY21" s="19">
        <v>1000</v>
      </c>
      <c r="BZ21" s="19"/>
      <c r="CA21" s="19"/>
      <c r="CB21" s="19"/>
      <c r="CC21" s="19"/>
      <c r="CD21" s="19"/>
      <c r="CE21" s="19"/>
      <c r="CF21" s="19"/>
      <c r="CG21" s="19"/>
      <c r="CH21" s="19"/>
      <c r="CI21" s="47" t="s">
        <v>130</v>
      </c>
      <c r="CJ21" s="19"/>
      <c r="CK21" s="19"/>
      <c r="CL21" s="19"/>
      <c r="CM21" s="19"/>
      <c r="CN21" s="19"/>
      <c r="CO21" s="19"/>
      <c r="CP21" s="19"/>
      <c r="CQ21" s="47" t="s">
        <v>96</v>
      </c>
      <c r="CR21" s="19"/>
      <c r="CS21" s="47" t="s">
        <v>172</v>
      </c>
      <c r="CT21" s="19"/>
      <c r="CU21" s="19"/>
      <c r="CV21" s="19"/>
      <c r="CW21" s="19"/>
      <c r="CX21" s="19"/>
      <c r="CY21" s="47" t="s">
        <v>96</v>
      </c>
      <c r="CZ21" s="19"/>
      <c r="DA21" s="47" t="s">
        <v>89</v>
      </c>
      <c r="DB21" s="19"/>
      <c r="DC21" s="19"/>
      <c r="DD21" s="19"/>
      <c r="DE21" s="19"/>
      <c r="DF21" s="19"/>
      <c r="DG21" s="19"/>
      <c r="DH21" s="19"/>
      <c r="DI21" s="19"/>
      <c r="DJ21" s="19"/>
      <c r="DK21" s="19"/>
      <c r="DL21" s="19"/>
      <c r="DM21" s="19"/>
      <c r="DN21" s="19"/>
      <c r="DO21" s="19"/>
      <c r="DP21" s="19"/>
      <c r="DQ21" s="19"/>
      <c r="DR21" s="19"/>
      <c r="DS21" s="19"/>
      <c r="DT21" s="19"/>
      <c r="DU21" s="19"/>
      <c r="DV21" s="19"/>
      <c r="DW21" s="19"/>
      <c r="DX21" s="19"/>
      <c r="DY21" s="19"/>
      <c r="DZ21" s="19"/>
      <c r="EA21" s="19"/>
      <c r="EB21" s="19"/>
      <c r="EC21" s="19"/>
      <c r="ED21" s="19"/>
      <c r="EE21" s="19"/>
      <c r="EF21" s="19"/>
      <c r="EG21" s="19"/>
      <c r="EH21" s="19"/>
      <c r="EI21" s="19">
        <v>-47988337</v>
      </c>
      <c r="EJ21" s="19"/>
      <c r="EK21" s="19"/>
      <c r="EL21" s="19"/>
      <c r="EM21" s="19"/>
      <c r="EN21" s="19"/>
      <c r="EO21" s="19">
        <v>1000</v>
      </c>
      <c r="EP21" s="19"/>
      <c r="EQ21" s="19"/>
      <c r="ER21" s="19"/>
      <c r="ES21" s="19">
        <v>1000</v>
      </c>
      <c r="ET21" s="19">
        <v>-9275167</v>
      </c>
      <c r="EU21" s="19"/>
      <c r="EV21" s="19"/>
      <c r="EW21" s="19"/>
      <c r="EX21" s="19">
        <v>20000000</v>
      </c>
      <c r="EY21" s="19"/>
      <c r="EZ21" s="19">
        <v>24397928</v>
      </c>
      <c r="FA21" s="47" t="s">
        <v>130</v>
      </c>
      <c r="FB21" s="19">
        <v>6000000</v>
      </c>
      <c r="FC21" s="19"/>
      <c r="FD21" s="19"/>
      <c r="FE21" s="19">
        <v>17502000</v>
      </c>
      <c r="FF21" s="19"/>
      <c r="FG21" s="19"/>
      <c r="FH21" s="19"/>
      <c r="FI21" s="47" t="s">
        <v>96</v>
      </c>
      <c r="FJ21" s="19"/>
      <c r="FK21" s="19"/>
      <c r="FL21" s="47" t="s">
        <v>130</v>
      </c>
      <c r="FM21" s="19"/>
      <c r="FN21" s="19"/>
      <c r="FO21" s="47" t="s">
        <v>172</v>
      </c>
      <c r="FP21" s="19">
        <v>-32656670</v>
      </c>
      <c r="FQ21" s="19"/>
      <c r="FR21" s="19"/>
      <c r="FS21" s="47" t="s">
        <v>130</v>
      </c>
      <c r="FT21" s="19"/>
      <c r="FU21" s="19"/>
      <c r="FV21" s="19"/>
      <c r="FW21" s="19"/>
      <c r="FX21" s="19"/>
      <c r="FY21" s="19"/>
      <c r="FZ21" s="47" t="s">
        <v>175</v>
      </c>
      <c r="GA21" s="19"/>
      <c r="GB21" s="19"/>
      <c r="GC21" s="19"/>
      <c r="GD21" s="48" t="s">
        <v>96</v>
      </c>
      <c r="GE21" s="48" t="s">
        <v>96</v>
      </c>
      <c r="GF21" s="19"/>
      <c r="GG21" s="19"/>
      <c r="GH21" s="47" t="s">
        <v>172</v>
      </c>
      <c r="GI21" s="19"/>
      <c r="GJ21" s="47" t="s">
        <v>96</v>
      </c>
      <c r="GK21" s="19"/>
      <c r="GL21" s="47" t="s">
        <v>96</v>
      </c>
      <c r="GM21" s="19"/>
      <c r="GN21" s="19">
        <v>149000000</v>
      </c>
      <c r="GO21" s="47" t="s">
        <v>96</v>
      </c>
      <c r="GP21" s="19"/>
      <c r="GQ21" s="19"/>
      <c r="GR21" s="19">
        <v>20000000</v>
      </c>
      <c r="GS21" s="19">
        <v>16171104</v>
      </c>
      <c r="GT21" s="19">
        <v>40000000</v>
      </c>
      <c r="GU21" s="19"/>
      <c r="GV21" s="19"/>
      <c r="GW21" s="19">
        <v>132371743</v>
      </c>
      <c r="GX21" s="19"/>
      <c r="GY21" s="19"/>
      <c r="GZ21" s="19"/>
      <c r="HA21" s="19"/>
      <c r="HB21" s="19"/>
      <c r="HC21" s="19"/>
      <c r="HD21" s="19"/>
      <c r="HE21" s="19"/>
      <c r="HF21" s="19"/>
      <c r="HG21" s="19"/>
      <c r="HH21" s="47" t="s">
        <v>130</v>
      </c>
      <c r="HI21" s="19"/>
      <c r="HJ21" s="19"/>
      <c r="HK21" s="19"/>
      <c r="HL21" s="19"/>
      <c r="HM21" s="19"/>
      <c r="HN21" s="19"/>
      <c r="HO21" s="19"/>
      <c r="HP21" s="19">
        <v>6000000</v>
      </c>
      <c r="HQ21" s="19"/>
      <c r="HR21" s="19">
        <v>1000</v>
      </c>
      <c r="HS21" s="19"/>
      <c r="HT21" s="19"/>
      <c r="HU21" s="19"/>
      <c r="HV21" s="19"/>
      <c r="HW21" s="19" t="s">
        <v>96</v>
      </c>
      <c r="HX21" s="19"/>
      <c r="HY21" s="19" t="s">
        <v>172</v>
      </c>
      <c r="HZ21" s="19"/>
      <c r="IA21" s="19"/>
      <c r="IB21" s="19">
        <v>4500000</v>
      </c>
      <c r="IC21" s="19"/>
      <c r="ID21" s="19"/>
      <c r="IE21" s="47" t="s">
        <v>96</v>
      </c>
      <c r="IF21" s="19"/>
      <c r="IG21" s="19"/>
      <c r="IH21" s="19">
        <v>117000000</v>
      </c>
      <c r="II21" s="19"/>
      <c r="IJ21" s="19"/>
      <c r="IK21" s="19"/>
      <c r="IL21" s="19">
        <v>17230000</v>
      </c>
      <c r="IM21" s="19"/>
      <c r="IN21" s="19"/>
      <c r="IO21" s="19"/>
      <c r="IP21" s="19"/>
      <c r="IQ21" s="19"/>
      <c r="IR21" s="19"/>
      <c r="IS21" s="19"/>
      <c r="IT21" s="19"/>
      <c r="IU21" s="45"/>
      <c r="IV21" s="45"/>
      <c r="IW21" s="45"/>
      <c r="IX21" s="45"/>
      <c r="IY21" s="45"/>
      <c r="IZ21" s="45"/>
      <c r="JA21" s="45"/>
      <c r="JB21" s="45"/>
      <c r="JC21" s="45"/>
      <c r="JD21" s="45"/>
      <c r="JE21" s="45"/>
      <c r="JF21" s="45"/>
      <c r="JG21" s="45"/>
      <c r="JH21" s="45"/>
      <c r="JI21" s="45"/>
      <c r="JJ21" s="45"/>
      <c r="JK21" s="45"/>
      <c r="JL21" s="45"/>
      <c r="JM21" s="45"/>
      <c r="JN21" s="45">
        <v>1323600</v>
      </c>
      <c r="JO21" s="46"/>
      <c r="JP21" s="46"/>
      <c r="JQ21" s="63" t="s">
        <v>175</v>
      </c>
      <c r="JR21" s="46"/>
      <c r="JS21" s="46"/>
      <c r="JT21" s="46"/>
      <c r="JU21" s="46"/>
      <c r="JV21" s="46"/>
      <c r="JW21" s="46"/>
      <c r="JX21" s="46"/>
      <c r="JY21" s="46"/>
      <c r="JZ21" s="46"/>
      <c r="KA21" s="46"/>
      <c r="KB21" s="46"/>
      <c r="KC21" s="46"/>
      <c r="KD21" s="46"/>
      <c r="KE21" s="46"/>
      <c r="KF21" s="46"/>
      <c r="KG21" s="46"/>
      <c r="KH21" s="46"/>
    </row>
    <row r="22" spans="1:294">
      <c r="A22" s="7" t="s">
        <v>182</v>
      </c>
      <c r="B22" s="11" t="s">
        <v>68</v>
      </c>
      <c r="C22" s="19">
        <v>65300000</v>
      </c>
      <c r="D22" s="19"/>
      <c r="E22" s="19">
        <v>20000000</v>
      </c>
      <c r="F22" s="19">
        <v>0</v>
      </c>
      <c r="G22" s="47" t="s">
        <v>130</v>
      </c>
      <c r="H22" s="19">
        <v>896323000</v>
      </c>
      <c r="I22" s="19">
        <v>495687600</v>
      </c>
      <c r="J22" s="47" t="s">
        <v>4</v>
      </c>
      <c r="K22" s="19">
        <v>6060000</v>
      </c>
      <c r="L22" s="47" t="s">
        <v>96</v>
      </c>
      <c r="M22" s="47" t="s">
        <v>96</v>
      </c>
      <c r="N22" s="19">
        <v>18700000</v>
      </c>
      <c r="O22" s="19">
        <v>175342120</v>
      </c>
      <c r="P22" s="19">
        <v>138569930</v>
      </c>
      <c r="Q22" s="19">
        <v>16000000</v>
      </c>
      <c r="R22" s="19">
        <v>36472000</v>
      </c>
      <c r="S22" s="19">
        <v>9000000</v>
      </c>
      <c r="T22" s="47" t="s">
        <v>96</v>
      </c>
      <c r="U22" s="47" t="s">
        <v>172</v>
      </c>
      <c r="V22" s="47" t="s">
        <v>172</v>
      </c>
      <c r="W22" s="19">
        <v>120030000</v>
      </c>
      <c r="X22" s="19">
        <v>20000000</v>
      </c>
      <c r="Y22" s="19">
        <v>22190460</v>
      </c>
      <c r="Z22" s="19">
        <v>420000000</v>
      </c>
      <c r="AA22" s="19">
        <v>535000000</v>
      </c>
      <c r="AB22" s="19">
        <v>50500000</v>
      </c>
      <c r="AC22" s="19"/>
      <c r="AD22" s="19">
        <v>33000000</v>
      </c>
      <c r="AE22" s="19">
        <v>58317000</v>
      </c>
      <c r="AF22" s="47" t="s">
        <v>172</v>
      </c>
      <c r="AG22" s="19">
        <v>7189000</v>
      </c>
      <c r="AH22" s="19">
        <v>171230990</v>
      </c>
      <c r="AI22" s="19">
        <v>53355000</v>
      </c>
      <c r="AJ22" s="19">
        <v>47200000</v>
      </c>
      <c r="AK22" s="19">
        <v>34162400</v>
      </c>
      <c r="AL22" s="19">
        <v>45652903</v>
      </c>
      <c r="AM22" s="47" t="s">
        <v>4</v>
      </c>
      <c r="AN22" s="19">
        <v>54536000</v>
      </c>
      <c r="AO22" s="19">
        <v>16000000</v>
      </c>
      <c r="AP22" s="19"/>
      <c r="AQ22" s="47" t="s">
        <v>96</v>
      </c>
      <c r="AR22" s="19">
        <v>500000000</v>
      </c>
      <c r="AS22" s="19">
        <v>45180000</v>
      </c>
      <c r="AT22" s="47" t="s">
        <v>172</v>
      </c>
      <c r="AU22" s="19">
        <v>418095830</v>
      </c>
      <c r="AV22" s="19">
        <v>50000000</v>
      </c>
      <c r="AW22" s="19">
        <v>1000000</v>
      </c>
      <c r="AX22" s="47" t="s">
        <v>4</v>
      </c>
      <c r="AY22" s="19">
        <v>500000</v>
      </c>
      <c r="AZ22" s="19">
        <v>100000000</v>
      </c>
      <c r="BA22" s="19">
        <v>177434600</v>
      </c>
      <c r="BB22" s="19">
        <v>775000</v>
      </c>
      <c r="BC22" s="47" t="s">
        <v>4</v>
      </c>
      <c r="BD22" s="47" t="s">
        <v>130</v>
      </c>
      <c r="BE22" s="19">
        <v>50000000</v>
      </c>
      <c r="BF22" s="47" t="s">
        <v>96</v>
      </c>
      <c r="BG22" s="19">
        <v>37261664</v>
      </c>
      <c r="BH22" s="19"/>
      <c r="BI22" s="19">
        <v>32095000</v>
      </c>
      <c r="BJ22" s="19">
        <v>103880236</v>
      </c>
      <c r="BK22" s="19">
        <v>110450000</v>
      </c>
      <c r="BL22" s="19">
        <v>100000000</v>
      </c>
      <c r="BM22" s="19">
        <v>76754518</v>
      </c>
      <c r="BN22" s="19">
        <v>100000000</v>
      </c>
      <c r="BO22" s="19">
        <v>500000</v>
      </c>
      <c r="BP22" s="47" t="s">
        <v>96</v>
      </c>
      <c r="BQ22" s="47" t="s">
        <v>4</v>
      </c>
      <c r="BR22" s="19">
        <v>148537000</v>
      </c>
      <c r="BS22" s="19">
        <v>5160000</v>
      </c>
      <c r="BT22" s="47" t="s">
        <v>130</v>
      </c>
      <c r="BU22" s="19">
        <v>41005000</v>
      </c>
      <c r="BV22" s="19"/>
      <c r="BW22" s="19"/>
      <c r="BX22" s="19">
        <v>1200000</v>
      </c>
      <c r="BY22" s="19">
        <v>183400000</v>
      </c>
      <c r="BZ22" s="19">
        <v>10000000</v>
      </c>
      <c r="CA22" s="19">
        <v>135132130</v>
      </c>
      <c r="CB22" s="19"/>
      <c r="CC22" s="19"/>
      <c r="CD22" s="19"/>
      <c r="CE22" s="19">
        <v>60000000</v>
      </c>
      <c r="CF22" s="19">
        <v>300000</v>
      </c>
      <c r="CG22" s="19">
        <v>5000000</v>
      </c>
      <c r="CH22" s="19">
        <v>60100000</v>
      </c>
      <c r="CI22" s="47" t="s">
        <v>130</v>
      </c>
      <c r="CJ22" s="19">
        <v>13000000</v>
      </c>
      <c r="CK22" s="19">
        <v>16395000</v>
      </c>
      <c r="CL22" s="19">
        <v>500000</v>
      </c>
      <c r="CM22" s="19">
        <v>315343000</v>
      </c>
      <c r="CN22" s="19">
        <v>5102400</v>
      </c>
      <c r="CO22" s="19"/>
      <c r="CP22" s="19">
        <v>259121000</v>
      </c>
      <c r="CQ22" s="47" t="s">
        <v>96</v>
      </c>
      <c r="CR22" s="19">
        <v>136749230</v>
      </c>
      <c r="CS22" s="47" t="s">
        <v>172</v>
      </c>
      <c r="CT22" s="19">
        <v>316179000</v>
      </c>
      <c r="CU22" s="19">
        <v>30240000</v>
      </c>
      <c r="CV22" s="19"/>
      <c r="CW22" s="19">
        <v>389238100</v>
      </c>
      <c r="CX22" s="19">
        <v>207042000</v>
      </c>
      <c r="CY22" s="47" t="s">
        <v>96</v>
      </c>
      <c r="CZ22" s="19">
        <v>41584000</v>
      </c>
      <c r="DA22" s="47" t="s">
        <v>89</v>
      </c>
      <c r="DB22" s="19">
        <v>930000</v>
      </c>
      <c r="DC22" s="19"/>
      <c r="DD22" s="19">
        <v>20000000</v>
      </c>
      <c r="DE22" s="19">
        <v>34880600</v>
      </c>
      <c r="DF22" s="19">
        <v>12000000</v>
      </c>
      <c r="DG22" s="19">
        <v>300000</v>
      </c>
      <c r="DH22" s="19"/>
      <c r="DI22" s="19">
        <v>3300000</v>
      </c>
      <c r="DJ22" s="19"/>
      <c r="DK22" s="19">
        <v>69042089</v>
      </c>
      <c r="DL22" s="19">
        <v>7582000</v>
      </c>
      <c r="DM22" s="19">
        <v>490000</v>
      </c>
      <c r="DN22" s="19">
        <v>23250000</v>
      </c>
      <c r="DO22" s="19">
        <v>25000000</v>
      </c>
      <c r="DP22" s="19">
        <v>210164500</v>
      </c>
      <c r="DQ22" s="19">
        <v>20000000</v>
      </c>
      <c r="DR22" s="19">
        <v>81351940</v>
      </c>
      <c r="DS22" s="19"/>
      <c r="DT22" s="19">
        <v>42073216</v>
      </c>
      <c r="DU22" s="19">
        <v>40000000</v>
      </c>
      <c r="DV22" s="19">
        <v>52560000</v>
      </c>
      <c r="DW22" s="19">
        <v>200300000</v>
      </c>
      <c r="DX22" s="19">
        <v>972609450</v>
      </c>
      <c r="DY22" s="19"/>
      <c r="DZ22" s="19">
        <v>18200000</v>
      </c>
      <c r="EA22" s="19">
        <v>10000000</v>
      </c>
      <c r="EB22" s="19"/>
      <c r="EC22" s="19">
        <v>162000</v>
      </c>
      <c r="ED22" s="19">
        <v>20000000</v>
      </c>
      <c r="EE22" s="19"/>
      <c r="EF22" s="19">
        <v>50000000</v>
      </c>
      <c r="EG22" s="19">
        <v>556961000</v>
      </c>
      <c r="EH22" s="19"/>
      <c r="EI22" s="19">
        <v>1798661632</v>
      </c>
      <c r="EJ22" s="19">
        <v>10350000</v>
      </c>
      <c r="EK22" s="19">
        <v>61339000</v>
      </c>
      <c r="EL22" s="19">
        <v>181494000</v>
      </c>
      <c r="EM22" s="19">
        <v>310000000</v>
      </c>
      <c r="EN22" s="19">
        <v>502000000</v>
      </c>
      <c r="EO22" s="19">
        <v>20794000</v>
      </c>
      <c r="EP22" s="19"/>
      <c r="EQ22" s="19">
        <v>10000000</v>
      </c>
      <c r="ER22" s="19">
        <v>9450000</v>
      </c>
      <c r="ES22" s="19">
        <v>467000</v>
      </c>
      <c r="ET22" s="19">
        <v>401013100</v>
      </c>
      <c r="EU22" s="19">
        <v>333876700</v>
      </c>
      <c r="EV22" s="19">
        <v>5100000</v>
      </c>
      <c r="EW22" s="19">
        <v>13500000</v>
      </c>
      <c r="EX22" s="19">
        <v>344980000</v>
      </c>
      <c r="EY22" s="19">
        <v>19888000</v>
      </c>
      <c r="EZ22" s="19">
        <v>101650000</v>
      </c>
      <c r="FA22" s="47" t="s">
        <v>130</v>
      </c>
      <c r="FB22" s="19"/>
      <c r="FC22" s="19">
        <v>121415390</v>
      </c>
      <c r="FD22" s="19">
        <v>21500000</v>
      </c>
      <c r="FE22" s="19">
        <v>335890500</v>
      </c>
      <c r="FF22" s="19"/>
      <c r="FG22" s="19">
        <v>175106000</v>
      </c>
      <c r="FH22" s="19">
        <v>110000000</v>
      </c>
      <c r="FI22" s="47" t="s">
        <v>96</v>
      </c>
      <c r="FJ22" s="19">
        <v>60590000</v>
      </c>
      <c r="FK22" s="19">
        <v>112386000</v>
      </c>
      <c r="FL22" s="47" t="s">
        <v>130</v>
      </c>
      <c r="FM22" s="19">
        <v>5558800</v>
      </c>
      <c r="FN22" s="19">
        <v>40338000</v>
      </c>
      <c r="FO22" s="47" t="s">
        <v>172</v>
      </c>
      <c r="FP22" s="19">
        <v>20000000</v>
      </c>
      <c r="FQ22" s="19">
        <v>10059800</v>
      </c>
      <c r="FR22" s="19">
        <v>40000000</v>
      </c>
      <c r="FS22" s="47" t="s">
        <v>130</v>
      </c>
      <c r="FT22" s="19">
        <v>153575500</v>
      </c>
      <c r="FU22" s="19"/>
      <c r="FV22" s="19">
        <v>62730000</v>
      </c>
      <c r="FW22" s="19"/>
      <c r="FX22" s="19"/>
      <c r="FY22" s="19">
        <v>318757702</v>
      </c>
      <c r="FZ22" s="47" t="s">
        <v>175</v>
      </c>
      <c r="GA22" s="19">
        <v>52063100</v>
      </c>
      <c r="GB22" s="19">
        <v>17484000</v>
      </c>
      <c r="GC22" s="19">
        <v>200000</v>
      </c>
      <c r="GD22" s="48" t="s">
        <v>96</v>
      </c>
      <c r="GE22" s="48" t="s">
        <v>96</v>
      </c>
      <c r="GF22" s="19">
        <v>135000000</v>
      </c>
      <c r="GG22" s="19">
        <v>74610000</v>
      </c>
      <c r="GH22" s="47" t="s">
        <v>172</v>
      </c>
      <c r="GI22" s="19"/>
      <c r="GJ22" s="47" t="s">
        <v>96</v>
      </c>
      <c r="GK22" s="19">
        <v>100200000</v>
      </c>
      <c r="GL22" s="47" t="s">
        <v>96</v>
      </c>
      <c r="GM22" s="19">
        <v>16000000</v>
      </c>
      <c r="GN22" s="19">
        <v>153440000</v>
      </c>
      <c r="GO22" s="47" t="s">
        <v>96</v>
      </c>
      <c r="GP22" s="19">
        <v>43593000</v>
      </c>
      <c r="GQ22" s="19">
        <v>9259900</v>
      </c>
      <c r="GR22" s="19">
        <v>114420000</v>
      </c>
      <c r="GS22" s="19">
        <v>5100000</v>
      </c>
      <c r="GT22" s="19">
        <v>47090000</v>
      </c>
      <c r="GU22" s="19">
        <v>30000000</v>
      </c>
      <c r="GV22" s="19">
        <v>10200000</v>
      </c>
      <c r="GW22" s="19">
        <v>608550900</v>
      </c>
      <c r="GX22" s="19">
        <v>24503000</v>
      </c>
      <c r="GY22" s="19">
        <v>45000000</v>
      </c>
      <c r="GZ22" s="19">
        <v>17375426</v>
      </c>
      <c r="HA22" s="19">
        <v>252737</v>
      </c>
      <c r="HB22" s="19">
        <v>9015000</v>
      </c>
      <c r="HC22" s="19">
        <v>27027500</v>
      </c>
      <c r="HD22" s="19">
        <v>20000000</v>
      </c>
      <c r="HE22" s="19">
        <v>1508210</v>
      </c>
      <c r="HF22" s="19">
        <v>30000000</v>
      </c>
      <c r="HG22" s="19"/>
      <c r="HH22" s="47" t="s">
        <v>130</v>
      </c>
      <c r="HI22" s="19">
        <v>10100000</v>
      </c>
      <c r="HJ22" s="19">
        <v>24710000</v>
      </c>
      <c r="HK22" s="19">
        <v>149271027</v>
      </c>
      <c r="HL22" s="19">
        <v>100059000</v>
      </c>
      <c r="HM22" s="19">
        <v>77128000</v>
      </c>
      <c r="HN22" s="19">
        <v>5000000</v>
      </c>
      <c r="HO22" s="19"/>
      <c r="HP22" s="19">
        <v>205000000</v>
      </c>
      <c r="HQ22" s="19">
        <v>48673000</v>
      </c>
      <c r="HR22" s="19">
        <v>268164000</v>
      </c>
      <c r="HS22" s="19"/>
      <c r="HT22" s="19">
        <v>6443000</v>
      </c>
      <c r="HU22" s="19">
        <v>41115300</v>
      </c>
      <c r="HV22" s="19">
        <v>10030000</v>
      </c>
      <c r="HW22" s="19" t="s">
        <v>96</v>
      </c>
      <c r="HX22" s="19">
        <v>4000000</v>
      </c>
      <c r="HY22" s="19" t="s">
        <v>172</v>
      </c>
      <c r="HZ22" s="19">
        <v>26514078</v>
      </c>
      <c r="IA22" s="19"/>
      <c r="IB22" s="19">
        <v>47764530</v>
      </c>
      <c r="IC22" s="19">
        <v>27716900</v>
      </c>
      <c r="ID22" s="19">
        <v>200000</v>
      </c>
      <c r="IE22" s="47" t="s">
        <v>96</v>
      </c>
      <c r="IF22" s="19">
        <v>30000000</v>
      </c>
      <c r="IG22" s="19"/>
      <c r="IH22" s="19">
        <v>150000000</v>
      </c>
      <c r="II22" s="19">
        <v>42970000</v>
      </c>
      <c r="IJ22" s="19">
        <v>1036000</v>
      </c>
      <c r="IK22" s="19">
        <v>4580000</v>
      </c>
      <c r="IL22" s="19">
        <v>8217000</v>
      </c>
      <c r="IM22" s="19">
        <v>8884427</v>
      </c>
      <c r="IN22" s="19">
        <v>29640000</v>
      </c>
      <c r="IO22" s="19">
        <v>17999000</v>
      </c>
      <c r="IP22" s="19">
        <v>121807000</v>
      </c>
      <c r="IQ22" s="19">
        <v>10300000</v>
      </c>
      <c r="IR22" s="19">
        <v>30000000</v>
      </c>
      <c r="IS22" s="19">
        <v>10000000</v>
      </c>
      <c r="IT22" s="19">
        <v>514360</v>
      </c>
      <c r="IU22" s="45">
        <v>30000000</v>
      </c>
      <c r="IV22" s="45">
        <v>115000000</v>
      </c>
      <c r="IW22" s="45">
        <v>31670840</v>
      </c>
      <c r="IX22" s="45">
        <v>51311000</v>
      </c>
      <c r="IY22" s="45">
        <v>34200000</v>
      </c>
      <c r="IZ22" s="45"/>
      <c r="JA22" s="45">
        <v>30500000</v>
      </c>
      <c r="JB22" s="45">
        <v>40000000</v>
      </c>
      <c r="JC22" s="45">
        <v>4877400</v>
      </c>
      <c r="JD22" s="45">
        <v>42024530</v>
      </c>
      <c r="JE22" s="45"/>
      <c r="JF22" s="45">
        <v>29298188</v>
      </c>
      <c r="JG22" s="45"/>
      <c r="JH22" s="45">
        <v>16920000</v>
      </c>
      <c r="JI22" s="45">
        <v>55000000</v>
      </c>
      <c r="JJ22" s="45">
        <v>20750000</v>
      </c>
      <c r="JK22" s="45">
        <v>20000000</v>
      </c>
      <c r="JL22" s="45">
        <v>100000000</v>
      </c>
      <c r="JM22" s="45"/>
      <c r="JN22" s="45">
        <v>313857223</v>
      </c>
      <c r="JO22" s="46">
        <v>30000000</v>
      </c>
      <c r="JP22" s="46">
        <v>30000000</v>
      </c>
      <c r="JQ22" s="63" t="s">
        <v>175</v>
      </c>
      <c r="JR22" s="46">
        <v>20935000</v>
      </c>
      <c r="JS22" s="46"/>
      <c r="JT22" s="46">
        <v>14524500</v>
      </c>
      <c r="JU22" s="46">
        <v>34936500</v>
      </c>
      <c r="JV22" s="46">
        <v>48250000</v>
      </c>
      <c r="JW22" s="46">
        <v>67000000</v>
      </c>
      <c r="JX22" s="46">
        <v>228500000</v>
      </c>
      <c r="JY22" s="46">
        <v>254059900</v>
      </c>
      <c r="JZ22" s="46">
        <v>10000000</v>
      </c>
      <c r="KA22" s="46"/>
      <c r="KB22" s="46">
        <v>284788920</v>
      </c>
      <c r="KC22" s="46">
        <v>3300000</v>
      </c>
      <c r="KD22" s="46">
        <v>33719280</v>
      </c>
      <c r="KE22" s="46">
        <v>30000000</v>
      </c>
      <c r="KF22" s="46">
        <v>24876000</v>
      </c>
      <c r="KG22" s="46">
        <v>10000000</v>
      </c>
      <c r="KH22" s="46">
        <v>10662900</v>
      </c>
    </row>
    <row r="23" spans="1:294">
      <c r="A23" s="7" t="s">
        <v>182</v>
      </c>
      <c r="B23" s="8" t="s">
        <v>109</v>
      </c>
      <c r="C23" s="19">
        <v>142451405</v>
      </c>
      <c r="D23" s="19">
        <v>763732593</v>
      </c>
      <c r="E23" s="19">
        <v>488578941</v>
      </c>
      <c r="F23" s="19">
        <v>694809028</v>
      </c>
      <c r="G23" s="47" t="s">
        <v>130</v>
      </c>
      <c r="H23" s="19">
        <v>4070831945</v>
      </c>
      <c r="I23" s="19">
        <v>3417833518</v>
      </c>
      <c r="J23" s="47" t="s">
        <v>4</v>
      </c>
      <c r="K23" s="19">
        <v>287653325</v>
      </c>
      <c r="L23" s="47" t="s">
        <v>96</v>
      </c>
      <c r="M23" s="47" t="s">
        <v>96</v>
      </c>
      <c r="N23" s="19">
        <v>434003909</v>
      </c>
      <c r="O23" s="19">
        <v>6282820865</v>
      </c>
      <c r="P23" s="19">
        <v>5322155330</v>
      </c>
      <c r="Q23" s="19">
        <v>54497844</v>
      </c>
      <c r="R23" s="19">
        <v>319248476</v>
      </c>
      <c r="S23" s="19">
        <v>11692701998</v>
      </c>
      <c r="T23" s="47" t="s">
        <v>96</v>
      </c>
      <c r="U23" s="47" t="s">
        <v>172</v>
      </c>
      <c r="V23" s="47" t="s">
        <v>172</v>
      </c>
      <c r="W23" s="19">
        <v>1238817976</v>
      </c>
      <c r="X23" s="19">
        <v>3679713340</v>
      </c>
      <c r="Y23" s="19">
        <v>162748079</v>
      </c>
      <c r="Z23" s="19">
        <v>7371913841</v>
      </c>
      <c r="AA23" s="19">
        <v>3711526850</v>
      </c>
      <c r="AB23" s="19">
        <v>9050310</v>
      </c>
      <c r="AC23" s="19">
        <v>865427185</v>
      </c>
      <c r="AD23" s="19">
        <v>3617709103</v>
      </c>
      <c r="AE23" s="19">
        <v>5357462861</v>
      </c>
      <c r="AF23" s="47" t="s">
        <v>172</v>
      </c>
      <c r="AG23" s="19">
        <v>1718966328</v>
      </c>
      <c r="AH23" s="19">
        <v>715889102</v>
      </c>
      <c r="AI23" s="19">
        <v>761707241</v>
      </c>
      <c r="AJ23" s="19">
        <v>412763832</v>
      </c>
      <c r="AK23" s="19">
        <v>845689866</v>
      </c>
      <c r="AL23" s="19">
        <v>381952452</v>
      </c>
      <c r="AM23" s="47" t="s">
        <v>4</v>
      </c>
      <c r="AN23" s="19">
        <v>1626993781</v>
      </c>
      <c r="AO23" s="19">
        <v>880535594</v>
      </c>
      <c r="AP23" s="19">
        <v>254842231</v>
      </c>
      <c r="AQ23" s="47" t="s">
        <v>96</v>
      </c>
      <c r="AR23" s="19">
        <v>1606453963</v>
      </c>
      <c r="AS23" s="19">
        <v>1588975146</v>
      </c>
      <c r="AT23" s="47" t="s">
        <v>172</v>
      </c>
      <c r="AU23" s="19">
        <v>14964323531</v>
      </c>
      <c r="AV23" s="19">
        <v>73285004</v>
      </c>
      <c r="AW23" s="19">
        <v>498988622</v>
      </c>
      <c r="AX23" s="47" t="s">
        <v>4</v>
      </c>
      <c r="AY23" s="19">
        <v>374367873</v>
      </c>
      <c r="AZ23" s="19">
        <v>216521985</v>
      </c>
      <c r="BA23" s="19">
        <v>3101965261</v>
      </c>
      <c r="BB23" s="19">
        <v>50821815</v>
      </c>
      <c r="BC23" s="47" t="s">
        <v>4</v>
      </c>
      <c r="BD23" s="47" t="s">
        <v>130</v>
      </c>
      <c r="BE23" s="19">
        <v>1057168664</v>
      </c>
      <c r="BF23" s="47" t="s">
        <v>96</v>
      </c>
      <c r="BG23" s="19">
        <v>1030651330</v>
      </c>
      <c r="BH23" s="19">
        <v>765579005</v>
      </c>
      <c r="BI23" s="19">
        <v>59936080</v>
      </c>
      <c r="BJ23" s="19">
        <v>720230561</v>
      </c>
      <c r="BK23" s="19">
        <v>2272331101</v>
      </c>
      <c r="BL23" s="19">
        <v>193289156</v>
      </c>
      <c r="BM23" s="19">
        <v>1238957281</v>
      </c>
      <c r="BN23" s="19">
        <v>32266300</v>
      </c>
      <c r="BO23" s="19">
        <v>394344630</v>
      </c>
      <c r="BP23" s="47" t="s">
        <v>96</v>
      </c>
      <c r="BQ23" s="47" t="s">
        <v>4</v>
      </c>
      <c r="BR23" s="19">
        <v>3895657304</v>
      </c>
      <c r="BS23" s="19">
        <v>29150047</v>
      </c>
      <c r="BT23" s="47" t="s">
        <v>130</v>
      </c>
      <c r="BU23" s="19">
        <v>1348950966</v>
      </c>
      <c r="BV23" s="19">
        <v>309722899</v>
      </c>
      <c r="BW23" s="19">
        <v>1284341</v>
      </c>
      <c r="BX23" s="19">
        <v>187051915</v>
      </c>
      <c r="BY23" s="19">
        <v>2039114165</v>
      </c>
      <c r="BZ23" s="19">
        <v>146681088</v>
      </c>
      <c r="CA23" s="19">
        <v>1622770149</v>
      </c>
      <c r="CB23" s="19">
        <v>1695849252</v>
      </c>
      <c r="CC23" s="19">
        <v>114940585</v>
      </c>
      <c r="CD23" s="19">
        <v>804862675</v>
      </c>
      <c r="CE23" s="19">
        <v>128970515</v>
      </c>
      <c r="CF23" s="19">
        <v>1878262025</v>
      </c>
      <c r="CG23" s="19">
        <v>5251381</v>
      </c>
      <c r="CH23" s="19">
        <v>63822311</v>
      </c>
      <c r="CI23" s="47" t="s">
        <v>130</v>
      </c>
      <c r="CJ23" s="19">
        <v>505855397</v>
      </c>
      <c r="CK23" s="19">
        <v>7258691291</v>
      </c>
      <c r="CL23" s="19">
        <v>653767289</v>
      </c>
      <c r="CM23" s="19">
        <v>1088295986</v>
      </c>
      <c r="CN23" s="19">
        <v>116507947</v>
      </c>
      <c r="CO23" s="19">
        <v>23932802</v>
      </c>
      <c r="CP23" s="19">
        <v>1668391640</v>
      </c>
      <c r="CQ23" s="47" t="s">
        <v>96</v>
      </c>
      <c r="CR23" s="19">
        <v>140513903</v>
      </c>
      <c r="CS23" s="47" t="s">
        <v>172</v>
      </c>
      <c r="CT23" s="19">
        <v>6544865837</v>
      </c>
      <c r="CU23" s="19">
        <v>54470975</v>
      </c>
      <c r="CV23" s="19">
        <v>284183677</v>
      </c>
      <c r="CW23" s="19">
        <v>2018298975</v>
      </c>
      <c r="CX23" s="19">
        <v>4711056606</v>
      </c>
      <c r="CY23" s="47" t="s">
        <v>96</v>
      </c>
      <c r="CZ23" s="19">
        <v>4772004314</v>
      </c>
      <c r="DA23" s="47" t="s">
        <v>89</v>
      </c>
      <c r="DB23" s="19">
        <v>35491381</v>
      </c>
      <c r="DC23" s="19">
        <v>67579845</v>
      </c>
      <c r="DD23" s="19">
        <v>223030085</v>
      </c>
      <c r="DE23" s="19">
        <v>106917509</v>
      </c>
      <c r="DF23" s="19">
        <v>28415573</v>
      </c>
      <c r="DG23" s="19">
        <v>579005954</v>
      </c>
      <c r="DH23" s="19">
        <v>425300377</v>
      </c>
      <c r="DI23" s="19">
        <v>5383069241</v>
      </c>
      <c r="DJ23" s="19">
        <v>4021208</v>
      </c>
      <c r="DK23" s="19">
        <v>10855680934</v>
      </c>
      <c r="DL23" s="19">
        <v>513372748</v>
      </c>
      <c r="DM23" s="19">
        <v>1636587989</v>
      </c>
      <c r="DN23" s="19">
        <v>946751013</v>
      </c>
      <c r="DO23" s="19">
        <v>74321233</v>
      </c>
      <c r="DP23" s="19">
        <v>3192572819</v>
      </c>
      <c r="DQ23" s="19">
        <v>350648606</v>
      </c>
      <c r="DR23" s="19">
        <v>5540427283</v>
      </c>
      <c r="DS23" s="19">
        <v>154450440</v>
      </c>
      <c r="DT23" s="19">
        <v>996635701</v>
      </c>
      <c r="DU23" s="19">
        <v>76770020</v>
      </c>
      <c r="DV23" s="19">
        <v>740862208</v>
      </c>
      <c r="DW23" s="19">
        <v>660616796</v>
      </c>
      <c r="DX23" s="19">
        <v>3029852155</v>
      </c>
      <c r="DY23" s="19">
        <v>989858267</v>
      </c>
      <c r="DZ23" s="19">
        <v>314726011</v>
      </c>
      <c r="EA23" s="19">
        <v>32280275</v>
      </c>
      <c r="EB23" s="19">
        <v>4376274418</v>
      </c>
      <c r="EC23" s="19">
        <v>429058390</v>
      </c>
      <c r="ED23" s="19">
        <v>121161191</v>
      </c>
      <c r="EE23" s="19">
        <v>19445912</v>
      </c>
      <c r="EF23" s="19">
        <v>1847484066</v>
      </c>
      <c r="EG23" s="19">
        <v>4022636397</v>
      </c>
      <c r="EH23" s="19">
        <v>5286553687</v>
      </c>
      <c r="EI23" s="19">
        <v>4146332560</v>
      </c>
      <c r="EJ23" s="19">
        <v>135372995</v>
      </c>
      <c r="EK23" s="19">
        <v>312910333</v>
      </c>
      <c r="EL23" s="19">
        <v>943953764</v>
      </c>
      <c r="EM23" s="19">
        <v>76697831</v>
      </c>
      <c r="EN23" s="19">
        <v>1528519656</v>
      </c>
      <c r="EO23" s="19">
        <v>179657419</v>
      </c>
      <c r="EP23" s="19">
        <v>15761985</v>
      </c>
      <c r="EQ23" s="19">
        <v>0</v>
      </c>
      <c r="ER23" s="19">
        <v>1712960609</v>
      </c>
      <c r="ES23" s="19">
        <v>1399041700</v>
      </c>
      <c r="ET23" s="19">
        <v>252007499</v>
      </c>
      <c r="EU23" s="19">
        <v>1386269932</v>
      </c>
      <c r="EV23" s="19">
        <v>125324855</v>
      </c>
      <c r="EW23" s="19">
        <v>1062791357</v>
      </c>
      <c r="EX23" s="19">
        <v>2040261311</v>
      </c>
      <c r="EY23" s="19">
        <v>2484185519</v>
      </c>
      <c r="EZ23" s="19">
        <v>437884171</v>
      </c>
      <c r="FA23" s="47" t="s">
        <v>130</v>
      </c>
      <c r="FB23" s="19">
        <v>203910030</v>
      </c>
      <c r="FC23" s="19">
        <v>1284671722</v>
      </c>
      <c r="FD23" s="19">
        <v>1038129428</v>
      </c>
      <c r="FE23" s="19">
        <v>5175256196</v>
      </c>
      <c r="FF23" s="19">
        <v>56686761</v>
      </c>
      <c r="FG23" s="19">
        <v>2947799100</v>
      </c>
      <c r="FH23" s="19">
        <v>353164314</v>
      </c>
      <c r="FI23" s="47" t="s">
        <v>96</v>
      </c>
      <c r="FJ23" s="19">
        <v>77363710</v>
      </c>
      <c r="FK23" s="19">
        <v>563860901</v>
      </c>
      <c r="FL23" s="47" t="s">
        <v>130</v>
      </c>
      <c r="FM23" s="19">
        <v>571211959</v>
      </c>
      <c r="FN23" s="19">
        <v>1999245114</v>
      </c>
      <c r="FO23" s="47" t="s">
        <v>172</v>
      </c>
      <c r="FP23" s="19">
        <v>601630851</v>
      </c>
      <c r="FQ23" s="19">
        <v>251093223</v>
      </c>
      <c r="FR23" s="19">
        <v>281284457</v>
      </c>
      <c r="FS23" s="47" t="s">
        <v>130</v>
      </c>
      <c r="FT23" s="19">
        <v>6104235453</v>
      </c>
      <c r="FU23" s="19">
        <v>11249730</v>
      </c>
      <c r="FV23" s="19">
        <v>2308485484</v>
      </c>
      <c r="FW23" s="19">
        <v>227471065</v>
      </c>
      <c r="FX23" s="19">
        <v>470398081</v>
      </c>
      <c r="FY23" s="19">
        <v>1521367725</v>
      </c>
      <c r="FZ23" s="47" t="s">
        <v>175</v>
      </c>
      <c r="GA23" s="19">
        <v>803805671</v>
      </c>
      <c r="GB23" s="19">
        <v>401062965</v>
      </c>
      <c r="GC23" s="19">
        <v>99208253</v>
      </c>
      <c r="GD23" s="48" t="s">
        <v>96</v>
      </c>
      <c r="GE23" s="48" t="s">
        <v>96</v>
      </c>
      <c r="GF23" s="19">
        <v>817876862</v>
      </c>
      <c r="GG23" s="19">
        <v>2351914328</v>
      </c>
      <c r="GH23" s="47" t="s">
        <v>172</v>
      </c>
      <c r="GI23" s="19">
        <v>151089176</v>
      </c>
      <c r="GJ23" s="47" t="s">
        <v>96</v>
      </c>
      <c r="GK23" s="19">
        <v>134080924</v>
      </c>
      <c r="GL23" s="47" t="s">
        <v>96</v>
      </c>
      <c r="GM23" s="19">
        <v>23375901</v>
      </c>
      <c r="GN23" s="19">
        <v>1193527699</v>
      </c>
      <c r="GO23" s="47" t="s">
        <v>96</v>
      </c>
      <c r="GP23" s="19">
        <v>5170594028</v>
      </c>
      <c r="GQ23" s="19">
        <v>82441685</v>
      </c>
      <c r="GR23" s="19">
        <v>1431262497</v>
      </c>
      <c r="GS23" s="19">
        <v>302398525</v>
      </c>
      <c r="GT23" s="19">
        <v>723403637</v>
      </c>
      <c r="GU23" s="19">
        <v>494130</v>
      </c>
      <c r="GV23" s="19">
        <v>2194188085</v>
      </c>
      <c r="GW23" s="19">
        <v>6114885560</v>
      </c>
      <c r="GX23" s="19">
        <v>2105682980</v>
      </c>
      <c r="GY23" s="19">
        <v>819913840</v>
      </c>
      <c r="GZ23" s="19">
        <v>4180591346</v>
      </c>
      <c r="HA23" s="19">
        <v>762126640</v>
      </c>
      <c r="HB23" s="19">
        <v>170613120</v>
      </c>
      <c r="HC23" s="19">
        <v>1036808674</v>
      </c>
      <c r="HD23" s="19">
        <v>62784837</v>
      </c>
      <c r="HE23" s="19">
        <v>861532744</v>
      </c>
      <c r="HF23" s="19">
        <v>1080907471</v>
      </c>
      <c r="HG23" s="19">
        <v>84299154</v>
      </c>
      <c r="HH23" s="47" t="s">
        <v>130</v>
      </c>
      <c r="HI23" s="19">
        <v>714892153</v>
      </c>
      <c r="HJ23" s="19">
        <v>236548190</v>
      </c>
      <c r="HK23" s="19">
        <v>995991974</v>
      </c>
      <c r="HL23" s="19">
        <v>13571174</v>
      </c>
      <c r="HM23" s="19">
        <v>922399794</v>
      </c>
      <c r="HN23" s="19">
        <v>14902356</v>
      </c>
      <c r="HO23" s="19">
        <v>454156645</v>
      </c>
      <c r="HP23" s="19">
        <v>371639291</v>
      </c>
      <c r="HQ23" s="19">
        <v>153394008</v>
      </c>
      <c r="HR23" s="19">
        <v>1642344147</v>
      </c>
      <c r="HS23" s="19">
        <v>390535431</v>
      </c>
      <c r="HT23" s="19">
        <v>199852833</v>
      </c>
      <c r="HU23" s="19">
        <v>1340425642</v>
      </c>
      <c r="HV23" s="19">
        <v>115468677</v>
      </c>
      <c r="HW23" s="19" t="s">
        <v>96</v>
      </c>
      <c r="HX23" s="19">
        <v>3148484038</v>
      </c>
      <c r="HY23" s="19" t="s">
        <v>172</v>
      </c>
      <c r="HZ23" s="19">
        <v>4097047159</v>
      </c>
      <c r="IA23" s="19">
        <v>15893120</v>
      </c>
      <c r="IB23" s="19">
        <v>5851753595</v>
      </c>
      <c r="IC23" s="19">
        <v>1643125682</v>
      </c>
      <c r="ID23" s="19">
        <v>32989820</v>
      </c>
      <c r="IE23" s="47" t="s">
        <v>96</v>
      </c>
      <c r="IF23" s="19">
        <v>31143234</v>
      </c>
      <c r="IG23" s="19">
        <v>46799637</v>
      </c>
      <c r="IH23" s="19">
        <v>503040398</v>
      </c>
      <c r="II23" s="19">
        <v>332613300</v>
      </c>
      <c r="IJ23" s="19">
        <v>102565879</v>
      </c>
      <c r="IK23" s="19">
        <v>503534354</v>
      </c>
      <c r="IL23" s="19">
        <v>1312472888</v>
      </c>
      <c r="IM23" s="19">
        <v>569005605</v>
      </c>
      <c r="IN23" s="19">
        <v>836145392</v>
      </c>
      <c r="IO23" s="19">
        <v>620241588</v>
      </c>
      <c r="IP23" s="19">
        <v>310468124</v>
      </c>
      <c r="IQ23" s="19">
        <v>495532387</v>
      </c>
      <c r="IR23" s="19">
        <v>415892653</v>
      </c>
      <c r="IS23" s="19">
        <v>4043657324</v>
      </c>
      <c r="IT23" s="19">
        <v>996320878</v>
      </c>
      <c r="IU23" s="45">
        <v>708539720</v>
      </c>
      <c r="IV23" s="45">
        <v>320478922</v>
      </c>
      <c r="IW23" s="45">
        <v>619824158</v>
      </c>
      <c r="IX23" s="45">
        <v>1358689462</v>
      </c>
      <c r="IY23" s="45">
        <v>641772675</v>
      </c>
      <c r="IZ23" s="45">
        <v>319239766</v>
      </c>
      <c r="JA23" s="45">
        <v>1038072632</v>
      </c>
      <c r="JB23" s="45">
        <v>522356332</v>
      </c>
      <c r="JC23" s="45">
        <v>1252285655</v>
      </c>
      <c r="JD23" s="45">
        <v>69543906</v>
      </c>
      <c r="JE23" s="45">
        <v>25513371</v>
      </c>
      <c r="JF23" s="45">
        <v>710582769</v>
      </c>
      <c r="JG23" s="45">
        <v>87826025</v>
      </c>
      <c r="JH23" s="45">
        <v>174848562</v>
      </c>
      <c r="JI23" s="45">
        <v>68749587</v>
      </c>
      <c r="JJ23" s="45">
        <v>205952781</v>
      </c>
      <c r="JK23" s="45">
        <v>325948974</v>
      </c>
      <c r="JL23" s="45">
        <v>2502080850</v>
      </c>
      <c r="JM23" s="45">
        <v>587224019</v>
      </c>
      <c r="JN23" s="45">
        <v>2821998962</v>
      </c>
      <c r="JO23" s="46">
        <v>135136961</v>
      </c>
      <c r="JP23" s="46">
        <v>88738041</v>
      </c>
      <c r="JQ23" s="63" t="s">
        <v>175</v>
      </c>
      <c r="JR23" s="46">
        <v>647878491</v>
      </c>
      <c r="JS23" s="46">
        <v>310916182</v>
      </c>
      <c r="JT23" s="46">
        <v>375920711</v>
      </c>
      <c r="JU23" s="46">
        <v>295844639</v>
      </c>
      <c r="JV23" s="46">
        <v>491020001</v>
      </c>
      <c r="JW23" s="46">
        <v>58969002</v>
      </c>
      <c r="JX23" s="46">
        <v>527626204</v>
      </c>
      <c r="JY23" s="46">
        <v>440813207</v>
      </c>
      <c r="JZ23" s="46">
        <v>44897342</v>
      </c>
      <c r="KA23" s="46">
        <v>23965308</v>
      </c>
      <c r="KB23" s="46">
        <v>5339550849</v>
      </c>
      <c r="KC23" s="46">
        <v>175475963</v>
      </c>
      <c r="KD23" s="46">
        <v>87809031</v>
      </c>
      <c r="KE23" s="46">
        <v>144015039</v>
      </c>
      <c r="KF23" s="46">
        <v>249955263</v>
      </c>
      <c r="KG23" s="46">
        <v>246971144</v>
      </c>
      <c r="KH23" s="46">
        <v>822350339</v>
      </c>
    </row>
    <row r="24" spans="1:294">
      <c r="A24" s="7" t="s">
        <v>182</v>
      </c>
      <c r="B24" s="8" t="s">
        <v>99</v>
      </c>
      <c r="C24" s="19">
        <v>142451405</v>
      </c>
      <c r="D24" s="19">
        <v>603732593</v>
      </c>
      <c r="E24" s="19">
        <v>163578941</v>
      </c>
      <c r="F24" s="19">
        <v>7439028</v>
      </c>
      <c r="G24" s="47" t="s">
        <v>130</v>
      </c>
      <c r="H24" s="19">
        <v>60180830</v>
      </c>
      <c r="I24" s="19">
        <v>340560194</v>
      </c>
      <c r="J24" s="47" t="s">
        <v>4</v>
      </c>
      <c r="K24" s="19">
        <v>281894211</v>
      </c>
      <c r="L24" s="47" t="s">
        <v>96</v>
      </c>
      <c r="M24" s="47" t="s">
        <v>96</v>
      </c>
      <c r="N24" s="19">
        <v>121781291</v>
      </c>
      <c r="O24" s="19">
        <v>1248589599</v>
      </c>
      <c r="P24" s="19">
        <v>228541739</v>
      </c>
      <c r="Q24" s="19">
        <v>24497844</v>
      </c>
      <c r="R24" s="19">
        <v>73105662</v>
      </c>
      <c r="S24" s="19">
        <v>2588956775</v>
      </c>
      <c r="T24" s="47" t="s">
        <v>96</v>
      </c>
      <c r="U24" s="47" t="s">
        <v>172</v>
      </c>
      <c r="V24" s="47" t="s">
        <v>172</v>
      </c>
      <c r="W24" s="19">
        <v>105712976</v>
      </c>
      <c r="X24" s="19">
        <v>329403340</v>
      </c>
      <c r="Y24" s="19">
        <v>52399661</v>
      </c>
      <c r="Z24" s="19">
        <v>497218974</v>
      </c>
      <c r="AA24" s="19">
        <v>1169256850</v>
      </c>
      <c r="AB24" s="19">
        <v>9050310</v>
      </c>
      <c r="AC24" s="19">
        <v>159344081</v>
      </c>
      <c r="AD24" s="19">
        <v>372152919</v>
      </c>
      <c r="AE24" s="19">
        <v>100457721</v>
      </c>
      <c r="AF24" s="47" t="s">
        <v>172</v>
      </c>
      <c r="AG24" s="19">
        <v>459534220</v>
      </c>
      <c r="AH24" s="19">
        <v>543506124</v>
      </c>
      <c r="AI24" s="19">
        <v>211549741</v>
      </c>
      <c r="AJ24" s="19">
        <v>51342616</v>
      </c>
      <c r="AK24" s="19">
        <v>845689866</v>
      </c>
      <c r="AL24" s="19">
        <v>105343744</v>
      </c>
      <c r="AM24" s="47" t="s">
        <v>4</v>
      </c>
      <c r="AN24" s="19">
        <v>195607542</v>
      </c>
      <c r="AO24" s="19">
        <v>580535594</v>
      </c>
      <c r="AP24" s="19">
        <v>120819043</v>
      </c>
      <c r="AQ24" s="47" t="s">
        <v>96</v>
      </c>
      <c r="AR24" s="19">
        <v>565795250</v>
      </c>
      <c r="AS24" s="19">
        <v>1588975146</v>
      </c>
      <c r="AT24" s="47" t="s">
        <v>172</v>
      </c>
      <c r="AU24" s="19">
        <v>715587615</v>
      </c>
      <c r="AV24" s="19">
        <v>69938617</v>
      </c>
      <c r="AW24" s="19">
        <v>198988622</v>
      </c>
      <c r="AX24" s="47" t="s">
        <v>4</v>
      </c>
      <c r="AY24" s="19">
        <v>28959020</v>
      </c>
      <c r="AZ24" s="19">
        <v>66521985</v>
      </c>
      <c r="BA24" s="19">
        <v>2798215257</v>
      </c>
      <c r="BB24" s="19">
        <v>50821815</v>
      </c>
      <c r="BC24" s="47" t="s">
        <v>4</v>
      </c>
      <c r="BD24" s="47" t="s">
        <v>130</v>
      </c>
      <c r="BE24" s="19">
        <v>304233404</v>
      </c>
      <c r="BF24" s="47" t="s">
        <v>96</v>
      </c>
      <c r="BG24" s="19">
        <v>511774245</v>
      </c>
      <c r="BH24" s="19">
        <v>265705991</v>
      </c>
      <c r="BI24" s="19">
        <v>59936080</v>
      </c>
      <c r="BJ24" s="19">
        <v>261715565</v>
      </c>
      <c r="BK24" s="19">
        <v>583957894</v>
      </c>
      <c r="BL24" s="19">
        <v>193289156</v>
      </c>
      <c r="BM24" s="19">
        <v>380077281</v>
      </c>
      <c r="BN24" s="19">
        <v>32266300</v>
      </c>
      <c r="BO24" s="19">
        <v>27728455</v>
      </c>
      <c r="BP24" s="47" t="s">
        <v>96</v>
      </c>
      <c r="BQ24" s="47" t="s">
        <v>4</v>
      </c>
      <c r="BR24" s="19">
        <v>1073538294</v>
      </c>
      <c r="BS24" s="19">
        <v>29150047</v>
      </c>
      <c r="BT24" s="47" t="s">
        <v>130</v>
      </c>
      <c r="BU24" s="19">
        <v>493040488</v>
      </c>
      <c r="BV24" s="19">
        <v>309722899</v>
      </c>
      <c r="BW24" s="19">
        <v>1284341</v>
      </c>
      <c r="BX24" s="19">
        <v>187051915</v>
      </c>
      <c r="BY24" s="19">
        <v>919834342</v>
      </c>
      <c r="BZ24" s="19">
        <v>146681088</v>
      </c>
      <c r="CA24" s="19">
        <v>206836401</v>
      </c>
      <c r="CB24" s="19">
        <v>84084800</v>
      </c>
      <c r="CC24" s="19">
        <v>114940585</v>
      </c>
      <c r="CD24" s="19">
        <v>804862675</v>
      </c>
      <c r="CE24" s="19">
        <v>126531904</v>
      </c>
      <c r="CF24" s="19">
        <v>1878262025</v>
      </c>
      <c r="CG24" s="19">
        <v>5251381</v>
      </c>
      <c r="CH24" s="19">
        <v>63822311</v>
      </c>
      <c r="CI24" s="47" t="s">
        <v>130</v>
      </c>
      <c r="CJ24" s="19">
        <v>343455397</v>
      </c>
      <c r="CK24" s="19">
        <v>2199127780</v>
      </c>
      <c r="CL24" s="19">
        <v>51949749</v>
      </c>
      <c r="CM24" s="19">
        <v>670062047</v>
      </c>
      <c r="CN24" s="19">
        <v>72407947</v>
      </c>
      <c r="CO24" s="19">
        <v>19931377</v>
      </c>
      <c r="CP24" s="19">
        <v>674020162</v>
      </c>
      <c r="CQ24" s="47" t="s">
        <v>96</v>
      </c>
      <c r="CR24" s="19">
        <v>140513903</v>
      </c>
      <c r="CS24" s="47" t="s">
        <v>172</v>
      </c>
      <c r="CT24" s="19">
        <v>5865594937</v>
      </c>
      <c r="CU24" s="19">
        <v>5437799</v>
      </c>
      <c r="CV24" s="19">
        <v>189357214</v>
      </c>
      <c r="CW24" s="19">
        <v>343378975</v>
      </c>
      <c r="CX24" s="19">
        <v>4425226504</v>
      </c>
      <c r="CY24" s="47" t="s">
        <v>96</v>
      </c>
      <c r="CZ24" s="19">
        <v>894694805</v>
      </c>
      <c r="DA24" s="47" t="s">
        <v>89</v>
      </c>
      <c r="DB24" s="19">
        <v>35491381</v>
      </c>
      <c r="DC24" s="19">
        <v>67579845</v>
      </c>
      <c r="DD24" s="19">
        <v>18865703</v>
      </c>
      <c r="DE24" s="19">
        <v>106917509</v>
      </c>
      <c r="DF24" s="19">
        <v>27415573</v>
      </c>
      <c r="DG24" s="19">
        <v>479005954</v>
      </c>
      <c r="DH24" s="19">
        <v>95966421</v>
      </c>
      <c r="DI24" s="19">
        <v>216176946</v>
      </c>
      <c r="DJ24" s="19">
        <v>4021208</v>
      </c>
      <c r="DK24" s="19">
        <v>6102340701</v>
      </c>
      <c r="DL24" s="19">
        <v>50533059</v>
      </c>
      <c r="DM24" s="19">
        <v>431227989</v>
      </c>
      <c r="DN24" s="19">
        <v>178014850</v>
      </c>
      <c r="DO24" s="19">
        <v>74321233</v>
      </c>
      <c r="DP24" s="19">
        <v>1942151619</v>
      </c>
      <c r="DQ24" s="19">
        <v>85648606</v>
      </c>
      <c r="DR24" s="19">
        <v>98264684</v>
      </c>
      <c r="DS24" s="19">
        <v>121106440</v>
      </c>
      <c r="DT24" s="19">
        <v>184663701</v>
      </c>
      <c r="DU24" s="19">
        <v>76770020</v>
      </c>
      <c r="DV24" s="19">
        <v>18645778</v>
      </c>
      <c r="DW24" s="19">
        <v>27736796</v>
      </c>
      <c r="DX24" s="19">
        <v>3004922155</v>
      </c>
      <c r="DY24" s="19">
        <v>97149913</v>
      </c>
      <c r="DZ24" s="19">
        <v>14549011</v>
      </c>
      <c r="EA24" s="19">
        <v>3303545</v>
      </c>
      <c r="EB24" s="19">
        <v>867674418</v>
      </c>
      <c r="EC24" s="19">
        <v>89058386</v>
      </c>
      <c r="ED24" s="19">
        <v>121161191</v>
      </c>
      <c r="EE24" s="19">
        <v>19445912</v>
      </c>
      <c r="EF24" s="19">
        <v>288836324</v>
      </c>
      <c r="EG24" s="19">
        <v>3210155371</v>
      </c>
      <c r="EH24" s="19">
        <v>322006446</v>
      </c>
      <c r="EI24" s="19">
        <v>3683164384</v>
      </c>
      <c r="EJ24" s="19">
        <v>45132692</v>
      </c>
      <c r="EK24" s="19">
        <v>162799758</v>
      </c>
      <c r="EL24" s="19">
        <v>575767604</v>
      </c>
      <c r="EM24" s="19">
        <v>76697831</v>
      </c>
      <c r="EN24" s="19">
        <v>615573636</v>
      </c>
      <c r="EO24" s="19">
        <v>60907419</v>
      </c>
      <c r="EP24" s="19">
        <v>15761985</v>
      </c>
      <c r="EQ24" s="19">
        <v>0</v>
      </c>
      <c r="ER24" s="19">
        <v>1078569412</v>
      </c>
      <c r="ES24" s="19">
        <v>29055120</v>
      </c>
      <c r="ET24" s="19">
        <v>213169878</v>
      </c>
      <c r="EU24" s="19">
        <v>1352279977</v>
      </c>
      <c r="EV24" s="19">
        <v>18501100</v>
      </c>
      <c r="EW24" s="19">
        <v>236541357</v>
      </c>
      <c r="EX24" s="19">
        <v>331110051</v>
      </c>
      <c r="EY24" s="19">
        <v>2424185519</v>
      </c>
      <c r="EZ24" s="19">
        <v>177982859</v>
      </c>
      <c r="FA24" s="47" t="s">
        <v>130</v>
      </c>
      <c r="FB24" s="19">
        <v>153910030</v>
      </c>
      <c r="FC24" s="19">
        <v>476331269</v>
      </c>
      <c r="FD24" s="19">
        <v>58384121</v>
      </c>
      <c r="FE24" s="19">
        <v>4240686472</v>
      </c>
      <c r="FF24" s="19">
        <v>56686761</v>
      </c>
      <c r="FG24" s="19">
        <v>2147799100</v>
      </c>
      <c r="FH24" s="19">
        <v>353164314</v>
      </c>
      <c r="FI24" s="47" t="s">
        <v>96</v>
      </c>
      <c r="FJ24" s="19">
        <v>77363710</v>
      </c>
      <c r="FK24" s="19">
        <v>366207577</v>
      </c>
      <c r="FL24" s="47" t="s">
        <v>130</v>
      </c>
      <c r="FM24" s="19">
        <v>534201561</v>
      </c>
      <c r="FN24" s="19">
        <v>1170560115</v>
      </c>
      <c r="FO24" s="47" t="s">
        <v>172</v>
      </c>
      <c r="FP24" s="19">
        <v>26460851</v>
      </c>
      <c r="FQ24" s="19">
        <v>1093223</v>
      </c>
      <c r="FR24" s="19">
        <v>281284457</v>
      </c>
      <c r="FS24" s="47" t="s">
        <v>130</v>
      </c>
      <c r="FT24" s="19">
        <v>1705920680</v>
      </c>
      <c r="FU24" s="19">
        <v>11249730</v>
      </c>
      <c r="FV24" s="19">
        <v>381485484</v>
      </c>
      <c r="FW24" s="19">
        <v>217471065</v>
      </c>
      <c r="FX24" s="19">
        <v>470398081</v>
      </c>
      <c r="FY24" s="19">
        <v>1085263507</v>
      </c>
      <c r="FZ24" s="47" t="s">
        <v>175</v>
      </c>
      <c r="GA24" s="19">
        <v>649447855</v>
      </c>
      <c r="GB24" s="19">
        <v>1062965</v>
      </c>
      <c r="GC24" s="19">
        <v>99208253</v>
      </c>
      <c r="GD24" s="48" t="s">
        <v>96</v>
      </c>
      <c r="GE24" s="48" t="s">
        <v>96</v>
      </c>
      <c r="GF24" s="19">
        <v>125674036</v>
      </c>
      <c r="GG24" s="19">
        <v>1044739981</v>
      </c>
      <c r="GH24" s="47" t="s">
        <v>172</v>
      </c>
      <c r="GI24" s="19">
        <v>31661676</v>
      </c>
      <c r="GJ24" s="47" t="s">
        <v>96</v>
      </c>
      <c r="GK24" s="19">
        <v>134080924</v>
      </c>
      <c r="GL24" s="47" t="s">
        <v>96</v>
      </c>
      <c r="GM24" s="19">
        <v>23375901</v>
      </c>
      <c r="GN24" s="19">
        <v>1187837699</v>
      </c>
      <c r="GO24" s="47" t="s">
        <v>96</v>
      </c>
      <c r="GP24" s="19">
        <v>463767867</v>
      </c>
      <c r="GQ24" s="19">
        <v>82441685</v>
      </c>
      <c r="GR24" s="19">
        <v>195017617</v>
      </c>
      <c r="GS24" s="19">
        <v>124706385</v>
      </c>
      <c r="GT24" s="19">
        <v>135178346</v>
      </c>
      <c r="GU24" s="19">
        <v>494130</v>
      </c>
      <c r="GV24" s="19">
        <v>574128646</v>
      </c>
      <c r="GW24" s="19">
        <v>3356040983</v>
      </c>
      <c r="GX24" s="19">
        <v>352592980</v>
      </c>
      <c r="GY24" s="19">
        <v>21957378</v>
      </c>
      <c r="GZ24" s="19">
        <v>493841484</v>
      </c>
      <c r="HA24" s="19">
        <v>250341558</v>
      </c>
      <c r="HB24" s="19">
        <v>170613120</v>
      </c>
      <c r="HC24" s="19">
        <v>570558674</v>
      </c>
      <c r="HD24" s="19">
        <v>62784837</v>
      </c>
      <c r="HE24" s="19">
        <v>606532744</v>
      </c>
      <c r="HF24" s="19">
        <v>680907471</v>
      </c>
      <c r="HG24" s="19">
        <v>20989921</v>
      </c>
      <c r="HH24" s="47" t="s">
        <v>130</v>
      </c>
      <c r="HI24" s="19">
        <v>587803170</v>
      </c>
      <c r="HJ24" s="19">
        <v>71837420</v>
      </c>
      <c r="HK24" s="19">
        <v>979331974</v>
      </c>
      <c r="HL24" s="19">
        <v>13571174</v>
      </c>
      <c r="HM24" s="19">
        <v>92751708</v>
      </c>
      <c r="HN24" s="19">
        <v>14902356</v>
      </c>
      <c r="HO24" s="19">
        <v>154156645</v>
      </c>
      <c r="HP24" s="19">
        <v>87949291</v>
      </c>
      <c r="HQ24" s="19">
        <v>153394008</v>
      </c>
      <c r="HR24" s="19">
        <v>1239046084</v>
      </c>
      <c r="HS24" s="19">
        <v>130535431</v>
      </c>
      <c r="HT24" s="19">
        <v>95276833</v>
      </c>
      <c r="HU24" s="19">
        <v>1340425642</v>
      </c>
      <c r="HV24" s="19">
        <v>42048677</v>
      </c>
      <c r="HW24" s="19" t="s">
        <v>96</v>
      </c>
      <c r="HX24" s="19">
        <v>252842465</v>
      </c>
      <c r="HY24" s="19" t="s">
        <v>172</v>
      </c>
      <c r="HZ24" s="19">
        <v>1048214462</v>
      </c>
      <c r="IA24" s="19">
        <v>15893120</v>
      </c>
      <c r="IB24" s="19">
        <v>10614260</v>
      </c>
      <c r="IC24" s="19">
        <v>382944433</v>
      </c>
      <c r="ID24" s="19">
        <v>32989820</v>
      </c>
      <c r="IE24" s="47" t="s">
        <v>96</v>
      </c>
      <c r="IF24" s="19">
        <v>22782224</v>
      </c>
      <c r="IG24" s="19">
        <v>20481855</v>
      </c>
      <c r="IH24" s="19">
        <v>253040398</v>
      </c>
      <c r="II24" s="19">
        <v>185904986</v>
      </c>
      <c r="IJ24" s="19">
        <v>94525879</v>
      </c>
      <c r="IK24" s="19">
        <v>130774853</v>
      </c>
      <c r="IL24" s="19">
        <v>669684118</v>
      </c>
      <c r="IM24" s="19">
        <v>204649403</v>
      </c>
      <c r="IN24" s="19">
        <v>651145392</v>
      </c>
      <c r="IO24" s="19">
        <v>85451588</v>
      </c>
      <c r="IP24" s="19">
        <v>282333124</v>
      </c>
      <c r="IQ24" s="19">
        <v>220075589</v>
      </c>
      <c r="IR24" s="19">
        <v>19017653</v>
      </c>
      <c r="IS24" s="19">
        <v>349357324</v>
      </c>
      <c r="IT24" s="19">
        <v>246320878</v>
      </c>
      <c r="IU24" s="45">
        <v>570580720</v>
      </c>
      <c r="IV24" s="45">
        <v>320478922</v>
      </c>
      <c r="IW24" s="45">
        <v>129824158</v>
      </c>
      <c r="IX24" s="45">
        <v>127896261</v>
      </c>
      <c r="IY24" s="45">
        <v>221772675</v>
      </c>
      <c r="IZ24" s="45">
        <v>91684526</v>
      </c>
      <c r="JA24" s="45">
        <v>981091381</v>
      </c>
      <c r="JB24" s="45">
        <v>522356332</v>
      </c>
      <c r="JC24" s="45">
        <v>63722568</v>
      </c>
      <c r="JD24" s="45">
        <v>69543906</v>
      </c>
      <c r="JE24" s="45">
        <v>17352071</v>
      </c>
      <c r="JF24" s="45">
        <v>154158769</v>
      </c>
      <c r="JG24" s="45">
        <v>26374025</v>
      </c>
      <c r="JH24" s="45">
        <v>132872930</v>
      </c>
      <c r="JI24" s="45">
        <v>68749587</v>
      </c>
      <c r="JJ24" s="45">
        <v>9936437</v>
      </c>
      <c r="JK24" s="45">
        <v>190273971</v>
      </c>
      <c r="JL24" s="45">
        <v>402080850</v>
      </c>
      <c r="JM24" s="45">
        <v>52224019</v>
      </c>
      <c r="JN24" s="45">
        <v>241478962</v>
      </c>
      <c r="JO24" s="46">
        <v>55136961</v>
      </c>
      <c r="JP24" s="46">
        <v>39575067</v>
      </c>
      <c r="JQ24" s="63" t="s">
        <v>175</v>
      </c>
      <c r="JR24" s="46">
        <v>47878491</v>
      </c>
      <c r="JS24" s="46">
        <v>181225347</v>
      </c>
      <c r="JT24" s="46">
        <v>337892937</v>
      </c>
      <c r="JU24" s="46">
        <v>62767110</v>
      </c>
      <c r="JV24" s="46">
        <v>356020001</v>
      </c>
      <c r="JW24" s="46">
        <v>58969002</v>
      </c>
      <c r="JX24" s="46">
        <v>527626204</v>
      </c>
      <c r="JY24" s="46">
        <v>440813207</v>
      </c>
      <c r="JZ24" s="46">
        <v>44897342</v>
      </c>
      <c r="KA24" s="46">
        <v>23965308</v>
      </c>
      <c r="KB24" s="46">
        <v>497968621</v>
      </c>
      <c r="KC24" s="46">
        <v>75475963</v>
      </c>
      <c r="KD24" s="46">
        <v>87809031</v>
      </c>
      <c r="KE24" s="46">
        <v>144015039</v>
      </c>
      <c r="KF24" s="46">
        <v>39955263</v>
      </c>
      <c r="KG24" s="46">
        <v>246971144</v>
      </c>
      <c r="KH24" s="46">
        <v>140120401</v>
      </c>
    </row>
    <row r="25" spans="1:294">
      <c r="A25" s="7" t="s">
        <v>182</v>
      </c>
      <c r="B25" s="11" t="s">
        <v>21</v>
      </c>
      <c r="C25" s="19"/>
      <c r="D25" s="19">
        <v>493814712</v>
      </c>
      <c r="E25" s="19">
        <v>69352839</v>
      </c>
      <c r="F25" s="19"/>
      <c r="G25" s="47" t="s">
        <v>130</v>
      </c>
      <c r="H25" s="19"/>
      <c r="I25" s="19"/>
      <c r="J25" s="47" t="s">
        <v>4</v>
      </c>
      <c r="K25" s="19">
        <v>255239341</v>
      </c>
      <c r="L25" s="47" t="s">
        <v>96</v>
      </c>
      <c r="M25" s="47" t="s">
        <v>96</v>
      </c>
      <c r="N25" s="19"/>
      <c r="O25" s="19">
        <v>82280752</v>
      </c>
      <c r="P25" s="19">
        <v>105726834</v>
      </c>
      <c r="Q25" s="19">
        <v>1435500</v>
      </c>
      <c r="R25" s="19"/>
      <c r="S25" s="19">
        <v>887703738</v>
      </c>
      <c r="T25" s="47" t="s">
        <v>96</v>
      </c>
      <c r="U25" s="47" t="s">
        <v>172</v>
      </c>
      <c r="V25" s="47" t="s">
        <v>172</v>
      </c>
      <c r="W25" s="19">
        <v>33108125</v>
      </c>
      <c r="X25" s="19"/>
      <c r="Y25" s="19"/>
      <c r="Z25" s="19"/>
      <c r="AA25" s="19">
        <v>356228210</v>
      </c>
      <c r="AB25" s="19"/>
      <c r="AC25" s="19">
        <v>95680073</v>
      </c>
      <c r="AD25" s="19">
        <v>93139559</v>
      </c>
      <c r="AE25" s="19">
        <v>29370803</v>
      </c>
      <c r="AF25" s="47" t="s">
        <v>172</v>
      </c>
      <c r="AG25" s="19">
        <v>244924</v>
      </c>
      <c r="AH25" s="19"/>
      <c r="AI25" s="19">
        <v>5530200</v>
      </c>
      <c r="AJ25" s="19">
        <v>13720608</v>
      </c>
      <c r="AK25" s="19">
        <v>157119875</v>
      </c>
      <c r="AL25" s="19">
        <v>1330000</v>
      </c>
      <c r="AM25" s="47" t="s">
        <v>4</v>
      </c>
      <c r="AN25" s="19"/>
      <c r="AO25" s="19"/>
      <c r="AP25" s="19"/>
      <c r="AQ25" s="47" t="s">
        <v>96</v>
      </c>
      <c r="AR25" s="19"/>
      <c r="AS25" s="19"/>
      <c r="AT25" s="47" t="s">
        <v>172</v>
      </c>
      <c r="AU25" s="19">
        <v>5986750</v>
      </c>
      <c r="AV25" s="19"/>
      <c r="AW25" s="19"/>
      <c r="AX25" s="47" t="s">
        <v>4</v>
      </c>
      <c r="AY25" s="19"/>
      <c r="AZ25" s="19">
        <v>1028481</v>
      </c>
      <c r="BA25" s="19">
        <v>1318812915</v>
      </c>
      <c r="BB25" s="19"/>
      <c r="BC25" s="47" t="s">
        <v>4</v>
      </c>
      <c r="BD25" s="47" t="s">
        <v>130</v>
      </c>
      <c r="BE25" s="19">
        <v>26466759</v>
      </c>
      <c r="BF25" s="47" t="s">
        <v>96</v>
      </c>
      <c r="BG25" s="19">
        <v>120362437</v>
      </c>
      <c r="BH25" s="19">
        <v>93309600</v>
      </c>
      <c r="BI25" s="19"/>
      <c r="BJ25" s="19">
        <v>33712376</v>
      </c>
      <c r="BK25" s="19">
        <v>2000000</v>
      </c>
      <c r="BL25" s="19">
        <v>11000000</v>
      </c>
      <c r="BM25" s="19">
        <v>152644900</v>
      </c>
      <c r="BN25" s="19"/>
      <c r="BO25" s="19"/>
      <c r="BP25" s="47" t="s">
        <v>96</v>
      </c>
      <c r="BQ25" s="47" t="s">
        <v>4</v>
      </c>
      <c r="BR25" s="19"/>
      <c r="BS25" s="19"/>
      <c r="BT25" s="47" t="s">
        <v>130</v>
      </c>
      <c r="BU25" s="19"/>
      <c r="BV25" s="19"/>
      <c r="BW25" s="19"/>
      <c r="BX25" s="19"/>
      <c r="BY25" s="19">
        <v>495091844</v>
      </c>
      <c r="BZ25" s="19">
        <v>26443351</v>
      </c>
      <c r="CA25" s="19"/>
      <c r="CB25" s="19"/>
      <c r="CC25" s="19">
        <v>15276322</v>
      </c>
      <c r="CD25" s="19"/>
      <c r="CE25" s="19"/>
      <c r="CF25" s="19">
        <v>43167154</v>
      </c>
      <c r="CG25" s="19">
        <v>354511</v>
      </c>
      <c r="CH25" s="19">
        <v>6039000</v>
      </c>
      <c r="CI25" s="47" t="s">
        <v>130</v>
      </c>
      <c r="CJ25" s="19">
        <v>112249392</v>
      </c>
      <c r="CK25" s="19">
        <v>584378578</v>
      </c>
      <c r="CL25" s="19">
        <v>16235534</v>
      </c>
      <c r="CM25" s="19"/>
      <c r="CN25" s="19"/>
      <c r="CO25" s="19">
        <v>14043809</v>
      </c>
      <c r="CP25" s="19">
        <v>13888878</v>
      </c>
      <c r="CQ25" s="47" t="s">
        <v>96</v>
      </c>
      <c r="CR25" s="19">
        <v>42347961</v>
      </c>
      <c r="CS25" s="47" t="s">
        <v>172</v>
      </c>
      <c r="CT25" s="19"/>
      <c r="CU25" s="19"/>
      <c r="CV25" s="19">
        <v>5000000</v>
      </c>
      <c r="CW25" s="19"/>
      <c r="CX25" s="19"/>
      <c r="CY25" s="47" t="s">
        <v>96</v>
      </c>
      <c r="CZ25" s="19"/>
      <c r="DA25" s="47" t="s">
        <v>89</v>
      </c>
      <c r="DB25" s="19"/>
      <c r="DC25" s="19"/>
      <c r="DD25" s="19">
        <v>651000</v>
      </c>
      <c r="DE25" s="19"/>
      <c r="DF25" s="19">
        <v>1187090</v>
      </c>
      <c r="DG25" s="19"/>
      <c r="DH25" s="19"/>
      <c r="DI25" s="19">
        <v>71219955</v>
      </c>
      <c r="DJ25" s="19"/>
      <c r="DK25" s="19">
        <v>4230098204</v>
      </c>
      <c r="DL25" s="19"/>
      <c r="DM25" s="19">
        <v>263675684</v>
      </c>
      <c r="DN25" s="19">
        <v>105347038</v>
      </c>
      <c r="DO25" s="19"/>
      <c r="DP25" s="19">
        <v>81302400</v>
      </c>
      <c r="DQ25" s="19">
        <v>41688404</v>
      </c>
      <c r="DR25" s="19"/>
      <c r="DS25" s="19">
        <v>6742502</v>
      </c>
      <c r="DT25" s="19">
        <v>70154287</v>
      </c>
      <c r="DU25" s="19"/>
      <c r="DV25" s="19"/>
      <c r="DW25" s="19">
        <v>9003100</v>
      </c>
      <c r="DX25" s="19"/>
      <c r="DY25" s="19">
        <v>28703998</v>
      </c>
      <c r="DZ25" s="19"/>
      <c r="EA25" s="19"/>
      <c r="EB25" s="19">
        <v>1399200</v>
      </c>
      <c r="EC25" s="19"/>
      <c r="ED25" s="19">
        <v>2700195</v>
      </c>
      <c r="EE25" s="19"/>
      <c r="EF25" s="19">
        <v>131546171</v>
      </c>
      <c r="EG25" s="19">
        <v>154980000</v>
      </c>
      <c r="EH25" s="19">
        <v>1576568</v>
      </c>
      <c r="EI25" s="19"/>
      <c r="EJ25" s="19"/>
      <c r="EK25" s="19"/>
      <c r="EL25" s="19">
        <v>280228029</v>
      </c>
      <c r="EM25" s="19">
        <v>7196268</v>
      </c>
      <c r="EN25" s="19"/>
      <c r="EO25" s="19"/>
      <c r="EP25" s="19"/>
      <c r="EQ25" s="19"/>
      <c r="ER25" s="19"/>
      <c r="ES25" s="19">
        <v>11753963</v>
      </c>
      <c r="ET25" s="19"/>
      <c r="EU25" s="19"/>
      <c r="EV25" s="19"/>
      <c r="EW25" s="19">
        <v>17970072</v>
      </c>
      <c r="EX25" s="19"/>
      <c r="EY25" s="19"/>
      <c r="EZ25" s="19">
        <v>7397070</v>
      </c>
      <c r="FA25" s="47" t="s">
        <v>130</v>
      </c>
      <c r="FB25" s="19">
        <v>5190900</v>
      </c>
      <c r="FC25" s="19">
        <v>26554590</v>
      </c>
      <c r="FD25" s="19">
        <v>408155</v>
      </c>
      <c r="FE25" s="19">
        <v>2396188182</v>
      </c>
      <c r="FF25" s="19"/>
      <c r="FG25" s="19">
        <v>952119954</v>
      </c>
      <c r="FH25" s="19">
        <v>109538025</v>
      </c>
      <c r="FI25" s="47" t="s">
        <v>96</v>
      </c>
      <c r="FJ25" s="19">
        <v>90000</v>
      </c>
      <c r="FK25" s="19">
        <v>28683793</v>
      </c>
      <c r="FL25" s="47" t="s">
        <v>130</v>
      </c>
      <c r="FM25" s="19">
        <v>851100</v>
      </c>
      <c r="FN25" s="19"/>
      <c r="FO25" s="47" t="s">
        <v>172</v>
      </c>
      <c r="FP25" s="19"/>
      <c r="FQ25" s="19"/>
      <c r="FR25" s="19">
        <v>22332400</v>
      </c>
      <c r="FS25" s="47" t="s">
        <v>130</v>
      </c>
      <c r="FT25" s="19">
        <v>316701248</v>
      </c>
      <c r="FU25" s="19"/>
      <c r="FV25" s="19"/>
      <c r="FW25" s="19">
        <v>39303240</v>
      </c>
      <c r="FX25" s="19"/>
      <c r="FY25" s="19">
        <v>32451215</v>
      </c>
      <c r="FZ25" s="47" t="s">
        <v>175</v>
      </c>
      <c r="GA25" s="19">
        <v>309375</v>
      </c>
      <c r="GB25" s="19">
        <v>19470</v>
      </c>
      <c r="GC25" s="19"/>
      <c r="GD25" s="48" t="s">
        <v>96</v>
      </c>
      <c r="GE25" s="48" t="s">
        <v>96</v>
      </c>
      <c r="GF25" s="19">
        <v>17868894</v>
      </c>
      <c r="GG25" s="19"/>
      <c r="GH25" s="47" t="s">
        <v>172</v>
      </c>
      <c r="GI25" s="19"/>
      <c r="GJ25" s="47" t="s">
        <v>96</v>
      </c>
      <c r="GK25" s="19">
        <v>503894</v>
      </c>
      <c r="GL25" s="47" t="s">
        <v>96</v>
      </c>
      <c r="GM25" s="19"/>
      <c r="GN25" s="19"/>
      <c r="GO25" s="47" t="s">
        <v>96</v>
      </c>
      <c r="GP25" s="19">
        <v>53681135</v>
      </c>
      <c r="GQ25" s="19">
        <v>9492200</v>
      </c>
      <c r="GR25" s="19">
        <v>61273967</v>
      </c>
      <c r="GS25" s="19"/>
      <c r="GT25" s="19">
        <v>3152650</v>
      </c>
      <c r="GU25" s="19"/>
      <c r="GV25" s="19"/>
      <c r="GW25" s="19">
        <v>270709000</v>
      </c>
      <c r="GX25" s="19">
        <v>160734700</v>
      </c>
      <c r="GY25" s="19"/>
      <c r="GZ25" s="19">
        <v>5718564</v>
      </c>
      <c r="HA25" s="19"/>
      <c r="HB25" s="19"/>
      <c r="HC25" s="19">
        <v>133200810</v>
      </c>
      <c r="HD25" s="19">
        <v>12588585</v>
      </c>
      <c r="HE25" s="19">
        <v>1435167</v>
      </c>
      <c r="HF25" s="19"/>
      <c r="HG25" s="19"/>
      <c r="HH25" s="47" t="s">
        <v>130</v>
      </c>
      <c r="HI25" s="19"/>
      <c r="HJ25" s="19"/>
      <c r="HK25" s="19">
        <v>19841100</v>
      </c>
      <c r="HL25" s="19"/>
      <c r="HM25" s="19">
        <v>6894283</v>
      </c>
      <c r="HN25" s="19"/>
      <c r="HO25" s="19">
        <v>83332207</v>
      </c>
      <c r="HP25" s="19"/>
      <c r="HQ25" s="19">
        <v>1090000</v>
      </c>
      <c r="HR25" s="19">
        <v>183791021</v>
      </c>
      <c r="HS25" s="19">
        <v>12596560</v>
      </c>
      <c r="HT25" s="19">
        <v>12127172</v>
      </c>
      <c r="HU25" s="19">
        <v>2861815</v>
      </c>
      <c r="HV25" s="19"/>
      <c r="HW25" s="19" t="s">
        <v>96</v>
      </c>
      <c r="HX25" s="19">
        <v>124561371</v>
      </c>
      <c r="HY25" s="19" t="s">
        <v>172</v>
      </c>
      <c r="HZ25" s="19">
        <v>433664320</v>
      </c>
      <c r="IA25" s="19"/>
      <c r="IB25" s="19">
        <v>197582</v>
      </c>
      <c r="IC25" s="19"/>
      <c r="ID25" s="19">
        <v>3256241</v>
      </c>
      <c r="IE25" s="47" t="s">
        <v>96</v>
      </c>
      <c r="IF25" s="19"/>
      <c r="IG25" s="19"/>
      <c r="IH25" s="19">
        <v>1549670</v>
      </c>
      <c r="II25" s="19"/>
      <c r="IJ25" s="19">
        <v>17131875</v>
      </c>
      <c r="IK25" s="19">
        <v>365305</v>
      </c>
      <c r="IL25" s="19">
        <v>15073232</v>
      </c>
      <c r="IM25" s="19"/>
      <c r="IN25" s="19"/>
      <c r="IO25" s="19">
        <v>7782050</v>
      </c>
      <c r="IP25" s="19">
        <v>101664862</v>
      </c>
      <c r="IQ25" s="19"/>
      <c r="IR25" s="19"/>
      <c r="IS25" s="19"/>
      <c r="IT25" s="19">
        <v>23235400</v>
      </c>
      <c r="IU25" s="45"/>
      <c r="IV25" s="45"/>
      <c r="IW25" s="45"/>
      <c r="IX25" s="45">
        <v>35604347</v>
      </c>
      <c r="IY25" s="45">
        <v>96722703</v>
      </c>
      <c r="IZ25" s="45"/>
      <c r="JA25" s="45">
        <v>374414825</v>
      </c>
      <c r="JB25" s="45"/>
      <c r="JC25" s="45"/>
      <c r="JD25" s="45"/>
      <c r="JE25" s="45"/>
      <c r="JF25" s="45"/>
      <c r="JG25" s="45"/>
      <c r="JH25" s="45">
        <v>724000</v>
      </c>
      <c r="JI25" s="45">
        <v>1289387</v>
      </c>
      <c r="JJ25" s="45"/>
      <c r="JK25" s="45">
        <v>19863200</v>
      </c>
      <c r="JL25" s="45">
        <v>2124540</v>
      </c>
      <c r="JM25" s="45">
        <v>20080000</v>
      </c>
      <c r="JN25" s="45">
        <v>45964604</v>
      </c>
      <c r="JO25" s="46">
        <v>11740380</v>
      </c>
      <c r="JP25" s="46"/>
      <c r="JQ25" s="63" t="s">
        <v>175</v>
      </c>
      <c r="JR25" s="46"/>
      <c r="JS25" s="46">
        <v>4930570</v>
      </c>
      <c r="JT25" s="46">
        <v>16242350</v>
      </c>
      <c r="JU25" s="46">
        <v>2607681</v>
      </c>
      <c r="JV25" s="46">
        <v>9922735</v>
      </c>
      <c r="JW25" s="46"/>
      <c r="JX25" s="46"/>
      <c r="JY25" s="46">
        <v>42422724</v>
      </c>
      <c r="JZ25" s="46">
        <v>870000</v>
      </c>
      <c r="KA25" s="46">
        <v>13771354</v>
      </c>
      <c r="KB25" s="46">
        <v>196156668</v>
      </c>
      <c r="KC25" s="46">
        <v>18436050</v>
      </c>
      <c r="KD25" s="46"/>
      <c r="KE25" s="46">
        <v>1010015</v>
      </c>
      <c r="KF25" s="46">
        <v>33341040</v>
      </c>
      <c r="KG25" s="46">
        <v>26387540</v>
      </c>
      <c r="KH25" s="46">
        <v>122054340</v>
      </c>
    </row>
    <row r="26" spans="1:294">
      <c r="A26" s="7" t="s">
        <v>182</v>
      </c>
      <c r="B26" s="11" t="s">
        <v>6</v>
      </c>
      <c r="C26" s="19"/>
      <c r="D26" s="19"/>
      <c r="E26" s="19"/>
      <c r="F26" s="19"/>
      <c r="G26" s="47" t="s">
        <v>130</v>
      </c>
      <c r="H26" s="19">
        <v>57090000</v>
      </c>
      <c r="I26" s="19">
        <v>167537778</v>
      </c>
      <c r="J26" s="47" t="s">
        <v>4</v>
      </c>
      <c r="K26" s="19"/>
      <c r="L26" s="47" t="s">
        <v>96</v>
      </c>
      <c r="M26" s="47" t="s">
        <v>96</v>
      </c>
      <c r="N26" s="19">
        <v>30000000</v>
      </c>
      <c r="O26" s="19">
        <v>214345733</v>
      </c>
      <c r="P26" s="19"/>
      <c r="Q26" s="19"/>
      <c r="R26" s="19">
        <v>2026740</v>
      </c>
      <c r="S26" s="19">
        <v>500000000</v>
      </c>
      <c r="T26" s="47" t="s">
        <v>96</v>
      </c>
      <c r="U26" s="47" t="s">
        <v>172</v>
      </c>
      <c r="V26" s="47" t="s">
        <v>172</v>
      </c>
      <c r="W26" s="19"/>
      <c r="X26" s="19"/>
      <c r="Y26" s="19">
        <v>18302450</v>
      </c>
      <c r="Z26" s="19"/>
      <c r="AA26" s="19">
        <v>560000000</v>
      </c>
      <c r="AB26" s="19"/>
      <c r="AC26" s="19"/>
      <c r="AD26" s="19"/>
      <c r="AE26" s="19"/>
      <c r="AF26" s="47" t="s">
        <v>172</v>
      </c>
      <c r="AG26" s="19">
        <v>286852404</v>
      </c>
      <c r="AH26" s="19"/>
      <c r="AI26" s="19">
        <v>174934350</v>
      </c>
      <c r="AJ26" s="19">
        <v>7000000</v>
      </c>
      <c r="AK26" s="19">
        <v>567000000</v>
      </c>
      <c r="AL26" s="19"/>
      <c r="AM26" s="47" t="s">
        <v>4</v>
      </c>
      <c r="AN26" s="19"/>
      <c r="AO26" s="19">
        <v>443748641</v>
      </c>
      <c r="AP26" s="19"/>
      <c r="AQ26" s="47" t="s">
        <v>96</v>
      </c>
      <c r="AR26" s="19">
        <v>25625000</v>
      </c>
      <c r="AS26" s="19">
        <v>779770460</v>
      </c>
      <c r="AT26" s="47" t="s">
        <v>172</v>
      </c>
      <c r="AU26" s="19">
        <v>152259665</v>
      </c>
      <c r="AV26" s="19">
        <v>40020200</v>
      </c>
      <c r="AW26" s="19">
        <v>13849990</v>
      </c>
      <c r="AX26" s="47" t="s">
        <v>4</v>
      </c>
      <c r="AY26" s="19"/>
      <c r="AZ26" s="19"/>
      <c r="BA26" s="19">
        <v>1258373325</v>
      </c>
      <c r="BB26" s="19"/>
      <c r="BC26" s="47" t="s">
        <v>4</v>
      </c>
      <c r="BD26" s="47" t="s">
        <v>130</v>
      </c>
      <c r="BE26" s="19">
        <v>75700200</v>
      </c>
      <c r="BF26" s="47" t="s">
        <v>96</v>
      </c>
      <c r="BG26" s="19">
        <v>30388469</v>
      </c>
      <c r="BH26" s="19">
        <v>122000000</v>
      </c>
      <c r="BI26" s="19"/>
      <c r="BJ26" s="19">
        <v>133288147</v>
      </c>
      <c r="BK26" s="19">
        <v>529000000</v>
      </c>
      <c r="BL26" s="19"/>
      <c r="BM26" s="19"/>
      <c r="BN26" s="19">
        <v>18000000</v>
      </c>
      <c r="BO26" s="19"/>
      <c r="BP26" s="47" t="s">
        <v>96</v>
      </c>
      <c r="BQ26" s="47" t="s">
        <v>4</v>
      </c>
      <c r="BR26" s="19"/>
      <c r="BS26" s="19">
        <v>10658500</v>
      </c>
      <c r="BT26" s="47" t="s">
        <v>130</v>
      </c>
      <c r="BU26" s="19">
        <v>200000000</v>
      </c>
      <c r="BV26" s="19">
        <v>218043355</v>
      </c>
      <c r="BW26" s="19"/>
      <c r="BX26" s="19">
        <v>143871528</v>
      </c>
      <c r="BY26" s="19">
        <v>257026050</v>
      </c>
      <c r="BZ26" s="19"/>
      <c r="CA26" s="19"/>
      <c r="CB26" s="19"/>
      <c r="CC26" s="19"/>
      <c r="CD26" s="19"/>
      <c r="CE26" s="19"/>
      <c r="CF26" s="19">
        <v>1442842597</v>
      </c>
      <c r="CG26" s="19"/>
      <c r="CH26" s="19"/>
      <c r="CI26" s="47" t="s">
        <v>130</v>
      </c>
      <c r="CJ26" s="19">
        <v>88461768</v>
      </c>
      <c r="CK26" s="19">
        <v>1102933899</v>
      </c>
      <c r="CL26" s="19"/>
      <c r="CM26" s="19"/>
      <c r="CN26" s="19">
        <v>20000000</v>
      </c>
      <c r="CO26" s="19"/>
      <c r="CP26" s="19">
        <v>74957265</v>
      </c>
      <c r="CQ26" s="47" t="s">
        <v>96</v>
      </c>
      <c r="CR26" s="19"/>
      <c r="CS26" s="47" t="s">
        <v>172</v>
      </c>
      <c r="CT26" s="19">
        <v>5000000000</v>
      </c>
      <c r="CU26" s="19"/>
      <c r="CV26" s="19"/>
      <c r="CW26" s="19"/>
      <c r="CX26" s="19">
        <v>300000000</v>
      </c>
      <c r="CY26" s="47" t="s">
        <v>96</v>
      </c>
      <c r="CZ26" s="19"/>
      <c r="DA26" s="47" t="s">
        <v>89</v>
      </c>
      <c r="DB26" s="19"/>
      <c r="DC26" s="19">
        <v>19767420</v>
      </c>
      <c r="DD26" s="19"/>
      <c r="DE26" s="19">
        <v>106917509</v>
      </c>
      <c r="DF26" s="19">
        <v>5027429</v>
      </c>
      <c r="DG26" s="19">
        <v>459524760</v>
      </c>
      <c r="DH26" s="19"/>
      <c r="DI26" s="19">
        <v>22000000</v>
      </c>
      <c r="DJ26" s="19"/>
      <c r="DK26" s="19">
        <v>753848671</v>
      </c>
      <c r="DL26" s="19"/>
      <c r="DM26" s="19">
        <v>50000000</v>
      </c>
      <c r="DN26" s="19">
        <v>6878060</v>
      </c>
      <c r="DO26" s="19">
        <v>62297198</v>
      </c>
      <c r="DP26" s="19">
        <v>830000000</v>
      </c>
      <c r="DQ26" s="19"/>
      <c r="DR26" s="19"/>
      <c r="DS26" s="19"/>
      <c r="DT26" s="19"/>
      <c r="DU26" s="19">
        <v>50000000</v>
      </c>
      <c r="DV26" s="19"/>
      <c r="DW26" s="19"/>
      <c r="DX26" s="19"/>
      <c r="DY26" s="19"/>
      <c r="DZ26" s="19"/>
      <c r="EA26" s="19"/>
      <c r="EB26" s="19"/>
      <c r="EC26" s="19">
        <v>12782946</v>
      </c>
      <c r="ED26" s="19"/>
      <c r="EE26" s="19"/>
      <c r="EF26" s="19">
        <v>40679070</v>
      </c>
      <c r="EG26" s="19">
        <v>1000000000</v>
      </c>
      <c r="EH26" s="19">
        <v>19610000</v>
      </c>
      <c r="EI26" s="19">
        <v>2000000000</v>
      </c>
      <c r="EJ26" s="19"/>
      <c r="EK26" s="19"/>
      <c r="EL26" s="19"/>
      <c r="EM26" s="19"/>
      <c r="EN26" s="19">
        <v>22221328</v>
      </c>
      <c r="EO26" s="19"/>
      <c r="EP26" s="19"/>
      <c r="EQ26" s="19"/>
      <c r="ER26" s="19"/>
      <c r="ES26" s="19"/>
      <c r="ET26" s="19">
        <v>100000000</v>
      </c>
      <c r="EU26" s="19"/>
      <c r="EV26" s="19"/>
      <c r="EW26" s="19">
        <v>129280896</v>
      </c>
      <c r="EX26" s="19"/>
      <c r="EY26" s="19">
        <v>1944930000</v>
      </c>
      <c r="EZ26" s="19">
        <v>15000000</v>
      </c>
      <c r="FA26" s="47" t="s">
        <v>130</v>
      </c>
      <c r="FB26" s="19">
        <v>131740000</v>
      </c>
      <c r="FC26" s="19"/>
      <c r="FD26" s="19"/>
      <c r="FE26" s="19">
        <v>1163000000</v>
      </c>
      <c r="FF26" s="19"/>
      <c r="FG26" s="19">
        <v>902500014</v>
      </c>
      <c r="FH26" s="19">
        <v>181200000</v>
      </c>
      <c r="FI26" s="47" t="s">
        <v>96</v>
      </c>
      <c r="FJ26" s="19"/>
      <c r="FK26" s="19">
        <v>149914823</v>
      </c>
      <c r="FL26" s="47" t="s">
        <v>130</v>
      </c>
      <c r="FM26" s="19">
        <v>502077142</v>
      </c>
      <c r="FN26" s="19">
        <v>1000000000</v>
      </c>
      <c r="FO26" s="47" t="s">
        <v>172</v>
      </c>
      <c r="FP26" s="19"/>
      <c r="FQ26" s="19"/>
      <c r="FR26" s="19">
        <v>150000000</v>
      </c>
      <c r="FS26" s="47" t="s">
        <v>130</v>
      </c>
      <c r="FT26" s="19"/>
      <c r="FU26" s="19"/>
      <c r="FV26" s="19">
        <v>42451000</v>
      </c>
      <c r="FW26" s="19">
        <v>169748043</v>
      </c>
      <c r="FX26" s="19">
        <v>340249894</v>
      </c>
      <c r="FY26" s="19">
        <v>932698330</v>
      </c>
      <c r="FZ26" s="47" t="s">
        <v>175</v>
      </c>
      <c r="GA26" s="19">
        <v>500000000</v>
      </c>
      <c r="GB26" s="19"/>
      <c r="GC26" s="19">
        <v>15300000</v>
      </c>
      <c r="GD26" s="48" t="s">
        <v>96</v>
      </c>
      <c r="GE26" s="48" t="s">
        <v>96</v>
      </c>
      <c r="GF26" s="19"/>
      <c r="GG26" s="19">
        <v>300002621</v>
      </c>
      <c r="GH26" s="47" t="s">
        <v>172</v>
      </c>
      <c r="GI26" s="19"/>
      <c r="GJ26" s="47" t="s">
        <v>96</v>
      </c>
      <c r="GK26" s="19">
        <v>107944625</v>
      </c>
      <c r="GL26" s="47" t="s">
        <v>96</v>
      </c>
      <c r="GM26" s="19"/>
      <c r="GN26" s="19">
        <v>1110970731</v>
      </c>
      <c r="GO26" s="47" t="s">
        <v>96</v>
      </c>
      <c r="GP26" s="19"/>
      <c r="GQ26" s="19">
        <v>32568188</v>
      </c>
      <c r="GR26" s="19"/>
      <c r="GS26" s="19">
        <v>91867620</v>
      </c>
      <c r="GT26" s="19">
        <v>61500000</v>
      </c>
      <c r="GU26" s="19"/>
      <c r="GV26" s="19">
        <v>102447459</v>
      </c>
      <c r="GW26" s="19">
        <v>2000000000</v>
      </c>
      <c r="GX26" s="19">
        <v>149444460</v>
      </c>
      <c r="GY26" s="19"/>
      <c r="GZ26" s="19">
        <v>342670000</v>
      </c>
      <c r="HA26" s="19"/>
      <c r="HB26" s="19"/>
      <c r="HC26" s="19">
        <v>200000000</v>
      </c>
      <c r="HD26" s="19"/>
      <c r="HE26" s="19">
        <v>554446125</v>
      </c>
      <c r="HF26" s="19"/>
      <c r="HG26" s="19"/>
      <c r="HH26" s="47" t="s">
        <v>130</v>
      </c>
      <c r="HI26" s="19">
        <v>250000000</v>
      </c>
      <c r="HJ26" s="19"/>
      <c r="HK26" s="19">
        <v>670000000</v>
      </c>
      <c r="HL26" s="19"/>
      <c r="HM26" s="19">
        <v>30191156</v>
      </c>
      <c r="HN26" s="19"/>
      <c r="HO26" s="19"/>
      <c r="HP26" s="19"/>
      <c r="HQ26" s="19"/>
      <c r="HR26" s="19">
        <v>102661666</v>
      </c>
      <c r="HS26" s="19">
        <v>90000000</v>
      </c>
      <c r="HT26" s="19">
        <v>41980421</v>
      </c>
      <c r="HU26" s="19">
        <v>552865856</v>
      </c>
      <c r="HV26" s="19"/>
      <c r="HW26" s="19" t="s">
        <v>96</v>
      </c>
      <c r="HX26" s="19">
        <v>960000</v>
      </c>
      <c r="HY26" s="19" t="s">
        <v>172</v>
      </c>
      <c r="HZ26" s="19"/>
      <c r="IA26" s="19"/>
      <c r="IB26" s="19"/>
      <c r="IC26" s="19"/>
      <c r="ID26" s="19">
        <v>18605523</v>
      </c>
      <c r="IE26" s="47" t="s">
        <v>96</v>
      </c>
      <c r="IF26" s="19">
        <v>21810358</v>
      </c>
      <c r="IG26" s="19">
        <v>7590000</v>
      </c>
      <c r="IH26" s="19">
        <v>145120365</v>
      </c>
      <c r="II26" s="19">
        <v>30000000</v>
      </c>
      <c r="IJ26" s="19"/>
      <c r="IK26" s="19">
        <v>17639277</v>
      </c>
      <c r="IL26" s="19">
        <v>84296658</v>
      </c>
      <c r="IM26" s="19">
        <v>100000000</v>
      </c>
      <c r="IN26" s="19">
        <v>241775312</v>
      </c>
      <c r="IO26" s="19">
        <v>409654</v>
      </c>
      <c r="IP26" s="19">
        <v>115000000</v>
      </c>
      <c r="IQ26" s="19">
        <v>100000000</v>
      </c>
      <c r="IR26" s="19"/>
      <c r="IS26" s="19">
        <v>250000000</v>
      </c>
      <c r="IT26" s="19">
        <v>120000000</v>
      </c>
      <c r="IU26" s="45"/>
      <c r="IV26" s="45">
        <v>100000000</v>
      </c>
      <c r="IW26" s="45">
        <v>62092788</v>
      </c>
      <c r="IX26" s="45"/>
      <c r="IY26" s="45"/>
      <c r="IZ26" s="45"/>
      <c r="JA26" s="45">
        <v>500000000</v>
      </c>
      <c r="JB26" s="45">
        <v>413633619</v>
      </c>
      <c r="JC26" s="45">
        <v>48800000</v>
      </c>
      <c r="JD26" s="45"/>
      <c r="JE26" s="45"/>
      <c r="JF26" s="45">
        <v>52700471</v>
      </c>
      <c r="JG26" s="45">
        <v>19944782</v>
      </c>
      <c r="JH26" s="45">
        <v>62694000</v>
      </c>
      <c r="JI26" s="45">
        <v>61400000</v>
      </c>
      <c r="JJ26" s="45"/>
      <c r="JK26" s="45">
        <v>10000000</v>
      </c>
      <c r="JL26" s="45"/>
      <c r="JM26" s="45"/>
      <c r="JN26" s="45"/>
      <c r="JO26" s="46"/>
      <c r="JP26" s="46"/>
      <c r="JQ26" s="63" t="s">
        <v>175</v>
      </c>
      <c r="JR26" s="46">
        <v>22256316</v>
      </c>
      <c r="JS26" s="46">
        <v>149559213</v>
      </c>
      <c r="JT26" s="46">
        <v>251828792</v>
      </c>
      <c r="JU26" s="46">
        <v>30000000</v>
      </c>
      <c r="JV26" s="46">
        <v>151985757</v>
      </c>
      <c r="JW26" s="46">
        <v>58936752</v>
      </c>
      <c r="JX26" s="46"/>
      <c r="JY26" s="46"/>
      <c r="JZ26" s="46"/>
      <c r="KA26" s="46"/>
      <c r="KB26" s="46">
        <v>4936273</v>
      </c>
      <c r="KC26" s="46">
        <v>43500000</v>
      </c>
      <c r="KD26" s="46"/>
      <c r="KE26" s="46">
        <v>133887110</v>
      </c>
      <c r="KF26" s="46"/>
      <c r="KG26" s="46">
        <v>200000000</v>
      </c>
      <c r="KH26" s="46"/>
    </row>
    <row r="27" spans="1:294">
      <c r="A27" s="7" t="s">
        <v>182</v>
      </c>
      <c r="B27" s="11" t="s">
        <v>147</v>
      </c>
      <c r="C27" s="19">
        <v>129407119</v>
      </c>
      <c r="D27" s="19">
        <v>92762559</v>
      </c>
      <c r="E27" s="19">
        <v>87570862</v>
      </c>
      <c r="F27" s="19">
        <v>6516138</v>
      </c>
      <c r="G27" s="47" t="s">
        <v>130</v>
      </c>
      <c r="H27" s="19">
        <v>3090830</v>
      </c>
      <c r="I27" s="19">
        <v>111008688</v>
      </c>
      <c r="J27" s="47" t="s">
        <v>4</v>
      </c>
      <c r="K27" s="19"/>
      <c r="L27" s="47" t="s">
        <v>96</v>
      </c>
      <c r="M27" s="47" t="s">
        <v>96</v>
      </c>
      <c r="N27" s="19">
        <v>84479661</v>
      </c>
      <c r="O27" s="19">
        <v>850522869</v>
      </c>
      <c r="P27" s="19">
        <v>76689119</v>
      </c>
      <c r="Q27" s="19">
        <v>22652709</v>
      </c>
      <c r="R27" s="19">
        <v>33653592</v>
      </c>
      <c r="S27" s="19">
        <v>206654806</v>
      </c>
      <c r="T27" s="47" t="s">
        <v>96</v>
      </c>
      <c r="U27" s="47" t="s">
        <v>172</v>
      </c>
      <c r="V27" s="47" t="s">
        <v>172</v>
      </c>
      <c r="W27" s="19">
        <v>41200060</v>
      </c>
      <c r="X27" s="19">
        <v>162162110</v>
      </c>
      <c r="Y27" s="19">
        <v>23688431</v>
      </c>
      <c r="Z27" s="19">
        <v>55276126</v>
      </c>
      <c r="AA27" s="19">
        <v>194788417</v>
      </c>
      <c r="AB27" s="19">
        <v>6780450</v>
      </c>
      <c r="AC27" s="19">
        <v>36024361</v>
      </c>
      <c r="AD27" s="19">
        <v>154713280</v>
      </c>
      <c r="AE27" s="19">
        <v>62767858</v>
      </c>
      <c r="AF27" s="47" t="s">
        <v>172</v>
      </c>
      <c r="AG27" s="19">
        <v>47805712</v>
      </c>
      <c r="AH27" s="19">
        <v>452833660</v>
      </c>
      <c r="AI27" s="19">
        <v>22112494</v>
      </c>
      <c r="AJ27" s="19">
        <v>16500821</v>
      </c>
      <c r="AK27" s="19">
        <v>116671385</v>
      </c>
      <c r="AL27" s="19">
        <v>38778821</v>
      </c>
      <c r="AM27" s="47" t="s">
        <v>4</v>
      </c>
      <c r="AN27" s="19">
        <v>117872222</v>
      </c>
      <c r="AO27" s="19">
        <v>74395167</v>
      </c>
      <c r="AP27" s="19">
        <v>41500704</v>
      </c>
      <c r="AQ27" s="47" t="s">
        <v>96</v>
      </c>
      <c r="AR27" s="19">
        <v>15751074</v>
      </c>
      <c r="AS27" s="19">
        <v>326571859</v>
      </c>
      <c r="AT27" s="47" t="s">
        <v>172</v>
      </c>
      <c r="AU27" s="19">
        <v>507722119</v>
      </c>
      <c r="AV27" s="19">
        <v>21971947</v>
      </c>
      <c r="AW27" s="19">
        <v>12871990</v>
      </c>
      <c r="AX27" s="47" t="s">
        <v>4</v>
      </c>
      <c r="AY27" s="19">
        <v>19733450</v>
      </c>
      <c r="AZ27" s="19">
        <v>54692308</v>
      </c>
      <c r="BA27" s="19">
        <v>186861349</v>
      </c>
      <c r="BB27" s="19">
        <v>11874939</v>
      </c>
      <c r="BC27" s="47" t="s">
        <v>4</v>
      </c>
      <c r="BD27" s="47" t="s">
        <v>130</v>
      </c>
      <c r="BE27" s="19">
        <v>197024995</v>
      </c>
      <c r="BF27" s="47" t="s">
        <v>96</v>
      </c>
      <c r="BG27" s="19">
        <v>209929080</v>
      </c>
      <c r="BH27" s="19">
        <v>27384413</v>
      </c>
      <c r="BI27" s="19">
        <v>54425350</v>
      </c>
      <c r="BJ27" s="19">
        <v>77698053</v>
      </c>
      <c r="BK27" s="19">
        <v>45991362</v>
      </c>
      <c r="BL27" s="19">
        <v>168744184</v>
      </c>
      <c r="BM27" s="19">
        <v>156106103</v>
      </c>
      <c r="BN27" s="19">
        <v>7756310</v>
      </c>
      <c r="BO27" s="19">
        <v>27479761</v>
      </c>
      <c r="BP27" s="47" t="s">
        <v>96</v>
      </c>
      <c r="BQ27" s="47" t="s">
        <v>4</v>
      </c>
      <c r="BR27" s="19">
        <v>959643695</v>
      </c>
      <c r="BS27" s="19">
        <v>1386000</v>
      </c>
      <c r="BT27" s="47" t="s">
        <v>130</v>
      </c>
      <c r="BU27" s="19">
        <v>105933236</v>
      </c>
      <c r="BV27" s="19">
        <v>86977244</v>
      </c>
      <c r="BW27" s="19">
        <v>271403</v>
      </c>
      <c r="BX27" s="19">
        <v>28312487</v>
      </c>
      <c r="BY27" s="19">
        <v>118402869</v>
      </c>
      <c r="BZ27" s="19">
        <v>92643654</v>
      </c>
      <c r="CA27" s="19">
        <v>161329994</v>
      </c>
      <c r="CB27" s="19">
        <v>38680822</v>
      </c>
      <c r="CC27" s="19">
        <v>347560</v>
      </c>
      <c r="CD27" s="19">
        <v>804862675</v>
      </c>
      <c r="CE27" s="19">
        <v>58672218</v>
      </c>
      <c r="CF27" s="19">
        <v>389474614</v>
      </c>
      <c r="CG27" s="19"/>
      <c r="CH27" s="19">
        <v>5264611</v>
      </c>
      <c r="CI27" s="47" t="s">
        <v>130</v>
      </c>
      <c r="CJ27" s="19">
        <v>67598815</v>
      </c>
      <c r="CK27" s="19">
        <v>415052529</v>
      </c>
      <c r="CL27" s="19">
        <v>24166305</v>
      </c>
      <c r="CM27" s="19">
        <v>574381967</v>
      </c>
      <c r="CN27" s="19">
        <v>50659337</v>
      </c>
      <c r="CO27" s="19"/>
      <c r="CP27" s="19">
        <v>515987980</v>
      </c>
      <c r="CQ27" s="47" t="s">
        <v>96</v>
      </c>
      <c r="CR27" s="19">
        <v>83055055</v>
      </c>
      <c r="CS27" s="47" t="s">
        <v>172</v>
      </c>
      <c r="CT27" s="19">
        <v>817312366</v>
      </c>
      <c r="CU27" s="19">
        <v>492964</v>
      </c>
      <c r="CV27" s="19">
        <v>93757004</v>
      </c>
      <c r="CW27" s="19">
        <v>204883841</v>
      </c>
      <c r="CX27" s="19">
        <v>195854741</v>
      </c>
      <c r="CY27" s="47" t="s">
        <v>96</v>
      </c>
      <c r="CZ27" s="19">
        <v>578820667</v>
      </c>
      <c r="DA27" s="47" t="s">
        <v>89</v>
      </c>
      <c r="DB27" s="19">
        <v>29588641</v>
      </c>
      <c r="DC27" s="19">
        <v>3017295</v>
      </c>
      <c r="DD27" s="19">
        <v>11891763</v>
      </c>
      <c r="DE27" s="19"/>
      <c r="DF27" s="19">
        <v>21197290</v>
      </c>
      <c r="DG27" s="19">
        <v>10629544</v>
      </c>
      <c r="DH27" s="19">
        <v>41254551</v>
      </c>
      <c r="DI27" s="19">
        <v>51685496</v>
      </c>
      <c r="DJ27" s="19">
        <v>2779027</v>
      </c>
      <c r="DK27" s="19">
        <v>255010216</v>
      </c>
      <c r="DL27" s="19">
        <v>23883546</v>
      </c>
      <c r="DM27" s="19">
        <v>99917895</v>
      </c>
      <c r="DN27" s="19">
        <v>48995314</v>
      </c>
      <c r="DO27" s="19">
        <v>11141905</v>
      </c>
      <c r="DP27" s="19">
        <v>476186691</v>
      </c>
      <c r="DQ27" s="19">
        <v>43424161</v>
      </c>
      <c r="DR27" s="19">
        <v>69888788</v>
      </c>
      <c r="DS27" s="19">
        <v>70386415</v>
      </c>
      <c r="DT27" s="19">
        <v>106163673</v>
      </c>
      <c r="DU27" s="19"/>
      <c r="DV27" s="19">
        <v>8869628</v>
      </c>
      <c r="DW27" s="19"/>
      <c r="DX27" s="19">
        <v>2721342956</v>
      </c>
      <c r="DY27" s="19">
        <v>58494005</v>
      </c>
      <c r="DZ27" s="19">
        <v>13360171</v>
      </c>
      <c r="EA27" s="19">
        <v>164112</v>
      </c>
      <c r="EB27" s="19">
        <v>780881918</v>
      </c>
      <c r="EC27" s="19">
        <v>71309982</v>
      </c>
      <c r="ED27" s="19">
        <v>5402280</v>
      </c>
      <c r="EE27" s="19">
        <v>3022520</v>
      </c>
      <c r="EF27" s="19">
        <v>98095363</v>
      </c>
      <c r="EG27" s="19">
        <v>326693871</v>
      </c>
      <c r="EH27" s="19">
        <v>30718294</v>
      </c>
      <c r="EI27" s="19">
        <v>1525836868</v>
      </c>
      <c r="EJ27" s="19">
        <v>16424822</v>
      </c>
      <c r="EK27" s="19">
        <v>79819739</v>
      </c>
      <c r="EL27" s="19">
        <v>165870429</v>
      </c>
      <c r="EM27" s="19">
        <v>46271434</v>
      </c>
      <c r="EN27" s="19">
        <v>496620823</v>
      </c>
      <c r="EO27" s="19">
        <v>60290109</v>
      </c>
      <c r="EP27" s="19"/>
      <c r="EQ27" s="19"/>
      <c r="ER27" s="19">
        <v>939196001</v>
      </c>
      <c r="ES27" s="19">
        <v>6063207</v>
      </c>
      <c r="ET27" s="19">
        <v>88522168</v>
      </c>
      <c r="EU27" s="19">
        <v>74727862</v>
      </c>
      <c r="EV27" s="19">
        <v>17506340</v>
      </c>
      <c r="EW27" s="19">
        <v>11426799</v>
      </c>
      <c r="EX27" s="19">
        <v>32201399</v>
      </c>
      <c r="EY27" s="19">
        <v>440127816</v>
      </c>
      <c r="EZ27" s="19">
        <v>93672133</v>
      </c>
      <c r="FA27" s="47" t="s">
        <v>130</v>
      </c>
      <c r="FB27" s="19">
        <v>530890</v>
      </c>
      <c r="FC27" s="19">
        <v>68714199</v>
      </c>
      <c r="FD27" s="19">
        <v>32501654</v>
      </c>
      <c r="FE27" s="19">
        <v>512994751</v>
      </c>
      <c r="FF27" s="19">
        <v>31599590</v>
      </c>
      <c r="FG27" s="19">
        <v>185055234</v>
      </c>
      <c r="FH27" s="19">
        <v>56479588</v>
      </c>
      <c r="FI27" s="47" t="s">
        <v>96</v>
      </c>
      <c r="FJ27" s="19">
        <v>67879032</v>
      </c>
      <c r="FK27" s="19">
        <v>112629060</v>
      </c>
      <c r="FL27" s="47" t="s">
        <v>130</v>
      </c>
      <c r="FM27" s="19">
        <v>9347616</v>
      </c>
      <c r="FN27" s="19">
        <v>110363695</v>
      </c>
      <c r="FO27" s="47" t="s">
        <v>172</v>
      </c>
      <c r="FP27" s="19">
        <v>21289746</v>
      </c>
      <c r="FQ27" s="19">
        <v>453173</v>
      </c>
      <c r="FR27" s="19">
        <v>67466443</v>
      </c>
      <c r="FS27" s="47" t="s">
        <v>130</v>
      </c>
      <c r="FT27" s="19">
        <v>1374443485</v>
      </c>
      <c r="FU27" s="19"/>
      <c r="FV27" s="19">
        <v>235950930</v>
      </c>
      <c r="FW27" s="19">
        <v>5740679</v>
      </c>
      <c r="FX27" s="19">
        <v>58669471</v>
      </c>
      <c r="FY27" s="19">
        <v>79079650</v>
      </c>
      <c r="FZ27" s="47" t="s">
        <v>175</v>
      </c>
      <c r="GA27" s="19">
        <v>111178950</v>
      </c>
      <c r="GB27" s="19">
        <v>286910</v>
      </c>
      <c r="GC27" s="19">
        <v>57385523</v>
      </c>
      <c r="GD27" s="48" t="s">
        <v>96</v>
      </c>
      <c r="GE27" s="48" t="s">
        <v>96</v>
      </c>
      <c r="GF27" s="19">
        <v>83869591</v>
      </c>
      <c r="GG27" s="19">
        <v>732718485</v>
      </c>
      <c r="GH27" s="47" t="s">
        <v>172</v>
      </c>
      <c r="GI27" s="19">
        <v>7556164</v>
      </c>
      <c r="GJ27" s="47" t="s">
        <v>96</v>
      </c>
      <c r="GK27" s="19">
        <v>25265978</v>
      </c>
      <c r="GL27" s="47" t="s">
        <v>96</v>
      </c>
      <c r="GM27" s="19">
        <v>18192871</v>
      </c>
      <c r="GN27" s="19">
        <v>50384613</v>
      </c>
      <c r="GO27" s="47" t="s">
        <v>96</v>
      </c>
      <c r="GP27" s="19">
        <v>324745356</v>
      </c>
      <c r="GQ27" s="19">
        <v>20571898</v>
      </c>
      <c r="GR27" s="19">
        <v>75967174</v>
      </c>
      <c r="GS27" s="19">
        <v>14364950</v>
      </c>
      <c r="GT27" s="19">
        <v>56903786</v>
      </c>
      <c r="GU27" s="19">
        <v>404130</v>
      </c>
      <c r="GV27" s="19">
        <v>427440497</v>
      </c>
      <c r="GW27" s="19">
        <v>267944398</v>
      </c>
      <c r="GX27" s="19">
        <v>32859758</v>
      </c>
      <c r="GY27" s="19">
        <v>12092888</v>
      </c>
      <c r="GZ27" s="19">
        <v>53388187</v>
      </c>
      <c r="HA27" s="19">
        <v>234931968</v>
      </c>
      <c r="HB27" s="19">
        <v>149964830</v>
      </c>
      <c r="HC27" s="19">
        <v>101412574</v>
      </c>
      <c r="HD27" s="19">
        <v>11914259</v>
      </c>
      <c r="HE27" s="19">
        <v>47908588</v>
      </c>
      <c r="HF27" s="19">
        <v>584218249</v>
      </c>
      <c r="HG27" s="19">
        <v>10450689</v>
      </c>
      <c r="HH27" s="47" t="s">
        <v>130</v>
      </c>
      <c r="HI27" s="19">
        <v>296816937</v>
      </c>
      <c r="HJ27" s="19">
        <v>70741690</v>
      </c>
      <c r="HK27" s="19">
        <v>194724592</v>
      </c>
      <c r="HL27" s="19">
        <v>5651028</v>
      </c>
      <c r="HM27" s="19">
        <v>51188249</v>
      </c>
      <c r="HN27" s="19">
        <v>4147660</v>
      </c>
      <c r="HO27" s="19">
        <v>13842668</v>
      </c>
      <c r="HP27" s="19">
        <v>77586931</v>
      </c>
      <c r="HQ27" s="19">
        <v>139958318</v>
      </c>
      <c r="HR27" s="19">
        <v>461260291</v>
      </c>
      <c r="HS27" s="19">
        <v>14687282</v>
      </c>
      <c r="HT27" s="19">
        <v>35833340</v>
      </c>
      <c r="HU27" s="19">
        <v>265279608</v>
      </c>
      <c r="HV27" s="19">
        <v>38927774</v>
      </c>
      <c r="HW27" s="19" t="s">
        <v>96</v>
      </c>
      <c r="HX27" s="19">
        <v>105791387</v>
      </c>
      <c r="HY27" s="19" t="s">
        <v>172</v>
      </c>
      <c r="HZ27" s="19">
        <v>508576879</v>
      </c>
      <c r="IA27" s="19">
        <v>2883800</v>
      </c>
      <c r="IB27" s="19">
        <v>65712</v>
      </c>
      <c r="IC27" s="19">
        <v>8325055</v>
      </c>
      <c r="ID27" s="19">
        <v>8615386</v>
      </c>
      <c r="IE27" s="47" t="s">
        <v>96</v>
      </c>
      <c r="IF27" s="19"/>
      <c r="IG27" s="19">
        <v>11423625</v>
      </c>
      <c r="IH27" s="19">
        <v>90083558</v>
      </c>
      <c r="II27" s="19">
        <v>20612966</v>
      </c>
      <c r="IJ27" s="19">
        <v>65125380</v>
      </c>
      <c r="IK27" s="19">
        <v>32629312</v>
      </c>
      <c r="IL27" s="19">
        <v>22617408</v>
      </c>
      <c r="IM27" s="19">
        <v>91607049</v>
      </c>
      <c r="IN27" s="19">
        <v>405637500</v>
      </c>
      <c r="IO27" s="19">
        <v>32546062</v>
      </c>
      <c r="IP27" s="19">
        <v>4330000</v>
      </c>
      <c r="IQ27" s="19">
        <v>116191609</v>
      </c>
      <c r="IR27" s="19">
        <v>14311923</v>
      </c>
      <c r="IS27" s="19">
        <v>78090420</v>
      </c>
      <c r="IT27" s="19">
        <v>80143315</v>
      </c>
      <c r="IU27" s="45">
        <v>516689130</v>
      </c>
      <c r="IV27" s="45">
        <v>175464332</v>
      </c>
      <c r="IW27" s="45">
        <v>12512640</v>
      </c>
      <c r="IX27" s="45">
        <v>79021474</v>
      </c>
      <c r="IY27" s="45">
        <v>23233032</v>
      </c>
      <c r="IZ27" s="45">
        <v>43128586</v>
      </c>
      <c r="JA27" s="45">
        <v>102674849</v>
      </c>
      <c r="JB27" s="45">
        <v>67520723</v>
      </c>
      <c r="JC27" s="45">
        <v>14333917</v>
      </c>
      <c r="JD27" s="45">
        <v>53058640</v>
      </c>
      <c r="JE27" s="45">
        <v>16901401</v>
      </c>
      <c r="JF27" s="45">
        <v>89803987</v>
      </c>
      <c r="JG27" s="45">
        <v>141633</v>
      </c>
      <c r="JH27" s="45">
        <v>26684293</v>
      </c>
      <c r="JI27" s="45">
        <v>1312470</v>
      </c>
      <c r="JJ27" s="45">
        <v>6563230</v>
      </c>
      <c r="JK27" s="45">
        <v>82831080</v>
      </c>
      <c r="JL27" s="45">
        <v>354936938</v>
      </c>
      <c r="JM27" s="45"/>
      <c r="JN27" s="45">
        <v>111951035</v>
      </c>
      <c r="JO27" s="46">
        <v>15405329</v>
      </c>
      <c r="JP27" s="46">
        <v>36702873</v>
      </c>
      <c r="JQ27" s="63" t="s">
        <v>175</v>
      </c>
      <c r="JR27" s="46">
        <v>23987295</v>
      </c>
      <c r="JS27" s="46">
        <v>17284947</v>
      </c>
      <c r="JT27" s="46">
        <v>47605105</v>
      </c>
      <c r="JU27" s="46">
        <v>7566129</v>
      </c>
      <c r="JV27" s="46">
        <v>168218400</v>
      </c>
      <c r="JW27" s="46"/>
      <c r="JX27" s="46">
        <v>482167300</v>
      </c>
      <c r="JY27" s="46">
        <v>314047090</v>
      </c>
      <c r="JZ27" s="46">
        <v>28946407</v>
      </c>
      <c r="KA27" s="46">
        <v>6066619</v>
      </c>
      <c r="KB27" s="46">
        <v>262152280</v>
      </c>
      <c r="KC27" s="46">
        <v>9312376</v>
      </c>
      <c r="KD27" s="46">
        <v>67738786</v>
      </c>
      <c r="KE27" s="46">
        <v>8566964</v>
      </c>
      <c r="KF27" s="46">
        <v>122224</v>
      </c>
      <c r="KG27" s="46">
        <v>17757364</v>
      </c>
      <c r="KH27" s="46">
        <v>13722490</v>
      </c>
    </row>
    <row r="28" spans="1:294">
      <c r="A28" s="7" t="s">
        <v>182</v>
      </c>
      <c r="B28" s="11" t="s">
        <v>150</v>
      </c>
      <c r="C28" s="19">
        <v>7235620</v>
      </c>
      <c r="D28" s="19">
        <v>17128022</v>
      </c>
      <c r="E28" s="19">
        <v>6655240</v>
      </c>
      <c r="F28" s="19">
        <v>922890</v>
      </c>
      <c r="G28" s="47" t="s">
        <v>130</v>
      </c>
      <c r="H28" s="19"/>
      <c r="I28" s="19">
        <v>62013728</v>
      </c>
      <c r="J28" s="47" t="s">
        <v>4</v>
      </c>
      <c r="K28" s="19">
        <v>25376550</v>
      </c>
      <c r="L28" s="47" t="s">
        <v>96</v>
      </c>
      <c r="M28" s="47" t="s">
        <v>96</v>
      </c>
      <c r="N28" s="19">
        <v>5784830</v>
      </c>
      <c r="O28" s="19">
        <v>101440245</v>
      </c>
      <c r="P28" s="19">
        <v>45242186</v>
      </c>
      <c r="Q28" s="19">
        <v>409635</v>
      </c>
      <c r="R28" s="19">
        <v>37425330</v>
      </c>
      <c r="S28" s="19">
        <v>11795563</v>
      </c>
      <c r="T28" s="47" t="s">
        <v>96</v>
      </c>
      <c r="U28" s="47" t="s">
        <v>172</v>
      </c>
      <c r="V28" s="47" t="s">
        <v>172</v>
      </c>
      <c r="W28" s="19">
        <v>7890960</v>
      </c>
      <c r="X28" s="19">
        <v>167241230</v>
      </c>
      <c r="Y28" s="19">
        <v>4039780</v>
      </c>
      <c r="Z28" s="19">
        <v>21307705</v>
      </c>
      <c r="AA28" s="19">
        <v>43517123</v>
      </c>
      <c r="AB28" s="19">
        <v>2269860</v>
      </c>
      <c r="AC28" s="19">
        <v>27639647</v>
      </c>
      <c r="AD28" s="19">
        <v>8483640</v>
      </c>
      <c r="AE28" s="19">
        <v>3527060</v>
      </c>
      <c r="AF28" s="47" t="s">
        <v>172</v>
      </c>
      <c r="AG28" s="19">
        <v>124631180</v>
      </c>
      <c r="AH28" s="19">
        <v>69820580</v>
      </c>
      <c r="AI28" s="19">
        <v>7472697</v>
      </c>
      <c r="AJ28" s="19">
        <v>4003140</v>
      </c>
      <c r="AK28" s="19">
        <v>4898606</v>
      </c>
      <c r="AL28" s="19">
        <v>24385933</v>
      </c>
      <c r="AM28" s="47" t="s">
        <v>4</v>
      </c>
      <c r="AN28" s="19">
        <v>12860120</v>
      </c>
      <c r="AO28" s="19">
        <v>42525134</v>
      </c>
      <c r="AP28" s="19">
        <v>79318339</v>
      </c>
      <c r="AQ28" s="47" t="s">
        <v>96</v>
      </c>
      <c r="AR28" s="19">
        <v>24419176</v>
      </c>
      <c r="AS28" s="19">
        <v>275055936</v>
      </c>
      <c r="AT28" s="47" t="s">
        <v>172</v>
      </c>
      <c r="AU28" s="19">
        <v>23019081</v>
      </c>
      <c r="AV28" s="19">
        <v>946470</v>
      </c>
      <c r="AW28" s="19">
        <v>5378070</v>
      </c>
      <c r="AX28" s="47" t="s">
        <v>4</v>
      </c>
      <c r="AY28" s="19">
        <v>9225570</v>
      </c>
      <c r="AZ28" s="19">
        <v>10801196</v>
      </c>
      <c r="BA28" s="19">
        <v>34167668</v>
      </c>
      <c r="BB28" s="19">
        <v>788666</v>
      </c>
      <c r="BC28" s="47" t="s">
        <v>4</v>
      </c>
      <c r="BD28" s="47" t="s">
        <v>130</v>
      </c>
      <c r="BE28" s="19">
        <v>5041450</v>
      </c>
      <c r="BF28" s="47" t="s">
        <v>96</v>
      </c>
      <c r="BG28" s="19">
        <f>28384840-7800000</f>
        <v>20584840</v>
      </c>
      <c r="BH28" s="19">
        <v>22305178</v>
      </c>
      <c r="BI28" s="19">
        <v>3542730</v>
      </c>
      <c r="BJ28" s="19">
        <v>17016989</v>
      </c>
      <c r="BK28" s="19">
        <v>6966532</v>
      </c>
      <c r="BL28" s="19">
        <v>1331344</v>
      </c>
      <c r="BM28" s="19">
        <v>50923428</v>
      </c>
      <c r="BN28" s="19">
        <f>6509990-2173500</f>
        <v>4336490</v>
      </c>
      <c r="BO28" s="19">
        <v>248694</v>
      </c>
      <c r="BP28" s="47" t="s">
        <v>96</v>
      </c>
      <c r="BQ28" s="47" t="s">
        <v>4</v>
      </c>
      <c r="BR28" s="19">
        <v>113894599</v>
      </c>
      <c r="BS28" s="19">
        <v>1605547</v>
      </c>
      <c r="BT28" s="47" t="s">
        <v>130</v>
      </c>
      <c r="BU28" s="19">
        <v>3113100</v>
      </c>
      <c r="BV28" s="19">
        <v>302300</v>
      </c>
      <c r="BW28" s="19">
        <v>487418</v>
      </c>
      <c r="BX28" s="19">
        <v>875900</v>
      </c>
      <c r="BY28" s="19">
        <v>7384330</v>
      </c>
      <c r="BZ28" s="19">
        <v>27594083</v>
      </c>
      <c r="CA28" s="19">
        <v>45506407</v>
      </c>
      <c r="CB28" s="19"/>
      <c r="CC28" s="19">
        <v>3863758</v>
      </c>
      <c r="CD28" s="19"/>
      <c r="CE28" s="19">
        <v>1392150</v>
      </c>
      <c r="CF28" s="19">
        <v>1677660</v>
      </c>
      <c r="CG28" s="19">
        <v>4896870</v>
      </c>
      <c r="CH28" s="19">
        <v>5376336</v>
      </c>
      <c r="CI28" s="47" t="s">
        <v>130</v>
      </c>
      <c r="CJ28" s="19">
        <v>17166054</v>
      </c>
      <c r="CK28" s="19">
        <v>96762774</v>
      </c>
      <c r="CL28" s="19">
        <v>9547910</v>
      </c>
      <c r="CM28" s="19">
        <v>65680080</v>
      </c>
      <c r="CN28" s="19">
        <v>1748610</v>
      </c>
      <c r="CO28" s="19">
        <v>5887568</v>
      </c>
      <c r="CP28" s="19">
        <v>16205829</v>
      </c>
      <c r="CQ28" s="47" t="s">
        <v>96</v>
      </c>
      <c r="CR28" s="19">
        <v>6240800</v>
      </c>
      <c r="CS28" s="47" t="s">
        <v>172</v>
      </c>
      <c r="CT28" s="19">
        <v>36789722</v>
      </c>
      <c r="CU28" s="19">
        <v>4944835</v>
      </c>
      <c r="CV28" s="19">
        <v>710</v>
      </c>
      <c r="CW28" s="19">
        <v>18845180</v>
      </c>
      <c r="CX28" s="19">
        <v>3827659606</v>
      </c>
      <c r="CY28" s="47" t="s">
        <v>96</v>
      </c>
      <c r="CZ28" s="19">
        <v>12876320</v>
      </c>
      <c r="DA28" s="47" t="s">
        <v>89</v>
      </c>
      <c r="DB28" s="19">
        <v>5902740</v>
      </c>
      <c r="DC28" s="19"/>
      <c r="DD28" s="19">
        <v>528250</v>
      </c>
      <c r="DE28" s="19"/>
      <c r="DF28" s="19">
        <v>3764</v>
      </c>
      <c r="DG28" s="19">
        <v>6951650</v>
      </c>
      <c r="DH28" s="19">
        <v>43961870</v>
      </c>
      <c r="DI28" s="19">
        <v>60658495</v>
      </c>
      <c r="DJ28" s="19">
        <v>1242181</v>
      </c>
      <c r="DK28" s="19">
        <v>12166610</v>
      </c>
      <c r="DL28" s="19">
        <v>19331900</v>
      </c>
      <c r="DM28" s="19">
        <v>14570910</v>
      </c>
      <c r="DN28" s="19">
        <v>16470130</v>
      </c>
      <c r="DO28" s="19">
        <v>40930</v>
      </c>
      <c r="DP28" s="19">
        <v>69480463</v>
      </c>
      <c r="DQ28" s="19">
        <v>536041</v>
      </c>
      <c r="DR28" s="19">
        <v>22703896</v>
      </c>
      <c r="DS28" s="19">
        <v>18977523</v>
      </c>
      <c r="DT28" s="19">
        <v>7252800</v>
      </c>
      <c r="DU28" s="19">
        <v>26770020</v>
      </c>
      <c r="DV28" s="19">
        <v>9776150</v>
      </c>
      <c r="DW28" s="19">
        <v>17838196</v>
      </c>
      <c r="DX28" s="19">
        <v>136283563</v>
      </c>
      <c r="DY28" s="19">
        <v>9951910</v>
      </c>
      <c r="DZ28" s="19">
        <v>1188840</v>
      </c>
      <c r="EA28" s="19">
        <v>3139433</v>
      </c>
      <c r="EB28" s="19">
        <v>58525300</v>
      </c>
      <c r="EC28" s="19">
        <v>4965458</v>
      </c>
      <c r="ED28" s="19">
        <v>3058716</v>
      </c>
      <c r="EE28" s="19">
        <v>16423392</v>
      </c>
      <c r="EF28" s="19">
        <v>3898040</v>
      </c>
      <c r="EG28" s="19">
        <v>117674803</v>
      </c>
      <c r="EH28" s="19">
        <v>8734920</v>
      </c>
      <c r="EI28" s="19">
        <v>106696532</v>
      </c>
      <c r="EJ28" s="19">
        <v>2651510</v>
      </c>
      <c r="EK28" s="19">
        <v>28792924</v>
      </c>
      <c r="EL28" s="19">
        <v>100815846</v>
      </c>
      <c r="EM28" s="19">
        <v>22966129</v>
      </c>
      <c r="EN28" s="19">
        <v>60235254</v>
      </c>
      <c r="EO28" s="19">
        <v>617310</v>
      </c>
      <c r="EP28" s="19">
        <v>15761985</v>
      </c>
      <c r="EQ28" s="19"/>
      <c r="ER28" s="19">
        <v>139351611</v>
      </c>
      <c r="ES28" s="19">
        <v>11237950</v>
      </c>
      <c r="ET28" s="19">
        <v>24647710</v>
      </c>
      <c r="EU28" s="19">
        <v>91212111</v>
      </c>
      <c r="EV28" s="19">
        <v>978260</v>
      </c>
      <c r="EW28" s="19">
        <v>4363590</v>
      </c>
      <c r="EX28" s="19">
        <v>16619785</v>
      </c>
      <c r="EY28" s="19">
        <v>39127703</v>
      </c>
      <c r="EZ28" s="19">
        <v>13686225</v>
      </c>
      <c r="FA28" s="47" t="s">
        <v>130</v>
      </c>
      <c r="FB28" s="19">
        <v>1812940</v>
      </c>
      <c r="FC28" s="19">
        <f>213282480-192010240</f>
        <v>21272240</v>
      </c>
      <c r="FD28" s="19">
        <v>25174312</v>
      </c>
      <c r="FE28" s="19">
        <v>10997448</v>
      </c>
      <c r="FF28" s="19">
        <v>19900885</v>
      </c>
      <c r="FG28" s="19">
        <v>108123898</v>
      </c>
      <c r="FH28" s="19">
        <v>5946701</v>
      </c>
      <c r="FI28" s="47" t="s">
        <v>96</v>
      </c>
      <c r="FJ28" s="19">
        <v>9394678</v>
      </c>
      <c r="FK28" s="19">
        <v>74930401</v>
      </c>
      <c r="FL28" s="47" t="s">
        <v>130</v>
      </c>
      <c r="FM28" s="19">
        <v>4925703</v>
      </c>
      <c r="FN28" s="19">
        <v>11446420</v>
      </c>
      <c r="FO28" s="47" t="s">
        <v>172</v>
      </c>
      <c r="FP28" s="19">
        <v>5171105</v>
      </c>
      <c r="FQ28" s="19">
        <v>640050</v>
      </c>
      <c r="FR28" s="19">
        <v>16513170</v>
      </c>
      <c r="FS28" s="47" t="s">
        <v>130</v>
      </c>
      <c r="FT28" s="19">
        <v>13983947</v>
      </c>
      <c r="FU28" s="19">
        <v>4188520</v>
      </c>
      <c r="FV28" s="19">
        <v>103083554</v>
      </c>
      <c r="FW28" s="19"/>
      <c r="FX28" s="19">
        <v>10827173</v>
      </c>
      <c r="FY28" s="19">
        <v>15682412</v>
      </c>
      <c r="FZ28" s="47" t="s">
        <v>175</v>
      </c>
      <c r="GA28" s="19">
        <v>11359530</v>
      </c>
      <c r="GB28" s="19"/>
      <c r="GC28" s="19">
        <v>6522730</v>
      </c>
      <c r="GD28" s="48" t="s">
        <v>96</v>
      </c>
      <c r="GE28" s="48" t="s">
        <v>96</v>
      </c>
      <c r="GF28" s="19">
        <v>6414260</v>
      </c>
      <c r="GG28" s="19">
        <v>10775035</v>
      </c>
      <c r="GH28" s="47" t="s">
        <v>172</v>
      </c>
      <c r="GI28" s="19">
        <v>5743271</v>
      </c>
      <c r="GJ28" s="47" t="s">
        <v>96</v>
      </c>
      <c r="GK28" s="19">
        <v>366427</v>
      </c>
      <c r="GL28" s="47" t="s">
        <v>96</v>
      </c>
      <c r="GM28" s="19">
        <v>5183030</v>
      </c>
      <c r="GN28" s="19">
        <v>9552073</v>
      </c>
      <c r="GO28" s="47" t="s">
        <v>96</v>
      </c>
      <c r="GP28" s="19">
        <v>83108390</v>
      </c>
      <c r="GQ28" s="19">
        <v>11045399</v>
      </c>
      <c r="GR28" s="19">
        <v>4865420</v>
      </c>
      <c r="GS28" s="19">
        <v>18473815</v>
      </c>
      <c r="GT28" s="19">
        <v>11212410</v>
      </c>
      <c r="GU28" s="19"/>
      <c r="GV28" s="19">
        <v>44240690</v>
      </c>
      <c r="GW28" s="19">
        <v>38915270</v>
      </c>
      <c r="GX28" s="19">
        <v>9554062</v>
      </c>
      <c r="GY28" s="19">
        <v>9864490</v>
      </c>
      <c r="GZ28" s="19">
        <v>58756166</v>
      </c>
      <c r="HA28" s="19">
        <v>409590</v>
      </c>
      <c r="HB28" s="19">
        <v>20397590</v>
      </c>
      <c r="HC28" s="19">
        <v>1018556</v>
      </c>
      <c r="HD28" s="19">
        <v>5232620</v>
      </c>
      <c r="HE28" s="19">
        <v>1065942</v>
      </c>
      <c r="HF28" s="19">
        <v>40164633</v>
      </c>
      <c r="HG28" s="19">
        <v>5675166</v>
      </c>
      <c r="HH28" s="47" t="s">
        <v>130</v>
      </c>
      <c r="HI28" s="19">
        <v>40986233</v>
      </c>
      <c r="HJ28" s="19">
        <v>1095730</v>
      </c>
      <c r="HK28" s="19">
        <v>38636750</v>
      </c>
      <c r="HL28" s="19">
        <v>7920146</v>
      </c>
      <c r="HM28" s="19">
        <v>4478020</v>
      </c>
      <c r="HN28" s="19">
        <v>10754696</v>
      </c>
      <c r="HO28" s="19">
        <v>56282730</v>
      </c>
      <c r="HP28" s="19">
        <v>10362360</v>
      </c>
      <c r="HQ28" s="19">
        <v>12345690</v>
      </c>
      <c r="HR28" s="19">
        <v>47381369</v>
      </c>
      <c r="HS28" s="19">
        <v>13251589</v>
      </c>
      <c r="HT28" s="19">
        <v>1704850</v>
      </c>
      <c r="HU28" s="19">
        <v>11985522</v>
      </c>
      <c r="HV28" s="19">
        <v>1570903</v>
      </c>
      <c r="HW28" s="19" t="s">
        <v>96</v>
      </c>
      <c r="HX28" s="19">
        <v>5373087</v>
      </c>
      <c r="HY28" s="19" t="s">
        <v>172</v>
      </c>
      <c r="HZ28" s="19">
        <v>27809263</v>
      </c>
      <c r="IA28" s="19">
        <v>1009320</v>
      </c>
      <c r="IB28" s="19">
        <v>9233366</v>
      </c>
      <c r="IC28" s="19">
        <v>374619378</v>
      </c>
      <c r="ID28" s="19">
        <v>2512670</v>
      </c>
      <c r="IE28" s="47" t="s">
        <v>96</v>
      </c>
      <c r="IF28" s="19">
        <v>971866</v>
      </c>
      <c r="IG28" s="19">
        <v>1468230</v>
      </c>
      <c r="IH28" s="19">
        <v>16286805</v>
      </c>
      <c r="II28" s="19">
        <v>3281410</v>
      </c>
      <c r="IJ28" s="19">
        <v>12268624</v>
      </c>
      <c r="IK28" s="19">
        <v>3222410</v>
      </c>
      <c r="IL28" s="19">
        <v>10422525</v>
      </c>
      <c r="IM28" s="19">
        <v>12642724</v>
      </c>
      <c r="IN28" s="19">
        <v>3732580</v>
      </c>
      <c r="IO28" s="19">
        <v>19773358</v>
      </c>
      <c r="IP28" s="19">
        <v>11338262</v>
      </c>
      <c r="IQ28" s="19">
        <v>2788980</v>
      </c>
      <c r="IR28" s="19">
        <v>4705730</v>
      </c>
      <c r="IS28" s="19">
        <v>21266904</v>
      </c>
      <c r="IT28" s="19">
        <v>22942163</v>
      </c>
      <c r="IU28" s="45">
        <v>53891590</v>
      </c>
      <c r="IV28" s="45">
        <v>14590</v>
      </c>
      <c r="IW28" s="45">
        <v>11718730</v>
      </c>
      <c r="IX28" s="45">
        <v>13270440</v>
      </c>
      <c r="IY28" s="45">
        <v>2190630</v>
      </c>
      <c r="IZ28" s="45">
        <v>3105940</v>
      </c>
      <c r="JA28" s="45">
        <v>1871650</v>
      </c>
      <c r="JB28" s="45">
        <v>2244390</v>
      </c>
      <c r="JC28" s="45">
        <v>588651</v>
      </c>
      <c r="JD28" s="45">
        <v>16480266</v>
      </c>
      <c r="JE28" s="45">
        <v>450670</v>
      </c>
      <c r="JF28" s="45">
        <v>11591311</v>
      </c>
      <c r="JG28" s="45">
        <v>2627610</v>
      </c>
      <c r="JH28" s="45">
        <v>4193183</v>
      </c>
      <c r="JI28" s="45">
        <v>4747730</v>
      </c>
      <c r="JJ28" s="45">
        <v>3373207</v>
      </c>
      <c r="JK28" s="45">
        <v>17118308</v>
      </c>
      <c r="JL28" s="45">
        <v>45019372</v>
      </c>
      <c r="JM28" s="45">
        <v>32144019</v>
      </c>
      <c r="JN28" s="45">
        <v>3584810</v>
      </c>
      <c r="JO28" s="46">
        <v>1267752</v>
      </c>
      <c r="JP28" s="46">
        <v>2260470</v>
      </c>
      <c r="JQ28" s="63" t="s">
        <v>175</v>
      </c>
      <c r="JR28" s="46">
        <v>1634880</v>
      </c>
      <c r="JS28" s="46">
        <v>9450617</v>
      </c>
      <c r="JT28" s="46">
        <v>1121690</v>
      </c>
      <c r="JU28" s="46">
        <v>22593300</v>
      </c>
      <c r="JV28" s="46">
        <v>14968046</v>
      </c>
      <c r="JW28" s="46">
        <v>32250</v>
      </c>
      <c r="JX28" s="46">
        <v>45458904</v>
      </c>
      <c r="JY28" s="46">
        <v>35021802</v>
      </c>
      <c r="JZ28" s="46">
        <v>85880</v>
      </c>
      <c r="KA28" s="46">
        <v>4127335</v>
      </c>
      <c r="KB28" s="46">
        <v>24705790</v>
      </c>
      <c r="KC28" s="46">
        <v>2192540</v>
      </c>
      <c r="KD28" s="46">
        <v>20070245</v>
      </c>
      <c r="KE28" s="46">
        <v>550950</v>
      </c>
      <c r="KF28" s="46">
        <v>1491999</v>
      </c>
      <c r="KG28" s="46">
        <v>2826240</v>
      </c>
      <c r="KH28" s="46">
        <v>4343571</v>
      </c>
    </row>
    <row r="29" spans="1:294">
      <c r="A29" s="7" t="s">
        <v>182</v>
      </c>
      <c r="B29" s="11" t="s">
        <v>13</v>
      </c>
      <c r="C29" s="19">
        <v>5804106</v>
      </c>
      <c r="D29" s="19"/>
      <c r="E29" s="19"/>
      <c r="F29" s="19"/>
      <c r="G29" s="47" t="s">
        <v>130</v>
      </c>
      <c r="H29" s="19"/>
      <c r="I29" s="19"/>
      <c r="J29" s="47" t="s">
        <v>4</v>
      </c>
      <c r="K29" s="19"/>
      <c r="L29" s="47" t="s">
        <v>96</v>
      </c>
      <c r="M29" s="47" t="s">
        <v>96</v>
      </c>
      <c r="N29" s="19"/>
      <c r="O29" s="19"/>
      <c r="P29" s="19"/>
      <c r="Q29" s="19"/>
      <c r="R29" s="19"/>
      <c r="S29" s="19"/>
      <c r="T29" s="47" t="s">
        <v>96</v>
      </c>
      <c r="U29" s="47" t="s">
        <v>172</v>
      </c>
      <c r="V29" s="47" t="s">
        <v>172</v>
      </c>
      <c r="W29" s="19">
        <v>23513831</v>
      </c>
      <c r="X29" s="19"/>
      <c r="Y29" s="19"/>
      <c r="Z29" s="19">
        <v>420635143</v>
      </c>
      <c r="AA29" s="19"/>
      <c r="AB29" s="19"/>
      <c r="AC29" s="19"/>
      <c r="AD29" s="19">
        <v>24981440</v>
      </c>
      <c r="AE29" s="19"/>
      <c r="AF29" s="47" t="s">
        <v>172</v>
      </c>
      <c r="AG29" s="19"/>
      <c r="AH29" s="19"/>
      <c r="AI29" s="19"/>
      <c r="AJ29" s="19">
        <v>8118047</v>
      </c>
      <c r="AK29" s="19"/>
      <c r="AL29" s="19"/>
      <c r="AM29" s="47" t="s">
        <v>4</v>
      </c>
      <c r="AN29" s="19">
        <v>63800000</v>
      </c>
      <c r="AO29" s="19"/>
      <c r="AP29" s="19"/>
      <c r="AQ29" s="47" t="s">
        <v>96</v>
      </c>
      <c r="AR29" s="19"/>
      <c r="AS29" s="19">
        <v>86964190</v>
      </c>
      <c r="AT29" s="47" t="s">
        <v>172</v>
      </c>
      <c r="AU29" s="19"/>
      <c r="AV29" s="19"/>
      <c r="AW29" s="19">
        <v>163325502</v>
      </c>
      <c r="AX29" s="47" t="s">
        <v>4</v>
      </c>
      <c r="AY29" s="19"/>
      <c r="AZ29" s="19"/>
      <c r="BA29" s="19"/>
      <c r="BB29" s="19">
        <v>38158210</v>
      </c>
      <c r="BC29" s="47" t="s">
        <v>4</v>
      </c>
      <c r="BD29" s="47" t="s">
        <v>130</v>
      </c>
      <c r="BE29" s="19"/>
      <c r="BF29" s="47" t="s">
        <v>96</v>
      </c>
      <c r="BG29" s="19"/>
      <c r="BH29" s="19"/>
      <c r="BI29" s="19"/>
      <c r="BJ29" s="19"/>
      <c r="BK29" s="19"/>
      <c r="BL29" s="19">
        <v>12213628</v>
      </c>
      <c r="BM29" s="19"/>
      <c r="BN29" s="19"/>
      <c r="BO29" s="19"/>
      <c r="BP29" s="47" t="s">
        <v>96</v>
      </c>
      <c r="BQ29" s="47" t="s">
        <v>4</v>
      </c>
      <c r="BR29" s="19"/>
      <c r="BS29" s="19">
        <v>15500000</v>
      </c>
      <c r="BT29" s="47" t="s">
        <v>130</v>
      </c>
      <c r="BU29" s="19">
        <v>177000000</v>
      </c>
      <c r="BV29" s="19"/>
      <c r="BW29" s="19"/>
      <c r="BX29" s="19"/>
      <c r="BY29" s="19"/>
      <c r="BZ29" s="19"/>
      <c r="CA29" s="19"/>
      <c r="CB29" s="19">
        <v>45403978</v>
      </c>
      <c r="CC29" s="19">
        <v>1234701</v>
      </c>
      <c r="CD29" s="19"/>
      <c r="CE29" s="19">
        <v>66467536</v>
      </c>
      <c r="CF29" s="19"/>
      <c r="CG29" s="19"/>
      <c r="CH29" s="19">
        <v>47142364</v>
      </c>
      <c r="CI29" s="47" t="s">
        <v>130</v>
      </c>
      <c r="CJ29" s="19"/>
      <c r="CK29" s="19"/>
      <c r="CL29" s="19"/>
      <c r="CM29" s="19"/>
      <c r="CN29" s="19"/>
      <c r="CO29" s="19"/>
      <c r="CP29" s="19">
        <v>10000000</v>
      </c>
      <c r="CQ29" s="47" t="s">
        <v>96</v>
      </c>
      <c r="CR29" s="19"/>
      <c r="CS29" s="47" t="s">
        <v>172</v>
      </c>
      <c r="CT29" s="19"/>
      <c r="CU29" s="19"/>
      <c r="CV29" s="19"/>
      <c r="CW29" s="19"/>
      <c r="CX29" s="19"/>
      <c r="CY29" s="47" t="s">
        <v>96</v>
      </c>
      <c r="CZ29" s="19">
        <v>114892887</v>
      </c>
      <c r="DA29" s="47" t="s">
        <v>89</v>
      </c>
      <c r="DB29" s="19"/>
      <c r="DC29" s="19"/>
      <c r="DD29" s="19"/>
      <c r="DE29" s="19"/>
      <c r="DF29" s="19"/>
      <c r="DG29" s="19"/>
      <c r="DH29" s="19"/>
      <c r="DI29" s="19"/>
      <c r="DJ29" s="19"/>
      <c r="DK29" s="19"/>
      <c r="DL29" s="19"/>
      <c r="DM29" s="19"/>
      <c r="DN29" s="19"/>
      <c r="DO29" s="19"/>
      <c r="DP29" s="19">
        <v>9089865</v>
      </c>
      <c r="DQ29" s="19"/>
      <c r="DR29" s="19"/>
      <c r="DS29" s="19"/>
      <c r="DT29" s="19">
        <v>262301</v>
      </c>
      <c r="DU29" s="19"/>
      <c r="DV29" s="19"/>
      <c r="DW29" s="19"/>
      <c r="DX29" s="19"/>
      <c r="DY29" s="19"/>
      <c r="DZ29" s="19"/>
      <c r="EA29" s="19"/>
      <c r="EB29" s="19"/>
      <c r="EC29" s="19"/>
      <c r="ED29" s="19">
        <v>110000000</v>
      </c>
      <c r="EE29" s="19"/>
      <c r="EF29" s="19"/>
      <c r="EG29" s="19"/>
      <c r="EH29" s="19"/>
      <c r="EI29" s="19"/>
      <c r="EJ29" s="19"/>
      <c r="EK29" s="19"/>
      <c r="EL29" s="19"/>
      <c r="EM29" s="19"/>
      <c r="EN29" s="19">
        <v>36496231</v>
      </c>
      <c r="EO29" s="19"/>
      <c r="EP29" s="19"/>
      <c r="EQ29" s="19"/>
      <c r="ER29" s="19"/>
      <c r="ES29" s="19"/>
      <c r="ET29" s="19"/>
      <c r="EU29" s="19"/>
      <c r="EV29" s="19"/>
      <c r="EW29" s="19">
        <v>66500000</v>
      </c>
      <c r="EX29" s="19">
        <v>277277867</v>
      </c>
      <c r="EY29" s="19"/>
      <c r="EZ29" s="19"/>
      <c r="FA29" s="47" t="s">
        <v>130</v>
      </c>
      <c r="FB29" s="19"/>
      <c r="FC29" s="19">
        <v>147780000</v>
      </c>
      <c r="FD29" s="19"/>
      <c r="FE29" s="19"/>
      <c r="FF29" s="19"/>
      <c r="FG29" s="19"/>
      <c r="FH29" s="19"/>
      <c r="FI29" s="47" t="s">
        <v>96</v>
      </c>
      <c r="FJ29" s="19"/>
      <c r="FK29" s="19"/>
      <c r="FL29" s="47" t="s">
        <v>130</v>
      </c>
      <c r="FM29" s="19">
        <v>17000000</v>
      </c>
      <c r="FN29" s="19"/>
      <c r="FO29" s="47" t="s">
        <v>172</v>
      </c>
      <c r="FP29" s="19"/>
      <c r="FQ29" s="19"/>
      <c r="FR29" s="19">
        <v>24972444</v>
      </c>
      <c r="FS29" s="47" t="s">
        <v>130</v>
      </c>
      <c r="FT29" s="19"/>
      <c r="FU29" s="19">
        <v>7061210</v>
      </c>
      <c r="FV29" s="19"/>
      <c r="FW29" s="19"/>
      <c r="FX29" s="19"/>
      <c r="FY29" s="19"/>
      <c r="FZ29" s="47" t="s">
        <v>175</v>
      </c>
      <c r="GA29" s="19"/>
      <c r="GB29" s="19">
        <v>756585</v>
      </c>
      <c r="GC29" s="19"/>
      <c r="GD29" s="48" t="s">
        <v>96</v>
      </c>
      <c r="GE29" s="48" t="s">
        <v>96</v>
      </c>
      <c r="GF29" s="19"/>
      <c r="GG29" s="19"/>
      <c r="GH29" s="47" t="s">
        <v>172</v>
      </c>
      <c r="GI29" s="19">
        <v>12019941</v>
      </c>
      <c r="GJ29" s="47" t="s">
        <v>96</v>
      </c>
      <c r="GK29" s="19"/>
      <c r="GL29" s="47" t="s">
        <v>96</v>
      </c>
      <c r="GM29" s="19"/>
      <c r="GN29" s="19">
        <v>6793282</v>
      </c>
      <c r="GO29" s="47" t="s">
        <v>96</v>
      </c>
      <c r="GP29" s="19"/>
      <c r="GQ29" s="19"/>
      <c r="GR29" s="19">
        <v>12138990</v>
      </c>
      <c r="GS29" s="19"/>
      <c r="GT29" s="19"/>
      <c r="GU29" s="19"/>
      <c r="GV29" s="19"/>
      <c r="GW29" s="19"/>
      <c r="GX29" s="19"/>
      <c r="GY29" s="19"/>
      <c r="GZ29" s="19">
        <v>1640777</v>
      </c>
      <c r="HA29" s="19">
        <v>15000000</v>
      </c>
      <c r="HB29" s="19"/>
      <c r="HC29" s="19"/>
      <c r="HD29" s="19">
        <v>32996573</v>
      </c>
      <c r="HE29" s="19"/>
      <c r="HF29" s="19">
        <v>56524589</v>
      </c>
      <c r="HG29" s="19">
        <v>4175024</v>
      </c>
      <c r="HH29" s="47" t="s">
        <v>130</v>
      </c>
      <c r="HI29" s="19"/>
      <c r="HJ29" s="19"/>
      <c r="HK29" s="19"/>
      <c r="HL29" s="19"/>
      <c r="HM29" s="19"/>
      <c r="HN29" s="19"/>
      <c r="HO29" s="19"/>
      <c r="HP29" s="19"/>
      <c r="HQ29" s="19"/>
      <c r="HR29" s="19">
        <v>269854099</v>
      </c>
      <c r="HS29" s="19"/>
      <c r="HT29" s="19"/>
      <c r="HU29" s="19"/>
      <c r="HV29" s="19">
        <v>1550000</v>
      </c>
      <c r="HW29" s="19" t="s">
        <v>96</v>
      </c>
      <c r="HX29" s="19"/>
      <c r="HY29" s="19" t="s">
        <v>172</v>
      </c>
      <c r="HZ29" s="19"/>
      <c r="IA29" s="19"/>
      <c r="IB29" s="19"/>
      <c r="IC29" s="19"/>
      <c r="ID29" s="19"/>
      <c r="IE29" s="47" t="s">
        <v>96</v>
      </c>
      <c r="IF29" s="19"/>
      <c r="IG29" s="19"/>
      <c r="IH29" s="19"/>
      <c r="II29" s="19">
        <v>103338296</v>
      </c>
      <c r="IJ29" s="19"/>
      <c r="IK29" s="19"/>
      <c r="IL29" s="19">
        <v>518274295</v>
      </c>
      <c r="IM29" s="19"/>
      <c r="IN29" s="19"/>
      <c r="IO29" s="19"/>
      <c r="IP29" s="19">
        <v>50000000</v>
      </c>
      <c r="IQ29" s="19"/>
      <c r="IR29" s="19"/>
      <c r="IS29" s="19"/>
      <c r="IT29" s="19"/>
      <c r="IU29" s="45"/>
      <c r="IV29" s="45">
        <v>45000000</v>
      </c>
      <c r="IW29" s="45"/>
      <c r="IX29" s="45"/>
      <c r="IY29" s="45">
        <v>82239030</v>
      </c>
      <c r="IZ29" s="45">
        <v>45450000</v>
      </c>
      <c r="JA29" s="45"/>
      <c r="JB29" s="45"/>
      <c r="JC29" s="45"/>
      <c r="JD29" s="45">
        <v>5000</v>
      </c>
      <c r="JE29" s="45"/>
      <c r="JF29" s="45"/>
      <c r="JG29" s="45"/>
      <c r="JH29" s="45">
        <v>38577454</v>
      </c>
      <c r="JI29" s="45"/>
      <c r="JJ29" s="45"/>
      <c r="JK29" s="45">
        <v>52814483</v>
      </c>
      <c r="JL29" s="45"/>
      <c r="JM29" s="45"/>
      <c r="JN29" s="45"/>
      <c r="JO29" s="46">
        <v>26723500</v>
      </c>
      <c r="JP29" s="46"/>
      <c r="JQ29" s="63" t="s">
        <v>175</v>
      </c>
      <c r="JR29" s="46"/>
      <c r="JS29" s="46"/>
      <c r="JT29" s="46"/>
      <c r="JU29" s="46"/>
      <c r="JV29" s="46"/>
      <c r="JW29" s="46"/>
      <c r="JX29" s="46"/>
      <c r="JY29" s="46">
        <v>39472299</v>
      </c>
      <c r="JZ29" s="46">
        <v>14995055</v>
      </c>
      <c r="KA29" s="46"/>
      <c r="KB29" s="46">
        <v>1623240</v>
      </c>
      <c r="KC29" s="46"/>
      <c r="KD29" s="46"/>
      <c r="KE29" s="46"/>
      <c r="KF29" s="46"/>
      <c r="KG29" s="46"/>
      <c r="KH29" s="46"/>
    </row>
    <row r="30" spans="1:294">
      <c r="A30" s="7" t="s">
        <v>182</v>
      </c>
      <c r="B30" s="11" t="s">
        <v>59</v>
      </c>
      <c r="C30" s="19">
        <v>4560</v>
      </c>
      <c r="D30" s="19">
        <v>27300</v>
      </c>
      <c r="E30" s="19"/>
      <c r="F30" s="19"/>
      <c r="G30" s="47" t="s">
        <v>130</v>
      </c>
      <c r="H30" s="19"/>
      <c r="I30" s="19"/>
      <c r="J30" s="47" t="s">
        <v>4</v>
      </c>
      <c r="K30" s="19">
        <v>1278320</v>
      </c>
      <c r="L30" s="47" t="s">
        <v>96</v>
      </c>
      <c r="M30" s="47" t="s">
        <v>96</v>
      </c>
      <c r="N30" s="19">
        <v>1516800</v>
      </c>
      <c r="O30" s="19"/>
      <c r="P30" s="19">
        <v>883600</v>
      </c>
      <c r="Q30" s="19"/>
      <c r="R30" s="19"/>
      <c r="S30" s="19">
        <v>982802668</v>
      </c>
      <c r="T30" s="47" t="s">
        <v>96</v>
      </c>
      <c r="U30" s="47" t="s">
        <v>172</v>
      </c>
      <c r="V30" s="47" t="s">
        <v>172</v>
      </c>
      <c r="W30" s="19"/>
      <c r="X30" s="19"/>
      <c r="Y30" s="19">
        <v>6369000</v>
      </c>
      <c r="Z30" s="19"/>
      <c r="AA30" s="19">
        <v>14723100</v>
      </c>
      <c r="AB30" s="19"/>
      <c r="AC30" s="19"/>
      <c r="AD30" s="19">
        <v>90835000</v>
      </c>
      <c r="AE30" s="19">
        <v>4792000</v>
      </c>
      <c r="AF30" s="47" t="s">
        <v>172</v>
      </c>
      <c r="AG30" s="19"/>
      <c r="AH30" s="19">
        <v>20851884</v>
      </c>
      <c r="AI30" s="19">
        <v>1500000</v>
      </c>
      <c r="AJ30" s="19">
        <v>2000000</v>
      </c>
      <c r="AK30" s="19"/>
      <c r="AL30" s="19">
        <v>40848990</v>
      </c>
      <c r="AM30" s="47" t="s">
        <v>4</v>
      </c>
      <c r="AN30" s="19">
        <v>1075200</v>
      </c>
      <c r="AO30" s="19">
        <v>19866652</v>
      </c>
      <c r="AP30" s="19"/>
      <c r="AQ30" s="47" t="s">
        <v>96</v>
      </c>
      <c r="AR30" s="19">
        <v>500000000</v>
      </c>
      <c r="AS30" s="19">
        <v>120612701</v>
      </c>
      <c r="AT30" s="47" t="s">
        <v>172</v>
      </c>
      <c r="AU30" s="19">
        <v>26600000</v>
      </c>
      <c r="AV30" s="19">
        <v>7000000</v>
      </c>
      <c r="AW30" s="19">
        <v>3563070</v>
      </c>
      <c r="AX30" s="47" t="s">
        <v>4</v>
      </c>
      <c r="AY30" s="19"/>
      <c r="AZ30" s="19"/>
      <c r="BA30" s="19"/>
      <c r="BB30" s="19"/>
      <c r="BC30" s="47" t="s">
        <v>4</v>
      </c>
      <c r="BD30" s="47" t="s">
        <v>130</v>
      </c>
      <c r="BE30" s="19"/>
      <c r="BF30" s="47" t="s">
        <v>96</v>
      </c>
      <c r="BG30" s="19">
        <f>122709419+7800000</f>
        <v>130509419</v>
      </c>
      <c r="BH30" s="19">
        <v>706800</v>
      </c>
      <c r="BI30" s="19">
        <v>1968000</v>
      </c>
      <c r="BJ30" s="19"/>
      <c r="BK30" s="19"/>
      <c r="BL30" s="19"/>
      <c r="BM30" s="19">
        <v>20402850</v>
      </c>
      <c r="BN30" s="19">
        <v>2173500</v>
      </c>
      <c r="BO30" s="19"/>
      <c r="BP30" s="47" t="s">
        <v>96</v>
      </c>
      <c r="BQ30" s="47" t="s">
        <v>4</v>
      </c>
      <c r="BR30" s="19"/>
      <c r="BS30" s="19"/>
      <c r="BT30" s="47" t="s">
        <v>130</v>
      </c>
      <c r="BU30" s="19">
        <v>6994152</v>
      </c>
      <c r="BV30" s="19">
        <v>4400000</v>
      </c>
      <c r="BW30" s="19">
        <v>525520</v>
      </c>
      <c r="BX30" s="19">
        <v>13992000</v>
      </c>
      <c r="BY30" s="19">
        <v>41929249</v>
      </c>
      <c r="BZ30" s="19"/>
      <c r="CA30" s="19"/>
      <c r="CB30" s="19"/>
      <c r="CC30" s="19">
        <v>94218244</v>
      </c>
      <c r="CD30" s="19"/>
      <c r="CE30" s="19"/>
      <c r="CF30" s="19">
        <v>1100000</v>
      </c>
      <c r="CG30" s="19"/>
      <c r="CH30" s="19"/>
      <c r="CI30" s="47" t="s">
        <v>130</v>
      </c>
      <c r="CJ30" s="19">
        <v>57979368</v>
      </c>
      <c r="CK30" s="19"/>
      <c r="CL30" s="19">
        <v>2000000</v>
      </c>
      <c r="CM30" s="19">
        <v>30000000</v>
      </c>
      <c r="CN30" s="19"/>
      <c r="CO30" s="19"/>
      <c r="CP30" s="19">
        <v>42980210</v>
      </c>
      <c r="CQ30" s="47" t="s">
        <v>96</v>
      </c>
      <c r="CR30" s="19">
        <v>8870087</v>
      </c>
      <c r="CS30" s="47" t="s">
        <v>172</v>
      </c>
      <c r="CT30" s="19">
        <v>11492849</v>
      </c>
      <c r="CU30" s="19"/>
      <c r="CV30" s="19">
        <v>90599500</v>
      </c>
      <c r="CW30" s="19">
        <v>119649954</v>
      </c>
      <c r="CX30" s="19">
        <v>101712157</v>
      </c>
      <c r="CY30" s="47" t="s">
        <v>96</v>
      </c>
      <c r="CZ30" s="19">
        <v>188104931</v>
      </c>
      <c r="DA30" s="47" t="s">
        <v>89</v>
      </c>
      <c r="DB30" s="19"/>
      <c r="DC30" s="19">
        <v>44795130</v>
      </c>
      <c r="DD30" s="19">
        <v>5794690</v>
      </c>
      <c r="DE30" s="19"/>
      <c r="DF30" s="19"/>
      <c r="DG30" s="19">
        <v>1900000</v>
      </c>
      <c r="DH30" s="19">
        <v>10750000</v>
      </c>
      <c r="DI30" s="19">
        <v>10613000</v>
      </c>
      <c r="DJ30" s="19"/>
      <c r="DK30" s="19">
        <v>851217000</v>
      </c>
      <c r="DL30" s="19">
        <v>7317613</v>
      </c>
      <c r="DM30" s="19">
        <v>3063500</v>
      </c>
      <c r="DN30" s="19">
        <v>324308</v>
      </c>
      <c r="DO30" s="19">
        <v>841200</v>
      </c>
      <c r="DP30" s="19">
        <v>476092200</v>
      </c>
      <c r="DQ30" s="19"/>
      <c r="DR30" s="19">
        <v>5672000</v>
      </c>
      <c r="DS30" s="19">
        <v>25000000</v>
      </c>
      <c r="DT30" s="19">
        <v>830640</v>
      </c>
      <c r="DU30" s="19"/>
      <c r="DV30" s="19"/>
      <c r="DW30" s="19">
        <v>895500</v>
      </c>
      <c r="DX30" s="19">
        <v>147295636</v>
      </c>
      <c r="DY30" s="19"/>
      <c r="DZ30" s="19"/>
      <c r="EA30" s="19"/>
      <c r="EB30" s="19">
        <v>26868000</v>
      </c>
      <c r="EC30" s="19"/>
      <c r="ED30" s="19"/>
      <c r="EE30" s="19"/>
      <c r="EF30" s="19">
        <v>14617680</v>
      </c>
      <c r="EG30" s="19">
        <v>1610806697</v>
      </c>
      <c r="EH30" s="19">
        <v>261366664</v>
      </c>
      <c r="EI30" s="19">
        <v>50630984</v>
      </c>
      <c r="EJ30" s="19">
        <v>26056360</v>
      </c>
      <c r="EK30" s="19">
        <v>54187095</v>
      </c>
      <c r="EL30" s="19">
        <v>28853300</v>
      </c>
      <c r="EM30" s="19">
        <v>264000</v>
      </c>
      <c r="EN30" s="19"/>
      <c r="EO30" s="19"/>
      <c r="EP30" s="19"/>
      <c r="EQ30" s="19"/>
      <c r="ER30" s="19">
        <v>21800</v>
      </c>
      <c r="ES30" s="19"/>
      <c r="ET30" s="19"/>
      <c r="EU30" s="19">
        <v>1186340004</v>
      </c>
      <c r="EV30" s="19">
        <v>16500</v>
      </c>
      <c r="EW30" s="19">
        <v>7000000</v>
      </c>
      <c r="EX30" s="19">
        <v>5011000</v>
      </c>
      <c r="EY30" s="19"/>
      <c r="EZ30" s="19">
        <v>48227431</v>
      </c>
      <c r="FA30" s="47" t="s">
        <v>130</v>
      </c>
      <c r="FB30" s="19">
        <v>14635300</v>
      </c>
      <c r="FC30" s="19">
        <f>20000000+192010240</f>
        <v>212010240</v>
      </c>
      <c r="FD30" s="19">
        <v>300000</v>
      </c>
      <c r="FE30" s="19">
        <v>157506091</v>
      </c>
      <c r="FF30" s="19">
        <v>5186286</v>
      </c>
      <c r="FG30" s="19"/>
      <c r="FH30" s="19"/>
      <c r="FI30" s="47" t="s">
        <v>96</v>
      </c>
      <c r="FJ30" s="19"/>
      <c r="FK30" s="19">
        <v>49500</v>
      </c>
      <c r="FL30" s="47" t="s">
        <v>130</v>
      </c>
      <c r="FM30" s="19"/>
      <c r="FN30" s="19">
        <v>48750000</v>
      </c>
      <c r="FO30" s="47" t="s">
        <v>172</v>
      </c>
      <c r="FP30" s="19"/>
      <c r="FQ30" s="19"/>
      <c r="FR30" s="19"/>
      <c r="FS30" s="47" t="s">
        <v>130</v>
      </c>
      <c r="FT30" s="19">
        <v>792000</v>
      </c>
      <c r="FU30" s="19"/>
      <c r="FV30" s="19"/>
      <c r="FW30" s="19">
        <v>2679103</v>
      </c>
      <c r="FX30" s="19">
        <v>60651543</v>
      </c>
      <c r="FY30" s="19">
        <v>25351900</v>
      </c>
      <c r="FZ30" s="47" t="s">
        <v>175</v>
      </c>
      <c r="GA30" s="19">
        <v>26600000</v>
      </c>
      <c r="GB30" s="19"/>
      <c r="GC30" s="19">
        <v>20000000</v>
      </c>
      <c r="GD30" s="48" t="s">
        <v>96</v>
      </c>
      <c r="GE30" s="48" t="s">
        <v>96</v>
      </c>
      <c r="GF30" s="19">
        <v>17521291</v>
      </c>
      <c r="GG30" s="19">
        <v>1243840</v>
      </c>
      <c r="GH30" s="47" t="s">
        <v>172</v>
      </c>
      <c r="GI30" s="19">
        <v>6342300</v>
      </c>
      <c r="GJ30" s="47" t="s">
        <v>96</v>
      </c>
      <c r="GK30" s="19"/>
      <c r="GL30" s="47" t="s">
        <v>96</v>
      </c>
      <c r="GM30" s="19"/>
      <c r="GN30" s="19">
        <v>10137000</v>
      </c>
      <c r="GO30" s="47" t="s">
        <v>96</v>
      </c>
      <c r="GP30" s="19">
        <v>2232986</v>
      </c>
      <c r="GQ30" s="19">
        <v>8764000</v>
      </c>
      <c r="GR30" s="19">
        <v>40772066</v>
      </c>
      <c r="GS30" s="19"/>
      <c r="GT30" s="19">
        <v>2409500</v>
      </c>
      <c r="GU30" s="19">
        <v>90000</v>
      </c>
      <c r="GV30" s="19"/>
      <c r="GW30" s="19">
        <v>778472315</v>
      </c>
      <c r="GX30" s="19"/>
      <c r="GY30" s="19"/>
      <c r="GZ30" s="19">
        <v>31667790</v>
      </c>
      <c r="HA30" s="19"/>
      <c r="HB30" s="19">
        <v>250700</v>
      </c>
      <c r="HC30" s="19">
        <v>134926734</v>
      </c>
      <c r="HD30" s="19">
        <v>52800</v>
      </c>
      <c r="HE30" s="19">
        <v>1676922</v>
      </c>
      <c r="HF30" s="19"/>
      <c r="HG30" s="19">
        <v>689042</v>
      </c>
      <c r="HH30" s="47" t="s">
        <v>130</v>
      </c>
      <c r="HI30" s="19"/>
      <c r="HJ30" s="19"/>
      <c r="HK30" s="19">
        <v>56129532</v>
      </c>
      <c r="HL30" s="19"/>
      <c r="HM30" s="19"/>
      <c r="HN30" s="19"/>
      <c r="HO30" s="19">
        <v>699040</v>
      </c>
      <c r="HP30" s="19"/>
      <c r="HQ30" s="19"/>
      <c r="HR30" s="19">
        <v>174097638</v>
      </c>
      <c r="HS30" s="19"/>
      <c r="HT30" s="19">
        <v>3631050</v>
      </c>
      <c r="HU30" s="19">
        <v>507432841</v>
      </c>
      <c r="HV30" s="19"/>
      <c r="HW30" s="19" t="s">
        <v>96</v>
      </c>
      <c r="HX30" s="19">
        <v>16156620</v>
      </c>
      <c r="HY30" s="19" t="s">
        <v>172</v>
      </c>
      <c r="HZ30" s="19">
        <v>78164000</v>
      </c>
      <c r="IA30" s="19">
        <v>12000000</v>
      </c>
      <c r="IB30" s="19">
        <v>1117600</v>
      </c>
      <c r="IC30" s="19"/>
      <c r="ID30" s="19"/>
      <c r="IE30" s="47" t="s">
        <v>96</v>
      </c>
      <c r="IF30" s="19"/>
      <c r="IG30" s="19"/>
      <c r="IH30" s="19"/>
      <c r="II30" s="19">
        <v>28672314</v>
      </c>
      <c r="IJ30" s="19"/>
      <c r="IK30" s="19">
        <v>76918549</v>
      </c>
      <c r="IL30" s="19">
        <v>19000000</v>
      </c>
      <c r="IM30" s="19">
        <v>399630</v>
      </c>
      <c r="IN30" s="19"/>
      <c r="IO30" s="19">
        <v>24940464</v>
      </c>
      <c r="IP30" s="19"/>
      <c r="IQ30" s="19">
        <v>1095000</v>
      </c>
      <c r="IR30" s="19"/>
      <c r="IS30" s="19"/>
      <c r="IT30" s="19"/>
      <c r="IU30" s="45"/>
      <c r="IV30" s="45"/>
      <c r="IW30" s="45">
        <v>43500000</v>
      </c>
      <c r="IX30" s="45"/>
      <c r="IY30" s="45">
        <v>17387280</v>
      </c>
      <c r="IZ30" s="45"/>
      <c r="JA30" s="45">
        <v>2130057</v>
      </c>
      <c r="JB30" s="45">
        <v>38957600</v>
      </c>
      <c r="JC30" s="45"/>
      <c r="JD30" s="45"/>
      <c r="JE30" s="45"/>
      <c r="JF30" s="45">
        <v>63000</v>
      </c>
      <c r="JG30" s="45">
        <v>3660000</v>
      </c>
      <c r="JH30" s="45"/>
      <c r="JI30" s="45"/>
      <c r="JJ30" s="45"/>
      <c r="JK30" s="45">
        <v>7646900</v>
      </c>
      <c r="JL30" s="45"/>
      <c r="JM30" s="45"/>
      <c r="JN30" s="45">
        <v>79978513</v>
      </c>
      <c r="JO30" s="46"/>
      <c r="JP30" s="46">
        <v>611724</v>
      </c>
      <c r="JQ30" s="63" t="s">
        <v>175</v>
      </c>
      <c r="JR30" s="46"/>
      <c r="JS30" s="46"/>
      <c r="JT30" s="46">
        <v>21095000</v>
      </c>
      <c r="JU30" s="46"/>
      <c r="JV30" s="46">
        <v>10925063</v>
      </c>
      <c r="JW30" s="46"/>
      <c r="JX30" s="46"/>
      <c r="JY30" s="46">
        <v>9849292</v>
      </c>
      <c r="JZ30" s="46"/>
      <c r="KA30" s="46"/>
      <c r="KB30" s="46">
        <v>8394370</v>
      </c>
      <c r="KC30" s="46">
        <v>2034997</v>
      </c>
      <c r="KD30" s="46"/>
      <c r="KE30" s="46"/>
      <c r="KF30" s="46">
        <v>5000000</v>
      </c>
      <c r="KG30" s="46"/>
      <c r="KH30" s="46"/>
    </row>
    <row r="31" spans="1:294">
      <c r="A31" s="7" t="s">
        <v>182</v>
      </c>
      <c r="B31" s="8" t="s">
        <v>18</v>
      </c>
      <c r="C31" s="19">
        <v>0</v>
      </c>
      <c r="D31" s="19">
        <v>160000000</v>
      </c>
      <c r="E31" s="19">
        <v>325000000</v>
      </c>
      <c r="F31" s="19">
        <v>687370000</v>
      </c>
      <c r="G31" s="47" t="s">
        <v>130</v>
      </c>
      <c r="H31" s="19">
        <v>4010651115</v>
      </c>
      <c r="I31" s="19">
        <v>3077273324</v>
      </c>
      <c r="J31" s="47" t="s">
        <v>4</v>
      </c>
      <c r="K31" s="19">
        <v>5759114</v>
      </c>
      <c r="L31" s="47" t="s">
        <v>96</v>
      </c>
      <c r="M31" s="47" t="s">
        <v>96</v>
      </c>
      <c r="N31" s="19">
        <v>312222618</v>
      </c>
      <c r="O31" s="19">
        <v>5034231266</v>
      </c>
      <c r="P31" s="19">
        <v>5093613591</v>
      </c>
      <c r="Q31" s="19">
        <v>30000000</v>
      </c>
      <c r="R31" s="19">
        <v>246142814</v>
      </c>
      <c r="S31" s="19">
        <v>9103745223</v>
      </c>
      <c r="T31" s="47" t="s">
        <v>96</v>
      </c>
      <c r="U31" s="47" t="s">
        <v>172</v>
      </c>
      <c r="V31" s="47" t="s">
        <v>172</v>
      </c>
      <c r="W31" s="19">
        <v>1133105000</v>
      </c>
      <c r="X31" s="19">
        <v>3350310000</v>
      </c>
      <c r="Y31" s="19">
        <v>110348418</v>
      </c>
      <c r="Z31" s="19">
        <v>6874694867</v>
      </c>
      <c r="AA31" s="19">
        <v>2542270000</v>
      </c>
      <c r="AB31" s="19">
        <v>0</v>
      </c>
      <c r="AC31" s="19">
        <v>706083104</v>
      </c>
      <c r="AD31" s="19">
        <v>3245556184</v>
      </c>
      <c r="AE31" s="19">
        <v>5257005140</v>
      </c>
      <c r="AF31" s="47" t="s">
        <v>172</v>
      </c>
      <c r="AG31" s="19">
        <v>1259432108</v>
      </c>
      <c r="AH31" s="19">
        <v>172382978</v>
      </c>
      <c r="AI31" s="19">
        <v>550157500</v>
      </c>
      <c r="AJ31" s="19">
        <v>361421216</v>
      </c>
      <c r="AK31" s="19">
        <v>0</v>
      </c>
      <c r="AL31" s="19">
        <v>276608708</v>
      </c>
      <c r="AM31" s="47" t="s">
        <v>4</v>
      </c>
      <c r="AN31" s="19">
        <v>1431386239</v>
      </c>
      <c r="AO31" s="19">
        <v>300000000</v>
      </c>
      <c r="AP31" s="19">
        <v>134023188</v>
      </c>
      <c r="AQ31" s="47" t="s">
        <v>96</v>
      </c>
      <c r="AR31" s="19">
        <v>1040658713</v>
      </c>
      <c r="AS31" s="19">
        <v>0</v>
      </c>
      <c r="AT31" s="47" t="s">
        <v>172</v>
      </c>
      <c r="AU31" s="19">
        <v>14248735916</v>
      </c>
      <c r="AV31" s="19">
        <v>3346387</v>
      </c>
      <c r="AW31" s="19">
        <v>300000000</v>
      </c>
      <c r="AX31" s="47" t="s">
        <v>4</v>
      </c>
      <c r="AY31" s="19">
        <v>345408853</v>
      </c>
      <c r="AZ31" s="19">
        <v>150000000</v>
      </c>
      <c r="BA31" s="19">
        <v>303750004</v>
      </c>
      <c r="BB31" s="19">
        <v>0</v>
      </c>
      <c r="BC31" s="47" t="s">
        <v>4</v>
      </c>
      <c r="BD31" s="47" t="s">
        <v>130</v>
      </c>
      <c r="BE31" s="19">
        <v>752935260</v>
      </c>
      <c r="BF31" s="47" t="s">
        <v>96</v>
      </c>
      <c r="BG31" s="19">
        <v>518877085</v>
      </c>
      <c r="BH31" s="19">
        <v>499873014</v>
      </c>
      <c r="BI31" s="19">
        <v>0</v>
      </c>
      <c r="BJ31" s="19">
        <v>458514996</v>
      </c>
      <c r="BK31" s="19">
        <v>1688373207</v>
      </c>
      <c r="BL31" s="19">
        <v>0</v>
      </c>
      <c r="BM31" s="19">
        <v>858880000</v>
      </c>
      <c r="BN31" s="19">
        <v>0</v>
      </c>
      <c r="BO31" s="19">
        <v>366616175</v>
      </c>
      <c r="BP31" s="47" t="s">
        <v>96</v>
      </c>
      <c r="BQ31" s="47" t="s">
        <v>4</v>
      </c>
      <c r="BR31" s="19">
        <v>2822119010</v>
      </c>
      <c r="BS31" s="19">
        <v>0</v>
      </c>
      <c r="BT31" s="47" t="s">
        <v>130</v>
      </c>
      <c r="BU31" s="19">
        <v>855910478</v>
      </c>
      <c r="BV31" s="19">
        <v>0</v>
      </c>
      <c r="BW31" s="19">
        <v>0</v>
      </c>
      <c r="BX31" s="19">
        <v>0</v>
      </c>
      <c r="BY31" s="19">
        <v>1119279823</v>
      </c>
      <c r="BZ31" s="19">
        <v>0</v>
      </c>
      <c r="CA31" s="19">
        <v>1415933748</v>
      </c>
      <c r="CB31" s="19">
        <v>1611764452</v>
      </c>
      <c r="CC31" s="19">
        <v>0</v>
      </c>
      <c r="CD31" s="19">
        <v>0</v>
      </c>
      <c r="CE31" s="19">
        <v>2438611</v>
      </c>
      <c r="CF31" s="19">
        <v>0</v>
      </c>
      <c r="CG31" s="19">
        <v>0</v>
      </c>
      <c r="CH31" s="19">
        <v>0</v>
      </c>
      <c r="CI31" s="47" t="s">
        <v>130</v>
      </c>
      <c r="CJ31" s="19">
        <v>162400000</v>
      </c>
      <c r="CK31" s="19">
        <v>5059563511</v>
      </c>
      <c r="CL31" s="19">
        <v>601817540</v>
      </c>
      <c r="CM31" s="19">
        <v>418233939</v>
      </c>
      <c r="CN31" s="19">
        <v>44100000</v>
      </c>
      <c r="CO31" s="19">
        <v>4001425</v>
      </c>
      <c r="CP31" s="19">
        <v>994371478</v>
      </c>
      <c r="CQ31" s="47" t="s">
        <v>96</v>
      </c>
      <c r="CR31" s="19">
        <v>0</v>
      </c>
      <c r="CS31" s="47" t="s">
        <v>172</v>
      </c>
      <c r="CT31" s="19">
        <v>679270900</v>
      </c>
      <c r="CU31" s="19">
        <v>49033176</v>
      </c>
      <c r="CV31" s="19">
        <v>94826463</v>
      </c>
      <c r="CW31" s="19">
        <v>1674920000</v>
      </c>
      <c r="CX31" s="19">
        <v>285830102</v>
      </c>
      <c r="CY31" s="47" t="s">
        <v>96</v>
      </c>
      <c r="CZ31" s="19">
        <v>3877309509</v>
      </c>
      <c r="DA31" s="47" t="s">
        <v>89</v>
      </c>
      <c r="DB31" s="19">
        <v>0</v>
      </c>
      <c r="DC31" s="19">
        <v>0</v>
      </c>
      <c r="DD31" s="19">
        <v>204164382</v>
      </c>
      <c r="DE31" s="19">
        <v>0</v>
      </c>
      <c r="DF31" s="19">
        <v>1000000</v>
      </c>
      <c r="DG31" s="19">
        <v>100000000</v>
      </c>
      <c r="DH31" s="19">
        <v>329333956</v>
      </c>
      <c r="DI31" s="19">
        <v>5166892295</v>
      </c>
      <c r="DJ31" s="19">
        <v>0</v>
      </c>
      <c r="DK31" s="19">
        <v>4753340233</v>
      </c>
      <c r="DL31" s="19">
        <v>462839689</v>
      </c>
      <c r="DM31" s="19">
        <v>1205360000</v>
      </c>
      <c r="DN31" s="19">
        <v>768736163</v>
      </c>
      <c r="DO31" s="19">
        <v>0</v>
      </c>
      <c r="DP31" s="19">
        <v>1250421200</v>
      </c>
      <c r="DQ31" s="19">
        <v>265000000</v>
      </c>
      <c r="DR31" s="19">
        <v>5442162599</v>
      </c>
      <c r="DS31" s="19">
        <v>33344000</v>
      </c>
      <c r="DT31" s="19">
        <v>811972000</v>
      </c>
      <c r="DU31" s="19">
        <v>0</v>
      </c>
      <c r="DV31" s="19">
        <v>722216430</v>
      </c>
      <c r="DW31" s="19">
        <v>632880000</v>
      </c>
      <c r="DX31" s="19">
        <v>24930000</v>
      </c>
      <c r="DY31" s="19">
        <v>892708354</v>
      </c>
      <c r="DZ31" s="19">
        <v>300177000</v>
      </c>
      <c r="EA31" s="19">
        <v>28976730</v>
      </c>
      <c r="EB31" s="19">
        <v>3508600000</v>
      </c>
      <c r="EC31" s="19">
        <v>340000004</v>
      </c>
      <c r="ED31" s="19">
        <v>0</v>
      </c>
      <c r="EE31" s="19">
        <v>0</v>
      </c>
      <c r="EF31" s="19">
        <v>1558647742</v>
      </c>
      <c r="EG31" s="19">
        <v>812481026</v>
      </c>
      <c r="EH31" s="19">
        <v>4964547241</v>
      </c>
      <c r="EI31" s="19">
        <v>463168176</v>
      </c>
      <c r="EJ31" s="19">
        <v>90240303</v>
      </c>
      <c r="EK31" s="19">
        <v>150110575</v>
      </c>
      <c r="EL31" s="19">
        <v>368186160</v>
      </c>
      <c r="EM31" s="19">
        <v>0</v>
      </c>
      <c r="EN31" s="19">
        <v>912946020</v>
      </c>
      <c r="EO31" s="19">
        <v>118750000</v>
      </c>
      <c r="EP31" s="19">
        <v>0</v>
      </c>
      <c r="EQ31" s="19">
        <v>0</v>
      </c>
      <c r="ER31" s="19">
        <v>634391197</v>
      </c>
      <c r="ES31" s="19">
        <v>1369986580</v>
      </c>
      <c r="ET31" s="19">
        <v>38837621</v>
      </c>
      <c r="EU31" s="19">
        <v>33989955</v>
      </c>
      <c r="EV31" s="19">
        <v>106823755</v>
      </c>
      <c r="EW31" s="19">
        <v>826250000</v>
      </c>
      <c r="EX31" s="19">
        <v>1709151260</v>
      </c>
      <c r="EY31" s="19">
        <v>60000000</v>
      </c>
      <c r="EZ31" s="19">
        <v>259901312</v>
      </c>
      <c r="FA31" s="47" t="s">
        <v>130</v>
      </c>
      <c r="FB31" s="19">
        <v>50000000</v>
      </c>
      <c r="FC31" s="19">
        <v>808340453</v>
      </c>
      <c r="FD31" s="19">
        <v>979745307</v>
      </c>
      <c r="FE31" s="19">
        <v>934569724</v>
      </c>
      <c r="FF31" s="19">
        <v>0</v>
      </c>
      <c r="FG31" s="19">
        <v>800000000</v>
      </c>
      <c r="FH31" s="19">
        <v>0</v>
      </c>
      <c r="FI31" s="47" t="s">
        <v>96</v>
      </c>
      <c r="FJ31" s="19">
        <v>0</v>
      </c>
      <c r="FK31" s="19">
        <v>197653324</v>
      </c>
      <c r="FL31" s="47" t="s">
        <v>130</v>
      </c>
      <c r="FM31" s="19">
        <v>37010398</v>
      </c>
      <c r="FN31" s="19">
        <v>828684999</v>
      </c>
      <c r="FO31" s="47" t="s">
        <v>172</v>
      </c>
      <c r="FP31" s="19">
        <v>575170000</v>
      </c>
      <c r="FQ31" s="19">
        <v>250000000</v>
      </c>
      <c r="FR31" s="19">
        <v>0</v>
      </c>
      <c r="FS31" s="47" t="s">
        <v>130</v>
      </c>
      <c r="FT31" s="19">
        <v>4398314773</v>
      </c>
      <c r="FU31" s="19">
        <v>0</v>
      </c>
      <c r="FV31" s="19">
        <v>1927000000</v>
      </c>
      <c r="FW31" s="19">
        <v>10000000</v>
      </c>
      <c r="FX31" s="19">
        <v>0</v>
      </c>
      <c r="FY31" s="19">
        <v>436104218</v>
      </c>
      <c r="FZ31" s="47" t="s">
        <v>175</v>
      </c>
      <c r="GA31" s="19">
        <v>154357816</v>
      </c>
      <c r="GB31" s="19">
        <v>400000000</v>
      </c>
      <c r="GC31" s="19">
        <v>0</v>
      </c>
      <c r="GD31" s="48" t="s">
        <v>96</v>
      </c>
      <c r="GE31" s="48" t="s">
        <v>96</v>
      </c>
      <c r="GF31" s="19">
        <v>692202826</v>
      </c>
      <c r="GG31" s="19">
        <v>1307174347</v>
      </c>
      <c r="GH31" s="47" t="s">
        <v>172</v>
      </c>
      <c r="GI31" s="19">
        <v>119427500</v>
      </c>
      <c r="GJ31" s="47" t="s">
        <v>96</v>
      </c>
      <c r="GK31" s="19">
        <v>0</v>
      </c>
      <c r="GL31" s="47" t="s">
        <v>96</v>
      </c>
      <c r="GM31" s="19">
        <v>0</v>
      </c>
      <c r="GN31" s="19">
        <v>5690000</v>
      </c>
      <c r="GO31" s="47" t="s">
        <v>96</v>
      </c>
      <c r="GP31" s="19">
        <v>4706826161</v>
      </c>
      <c r="GQ31" s="19">
        <v>0</v>
      </c>
      <c r="GR31" s="19">
        <v>1236244880</v>
      </c>
      <c r="GS31" s="19">
        <v>177692140</v>
      </c>
      <c r="GT31" s="19">
        <v>588225291</v>
      </c>
      <c r="GU31" s="19">
        <v>0</v>
      </c>
      <c r="GV31" s="19">
        <v>1620059439</v>
      </c>
      <c r="GW31" s="19">
        <v>2758844577</v>
      </c>
      <c r="GX31" s="19">
        <v>1753090000</v>
      </c>
      <c r="GY31" s="19">
        <v>797956462</v>
      </c>
      <c r="GZ31" s="19">
        <v>3686749862</v>
      </c>
      <c r="HA31" s="19">
        <v>511785082</v>
      </c>
      <c r="HB31" s="19">
        <v>0</v>
      </c>
      <c r="HC31" s="19">
        <v>466250000</v>
      </c>
      <c r="HD31" s="19">
        <v>0</v>
      </c>
      <c r="HE31" s="19">
        <v>255000000</v>
      </c>
      <c r="HF31" s="19">
        <v>400000000</v>
      </c>
      <c r="HG31" s="19">
        <v>63309233</v>
      </c>
      <c r="HH31" s="47" t="s">
        <v>130</v>
      </c>
      <c r="HI31" s="19">
        <v>127088983</v>
      </c>
      <c r="HJ31" s="19">
        <v>164710770</v>
      </c>
      <c r="HK31" s="19">
        <v>16660000</v>
      </c>
      <c r="HL31" s="19">
        <v>0</v>
      </c>
      <c r="HM31" s="19">
        <v>829648086</v>
      </c>
      <c r="HN31" s="19">
        <v>0</v>
      </c>
      <c r="HO31" s="19">
        <v>300000000</v>
      </c>
      <c r="HP31" s="19">
        <v>283690000</v>
      </c>
      <c r="HQ31" s="19">
        <v>0</v>
      </c>
      <c r="HR31" s="19">
        <v>403298063</v>
      </c>
      <c r="HS31" s="19">
        <v>260000000</v>
      </c>
      <c r="HT31" s="19">
        <v>104576000</v>
      </c>
      <c r="HU31" s="19">
        <v>0</v>
      </c>
      <c r="HV31" s="19">
        <v>73420000</v>
      </c>
      <c r="HW31" s="19" t="s">
        <v>96</v>
      </c>
      <c r="HX31" s="19">
        <v>2895641573</v>
      </c>
      <c r="HY31" s="19" t="s">
        <v>172</v>
      </c>
      <c r="HZ31" s="19">
        <v>3048832697</v>
      </c>
      <c r="IA31" s="19">
        <v>0</v>
      </c>
      <c r="IB31" s="19">
        <v>5841139335</v>
      </c>
      <c r="IC31" s="19">
        <v>1260181249</v>
      </c>
      <c r="ID31" s="19">
        <v>0</v>
      </c>
      <c r="IE31" s="47" t="s">
        <v>96</v>
      </c>
      <c r="IF31" s="19">
        <v>8361010</v>
      </c>
      <c r="IG31" s="19">
        <v>26317782</v>
      </c>
      <c r="IH31" s="19">
        <v>250000000</v>
      </c>
      <c r="II31" s="19">
        <v>146708314</v>
      </c>
      <c r="IJ31" s="19">
        <v>8040000</v>
      </c>
      <c r="IK31" s="19">
        <v>372759501</v>
      </c>
      <c r="IL31" s="19">
        <v>642788770</v>
      </c>
      <c r="IM31" s="19">
        <v>364356202</v>
      </c>
      <c r="IN31" s="19">
        <v>185000000</v>
      </c>
      <c r="IO31" s="19">
        <v>534790000</v>
      </c>
      <c r="IP31" s="19">
        <v>28135000</v>
      </c>
      <c r="IQ31" s="19">
        <v>275456798</v>
      </c>
      <c r="IR31" s="19">
        <v>396875000</v>
      </c>
      <c r="IS31" s="19">
        <v>3694300000</v>
      </c>
      <c r="IT31" s="19">
        <v>750000000</v>
      </c>
      <c r="IU31" s="45">
        <v>137959000</v>
      </c>
      <c r="IV31" s="45">
        <v>0</v>
      </c>
      <c r="IW31" s="45">
        <v>490000000</v>
      </c>
      <c r="IX31" s="45">
        <v>1230793201</v>
      </c>
      <c r="IY31" s="45">
        <v>420000000</v>
      </c>
      <c r="IZ31" s="45">
        <v>227555240</v>
      </c>
      <c r="JA31" s="45">
        <v>56981251</v>
      </c>
      <c r="JB31" s="45">
        <v>0</v>
      </c>
      <c r="JC31" s="45">
        <v>1188563087</v>
      </c>
      <c r="JD31" s="45">
        <v>0</v>
      </c>
      <c r="JE31" s="45">
        <v>8161300</v>
      </c>
      <c r="JF31" s="45">
        <v>556424000</v>
      </c>
      <c r="JG31" s="45">
        <v>61452000</v>
      </c>
      <c r="JH31" s="45">
        <v>41975632</v>
      </c>
      <c r="JI31" s="45">
        <v>0</v>
      </c>
      <c r="JJ31" s="45">
        <v>196016344</v>
      </c>
      <c r="JK31" s="45">
        <v>135675003</v>
      </c>
      <c r="JL31" s="45">
        <v>2100000000</v>
      </c>
      <c r="JM31" s="45">
        <v>535000000</v>
      </c>
      <c r="JN31" s="45">
        <v>2580520000</v>
      </c>
      <c r="JO31" s="46">
        <v>80000000</v>
      </c>
      <c r="JP31" s="46">
        <v>49162974</v>
      </c>
      <c r="JQ31" s="63" t="s">
        <v>175</v>
      </c>
      <c r="JR31" s="46">
        <v>600000000</v>
      </c>
      <c r="JS31" s="46">
        <v>129690835</v>
      </c>
      <c r="JT31" s="46">
        <v>38027774</v>
      </c>
      <c r="JU31" s="46">
        <v>233077529</v>
      </c>
      <c r="JV31" s="46">
        <v>135000000</v>
      </c>
      <c r="JW31" s="46">
        <v>0</v>
      </c>
      <c r="JX31" s="46">
        <v>0</v>
      </c>
      <c r="JY31" s="46">
        <v>0</v>
      </c>
      <c r="JZ31" s="46">
        <v>0</v>
      </c>
      <c r="KA31" s="46">
        <v>0</v>
      </c>
      <c r="KB31" s="46">
        <v>4841582228</v>
      </c>
      <c r="KC31" s="46">
        <v>100000000</v>
      </c>
      <c r="KD31" s="46">
        <v>0</v>
      </c>
      <c r="KE31" s="46">
        <v>0</v>
      </c>
      <c r="KF31" s="46">
        <v>210000000</v>
      </c>
      <c r="KG31" s="46">
        <v>0</v>
      </c>
      <c r="KH31" s="46">
        <v>682229938</v>
      </c>
    </row>
    <row r="32" spans="1:294">
      <c r="A32" s="7" t="s">
        <v>182</v>
      </c>
      <c r="B32" s="11" t="s">
        <v>15</v>
      </c>
      <c r="C32" s="19"/>
      <c r="D32" s="19">
        <v>160000000</v>
      </c>
      <c r="E32" s="19">
        <v>300000000</v>
      </c>
      <c r="F32" s="19">
        <v>585870000</v>
      </c>
      <c r="G32" s="47" t="s">
        <v>130</v>
      </c>
      <c r="H32" s="19">
        <v>3453050935</v>
      </c>
      <c r="I32" s="19">
        <v>1119796824</v>
      </c>
      <c r="J32" s="47" t="s">
        <v>4</v>
      </c>
      <c r="K32" s="19">
        <v>5759114</v>
      </c>
      <c r="L32" s="47" t="s">
        <v>96</v>
      </c>
      <c r="M32" s="47" t="s">
        <v>96</v>
      </c>
      <c r="N32" s="19">
        <v>312222618</v>
      </c>
      <c r="O32" s="19">
        <v>4597180759</v>
      </c>
      <c r="P32" s="19">
        <v>3666507160</v>
      </c>
      <c r="Q32" s="19">
        <v>30000000</v>
      </c>
      <c r="R32" s="19">
        <v>246142814</v>
      </c>
      <c r="S32" s="19">
        <v>6242100000</v>
      </c>
      <c r="T32" s="47" t="s">
        <v>96</v>
      </c>
      <c r="U32" s="47" t="s">
        <v>172</v>
      </c>
      <c r="V32" s="47" t="s">
        <v>172</v>
      </c>
      <c r="W32" s="19">
        <v>725105000</v>
      </c>
      <c r="X32" s="19">
        <v>3140310000</v>
      </c>
      <c r="Y32" s="19">
        <v>93866445</v>
      </c>
      <c r="Z32" s="19">
        <v>5584694867</v>
      </c>
      <c r="AA32" s="19">
        <v>2542270000</v>
      </c>
      <c r="AB32" s="19"/>
      <c r="AC32" s="19">
        <v>706083104</v>
      </c>
      <c r="AD32" s="19">
        <v>3245556184</v>
      </c>
      <c r="AE32" s="19">
        <v>4439005140</v>
      </c>
      <c r="AF32" s="47" t="s">
        <v>172</v>
      </c>
      <c r="AG32" s="19">
        <v>1109432108</v>
      </c>
      <c r="AH32" s="19">
        <v>38410477</v>
      </c>
      <c r="AI32" s="19">
        <v>230000000</v>
      </c>
      <c r="AJ32" s="19">
        <v>361421216</v>
      </c>
      <c r="AK32" s="19"/>
      <c r="AL32" s="19">
        <v>276608708</v>
      </c>
      <c r="AM32" s="47" t="s">
        <v>4</v>
      </c>
      <c r="AN32" s="19">
        <v>1431386239</v>
      </c>
      <c r="AO32" s="19">
        <v>300000000</v>
      </c>
      <c r="AP32" s="19"/>
      <c r="AQ32" s="47" t="s">
        <v>96</v>
      </c>
      <c r="AR32" s="19">
        <v>974375000</v>
      </c>
      <c r="AS32" s="19"/>
      <c r="AT32" s="47" t="s">
        <v>172</v>
      </c>
      <c r="AU32" s="19">
        <v>13255835916</v>
      </c>
      <c r="AV32" s="19">
        <v>3346387</v>
      </c>
      <c r="AW32" s="19">
        <v>300000000</v>
      </c>
      <c r="AX32" s="47" t="s">
        <v>4</v>
      </c>
      <c r="AY32" s="19">
        <v>336061820</v>
      </c>
      <c r="AZ32" s="19">
        <v>150000000</v>
      </c>
      <c r="BA32" s="19">
        <v>193750004</v>
      </c>
      <c r="BB32" s="19"/>
      <c r="BC32" s="47" t="s">
        <v>4</v>
      </c>
      <c r="BD32" s="47" t="s">
        <v>130</v>
      </c>
      <c r="BE32" s="19">
        <v>752935260</v>
      </c>
      <c r="BF32" s="47" t="s">
        <v>96</v>
      </c>
      <c r="BG32" s="19">
        <v>502199765</v>
      </c>
      <c r="BH32" s="19">
        <v>499873014</v>
      </c>
      <c r="BI32" s="19"/>
      <c r="BJ32" s="19">
        <v>184747015</v>
      </c>
      <c r="BK32" s="19">
        <v>242560000</v>
      </c>
      <c r="BL32" s="19"/>
      <c r="BM32" s="19">
        <v>858880000</v>
      </c>
      <c r="BN32" s="19"/>
      <c r="BO32" s="19">
        <v>366616175</v>
      </c>
      <c r="BP32" s="47" t="s">
        <v>96</v>
      </c>
      <c r="BQ32" s="47" t="s">
        <v>4</v>
      </c>
      <c r="BR32" s="19">
        <v>2822119010</v>
      </c>
      <c r="BS32" s="19"/>
      <c r="BT32" s="47" t="s">
        <v>130</v>
      </c>
      <c r="BU32" s="19">
        <v>55910478</v>
      </c>
      <c r="BV32" s="19"/>
      <c r="BW32" s="19"/>
      <c r="BX32" s="19"/>
      <c r="BY32" s="19">
        <v>983171860</v>
      </c>
      <c r="BZ32" s="19"/>
      <c r="CA32" s="19">
        <v>1415933748</v>
      </c>
      <c r="CB32" s="19">
        <v>1606764452</v>
      </c>
      <c r="CC32" s="19"/>
      <c r="CD32" s="19"/>
      <c r="CE32" s="19">
        <v>2438611</v>
      </c>
      <c r="CF32" s="19"/>
      <c r="CG32" s="19"/>
      <c r="CH32" s="19"/>
      <c r="CI32" s="47" t="s">
        <v>130</v>
      </c>
      <c r="CJ32" s="19">
        <v>162400000</v>
      </c>
      <c r="CK32" s="19">
        <v>4876063511</v>
      </c>
      <c r="CL32" s="19">
        <v>586740000</v>
      </c>
      <c r="CM32" s="19">
        <v>418233939</v>
      </c>
      <c r="CN32" s="19">
        <v>44100000</v>
      </c>
      <c r="CO32" s="19"/>
      <c r="CP32" s="19">
        <v>994371478</v>
      </c>
      <c r="CQ32" s="47" t="s">
        <v>96</v>
      </c>
      <c r="CR32" s="19"/>
      <c r="CS32" s="47" t="s">
        <v>172</v>
      </c>
      <c r="CT32" s="19"/>
      <c r="CU32" s="19"/>
      <c r="CV32" s="19">
        <v>80000000</v>
      </c>
      <c r="CW32" s="19">
        <v>1674920000</v>
      </c>
      <c r="CX32" s="19"/>
      <c r="CY32" s="47" t="s">
        <v>96</v>
      </c>
      <c r="CZ32" s="19">
        <v>3812309509</v>
      </c>
      <c r="DA32" s="47" t="s">
        <v>89</v>
      </c>
      <c r="DB32" s="19"/>
      <c r="DC32" s="19"/>
      <c r="DD32" s="19">
        <v>204164382</v>
      </c>
      <c r="DE32" s="19"/>
      <c r="DF32" s="19">
        <v>1000000</v>
      </c>
      <c r="DG32" s="19"/>
      <c r="DH32" s="19">
        <v>329333956</v>
      </c>
      <c r="DI32" s="19">
        <v>5051390000</v>
      </c>
      <c r="DJ32" s="19"/>
      <c r="DK32" s="19">
        <v>4594210000</v>
      </c>
      <c r="DL32" s="19">
        <v>462839689</v>
      </c>
      <c r="DM32" s="19">
        <v>1205360000</v>
      </c>
      <c r="DN32" s="19">
        <v>768736163</v>
      </c>
      <c r="DO32" s="19"/>
      <c r="DP32" s="19">
        <v>1250421200</v>
      </c>
      <c r="DQ32" s="19">
        <v>265000000</v>
      </c>
      <c r="DR32" s="19">
        <v>4552162599</v>
      </c>
      <c r="DS32" s="19">
        <v>33344000</v>
      </c>
      <c r="DT32" s="19">
        <v>811972000</v>
      </c>
      <c r="DU32" s="19"/>
      <c r="DV32" s="19">
        <v>722216430</v>
      </c>
      <c r="DW32" s="19">
        <v>632880000</v>
      </c>
      <c r="DX32" s="19">
        <v>24930000</v>
      </c>
      <c r="DY32" s="19">
        <v>892708354</v>
      </c>
      <c r="DZ32" s="19">
        <v>300177000</v>
      </c>
      <c r="EA32" s="19">
        <v>28976730</v>
      </c>
      <c r="EB32" s="19">
        <v>3508600000</v>
      </c>
      <c r="EC32" s="19">
        <v>340000004</v>
      </c>
      <c r="ED32" s="19"/>
      <c r="EE32" s="19"/>
      <c r="EF32" s="19">
        <v>1558647742</v>
      </c>
      <c r="EG32" s="19">
        <v>226640000</v>
      </c>
      <c r="EH32" s="19">
        <v>4792547241</v>
      </c>
      <c r="EI32" s="19"/>
      <c r="EJ32" s="19"/>
      <c r="EK32" s="19"/>
      <c r="EL32" s="19"/>
      <c r="EM32" s="19"/>
      <c r="EN32" s="19"/>
      <c r="EO32" s="19">
        <v>118750000</v>
      </c>
      <c r="EP32" s="19"/>
      <c r="EQ32" s="19"/>
      <c r="ER32" s="19">
        <v>634391197</v>
      </c>
      <c r="ES32" s="19">
        <v>1369986580</v>
      </c>
      <c r="ET32" s="19">
        <v>18837621</v>
      </c>
      <c r="EU32" s="19"/>
      <c r="EV32" s="19">
        <v>106823755</v>
      </c>
      <c r="EW32" s="19">
        <v>826250000</v>
      </c>
      <c r="EX32" s="19">
        <v>1695151260</v>
      </c>
      <c r="EY32" s="19"/>
      <c r="EZ32" s="19">
        <v>127112882</v>
      </c>
      <c r="FA32" s="47" t="s">
        <v>130</v>
      </c>
      <c r="FB32" s="19">
        <v>50000000</v>
      </c>
      <c r="FC32" s="19">
        <v>628340453</v>
      </c>
      <c r="FD32" s="19">
        <v>979745307</v>
      </c>
      <c r="FE32" s="19">
        <v>934569724</v>
      </c>
      <c r="FF32" s="19"/>
      <c r="FG32" s="19">
        <v>800000000</v>
      </c>
      <c r="FH32" s="19"/>
      <c r="FI32" s="47" t="s">
        <v>96</v>
      </c>
      <c r="FJ32" s="19"/>
      <c r="FK32" s="19">
        <v>197653324</v>
      </c>
      <c r="FL32" s="47" t="s">
        <v>130</v>
      </c>
      <c r="FM32" s="19"/>
      <c r="FN32" s="19">
        <v>780000000</v>
      </c>
      <c r="FO32" s="47" t="s">
        <v>172</v>
      </c>
      <c r="FP32" s="19">
        <v>575170000</v>
      </c>
      <c r="FQ32" s="19">
        <v>250000000</v>
      </c>
      <c r="FR32" s="19"/>
      <c r="FS32" s="47" t="s">
        <v>130</v>
      </c>
      <c r="FT32" s="19">
        <v>4345000000</v>
      </c>
      <c r="FU32" s="19"/>
      <c r="FV32" s="19">
        <v>1927000000</v>
      </c>
      <c r="FW32" s="19">
        <v>10000000</v>
      </c>
      <c r="FX32" s="19"/>
      <c r="FY32" s="19">
        <v>250000000</v>
      </c>
      <c r="FZ32" s="47" t="s">
        <v>175</v>
      </c>
      <c r="GA32" s="19"/>
      <c r="GB32" s="19">
        <v>400000000</v>
      </c>
      <c r="GC32" s="19"/>
      <c r="GD32" s="48" t="s">
        <v>96</v>
      </c>
      <c r="GE32" s="48" t="s">
        <v>96</v>
      </c>
      <c r="GF32" s="19">
        <v>653543545</v>
      </c>
      <c r="GG32" s="19">
        <v>1307174347</v>
      </c>
      <c r="GH32" s="47" t="s">
        <v>172</v>
      </c>
      <c r="GI32" s="19">
        <v>119427500</v>
      </c>
      <c r="GJ32" s="47" t="s">
        <v>96</v>
      </c>
      <c r="GK32" s="19"/>
      <c r="GL32" s="47" t="s">
        <v>96</v>
      </c>
      <c r="GM32" s="19"/>
      <c r="GN32" s="19"/>
      <c r="GO32" s="47" t="s">
        <v>96</v>
      </c>
      <c r="GP32" s="19">
        <v>4661877419</v>
      </c>
      <c r="GQ32" s="19"/>
      <c r="GR32" s="19">
        <v>1236244880</v>
      </c>
      <c r="GS32" s="19">
        <v>130330000</v>
      </c>
      <c r="GT32" s="19">
        <v>588225291</v>
      </c>
      <c r="GU32" s="19"/>
      <c r="GV32" s="19">
        <v>1620059439</v>
      </c>
      <c r="GW32" s="19">
        <v>2300000000</v>
      </c>
      <c r="GX32" s="19">
        <v>1753090000</v>
      </c>
      <c r="GY32" s="19">
        <v>682872000</v>
      </c>
      <c r="GZ32" s="19">
        <v>3596749862</v>
      </c>
      <c r="HA32" s="19">
        <v>511785082</v>
      </c>
      <c r="HB32" s="19"/>
      <c r="HC32" s="19">
        <v>466250000</v>
      </c>
      <c r="HD32" s="19"/>
      <c r="HE32" s="19">
        <v>255000000</v>
      </c>
      <c r="HF32" s="19">
        <v>350000000</v>
      </c>
      <c r="HG32" s="19"/>
      <c r="HH32" s="47" t="s">
        <v>130</v>
      </c>
      <c r="HI32" s="19"/>
      <c r="HJ32" s="19">
        <v>115495606</v>
      </c>
      <c r="HK32" s="19">
        <v>16660000</v>
      </c>
      <c r="HL32" s="19"/>
      <c r="HM32" s="19">
        <v>829648086</v>
      </c>
      <c r="HN32" s="19"/>
      <c r="HO32" s="19">
        <v>300000000</v>
      </c>
      <c r="HP32" s="19">
        <v>283690000</v>
      </c>
      <c r="HQ32" s="19"/>
      <c r="HR32" s="19">
        <v>403298063</v>
      </c>
      <c r="HS32" s="19">
        <v>260000000</v>
      </c>
      <c r="HT32" s="19">
        <v>104576000</v>
      </c>
      <c r="HU32" s="19"/>
      <c r="HV32" s="19">
        <v>73420000</v>
      </c>
      <c r="HW32" s="19" t="s">
        <v>96</v>
      </c>
      <c r="HX32" s="19">
        <v>2836250000</v>
      </c>
      <c r="HY32" s="19" t="s">
        <v>172</v>
      </c>
      <c r="HZ32" s="19">
        <v>2998832697</v>
      </c>
      <c r="IA32" s="19"/>
      <c r="IB32" s="19">
        <v>3429150787</v>
      </c>
      <c r="IC32" s="19">
        <v>1260181249</v>
      </c>
      <c r="ID32" s="19"/>
      <c r="IE32" s="47" t="s">
        <v>96</v>
      </c>
      <c r="IF32" s="19"/>
      <c r="IG32" s="19">
        <v>26317782</v>
      </c>
      <c r="IH32" s="19">
        <v>250000000</v>
      </c>
      <c r="II32" s="19">
        <v>146708314</v>
      </c>
      <c r="IJ32" s="19">
        <v>8040000</v>
      </c>
      <c r="IK32" s="19">
        <v>372759501</v>
      </c>
      <c r="IL32" s="19">
        <v>642788770</v>
      </c>
      <c r="IM32" s="19">
        <v>300000000</v>
      </c>
      <c r="IN32" s="19">
        <v>185000000</v>
      </c>
      <c r="IO32" s="19">
        <v>534790000</v>
      </c>
      <c r="IP32" s="19"/>
      <c r="IQ32" s="19">
        <v>117956798</v>
      </c>
      <c r="IR32" s="19">
        <v>396875000</v>
      </c>
      <c r="IS32" s="19">
        <v>3694300000</v>
      </c>
      <c r="IT32" s="19">
        <v>750000000</v>
      </c>
      <c r="IU32" s="45"/>
      <c r="IV32" s="45"/>
      <c r="IW32" s="45">
        <v>340000000</v>
      </c>
      <c r="IX32" s="45">
        <v>1190793201</v>
      </c>
      <c r="IY32" s="45">
        <v>420000000</v>
      </c>
      <c r="IZ32" s="45">
        <v>227555240</v>
      </c>
      <c r="JA32" s="45"/>
      <c r="JB32" s="45"/>
      <c r="JC32" s="45">
        <v>1188563087</v>
      </c>
      <c r="JD32" s="45"/>
      <c r="JE32" s="45">
        <v>8161300</v>
      </c>
      <c r="JF32" s="45">
        <v>556424000</v>
      </c>
      <c r="JG32" s="45">
        <v>61452000</v>
      </c>
      <c r="JH32" s="45">
        <v>41975632</v>
      </c>
      <c r="JI32" s="45"/>
      <c r="JJ32" s="45">
        <v>196016344</v>
      </c>
      <c r="JK32" s="45">
        <v>135675003</v>
      </c>
      <c r="JL32" s="45">
        <v>2000000000</v>
      </c>
      <c r="JM32" s="45">
        <v>535000000</v>
      </c>
      <c r="JN32" s="45">
        <v>2580520000</v>
      </c>
      <c r="JO32" s="46">
        <v>80000000</v>
      </c>
      <c r="JP32" s="46"/>
      <c r="JQ32" s="63" t="s">
        <v>175</v>
      </c>
      <c r="JR32" s="46">
        <v>600000000</v>
      </c>
      <c r="JS32" s="46">
        <v>129690835</v>
      </c>
      <c r="JT32" s="46">
        <v>38027774</v>
      </c>
      <c r="JU32" s="46">
        <v>233077529</v>
      </c>
      <c r="JV32" s="46">
        <v>135000000</v>
      </c>
      <c r="JW32" s="46"/>
      <c r="JX32" s="46"/>
      <c r="JY32" s="46"/>
      <c r="JZ32" s="46"/>
      <c r="KA32" s="46"/>
      <c r="KB32" s="46">
        <v>4681582228</v>
      </c>
      <c r="KC32" s="46">
        <v>100000000</v>
      </c>
      <c r="KD32" s="46"/>
      <c r="KE32" s="46"/>
      <c r="KF32" s="46">
        <v>210000000</v>
      </c>
      <c r="KG32" s="46"/>
      <c r="KH32" s="46">
        <v>682229938</v>
      </c>
    </row>
    <row r="33" spans="1:294">
      <c r="A33" s="7" t="s">
        <v>182</v>
      </c>
      <c r="B33" s="11" t="s">
        <v>45</v>
      </c>
      <c r="C33" s="19"/>
      <c r="D33" s="19"/>
      <c r="E33" s="19">
        <v>25000000</v>
      </c>
      <c r="F33" s="19">
        <v>101500000</v>
      </c>
      <c r="G33" s="47" t="s">
        <v>130</v>
      </c>
      <c r="H33" s="19">
        <v>557600180</v>
      </c>
      <c r="I33" s="19">
        <v>1957476500</v>
      </c>
      <c r="J33" s="47" t="s">
        <v>4</v>
      </c>
      <c r="K33" s="19"/>
      <c r="L33" s="47" t="s">
        <v>96</v>
      </c>
      <c r="M33" s="47" t="s">
        <v>96</v>
      </c>
      <c r="N33" s="19"/>
      <c r="O33" s="19">
        <v>437050507</v>
      </c>
      <c r="P33" s="19">
        <v>1427106431</v>
      </c>
      <c r="Q33" s="19"/>
      <c r="R33" s="19"/>
      <c r="S33" s="19">
        <v>2861645223</v>
      </c>
      <c r="T33" s="47" t="s">
        <v>96</v>
      </c>
      <c r="U33" s="47" t="s">
        <v>172</v>
      </c>
      <c r="V33" s="47" t="s">
        <v>172</v>
      </c>
      <c r="W33" s="19">
        <v>408000000</v>
      </c>
      <c r="X33" s="19">
        <v>210000000</v>
      </c>
      <c r="Y33" s="19">
        <v>16481973</v>
      </c>
      <c r="Z33" s="19">
        <v>1290000000</v>
      </c>
      <c r="AA33" s="19"/>
      <c r="AB33" s="19"/>
      <c r="AC33" s="19"/>
      <c r="AD33" s="19"/>
      <c r="AE33" s="19">
        <v>818000000</v>
      </c>
      <c r="AF33" s="47" t="s">
        <v>172</v>
      </c>
      <c r="AG33" s="19">
        <v>150000000</v>
      </c>
      <c r="AH33" s="19">
        <v>133972501</v>
      </c>
      <c r="AI33" s="19">
        <v>320157500</v>
      </c>
      <c r="AJ33" s="19"/>
      <c r="AK33" s="19"/>
      <c r="AL33" s="19"/>
      <c r="AM33" s="47" t="s">
        <v>4</v>
      </c>
      <c r="AN33" s="19"/>
      <c r="AO33" s="19"/>
      <c r="AP33" s="19">
        <v>134023188</v>
      </c>
      <c r="AQ33" s="47" t="s">
        <v>96</v>
      </c>
      <c r="AR33" s="19">
        <v>66283713</v>
      </c>
      <c r="AS33" s="19"/>
      <c r="AT33" s="47" t="s">
        <v>172</v>
      </c>
      <c r="AU33" s="19">
        <v>992900000</v>
      </c>
      <c r="AV33" s="19"/>
      <c r="AW33" s="19"/>
      <c r="AX33" s="47" t="s">
        <v>4</v>
      </c>
      <c r="AY33" s="19">
        <v>9347033</v>
      </c>
      <c r="AZ33" s="19"/>
      <c r="BA33" s="19">
        <v>110000000</v>
      </c>
      <c r="BB33" s="19"/>
      <c r="BC33" s="47" t="s">
        <v>4</v>
      </c>
      <c r="BD33" s="47" t="s">
        <v>130</v>
      </c>
      <c r="BE33" s="19"/>
      <c r="BF33" s="47" t="s">
        <v>96</v>
      </c>
      <c r="BG33" s="19">
        <v>16677320</v>
      </c>
      <c r="BH33" s="19">
        <v>0</v>
      </c>
      <c r="BI33" s="19"/>
      <c r="BJ33" s="19">
        <v>273767981</v>
      </c>
      <c r="BK33" s="19">
        <v>1445813207</v>
      </c>
      <c r="BL33" s="19"/>
      <c r="BM33" s="19"/>
      <c r="BN33" s="19"/>
      <c r="BO33" s="19"/>
      <c r="BP33" s="47" t="s">
        <v>96</v>
      </c>
      <c r="BQ33" s="47" t="s">
        <v>4</v>
      </c>
      <c r="BR33" s="19"/>
      <c r="BS33" s="19"/>
      <c r="BT33" s="47" t="s">
        <v>130</v>
      </c>
      <c r="BU33" s="19">
        <v>800000000</v>
      </c>
      <c r="BV33" s="19"/>
      <c r="BW33" s="19"/>
      <c r="BX33" s="19"/>
      <c r="BY33" s="19">
        <v>136107963</v>
      </c>
      <c r="BZ33" s="19"/>
      <c r="CA33" s="19"/>
      <c r="CB33" s="19">
        <v>5000000</v>
      </c>
      <c r="CC33" s="19"/>
      <c r="CD33" s="19"/>
      <c r="CE33" s="19"/>
      <c r="CF33" s="19"/>
      <c r="CG33" s="19"/>
      <c r="CH33" s="19"/>
      <c r="CI33" s="47" t="s">
        <v>130</v>
      </c>
      <c r="CJ33" s="19"/>
      <c r="CK33" s="19">
        <v>183500000</v>
      </c>
      <c r="CL33" s="19">
        <v>15077540</v>
      </c>
      <c r="CM33" s="19"/>
      <c r="CN33" s="19"/>
      <c r="CO33" s="19">
        <v>4001425</v>
      </c>
      <c r="CP33" s="19"/>
      <c r="CQ33" s="47" t="s">
        <v>96</v>
      </c>
      <c r="CR33" s="19"/>
      <c r="CS33" s="47" t="s">
        <v>172</v>
      </c>
      <c r="CT33" s="19">
        <v>679270900</v>
      </c>
      <c r="CU33" s="19">
        <v>49033176</v>
      </c>
      <c r="CV33" s="19">
        <v>14826463</v>
      </c>
      <c r="CW33" s="19"/>
      <c r="CX33" s="19">
        <v>285830102</v>
      </c>
      <c r="CY33" s="47" t="s">
        <v>96</v>
      </c>
      <c r="CZ33" s="19">
        <v>65000000</v>
      </c>
      <c r="DA33" s="47" t="s">
        <v>89</v>
      </c>
      <c r="DB33" s="19"/>
      <c r="DC33" s="19"/>
      <c r="DD33" s="19"/>
      <c r="DE33" s="19"/>
      <c r="DF33" s="19"/>
      <c r="DG33" s="19">
        <v>100000000</v>
      </c>
      <c r="DH33" s="19"/>
      <c r="DI33" s="19">
        <v>115502295</v>
      </c>
      <c r="DJ33" s="19"/>
      <c r="DK33" s="19">
        <v>159130233</v>
      </c>
      <c r="DL33" s="19"/>
      <c r="DM33" s="19"/>
      <c r="DN33" s="19"/>
      <c r="DO33" s="19"/>
      <c r="DP33" s="19"/>
      <c r="DQ33" s="19"/>
      <c r="DR33" s="19">
        <v>890000000</v>
      </c>
      <c r="DS33" s="19"/>
      <c r="DT33" s="19"/>
      <c r="DU33" s="19"/>
      <c r="DV33" s="19"/>
      <c r="DW33" s="19"/>
      <c r="DX33" s="19"/>
      <c r="DY33" s="19"/>
      <c r="DZ33" s="19"/>
      <c r="EA33" s="19"/>
      <c r="EB33" s="19"/>
      <c r="EC33" s="19"/>
      <c r="ED33" s="19"/>
      <c r="EE33" s="19"/>
      <c r="EF33" s="19"/>
      <c r="EG33" s="19">
        <v>585841026</v>
      </c>
      <c r="EH33" s="19">
        <v>172000000</v>
      </c>
      <c r="EI33" s="19">
        <v>463168176</v>
      </c>
      <c r="EJ33" s="19">
        <v>90240303</v>
      </c>
      <c r="EK33" s="19">
        <v>150110575</v>
      </c>
      <c r="EL33" s="19">
        <v>368186160</v>
      </c>
      <c r="EM33" s="19"/>
      <c r="EN33" s="19">
        <v>912946020</v>
      </c>
      <c r="EO33" s="19"/>
      <c r="EP33" s="19"/>
      <c r="EQ33" s="19"/>
      <c r="ER33" s="19"/>
      <c r="ES33" s="19"/>
      <c r="ET33" s="19">
        <v>20000000</v>
      </c>
      <c r="EU33" s="19">
        <v>33989955</v>
      </c>
      <c r="EV33" s="19"/>
      <c r="EW33" s="19"/>
      <c r="EX33" s="19">
        <v>14000000</v>
      </c>
      <c r="EY33" s="19">
        <v>60000000</v>
      </c>
      <c r="EZ33" s="19">
        <v>132788430</v>
      </c>
      <c r="FA33" s="47" t="s">
        <v>130</v>
      </c>
      <c r="FB33" s="19"/>
      <c r="FC33" s="19">
        <v>180000000</v>
      </c>
      <c r="FD33" s="19"/>
      <c r="FE33" s="19">
        <v>0</v>
      </c>
      <c r="FF33" s="19"/>
      <c r="FG33" s="19"/>
      <c r="FH33" s="19"/>
      <c r="FI33" s="47" t="s">
        <v>96</v>
      </c>
      <c r="FJ33" s="19"/>
      <c r="FK33" s="19"/>
      <c r="FL33" s="47" t="s">
        <v>130</v>
      </c>
      <c r="FM33" s="19">
        <v>37010398</v>
      </c>
      <c r="FN33" s="19">
        <v>48684999</v>
      </c>
      <c r="FO33" s="47" t="s">
        <v>172</v>
      </c>
      <c r="FP33" s="19"/>
      <c r="FQ33" s="19"/>
      <c r="FR33" s="19"/>
      <c r="FS33" s="47" t="s">
        <v>130</v>
      </c>
      <c r="FT33" s="19">
        <v>53314773</v>
      </c>
      <c r="FU33" s="19"/>
      <c r="FV33" s="19"/>
      <c r="FW33" s="19"/>
      <c r="FX33" s="19"/>
      <c r="FY33" s="19">
        <v>186104218</v>
      </c>
      <c r="FZ33" s="47" t="s">
        <v>175</v>
      </c>
      <c r="GA33" s="19">
        <v>154357816</v>
      </c>
      <c r="GB33" s="19"/>
      <c r="GC33" s="19"/>
      <c r="GD33" s="48" t="s">
        <v>96</v>
      </c>
      <c r="GE33" s="48" t="s">
        <v>96</v>
      </c>
      <c r="GF33" s="19">
        <v>38659281</v>
      </c>
      <c r="GG33" s="19"/>
      <c r="GH33" s="47" t="s">
        <v>172</v>
      </c>
      <c r="GI33" s="19"/>
      <c r="GJ33" s="47" t="s">
        <v>96</v>
      </c>
      <c r="GK33" s="19"/>
      <c r="GL33" s="47" t="s">
        <v>96</v>
      </c>
      <c r="GM33" s="19"/>
      <c r="GN33" s="19">
        <v>5690000</v>
      </c>
      <c r="GO33" s="47" t="s">
        <v>96</v>
      </c>
      <c r="GP33" s="19">
        <v>44948742</v>
      </c>
      <c r="GQ33" s="19"/>
      <c r="GR33" s="19"/>
      <c r="GS33" s="19">
        <v>47362140</v>
      </c>
      <c r="GT33" s="19"/>
      <c r="GU33" s="19"/>
      <c r="GV33" s="19">
        <v>0</v>
      </c>
      <c r="GW33" s="19">
        <v>458844577</v>
      </c>
      <c r="GX33" s="19"/>
      <c r="GY33" s="19">
        <v>115084462</v>
      </c>
      <c r="GZ33" s="19">
        <v>90000000</v>
      </c>
      <c r="HA33" s="19"/>
      <c r="HB33" s="19"/>
      <c r="HC33" s="19"/>
      <c r="HD33" s="19"/>
      <c r="HE33" s="19"/>
      <c r="HF33" s="19">
        <v>50000000</v>
      </c>
      <c r="HG33" s="19">
        <v>63309233</v>
      </c>
      <c r="HH33" s="47" t="s">
        <v>130</v>
      </c>
      <c r="HI33" s="19">
        <v>127088983</v>
      </c>
      <c r="HJ33" s="19">
        <v>49215164</v>
      </c>
      <c r="HK33" s="19"/>
      <c r="HL33" s="19"/>
      <c r="HM33" s="19"/>
      <c r="HN33" s="19"/>
      <c r="HO33" s="19"/>
      <c r="HP33" s="19"/>
      <c r="HQ33" s="19"/>
      <c r="HR33" s="19"/>
      <c r="HS33" s="19"/>
      <c r="HT33" s="19"/>
      <c r="HU33" s="19"/>
      <c r="HV33" s="19"/>
      <c r="HW33" s="19" t="s">
        <v>96</v>
      </c>
      <c r="HX33" s="19">
        <v>59391573</v>
      </c>
      <c r="HY33" s="19" t="s">
        <v>172</v>
      </c>
      <c r="HZ33" s="19">
        <v>50000000</v>
      </c>
      <c r="IA33" s="19"/>
      <c r="IB33" s="19">
        <v>2411988548</v>
      </c>
      <c r="IC33" s="19"/>
      <c r="ID33" s="19"/>
      <c r="IE33" s="47" t="s">
        <v>96</v>
      </c>
      <c r="IF33" s="19">
        <v>8361010</v>
      </c>
      <c r="IG33" s="19"/>
      <c r="IH33" s="19">
        <v>0</v>
      </c>
      <c r="II33" s="19"/>
      <c r="IJ33" s="19"/>
      <c r="IK33" s="19"/>
      <c r="IL33" s="19"/>
      <c r="IM33" s="19">
        <v>64356202</v>
      </c>
      <c r="IN33" s="19"/>
      <c r="IO33" s="19"/>
      <c r="IP33" s="19">
        <v>28135000</v>
      </c>
      <c r="IQ33" s="19">
        <v>157500000</v>
      </c>
      <c r="IR33" s="19"/>
      <c r="IS33" s="19"/>
      <c r="IT33" s="19"/>
      <c r="IU33" s="45">
        <v>137959000</v>
      </c>
      <c r="IV33" s="45"/>
      <c r="IW33" s="45">
        <v>150000000</v>
      </c>
      <c r="IX33" s="45">
        <v>40000000</v>
      </c>
      <c r="IY33" s="45"/>
      <c r="IZ33" s="45"/>
      <c r="JA33" s="45">
        <v>56981251</v>
      </c>
      <c r="JB33" s="45"/>
      <c r="JC33" s="45"/>
      <c r="JD33" s="45"/>
      <c r="JE33" s="45"/>
      <c r="JF33" s="45"/>
      <c r="JG33" s="45"/>
      <c r="JH33" s="45"/>
      <c r="JI33" s="45"/>
      <c r="JJ33" s="45"/>
      <c r="JK33" s="45"/>
      <c r="JL33" s="45">
        <v>100000000</v>
      </c>
      <c r="JM33" s="45"/>
      <c r="JN33" s="45"/>
      <c r="JO33" s="46"/>
      <c r="JP33" s="46">
        <v>49162974</v>
      </c>
      <c r="JQ33" s="63" t="s">
        <v>175</v>
      </c>
      <c r="JR33" s="46"/>
      <c r="JS33" s="46"/>
      <c r="JT33" s="46"/>
      <c r="JU33" s="46"/>
      <c r="JV33" s="46"/>
      <c r="JW33" s="46"/>
      <c r="JX33" s="46"/>
      <c r="JY33" s="46"/>
      <c r="JZ33" s="46"/>
      <c r="KA33" s="46"/>
      <c r="KB33" s="46">
        <v>160000000</v>
      </c>
      <c r="KC33" s="46"/>
      <c r="KD33" s="46"/>
      <c r="KE33" s="46"/>
      <c r="KF33" s="46"/>
      <c r="KG33" s="46"/>
      <c r="KH33" s="46"/>
    </row>
    <row r="34" spans="1:294">
      <c r="A34" s="7" t="s">
        <v>182</v>
      </c>
      <c r="B34" s="8" t="s">
        <v>110</v>
      </c>
      <c r="C34" s="19">
        <v>362723240</v>
      </c>
      <c r="D34" s="19">
        <v>1678927816</v>
      </c>
      <c r="E34" s="19">
        <v>542361889</v>
      </c>
      <c r="F34" s="19">
        <v>1280172457</v>
      </c>
      <c r="G34" s="47" t="s">
        <v>130</v>
      </c>
      <c r="H34" s="19">
        <v>722940335</v>
      </c>
      <c r="I34" s="19">
        <v>1653432851</v>
      </c>
      <c r="J34" s="47" t="s">
        <v>4</v>
      </c>
      <c r="K34" s="19">
        <v>763123585</v>
      </c>
      <c r="L34" s="47" t="s">
        <v>96</v>
      </c>
      <c r="M34" s="47" t="s">
        <v>96</v>
      </c>
      <c r="N34" s="19">
        <v>-150830034</v>
      </c>
      <c r="O34" s="19">
        <v>1802725648</v>
      </c>
      <c r="P34" s="19">
        <v>1423651172</v>
      </c>
      <c r="Q34" s="19">
        <v>119536267</v>
      </c>
      <c r="R34" s="19">
        <v>99015140</v>
      </c>
      <c r="S34" s="19">
        <v>2094767525</v>
      </c>
      <c r="T34" s="47" t="s">
        <v>96</v>
      </c>
      <c r="U34" s="47" t="s">
        <v>172</v>
      </c>
      <c r="V34" s="47" t="s">
        <v>172</v>
      </c>
      <c r="W34" s="19">
        <v>-244015939</v>
      </c>
      <c r="X34" s="19">
        <v>3618782203</v>
      </c>
      <c r="Y34" s="19">
        <v>191410264</v>
      </c>
      <c r="Z34" s="19">
        <v>259525782</v>
      </c>
      <c r="AA34" s="19">
        <v>2059284613</v>
      </c>
      <c r="AB34" s="19">
        <v>135957108</v>
      </c>
      <c r="AC34" s="19">
        <v>771684470</v>
      </c>
      <c r="AD34" s="19">
        <v>977932063</v>
      </c>
      <c r="AE34" s="19">
        <v>679952138</v>
      </c>
      <c r="AF34" s="47" t="s">
        <v>172</v>
      </c>
      <c r="AG34" s="19">
        <v>-969475576</v>
      </c>
      <c r="AH34" s="19">
        <v>2178052847</v>
      </c>
      <c r="AI34" s="19">
        <v>-293354150</v>
      </c>
      <c r="AJ34" s="19">
        <v>619182299</v>
      </c>
      <c r="AK34" s="19">
        <v>1438461295</v>
      </c>
      <c r="AL34" s="19">
        <v>307867838</v>
      </c>
      <c r="AM34" s="47" t="s">
        <v>4</v>
      </c>
      <c r="AN34" s="19">
        <v>376620280</v>
      </c>
      <c r="AO34" s="19">
        <v>342490676</v>
      </c>
      <c r="AP34" s="19">
        <v>280676019</v>
      </c>
      <c r="AQ34" s="47" t="s">
        <v>96</v>
      </c>
      <c r="AR34" s="19">
        <v>162680249</v>
      </c>
      <c r="AS34" s="19">
        <v>-159015689</v>
      </c>
      <c r="AT34" s="47" t="s">
        <v>172</v>
      </c>
      <c r="AU34" s="19">
        <v>492760208</v>
      </c>
      <c r="AV34" s="19">
        <v>383417616</v>
      </c>
      <c r="AW34" s="19">
        <v>111714116</v>
      </c>
      <c r="AX34" s="47" t="s">
        <v>4</v>
      </c>
      <c r="AY34" s="19">
        <v>3683481</v>
      </c>
      <c r="AZ34" s="19">
        <v>342672075</v>
      </c>
      <c r="BA34" s="19">
        <v>259041400</v>
      </c>
      <c r="BB34" s="19">
        <v>-18359879</v>
      </c>
      <c r="BC34" s="47" t="s">
        <v>4</v>
      </c>
      <c r="BD34" s="47" t="s">
        <v>130</v>
      </c>
      <c r="BE34" s="19">
        <v>594602730</v>
      </c>
      <c r="BF34" s="47" t="s">
        <v>96</v>
      </c>
      <c r="BG34" s="19">
        <v>192638955</v>
      </c>
      <c r="BH34" s="19">
        <v>197541152</v>
      </c>
      <c r="BI34" s="19">
        <v>566283745</v>
      </c>
      <c r="BJ34" s="19">
        <v>140587577</v>
      </c>
      <c r="BK34" s="19">
        <v>271076491</v>
      </c>
      <c r="BL34" s="19">
        <v>1265047276</v>
      </c>
      <c r="BM34" s="19">
        <v>507540268</v>
      </c>
      <c r="BN34" s="19">
        <v>166721332</v>
      </c>
      <c r="BO34" s="19">
        <v>-17914521</v>
      </c>
      <c r="BP34" s="47" t="s">
        <v>96</v>
      </c>
      <c r="BQ34" s="47" t="s">
        <v>4</v>
      </c>
      <c r="BR34" s="19">
        <v>5276809950</v>
      </c>
      <c r="BS34" s="19">
        <v>-440405</v>
      </c>
      <c r="BT34" s="47" t="s">
        <v>130</v>
      </c>
      <c r="BU34" s="19">
        <v>25650540</v>
      </c>
      <c r="BV34" s="19">
        <v>223110146</v>
      </c>
      <c r="BW34" s="19">
        <v>17945095</v>
      </c>
      <c r="BX34" s="19">
        <v>69206484</v>
      </c>
      <c r="BY34" s="19">
        <v>-912302818</v>
      </c>
      <c r="BZ34" s="19">
        <v>2495427127</v>
      </c>
      <c r="CA34" s="19">
        <v>362776668</v>
      </c>
      <c r="CB34" s="19">
        <v>34736750</v>
      </c>
      <c r="CC34" s="19">
        <v>35462471</v>
      </c>
      <c r="CD34" s="19">
        <v>455452369</v>
      </c>
      <c r="CE34" s="19">
        <v>225787309</v>
      </c>
      <c r="CF34" s="19">
        <v>-1336581813</v>
      </c>
      <c r="CG34" s="19">
        <v>200778495</v>
      </c>
      <c r="CH34" s="19">
        <v>337387667</v>
      </c>
      <c r="CI34" s="47" t="s">
        <v>130</v>
      </c>
      <c r="CJ34" s="19">
        <v>71646158</v>
      </c>
      <c r="CK34" s="19">
        <v>1271385253</v>
      </c>
      <c r="CL34" s="19">
        <v>113671932</v>
      </c>
      <c r="CM34" s="19">
        <v>2419791630</v>
      </c>
      <c r="CN34" s="19">
        <v>-16533794</v>
      </c>
      <c r="CO34" s="19">
        <v>125198557</v>
      </c>
      <c r="CP34" s="19">
        <v>674035053</v>
      </c>
      <c r="CQ34" s="47" t="s">
        <v>96</v>
      </c>
      <c r="CR34" s="19">
        <v>791865478</v>
      </c>
      <c r="CS34" s="47" t="s">
        <v>172</v>
      </c>
      <c r="CT34" s="19">
        <v>21413365641</v>
      </c>
      <c r="CU34" s="19">
        <v>518635919</v>
      </c>
      <c r="CV34" s="19">
        <v>-251885465</v>
      </c>
      <c r="CW34" s="19">
        <v>3355229285</v>
      </c>
      <c r="CX34" s="19">
        <v>-1370456745</v>
      </c>
      <c r="CY34" s="47" t="s">
        <v>96</v>
      </c>
      <c r="CZ34" s="19">
        <v>1607173772</v>
      </c>
      <c r="DA34" s="47" t="s">
        <v>89</v>
      </c>
      <c r="DB34" s="19">
        <v>578859002</v>
      </c>
      <c r="DC34" s="19">
        <v>-52638055</v>
      </c>
      <c r="DD34" s="19">
        <v>-118194955</v>
      </c>
      <c r="DE34" s="19">
        <v>888658865</v>
      </c>
      <c r="DF34" s="19">
        <v>31453906</v>
      </c>
      <c r="DG34" s="19">
        <v>238441601</v>
      </c>
      <c r="DH34" s="19">
        <v>324985749</v>
      </c>
      <c r="DI34" s="19">
        <v>1554347413</v>
      </c>
      <c r="DJ34" s="19">
        <v>162615221</v>
      </c>
      <c r="DK34" s="19">
        <v>2453238133</v>
      </c>
      <c r="DL34" s="19">
        <v>50788354</v>
      </c>
      <c r="DM34" s="19">
        <v>1382193772</v>
      </c>
      <c r="DN34" s="19">
        <v>-31928621</v>
      </c>
      <c r="DO34" s="19">
        <v>17684185</v>
      </c>
      <c r="DP34" s="19">
        <v>863896561</v>
      </c>
      <c r="DQ34" s="19">
        <v>118924209</v>
      </c>
      <c r="DR34" s="19">
        <v>1137933248</v>
      </c>
      <c r="DS34" s="19">
        <v>313177506</v>
      </c>
      <c r="DT34" s="19">
        <v>1425648195</v>
      </c>
      <c r="DU34" s="19">
        <v>138832520</v>
      </c>
      <c r="DV34" s="19">
        <v>4166825239</v>
      </c>
      <c r="DW34" s="19">
        <v>970600298</v>
      </c>
      <c r="DX34" s="19">
        <v>6118246248</v>
      </c>
      <c r="DY34" s="19">
        <v>229185028</v>
      </c>
      <c r="DZ34" s="19">
        <v>699803464</v>
      </c>
      <c r="EA34" s="19">
        <v>66991971</v>
      </c>
      <c r="EB34" s="19">
        <v>2018799529</v>
      </c>
      <c r="EC34" s="19">
        <v>2727802</v>
      </c>
      <c r="ED34" s="19">
        <v>87488348</v>
      </c>
      <c r="EE34" s="19">
        <v>581165124</v>
      </c>
      <c r="EF34" s="19">
        <v>1825476119</v>
      </c>
      <c r="EG34" s="19">
        <v>3944896759</v>
      </c>
      <c r="EH34" s="19">
        <v>554441296</v>
      </c>
      <c r="EI34" s="19">
        <v>18466926666</v>
      </c>
      <c r="EJ34" s="19">
        <v>144047840</v>
      </c>
      <c r="EK34" s="19">
        <v>373350595</v>
      </c>
      <c r="EL34" s="19">
        <v>2182417611</v>
      </c>
      <c r="EM34" s="19">
        <v>866431234</v>
      </c>
      <c r="EN34" s="19">
        <v>2406649651</v>
      </c>
      <c r="EO34" s="19">
        <v>203385567</v>
      </c>
      <c r="EP34" s="19">
        <v>644844983</v>
      </c>
      <c r="EQ34" s="19">
        <v>1575314721</v>
      </c>
      <c r="ER34" s="19">
        <v>786539903</v>
      </c>
      <c r="ES34" s="19">
        <v>469597482</v>
      </c>
      <c r="ET34" s="19">
        <v>16662777964</v>
      </c>
      <c r="EU34" s="19">
        <v>1769189649</v>
      </c>
      <c r="EV34" s="19">
        <v>108140182</v>
      </c>
      <c r="EW34" s="19">
        <v>59570844</v>
      </c>
      <c r="EX34" s="19">
        <v>936128509</v>
      </c>
      <c r="EY34" s="19">
        <v>2035133089</v>
      </c>
      <c r="EZ34" s="19">
        <v>306226140</v>
      </c>
      <c r="FA34" s="47" t="s">
        <v>130</v>
      </c>
      <c r="FB34" s="19">
        <v>-37656931</v>
      </c>
      <c r="FC34" s="19">
        <v>110528200</v>
      </c>
      <c r="FD34" s="19">
        <v>212081764</v>
      </c>
      <c r="FE34" s="19">
        <v>1691900851</v>
      </c>
      <c r="FF34" s="19">
        <v>75987852</v>
      </c>
      <c r="FG34" s="19">
        <v>1456083627</v>
      </c>
      <c r="FH34" s="19">
        <v>848210473</v>
      </c>
      <c r="FI34" s="47" t="s">
        <v>96</v>
      </c>
      <c r="FJ34" s="19">
        <v>254634884</v>
      </c>
      <c r="FK34" s="19">
        <v>239153115</v>
      </c>
      <c r="FL34" s="47" t="s">
        <v>130</v>
      </c>
      <c r="FM34" s="19">
        <v>-226144201</v>
      </c>
      <c r="FN34" s="19">
        <v>6088004590</v>
      </c>
      <c r="FO34" s="47" t="s">
        <v>172</v>
      </c>
      <c r="FP34" s="19">
        <v>22975567</v>
      </c>
      <c r="FQ34" s="19">
        <v>19520954</v>
      </c>
      <c r="FR34" s="19">
        <v>243019930</v>
      </c>
      <c r="FS34" s="47" t="s">
        <v>130</v>
      </c>
      <c r="FT34" s="19">
        <v>12042159629</v>
      </c>
      <c r="FU34" s="19">
        <v>3773828</v>
      </c>
      <c r="FV34" s="19">
        <v>2134849906</v>
      </c>
      <c r="FW34" s="19">
        <v>-35459681</v>
      </c>
      <c r="FX34" s="19">
        <v>-307704549</v>
      </c>
      <c r="FY34" s="19">
        <v>491882473</v>
      </c>
      <c r="FZ34" s="47" t="s">
        <v>175</v>
      </c>
      <c r="GA34" s="19">
        <v>677857074</v>
      </c>
      <c r="GB34" s="19">
        <v>26479138</v>
      </c>
      <c r="GC34" s="19">
        <v>185573730</v>
      </c>
      <c r="GD34" s="48" t="s">
        <v>96</v>
      </c>
      <c r="GE34" s="48" t="s">
        <v>96</v>
      </c>
      <c r="GF34" s="19">
        <v>388398906</v>
      </c>
      <c r="GG34" s="19">
        <v>3182176721</v>
      </c>
      <c r="GH34" s="47" t="s">
        <v>172</v>
      </c>
      <c r="GI34" s="19">
        <v>54444724</v>
      </c>
      <c r="GJ34" s="47" t="s">
        <v>96</v>
      </c>
      <c r="GK34" s="19">
        <v>154693007</v>
      </c>
      <c r="GL34" s="47" t="s">
        <v>96</v>
      </c>
      <c r="GM34" s="19">
        <v>60956784</v>
      </c>
      <c r="GN34" s="19">
        <v>-486797745</v>
      </c>
      <c r="GO34" s="47" t="s">
        <v>96</v>
      </c>
      <c r="GP34" s="19">
        <v>3399648192</v>
      </c>
      <c r="GQ34" s="19">
        <v>452499061</v>
      </c>
      <c r="GR34" s="19">
        <v>1763486337</v>
      </c>
      <c r="GS34" s="19">
        <v>858753641</v>
      </c>
      <c r="GT34" s="19">
        <v>-421105421</v>
      </c>
      <c r="GU34" s="19">
        <v>92630327</v>
      </c>
      <c r="GV34" s="19">
        <f>SUM(GV35:GV39)</f>
        <v>1490499909</v>
      </c>
      <c r="GW34" s="19">
        <v>19252786654</v>
      </c>
      <c r="GX34" s="19">
        <v>293551184</v>
      </c>
      <c r="GY34" s="19">
        <v>272732673</v>
      </c>
      <c r="GZ34" s="19">
        <v>523060698</v>
      </c>
      <c r="HA34" s="19">
        <v>-707330365</v>
      </c>
      <c r="HB34" s="19">
        <v>632335497</v>
      </c>
      <c r="HC34" s="19">
        <v>120738689</v>
      </c>
      <c r="HD34" s="19">
        <v>619625190</v>
      </c>
      <c r="HE34" s="19">
        <v>-461357492</v>
      </c>
      <c r="HF34" s="19">
        <v>853325736</v>
      </c>
      <c r="HG34" s="19">
        <v>194290646</v>
      </c>
      <c r="HH34" s="47" t="s">
        <v>130</v>
      </c>
      <c r="HI34" s="19">
        <v>2079349090</v>
      </c>
      <c r="HJ34" s="19">
        <v>730314480</v>
      </c>
      <c r="HK34" s="19">
        <v>2050747457</v>
      </c>
      <c r="HL34" s="19">
        <v>1522470919</v>
      </c>
      <c r="HM34" s="19">
        <v>-108064522</v>
      </c>
      <c r="HN34" s="19">
        <v>616680622</v>
      </c>
      <c r="HO34" s="19">
        <v>1074259737</v>
      </c>
      <c r="HP34" s="19">
        <v>418238643</v>
      </c>
      <c r="HQ34" s="19">
        <v>154931478</v>
      </c>
      <c r="HR34" s="19">
        <v>421144681</v>
      </c>
      <c r="HS34" s="19">
        <v>384561735</v>
      </c>
      <c r="HT34" s="19">
        <v>167395668</v>
      </c>
      <c r="HU34" s="19">
        <v>83744891</v>
      </c>
      <c r="HV34" s="19">
        <v>28182989</v>
      </c>
      <c r="HW34" s="19" t="s">
        <v>96</v>
      </c>
      <c r="HX34" s="19">
        <v>870467233</v>
      </c>
      <c r="HY34" s="19" t="s">
        <v>172</v>
      </c>
      <c r="HZ34" s="19">
        <v>5602690137</v>
      </c>
      <c r="IA34" s="19">
        <v>1173991731</v>
      </c>
      <c r="IB34" s="19">
        <v>1261889552</v>
      </c>
      <c r="IC34" s="19">
        <v>634270354</v>
      </c>
      <c r="ID34" s="19">
        <v>-4552798</v>
      </c>
      <c r="IE34" s="47" t="s">
        <v>96</v>
      </c>
      <c r="IF34" s="19">
        <v>90905824</v>
      </c>
      <c r="IG34" s="19">
        <v>41074338</v>
      </c>
      <c r="IH34" s="19">
        <v>597531519</v>
      </c>
      <c r="II34" s="19">
        <v>165547096</v>
      </c>
      <c r="IJ34" s="19">
        <v>252290270</v>
      </c>
      <c r="IK34" s="19">
        <v>66315154</v>
      </c>
      <c r="IL34" s="19">
        <v>152305590</v>
      </c>
      <c r="IM34" s="19">
        <v>1156321046</v>
      </c>
      <c r="IN34" s="19">
        <v>-73591547</v>
      </c>
      <c r="IO34" s="19">
        <v>154219183</v>
      </c>
      <c r="IP34" s="19">
        <v>157699974</v>
      </c>
      <c r="IQ34" s="19">
        <v>393101630</v>
      </c>
      <c r="IR34" s="19">
        <v>812383012</v>
      </c>
      <c r="IS34" s="19">
        <v>2166181139</v>
      </c>
      <c r="IT34" s="19">
        <v>534013677</v>
      </c>
      <c r="IU34" s="45">
        <v>1438697757</v>
      </c>
      <c r="IV34" s="45">
        <v>337520705</v>
      </c>
      <c r="IW34" s="45">
        <v>-399595800</v>
      </c>
      <c r="IX34" s="45">
        <v>147062214</v>
      </c>
      <c r="IY34" s="45">
        <v>1188728404</v>
      </c>
      <c r="IZ34" s="45">
        <v>149565916</v>
      </c>
      <c r="JA34" s="45">
        <v>627819989</v>
      </c>
      <c r="JB34" s="45">
        <v>-33078068</v>
      </c>
      <c r="JC34" s="45">
        <v>204088678</v>
      </c>
      <c r="JD34" s="45">
        <v>465429384</v>
      </c>
      <c r="JE34" s="45">
        <v>95549656</v>
      </c>
      <c r="JF34" s="45">
        <v>237087846</v>
      </c>
      <c r="JG34" s="45">
        <v>-42451012</v>
      </c>
      <c r="JH34" s="45">
        <v>-15746899</v>
      </c>
      <c r="JI34" s="45">
        <v>135949119</v>
      </c>
      <c r="JJ34" s="45">
        <v>48010548</v>
      </c>
      <c r="JK34" s="45">
        <v>-18244613</v>
      </c>
      <c r="JL34" s="45">
        <v>1006437179</v>
      </c>
      <c r="JM34" s="45">
        <v>168984386</v>
      </c>
      <c r="JN34" s="45">
        <v>1544398012</v>
      </c>
      <c r="JO34" s="46">
        <v>3200553</v>
      </c>
      <c r="JP34" s="46">
        <v>256200766</v>
      </c>
      <c r="JQ34" s="63" t="s">
        <v>175</v>
      </c>
      <c r="JR34" s="46">
        <v>71459821</v>
      </c>
      <c r="JS34" s="46">
        <v>-217031504</v>
      </c>
      <c r="JT34" s="46">
        <v>-314311363</v>
      </c>
      <c r="JU34" s="46">
        <v>119211638</v>
      </c>
      <c r="JV34" s="46">
        <v>55247661</v>
      </c>
      <c r="JW34" s="46">
        <v>71936192</v>
      </c>
      <c r="JX34" s="46">
        <v>1787747969</v>
      </c>
      <c r="JY34" s="46">
        <v>1057999639</v>
      </c>
      <c r="JZ34" s="46">
        <v>-1635219</v>
      </c>
      <c r="KA34" s="46">
        <v>24715628</v>
      </c>
      <c r="KB34" s="46">
        <v>2270006889</v>
      </c>
      <c r="KC34" s="46">
        <v>375272607</v>
      </c>
      <c r="KD34" s="46">
        <v>253270014</v>
      </c>
      <c r="KE34" s="46">
        <v>-16650837</v>
      </c>
      <c r="KF34" s="46">
        <v>134608716</v>
      </c>
      <c r="KG34" s="46">
        <v>-21984101</v>
      </c>
      <c r="KH34" s="46">
        <v>169873253</v>
      </c>
    </row>
    <row r="35" spans="1:294">
      <c r="A35" s="7" t="s">
        <v>182</v>
      </c>
      <c r="B35" s="8" t="s">
        <v>81</v>
      </c>
      <c r="C35" s="19">
        <v>150000000</v>
      </c>
      <c r="D35" s="19">
        <v>688602600</v>
      </c>
      <c r="E35" s="19">
        <v>117000000</v>
      </c>
      <c r="F35" s="19">
        <v>200000000</v>
      </c>
      <c r="G35" s="47" t="s">
        <v>130</v>
      </c>
      <c r="H35" s="19">
        <v>399529245</v>
      </c>
      <c r="I35" s="19">
        <v>529970000</v>
      </c>
      <c r="J35" s="47" t="s">
        <v>4</v>
      </c>
      <c r="K35" s="19">
        <v>763431000</v>
      </c>
      <c r="L35" s="47" t="s">
        <v>96</v>
      </c>
      <c r="M35" s="47" t="s">
        <v>96</v>
      </c>
      <c r="N35" s="19">
        <v>50000000</v>
      </c>
      <c r="O35" s="19">
        <v>1706083116</v>
      </c>
      <c r="P35" s="19">
        <v>1435532920</v>
      </c>
      <c r="Q35" s="19">
        <v>10000000</v>
      </c>
      <c r="R35" s="19">
        <v>60000000</v>
      </c>
      <c r="S35" s="19">
        <v>538889000</v>
      </c>
      <c r="T35" s="47" t="s">
        <v>96</v>
      </c>
      <c r="U35" s="47" t="s">
        <v>172</v>
      </c>
      <c r="V35" s="47" t="s">
        <v>172</v>
      </c>
      <c r="W35" s="19">
        <v>216190000</v>
      </c>
      <c r="X35" s="19">
        <v>100000000</v>
      </c>
      <c r="Y35" s="19">
        <v>110975000</v>
      </c>
      <c r="Z35" s="19">
        <v>900000000</v>
      </c>
      <c r="AA35" s="19">
        <v>250000000</v>
      </c>
      <c r="AB35" s="19">
        <v>89000000</v>
      </c>
      <c r="AC35" s="19">
        <v>40000000</v>
      </c>
      <c r="AD35" s="19">
        <v>200000000</v>
      </c>
      <c r="AE35" s="19">
        <v>100000000</v>
      </c>
      <c r="AF35" s="47" t="s">
        <v>172</v>
      </c>
      <c r="AG35" s="19">
        <v>341580000</v>
      </c>
      <c r="AH35" s="19">
        <v>55320000</v>
      </c>
      <c r="AI35" s="19">
        <v>67434000</v>
      </c>
      <c r="AJ35" s="19">
        <v>328820000</v>
      </c>
      <c r="AK35" s="19">
        <v>60000000</v>
      </c>
      <c r="AL35" s="19">
        <v>120000000</v>
      </c>
      <c r="AM35" s="47" t="s">
        <v>4</v>
      </c>
      <c r="AN35" s="19">
        <v>50000000</v>
      </c>
      <c r="AO35" s="19">
        <v>322280000</v>
      </c>
      <c r="AP35" s="19">
        <v>1080000000</v>
      </c>
      <c r="AQ35" s="47" t="s">
        <v>96</v>
      </c>
      <c r="AR35" s="19">
        <v>80000000</v>
      </c>
      <c r="AS35" s="19">
        <v>50000000</v>
      </c>
      <c r="AT35" s="47" t="s">
        <v>172</v>
      </c>
      <c r="AU35" s="19">
        <v>1300000000</v>
      </c>
      <c r="AV35" s="19">
        <v>181000000</v>
      </c>
      <c r="AW35" s="19">
        <v>5000000</v>
      </c>
      <c r="AX35" s="47" t="s">
        <v>4</v>
      </c>
      <c r="AY35" s="19"/>
      <c r="AZ35" s="19">
        <v>231950000</v>
      </c>
      <c r="BA35" s="19">
        <v>838300000</v>
      </c>
      <c r="BB35" s="19">
        <v>40000000</v>
      </c>
      <c r="BC35" s="47" t="s">
        <v>4</v>
      </c>
      <c r="BD35" s="47" t="s">
        <v>130</v>
      </c>
      <c r="BE35" s="19">
        <v>107250000</v>
      </c>
      <c r="BF35" s="47" t="s">
        <v>96</v>
      </c>
      <c r="BG35" s="19">
        <v>2200000000</v>
      </c>
      <c r="BH35" s="19">
        <v>125600000</v>
      </c>
      <c r="BI35" s="19">
        <v>68526000</v>
      </c>
      <c r="BJ35" s="19">
        <v>5000000</v>
      </c>
      <c r="BK35" s="19">
        <v>177525000</v>
      </c>
      <c r="BL35" s="19">
        <v>250000000</v>
      </c>
      <c r="BM35" s="19">
        <v>150000000</v>
      </c>
      <c r="BN35" s="19">
        <v>11250000</v>
      </c>
      <c r="BO35" s="19">
        <v>100000000</v>
      </c>
      <c r="BP35" s="47" t="s">
        <v>96</v>
      </c>
      <c r="BQ35" s="47" t="s">
        <v>4</v>
      </c>
      <c r="BR35" s="19">
        <v>1188000</v>
      </c>
      <c r="BS35" s="19">
        <v>54240000</v>
      </c>
      <c r="BT35" s="47" t="s">
        <v>130</v>
      </c>
      <c r="BU35" s="19">
        <v>102715000</v>
      </c>
      <c r="BV35" s="19">
        <v>50000000</v>
      </c>
      <c r="BW35" s="19">
        <v>320248</v>
      </c>
      <c r="BX35" s="19">
        <v>10000000</v>
      </c>
      <c r="BY35" s="19">
        <v>76240000</v>
      </c>
      <c r="BZ35" s="19">
        <v>10000000</v>
      </c>
      <c r="CA35" s="19">
        <v>162500000</v>
      </c>
      <c r="CB35" s="19">
        <v>50000000</v>
      </c>
      <c r="CC35" s="19">
        <v>16300000</v>
      </c>
      <c r="CD35" s="19">
        <v>105215000</v>
      </c>
      <c r="CE35" s="19">
        <v>50000000</v>
      </c>
      <c r="CF35" s="19">
        <v>38460000</v>
      </c>
      <c r="CG35" s="19">
        <v>81743200</v>
      </c>
      <c r="CH35" s="19">
        <v>5000000</v>
      </c>
      <c r="CI35" s="47" t="s">
        <v>130</v>
      </c>
      <c r="CJ35" s="19">
        <v>30000000</v>
      </c>
      <c r="CK35" s="19">
        <v>400000000</v>
      </c>
      <c r="CL35" s="19">
        <v>164000000</v>
      </c>
      <c r="CM35" s="19">
        <v>150000000</v>
      </c>
      <c r="CN35" s="19">
        <v>2000000</v>
      </c>
      <c r="CO35" s="19">
        <v>101460000</v>
      </c>
      <c r="CP35" s="19">
        <v>300000000</v>
      </c>
      <c r="CQ35" s="47" t="s">
        <v>96</v>
      </c>
      <c r="CR35" s="19">
        <v>210000000</v>
      </c>
      <c r="CS35" s="47" t="s">
        <v>172</v>
      </c>
      <c r="CT35" s="19">
        <v>678730500</v>
      </c>
      <c r="CU35" s="19">
        <v>34116217</v>
      </c>
      <c r="CV35" s="19">
        <v>4400000</v>
      </c>
      <c r="CW35" s="19">
        <v>2533470000</v>
      </c>
      <c r="CX35" s="19">
        <v>363763500</v>
      </c>
      <c r="CY35" s="47" t="s">
        <v>96</v>
      </c>
      <c r="CZ35" s="19">
        <v>200000000</v>
      </c>
      <c r="DA35" s="47" t="s">
        <v>89</v>
      </c>
      <c r="DB35" s="19">
        <v>50000000</v>
      </c>
      <c r="DC35" s="19">
        <v>5130000</v>
      </c>
      <c r="DD35" s="19">
        <v>50000000</v>
      </c>
      <c r="DE35" s="19">
        <v>510000000</v>
      </c>
      <c r="DF35" s="19">
        <v>40000000</v>
      </c>
      <c r="DG35" s="19">
        <v>150000000</v>
      </c>
      <c r="DH35" s="19">
        <v>366000000</v>
      </c>
      <c r="DI35" s="19">
        <v>800000000</v>
      </c>
      <c r="DJ35" s="19">
        <v>13800000</v>
      </c>
      <c r="DK35" s="19">
        <v>150500000</v>
      </c>
      <c r="DL35" s="19">
        <v>51050000</v>
      </c>
      <c r="DM35" s="19">
        <v>200000000</v>
      </c>
      <c r="DN35" s="19">
        <v>17350000</v>
      </c>
      <c r="DO35" s="19">
        <v>10000000</v>
      </c>
      <c r="DP35" s="19">
        <v>50000000</v>
      </c>
      <c r="DQ35" s="19">
        <v>50000000</v>
      </c>
      <c r="DR35" s="19">
        <v>38787000</v>
      </c>
      <c r="DS35" s="19">
        <v>80000000</v>
      </c>
      <c r="DT35" s="19">
        <v>75000000</v>
      </c>
      <c r="DU35" s="19">
        <v>22900000</v>
      </c>
      <c r="DV35" s="19">
        <v>2000000</v>
      </c>
      <c r="DW35" s="19">
        <v>100000000</v>
      </c>
      <c r="DX35" s="19">
        <v>134995000</v>
      </c>
      <c r="DY35" s="19">
        <v>60000000</v>
      </c>
      <c r="DZ35" s="19">
        <v>200000000</v>
      </c>
      <c r="EA35" s="19">
        <v>5000000</v>
      </c>
      <c r="EB35" s="19">
        <v>350000000</v>
      </c>
      <c r="EC35" s="19">
        <v>30000000</v>
      </c>
      <c r="ED35" s="19">
        <v>1000000</v>
      </c>
      <c r="EE35" s="19">
        <v>50000000</v>
      </c>
      <c r="EF35" s="19">
        <v>500000000</v>
      </c>
      <c r="EG35" s="19">
        <v>26812000</v>
      </c>
      <c r="EH35" s="19">
        <v>550000000</v>
      </c>
      <c r="EI35" s="19">
        <v>2280294200</v>
      </c>
      <c r="EJ35" s="19">
        <v>33800000</v>
      </c>
      <c r="EK35" s="19">
        <v>750000000</v>
      </c>
      <c r="EL35" s="19">
        <v>390962457</v>
      </c>
      <c r="EM35" s="19">
        <v>12500000</v>
      </c>
      <c r="EN35" s="19">
        <v>50070000</v>
      </c>
      <c r="EO35" s="19">
        <v>50000000</v>
      </c>
      <c r="EP35" s="19">
        <v>808292992</v>
      </c>
      <c r="EQ35" s="19">
        <v>10000000</v>
      </c>
      <c r="ER35" s="19">
        <v>1055653000</v>
      </c>
      <c r="ES35" s="19">
        <v>1000000000</v>
      </c>
      <c r="ET35" s="19">
        <v>272910400</v>
      </c>
      <c r="EU35" s="19">
        <v>100009000</v>
      </c>
      <c r="EV35" s="19">
        <v>40000000</v>
      </c>
      <c r="EW35" s="19">
        <v>90000000</v>
      </c>
      <c r="EX35" s="19">
        <v>100000000</v>
      </c>
      <c r="EY35" s="19">
        <v>120000000</v>
      </c>
      <c r="EZ35" s="19">
        <v>546751993</v>
      </c>
      <c r="FA35" s="47" t="s">
        <v>130</v>
      </c>
      <c r="FB35" s="19">
        <v>47480000</v>
      </c>
      <c r="FC35" s="19">
        <v>108360000</v>
      </c>
      <c r="FD35" s="19">
        <v>1000000</v>
      </c>
      <c r="FE35" s="19">
        <v>100000000</v>
      </c>
      <c r="FF35" s="19">
        <v>8000000</v>
      </c>
      <c r="FG35" s="19">
        <v>50000000</v>
      </c>
      <c r="FH35" s="19">
        <v>55555500</v>
      </c>
      <c r="FI35" s="47" t="s">
        <v>96</v>
      </c>
      <c r="FJ35" s="19">
        <v>50000000</v>
      </c>
      <c r="FK35" s="19">
        <v>111000000</v>
      </c>
      <c r="FL35" s="47" t="s">
        <v>130</v>
      </c>
      <c r="FM35" s="19">
        <v>47443500</v>
      </c>
      <c r="FN35" s="19">
        <v>492355000</v>
      </c>
      <c r="FO35" s="47" t="s">
        <v>172</v>
      </c>
      <c r="FP35" s="19">
        <v>23165000</v>
      </c>
      <c r="FQ35" s="19">
        <v>100300000</v>
      </c>
      <c r="FR35" s="19">
        <v>25000000</v>
      </c>
      <c r="FS35" s="47" t="s">
        <v>130</v>
      </c>
      <c r="FT35" s="19">
        <v>192216700</v>
      </c>
      <c r="FU35" s="19">
        <v>1000000</v>
      </c>
      <c r="FV35" s="19">
        <v>555516600</v>
      </c>
      <c r="FW35" s="19">
        <v>49975200</v>
      </c>
      <c r="FX35" s="19">
        <v>11600000</v>
      </c>
      <c r="FY35" s="19">
        <v>150713500</v>
      </c>
      <c r="FZ35" s="47" t="s">
        <v>175</v>
      </c>
      <c r="GA35" s="19">
        <v>121329000</v>
      </c>
      <c r="GB35" s="19">
        <v>92405000</v>
      </c>
      <c r="GC35" s="19">
        <v>10000000</v>
      </c>
      <c r="GD35" s="48" t="s">
        <v>96</v>
      </c>
      <c r="GE35" s="48" t="s">
        <v>96</v>
      </c>
      <c r="GF35" s="19">
        <v>24206000</v>
      </c>
      <c r="GG35" s="19">
        <v>590780000</v>
      </c>
      <c r="GH35" s="47" t="s">
        <v>172</v>
      </c>
      <c r="GI35" s="19">
        <v>50000000</v>
      </c>
      <c r="GJ35" s="47" t="s">
        <v>96</v>
      </c>
      <c r="GK35" s="19">
        <v>195000000</v>
      </c>
      <c r="GL35" s="47" t="s">
        <v>96</v>
      </c>
      <c r="GM35" s="19">
        <v>64950000</v>
      </c>
      <c r="GN35" s="19">
        <v>100000000</v>
      </c>
      <c r="GO35" s="47" t="s">
        <v>96</v>
      </c>
      <c r="GP35" s="19">
        <v>263635000</v>
      </c>
      <c r="GQ35" s="19">
        <v>1122200</v>
      </c>
      <c r="GR35" s="19">
        <v>12850000</v>
      </c>
      <c r="GS35" s="19">
        <v>40581000</v>
      </c>
      <c r="GT35" s="19">
        <v>17857200</v>
      </c>
      <c r="GU35" s="19">
        <v>53580000</v>
      </c>
      <c r="GV35" s="19">
        <v>220283390</v>
      </c>
      <c r="GW35" s="19">
        <v>293295000</v>
      </c>
      <c r="GX35" s="19">
        <v>150000000</v>
      </c>
      <c r="GY35" s="19">
        <v>578360000</v>
      </c>
      <c r="GZ35" s="19">
        <v>10000000</v>
      </c>
      <c r="HA35" s="19">
        <v>16770000</v>
      </c>
      <c r="HB35" s="19">
        <v>1110000</v>
      </c>
      <c r="HC35" s="19">
        <v>283480000</v>
      </c>
      <c r="HD35" s="19">
        <v>300000000</v>
      </c>
      <c r="HE35" s="19">
        <v>34325000</v>
      </c>
      <c r="HF35" s="19">
        <v>50000000</v>
      </c>
      <c r="HG35" s="19">
        <v>50000000</v>
      </c>
      <c r="HH35" s="47" t="s">
        <v>130</v>
      </c>
      <c r="HI35" s="19">
        <v>798605000</v>
      </c>
      <c r="HJ35" s="19">
        <v>50000000</v>
      </c>
      <c r="HK35" s="19">
        <v>56725000</v>
      </c>
      <c r="HL35" s="19">
        <v>115682403</v>
      </c>
      <c r="HM35" s="19">
        <v>100000000</v>
      </c>
      <c r="HN35" s="19">
        <v>800000000</v>
      </c>
      <c r="HO35" s="19">
        <v>270000000</v>
      </c>
      <c r="HP35" s="19">
        <v>17500000</v>
      </c>
      <c r="HQ35" s="19">
        <v>5000000</v>
      </c>
      <c r="HR35" s="19">
        <v>300000000</v>
      </c>
      <c r="HS35" s="19">
        <v>127986500</v>
      </c>
      <c r="HT35" s="19">
        <v>143000000</v>
      </c>
      <c r="HU35" s="19">
        <v>114440000</v>
      </c>
      <c r="HV35" s="19">
        <v>5250000</v>
      </c>
      <c r="HW35" s="19" t="s">
        <v>96</v>
      </c>
      <c r="HX35" s="19">
        <v>300000000</v>
      </c>
      <c r="HY35" s="19" t="s">
        <v>172</v>
      </c>
      <c r="HZ35" s="19">
        <v>4125338031</v>
      </c>
      <c r="IA35" s="19">
        <v>594829764</v>
      </c>
      <c r="IB35" s="19">
        <v>131085500</v>
      </c>
      <c r="IC35" s="19">
        <v>100000000</v>
      </c>
      <c r="ID35" s="19">
        <v>130000</v>
      </c>
      <c r="IE35" s="47" t="s">
        <v>96</v>
      </c>
      <c r="IF35" s="19">
        <v>17300000</v>
      </c>
      <c r="IG35" s="19">
        <v>50000000</v>
      </c>
      <c r="IH35" s="19">
        <v>31725000</v>
      </c>
      <c r="II35" s="19">
        <v>220000000</v>
      </c>
      <c r="IJ35" s="19">
        <v>207064500</v>
      </c>
      <c r="IK35" s="19">
        <v>32000000</v>
      </c>
      <c r="IL35" s="19">
        <v>70000000</v>
      </c>
      <c r="IM35" s="19">
        <v>62346000</v>
      </c>
      <c r="IN35" s="19">
        <v>118147500</v>
      </c>
      <c r="IO35" s="19">
        <v>1000000</v>
      </c>
      <c r="IP35" s="19"/>
      <c r="IQ35" s="19">
        <v>21100000</v>
      </c>
      <c r="IR35" s="19">
        <v>300000000</v>
      </c>
      <c r="IS35" s="19">
        <v>1899250000</v>
      </c>
      <c r="IT35" s="19">
        <v>100000000</v>
      </c>
      <c r="IU35" s="45">
        <v>11900000</v>
      </c>
      <c r="IV35" s="45">
        <v>68440000</v>
      </c>
      <c r="IW35" s="45">
        <v>50000000</v>
      </c>
      <c r="IX35" s="45">
        <v>50350000</v>
      </c>
      <c r="IY35" s="45">
        <v>11000000</v>
      </c>
      <c r="IZ35" s="45">
        <v>120000000</v>
      </c>
      <c r="JA35" s="45">
        <v>5000000</v>
      </c>
      <c r="JB35" s="45">
        <v>22000000</v>
      </c>
      <c r="JC35" s="45">
        <v>200000000</v>
      </c>
      <c r="JD35" s="45">
        <v>50000000</v>
      </c>
      <c r="JE35" s="45">
        <v>1000000</v>
      </c>
      <c r="JF35" s="45">
        <v>50000000</v>
      </c>
      <c r="JG35" s="45">
        <v>30000000</v>
      </c>
      <c r="JH35" s="45">
        <v>120000000</v>
      </c>
      <c r="JI35" s="45">
        <v>100000000</v>
      </c>
      <c r="JJ35" s="45">
        <v>200000000</v>
      </c>
      <c r="JK35" s="45">
        <v>5000000</v>
      </c>
      <c r="JL35" s="45">
        <v>752440000</v>
      </c>
      <c r="JM35" s="45">
        <v>80000000</v>
      </c>
      <c r="JN35" s="45">
        <v>300000000</v>
      </c>
      <c r="JO35" s="46">
        <v>10000000</v>
      </c>
      <c r="JP35" s="46">
        <v>30000000</v>
      </c>
      <c r="JQ35" s="63" t="s">
        <v>175</v>
      </c>
      <c r="JR35" s="46">
        <v>51960000</v>
      </c>
      <c r="JS35" s="46"/>
      <c r="JT35" s="46">
        <v>2000000</v>
      </c>
      <c r="JU35" s="46">
        <v>60000000</v>
      </c>
      <c r="JV35" s="46">
        <v>499520000</v>
      </c>
      <c r="JW35" s="46">
        <v>69800000</v>
      </c>
      <c r="JX35" s="46">
        <v>293850000</v>
      </c>
      <c r="JY35" s="46">
        <v>332666164</v>
      </c>
      <c r="JZ35" s="46">
        <v>2000000</v>
      </c>
      <c r="KA35" s="46">
        <v>10000000</v>
      </c>
      <c r="KB35" s="46">
        <v>350000000</v>
      </c>
      <c r="KC35" s="46">
        <v>13371000</v>
      </c>
      <c r="KD35" s="46">
        <v>225000000</v>
      </c>
      <c r="KE35" s="46">
        <v>40000000</v>
      </c>
      <c r="KF35" s="46">
        <v>77182000</v>
      </c>
      <c r="KG35" s="46">
        <v>100000000</v>
      </c>
      <c r="KH35" s="46">
        <v>103000000</v>
      </c>
    </row>
    <row r="36" spans="1:294">
      <c r="A36" s="7" t="s">
        <v>182</v>
      </c>
      <c r="B36" s="8" t="s">
        <v>11</v>
      </c>
      <c r="C36" s="19"/>
      <c r="D36" s="19"/>
      <c r="E36" s="19"/>
      <c r="F36" s="19"/>
      <c r="G36" s="47" t="s">
        <v>130</v>
      </c>
      <c r="H36" s="19"/>
      <c r="I36" s="19"/>
      <c r="J36" s="47" t="s">
        <v>4</v>
      </c>
      <c r="K36" s="19"/>
      <c r="L36" s="47" t="s">
        <v>96</v>
      </c>
      <c r="M36" s="47" t="s">
        <v>96</v>
      </c>
      <c r="N36" s="19"/>
      <c r="O36" s="19"/>
      <c r="P36" s="19"/>
      <c r="Q36" s="19"/>
      <c r="R36" s="19"/>
      <c r="S36" s="19">
        <v>522089148</v>
      </c>
      <c r="T36" s="47" t="s">
        <v>96</v>
      </c>
      <c r="U36" s="47" t="s">
        <v>172</v>
      </c>
      <c r="V36" s="47" t="s">
        <v>172</v>
      </c>
      <c r="W36" s="19">
        <v>354830100</v>
      </c>
      <c r="X36" s="19"/>
      <c r="Y36" s="19">
        <v>153650000</v>
      </c>
      <c r="Z36" s="19"/>
      <c r="AA36" s="19"/>
      <c r="AB36" s="19"/>
      <c r="AC36" s="19">
        <v>100000000</v>
      </c>
      <c r="AD36" s="19">
        <v>99580870</v>
      </c>
      <c r="AE36" s="19"/>
      <c r="AF36" s="47" t="s">
        <v>172</v>
      </c>
      <c r="AG36" s="19">
        <v>167006000</v>
      </c>
      <c r="AH36" s="19">
        <v>790076520</v>
      </c>
      <c r="AI36" s="19">
        <v>350082000</v>
      </c>
      <c r="AJ36" s="19"/>
      <c r="AK36" s="19"/>
      <c r="AL36" s="19"/>
      <c r="AM36" s="47" t="s">
        <v>4</v>
      </c>
      <c r="AN36" s="19"/>
      <c r="AO36" s="19">
        <v>2525278740</v>
      </c>
      <c r="AP36" s="19"/>
      <c r="AQ36" s="47" t="s">
        <v>96</v>
      </c>
      <c r="AR36" s="19">
        <v>1290000000</v>
      </c>
      <c r="AS36" s="19"/>
      <c r="AT36" s="47" t="s">
        <v>172</v>
      </c>
      <c r="AU36" s="19"/>
      <c r="AV36" s="19"/>
      <c r="AW36" s="19"/>
      <c r="AX36" s="47" t="s">
        <v>4</v>
      </c>
      <c r="AY36" s="19"/>
      <c r="AZ36" s="19">
        <v>23050000</v>
      </c>
      <c r="BA36" s="19"/>
      <c r="BB36" s="19">
        <v>95000000</v>
      </c>
      <c r="BC36" s="47" t="s">
        <v>4</v>
      </c>
      <c r="BD36" s="47" t="s">
        <v>130</v>
      </c>
      <c r="BE36" s="19">
        <v>269929256</v>
      </c>
      <c r="BF36" s="47" t="s">
        <v>96</v>
      </c>
      <c r="BG36" s="19"/>
      <c r="BH36" s="19"/>
      <c r="BI36" s="19"/>
      <c r="BJ36" s="19"/>
      <c r="BK36" s="19">
        <v>1143015929</v>
      </c>
      <c r="BL36" s="19"/>
      <c r="BM36" s="19"/>
      <c r="BN36" s="19"/>
      <c r="BO36" s="19"/>
      <c r="BP36" s="47" t="s">
        <v>96</v>
      </c>
      <c r="BQ36" s="47" t="s">
        <v>4</v>
      </c>
      <c r="BR36" s="19">
        <v>39981396</v>
      </c>
      <c r="BS36" s="19"/>
      <c r="BT36" s="47" t="s">
        <v>130</v>
      </c>
      <c r="BU36" s="19"/>
      <c r="BV36" s="19"/>
      <c r="BW36" s="19"/>
      <c r="BX36" s="19"/>
      <c r="BY36" s="19">
        <v>370898253</v>
      </c>
      <c r="BZ36" s="19"/>
      <c r="CA36" s="19">
        <v>487500000</v>
      </c>
      <c r="CB36" s="19"/>
      <c r="CC36" s="19"/>
      <c r="CD36" s="19">
        <v>43419518</v>
      </c>
      <c r="CE36" s="19"/>
      <c r="CF36" s="19">
        <v>491540642</v>
      </c>
      <c r="CG36" s="19"/>
      <c r="CH36" s="19"/>
      <c r="CI36" s="47" t="s">
        <v>130</v>
      </c>
      <c r="CJ36" s="19"/>
      <c r="CK36" s="19"/>
      <c r="CL36" s="19"/>
      <c r="CM36" s="19"/>
      <c r="CN36" s="19"/>
      <c r="CO36" s="19"/>
      <c r="CP36" s="19"/>
      <c r="CQ36" s="47" t="s">
        <v>96</v>
      </c>
      <c r="CR36" s="19"/>
      <c r="CS36" s="47" t="s">
        <v>172</v>
      </c>
      <c r="CT36" s="19">
        <v>39880333688</v>
      </c>
      <c r="CU36" s="19"/>
      <c r="CV36" s="19"/>
      <c r="CW36" s="19"/>
      <c r="CX36" s="19">
        <v>3852603670</v>
      </c>
      <c r="CY36" s="47" t="s">
        <v>96</v>
      </c>
      <c r="CZ36" s="19"/>
      <c r="DA36" s="47" t="s">
        <v>89</v>
      </c>
      <c r="DB36" s="19"/>
      <c r="DC36" s="19">
        <v>9870000</v>
      </c>
      <c r="DD36" s="19"/>
      <c r="DE36" s="19"/>
      <c r="DF36" s="19"/>
      <c r="DG36" s="19"/>
      <c r="DH36" s="19">
        <v>170619720</v>
      </c>
      <c r="DI36" s="19"/>
      <c r="DJ36" s="19"/>
      <c r="DK36" s="19">
        <v>1614238127</v>
      </c>
      <c r="DL36" s="19">
        <v>70083000</v>
      </c>
      <c r="DM36" s="19"/>
      <c r="DN36" s="19"/>
      <c r="DO36" s="19"/>
      <c r="DP36" s="19"/>
      <c r="DQ36" s="19"/>
      <c r="DR36" s="19">
        <v>1489138280</v>
      </c>
      <c r="DS36" s="19"/>
      <c r="DT36" s="19"/>
      <c r="DU36" s="19"/>
      <c r="DV36" s="19">
        <v>4164825239</v>
      </c>
      <c r="DW36" s="19"/>
      <c r="DX36" s="19">
        <v>6463978320</v>
      </c>
      <c r="DY36" s="19"/>
      <c r="DZ36" s="19"/>
      <c r="EA36" s="19"/>
      <c r="EB36" s="19"/>
      <c r="EC36" s="19"/>
      <c r="ED36" s="19"/>
      <c r="EE36" s="19"/>
      <c r="EF36" s="19"/>
      <c r="EG36" s="19">
        <v>18761286109</v>
      </c>
      <c r="EH36" s="19"/>
      <c r="EI36" s="19">
        <v>28652887730</v>
      </c>
      <c r="EJ36" s="19"/>
      <c r="EK36" s="19">
        <v>1910342360</v>
      </c>
      <c r="EL36" s="19"/>
      <c r="EM36" s="19"/>
      <c r="EN36" s="19"/>
      <c r="EO36" s="19"/>
      <c r="EP36" s="19"/>
      <c r="EQ36" s="19"/>
      <c r="ER36" s="19"/>
      <c r="ES36" s="19"/>
      <c r="ET36" s="19">
        <v>19390017527</v>
      </c>
      <c r="EU36" s="19">
        <v>1339996500</v>
      </c>
      <c r="EV36" s="19"/>
      <c r="EW36" s="19"/>
      <c r="EX36" s="19"/>
      <c r="EY36" s="19"/>
      <c r="EZ36" s="19"/>
      <c r="FA36" s="47" t="s">
        <v>130</v>
      </c>
      <c r="FB36" s="19"/>
      <c r="FC36" s="19"/>
      <c r="FD36" s="19"/>
      <c r="FE36" s="19"/>
      <c r="FF36" s="19"/>
      <c r="FG36" s="19"/>
      <c r="FH36" s="19">
        <v>494439500</v>
      </c>
      <c r="FI36" s="47" t="s">
        <v>96</v>
      </c>
      <c r="FJ36" s="19"/>
      <c r="FK36" s="19"/>
      <c r="FL36" s="47" t="s">
        <v>130</v>
      </c>
      <c r="FM36" s="19">
        <v>321474626</v>
      </c>
      <c r="FN36" s="19">
        <v>8986864651</v>
      </c>
      <c r="FO36" s="47" t="s">
        <v>172</v>
      </c>
      <c r="FP36" s="19">
        <v>38850630</v>
      </c>
      <c r="FQ36" s="19">
        <v>28527000</v>
      </c>
      <c r="FR36" s="19"/>
      <c r="FS36" s="47" t="s">
        <v>130</v>
      </c>
      <c r="FT36" s="19">
        <v>9679439958</v>
      </c>
      <c r="FU36" s="19"/>
      <c r="FV36" s="19">
        <v>795354781</v>
      </c>
      <c r="FW36" s="19"/>
      <c r="FX36" s="19">
        <v>122756004</v>
      </c>
      <c r="FY36" s="19">
        <v>4001450669</v>
      </c>
      <c r="FZ36" s="47" t="s">
        <v>175</v>
      </c>
      <c r="GA36" s="19">
        <v>1187060527</v>
      </c>
      <c r="GB36" s="19">
        <v>192530000</v>
      </c>
      <c r="GC36" s="19"/>
      <c r="GD36" s="48" t="s">
        <v>96</v>
      </c>
      <c r="GE36" s="48" t="s">
        <v>96</v>
      </c>
      <c r="GF36" s="19">
        <v>609664000</v>
      </c>
      <c r="GG36" s="19">
        <v>5568381308</v>
      </c>
      <c r="GH36" s="47" t="s">
        <v>172</v>
      </c>
      <c r="GI36" s="19"/>
      <c r="GJ36" s="47" t="s">
        <v>96</v>
      </c>
      <c r="GK36" s="19">
        <v>95000000</v>
      </c>
      <c r="GL36" s="47" t="s">
        <v>96</v>
      </c>
      <c r="GM36" s="19"/>
      <c r="GN36" s="19"/>
      <c r="GO36" s="47" t="s">
        <v>96</v>
      </c>
      <c r="GP36" s="19">
        <v>136322730</v>
      </c>
      <c r="GQ36" s="19">
        <v>299823810</v>
      </c>
      <c r="GR36" s="19">
        <v>901470857</v>
      </c>
      <c r="GS36" s="19">
        <v>1109558203</v>
      </c>
      <c r="GT36" s="19">
        <v>19646000</v>
      </c>
      <c r="GU36" s="19"/>
      <c r="GV36" s="19">
        <v>95400000</v>
      </c>
      <c r="GW36" s="19">
        <v>26445621360</v>
      </c>
      <c r="GX36" s="19"/>
      <c r="GY36" s="19">
        <v>2891466612</v>
      </c>
      <c r="GZ36" s="19"/>
      <c r="HA36" s="19">
        <v>2325983607</v>
      </c>
      <c r="HB36" s="19">
        <v>631225497</v>
      </c>
      <c r="HC36" s="19">
        <v>666343520</v>
      </c>
      <c r="HD36" s="19"/>
      <c r="HE36" s="19">
        <v>65793561</v>
      </c>
      <c r="HF36" s="19"/>
      <c r="HG36" s="19"/>
      <c r="HH36" s="47" t="s">
        <v>130</v>
      </c>
      <c r="HI36" s="19">
        <v>3448561495</v>
      </c>
      <c r="HJ36" s="19"/>
      <c r="HK36" s="19">
        <v>5462605248</v>
      </c>
      <c r="HL36" s="19"/>
      <c r="HM36" s="19"/>
      <c r="HN36" s="19"/>
      <c r="HO36" s="19"/>
      <c r="HP36" s="19"/>
      <c r="HQ36" s="19"/>
      <c r="HR36" s="19"/>
      <c r="HS36" s="19">
        <v>99986500</v>
      </c>
      <c r="HT36" s="19"/>
      <c r="HU36" s="19">
        <v>7860739195</v>
      </c>
      <c r="HV36" s="19">
        <v>5000000</v>
      </c>
      <c r="HW36" s="19" t="s">
        <v>96</v>
      </c>
      <c r="HX36" s="19">
        <v>282743904</v>
      </c>
      <c r="HY36" s="19" t="s">
        <v>172</v>
      </c>
      <c r="HZ36" s="19"/>
      <c r="IA36" s="19"/>
      <c r="IB36" s="19">
        <v>1145452196</v>
      </c>
      <c r="IC36" s="19"/>
      <c r="ID36" s="19"/>
      <c r="IE36" s="47" t="s">
        <v>96</v>
      </c>
      <c r="IF36" s="19"/>
      <c r="IG36" s="19"/>
      <c r="IH36" s="19">
        <v>87356800</v>
      </c>
      <c r="II36" s="19"/>
      <c r="IJ36" s="19">
        <v>325174612</v>
      </c>
      <c r="IK36" s="19">
        <v>34315154</v>
      </c>
      <c r="IL36" s="19"/>
      <c r="IM36" s="19">
        <v>1842799532</v>
      </c>
      <c r="IN36" s="19">
        <v>70036542</v>
      </c>
      <c r="IO36" s="19"/>
      <c r="IP36" s="19"/>
      <c r="IQ36" s="19">
        <v>37500000</v>
      </c>
      <c r="IR36" s="19"/>
      <c r="IS36" s="19"/>
      <c r="IT36" s="19"/>
      <c r="IU36" s="45">
        <v>642182188</v>
      </c>
      <c r="IV36" s="45"/>
      <c r="IW36" s="45"/>
      <c r="IX36" s="45"/>
      <c r="IY36" s="45">
        <v>999000000</v>
      </c>
      <c r="IZ36" s="45"/>
      <c r="JA36" s="45"/>
      <c r="JB36" s="45">
        <v>48000000</v>
      </c>
      <c r="JC36" s="45"/>
      <c r="JD36" s="45"/>
      <c r="JE36" s="45"/>
      <c r="JF36" s="45"/>
      <c r="JG36" s="45"/>
      <c r="JH36" s="45"/>
      <c r="JI36" s="45"/>
      <c r="JJ36" s="45"/>
      <c r="JK36" s="45"/>
      <c r="JL36" s="45"/>
      <c r="JM36" s="45"/>
      <c r="JN36" s="45">
        <v>447016000</v>
      </c>
      <c r="JO36" s="46"/>
      <c r="JP36" s="46"/>
      <c r="JQ36" s="63" t="s">
        <v>175</v>
      </c>
      <c r="JR36" s="46">
        <v>164059966</v>
      </c>
      <c r="JS36" s="46"/>
      <c r="JT36" s="46"/>
      <c r="JU36" s="46">
        <v>20000000</v>
      </c>
      <c r="JV36" s="46"/>
      <c r="JW36" s="46"/>
      <c r="JX36" s="46"/>
      <c r="JY36" s="46">
        <v>204900871</v>
      </c>
      <c r="JZ36" s="46"/>
      <c r="KA36" s="46"/>
      <c r="KB36" s="46"/>
      <c r="KC36" s="46">
        <v>417148500</v>
      </c>
      <c r="KD36" s="46"/>
      <c r="KE36" s="46"/>
      <c r="KF36" s="46">
        <v>563750375</v>
      </c>
      <c r="KG36" s="46"/>
      <c r="KH36" s="46">
        <v>26762520</v>
      </c>
    </row>
    <row r="37" spans="1:294">
      <c r="A37" s="7" t="s">
        <v>182</v>
      </c>
      <c r="B37" s="8" t="s">
        <v>31</v>
      </c>
      <c r="C37" s="19"/>
      <c r="D37" s="19"/>
      <c r="E37" s="19"/>
      <c r="F37" s="19"/>
      <c r="G37" s="47" t="s">
        <v>130</v>
      </c>
      <c r="H37" s="19"/>
      <c r="I37" s="19">
        <v>-3333850</v>
      </c>
      <c r="J37" s="47" t="s">
        <v>4</v>
      </c>
      <c r="K37" s="19"/>
      <c r="L37" s="47" t="s">
        <v>96</v>
      </c>
      <c r="M37" s="47" t="s">
        <v>96</v>
      </c>
      <c r="N37" s="19"/>
      <c r="O37" s="19"/>
      <c r="P37" s="19"/>
      <c r="Q37" s="19"/>
      <c r="R37" s="19"/>
      <c r="S37" s="19"/>
      <c r="T37" s="47" t="s">
        <v>96</v>
      </c>
      <c r="U37" s="47" t="s">
        <v>172</v>
      </c>
      <c r="V37" s="47" t="s">
        <v>172</v>
      </c>
      <c r="W37" s="19"/>
      <c r="X37" s="19"/>
      <c r="Y37" s="19"/>
      <c r="Z37" s="19">
        <v>-1961000</v>
      </c>
      <c r="AA37" s="19"/>
      <c r="AB37" s="19"/>
      <c r="AC37" s="19"/>
      <c r="AD37" s="19">
        <v>-816900</v>
      </c>
      <c r="AE37" s="19"/>
      <c r="AF37" s="47" t="s">
        <v>172</v>
      </c>
      <c r="AG37" s="19"/>
      <c r="AH37" s="19"/>
      <c r="AI37" s="19"/>
      <c r="AJ37" s="19"/>
      <c r="AK37" s="19"/>
      <c r="AL37" s="19"/>
      <c r="AM37" s="47" t="s">
        <v>4</v>
      </c>
      <c r="AN37" s="19"/>
      <c r="AO37" s="19"/>
      <c r="AP37" s="19"/>
      <c r="AQ37" s="47" t="s">
        <v>96</v>
      </c>
      <c r="AR37" s="19"/>
      <c r="AS37" s="19"/>
      <c r="AT37" s="47" t="s">
        <v>172</v>
      </c>
      <c r="AU37" s="19">
        <v>-10540980</v>
      </c>
      <c r="AV37" s="19"/>
      <c r="AW37" s="19"/>
      <c r="AX37" s="47" t="s">
        <v>4</v>
      </c>
      <c r="AY37" s="19"/>
      <c r="AZ37" s="19"/>
      <c r="BA37" s="19"/>
      <c r="BB37" s="19"/>
      <c r="BC37" s="47" t="s">
        <v>4</v>
      </c>
      <c r="BD37" s="47" t="s">
        <v>130</v>
      </c>
      <c r="BE37" s="19"/>
      <c r="BF37" s="47" t="s">
        <v>96</v>
      </c>
      <c r="BG37" s="19"/>
      <c r="BH37" s="19">
        <v>1410</v>
      </c>
      <c r="BI37" s="19">
        <v>-99999000</v>
      </c>
      <c r="BJ37" s="19"/>
      <c r="BK37" s="19"/>
      <c r="BL37" s="19">
        <v>-776240</v>
      </c>
      <c r="BM37" s="19"/>
      <c r="BN37" s="19"/>
      <c r="BO37" s="19"/>
      <c r="BP37" s="47" t="s">
        <v>96</v>
      </c>
      <c r="BQ37" s="47" t="s">
        <v>4</v>
      </c>
      <c r="BR37" s="19"/>
      <c r="BS37" s="19"/>
      <c r="BT37" s="47" t="s">
        <v>130</v>
      </c>
      <c r="BU37" s="19"/>
      <c r="BV37" s="19"/>
      <c r="BW37" s="19"/>
      <c r="BX37" s="19"/>
      <c r="BY37" s="19"/>
      <c r="BZ37" s="19"/>
      <c r="CA37" s="19"/>
      <c r="CB37" s="19"/>
      <c r="CC37" s="19"/>
      <c r="CD37" s="19"/>
      <c r="CE37" s="19"/>
      <c r="CF37" s="19"/>
      <c r="CG37" s="19"/>
      <c r="CH37" s="19"/>
      <c r="CI37" s="47" t="s">
        <v>130</v>
      </c>
      <c r="CJ37" s="19"/>
      <c r="CK37" s="19"/>
      <c r="CL37" s="19"/>
      <c r="CM37" s="19"/>
      <c r="CN37" s="19"/>
      <c r="CO37" s="19"/>
      <c r="CP37" s="19">
        <v>-21756240</v>
      </c>
      <c r="CQ37" s="47" t="s">
        <v>96</v>
      </c>
      <c r="CR37" s="19"/>
      <c r="CS37" s="47" t="s">
        <v>172</v>
      </c>
      <c r="CT37" s="19"/>
      <c r="CU37" s="19"/>
      <c r="CV37" s="19"/>
      <c r="CW37" s="19"/>
      <c r="CX37" s="19"/>
      <c r="CY37" s="47" t="s">
        <v>96</v>
      </c>
      <c r="CZ37" s="19"/>
      <c r="DA37" s="47" t="s">
        <v>89</v>
      </c>
      <c r="DB37" s="19"/>
      <c r="DC37" s="19"/>
      <c r="DD37" s="19"/>
      <c r="DE37" s="19"/>
      <c r="DF37" s="19"/>
      <c r="DG37" s="19"/>
      <c r="DH37" s="19"/>
      <c r="DI37" s="19"/>
      <c r="DJ37" s="19"/>
      <c r="DK37" s="19"/>
      <c r="DL37" s="19"/>
      <c r="DM37" s="19"/>
      <c r="DN37" s="19"/>
      <c r="DO37" s="19"/>
      <c r="DP37" s="19"/>
      <c r="DQ37" s="19"/>
      <c r="DR37" s="19"/>
      <c r="DS37" s="19"/>
      <c r="DT37" s="19"/>
      <c r="DU37" s="19"/>
      <c r="DV37" s="19"/>
      <c r="DW37" s="19"/>
      <c r="DX37" s="19"/>
      <c r="DY37" s="19"/>
      <c r="DZ37" s="19"/>
      <c r="EA37" s="19"/>
      <c r="EB37" s="19"/>
      <c r="EC37" s="19"/>
      <c r="ED37" s="19"/>
      <c r="EE37" s="19"/>
      <c r="EF37" s="19"/>
      <c r="EG37" s="19"/>
      <c r="EH37" s="19"/>
      <c r="EI37" s="19"/>
      <c r="EJ37" s="19"/>
      <c r="EK37" s="19"/>
      <c r="EL37" s="19"/>
      <c r="EM37" s="19"/>
      <c r="EN37" s="19"/>
      <c r="EO37" s="19"/>
      <c r="EP37" s="19"/>
      <c r="EQ37" s="19"/>
      <c r="ER37" s="19"/>
      <c r="ES37" s="19">
        <v>-8724240</v>
      </c>
      <c r="ET37" s="19"/>
      <c r="EU37" s="19"/>
      <c r="EV37" s="19"/>
      <c r="EW37" s="19"/>
      <c r="EX37" s="19"/>
      <c r="EY37" s="19"/>
      <c r="EZ37" s="19"/>
      <c r="FA37" s="47" t="s">
        <v>130</v>
      </c>
      <c r="FB37" s="19"/>
      <c r="FC37" s="19"/>
      <c r="FD37" s="19"/>
      <c r="FE37" s="19">
        <v>-2000000</v>
      </c>
      <c r="FF37" s="19"/>
      <c r="FG37" s="19"/>
      <c r="FH37" s="19"/>
      <c r="FI37" s="47" t="s">
        <v>96</v>
      </c>
      <c r="FJ37" s="19"/>
      <c r="FK37" s="19"/>
      <c r="FL37" s="47" t="s">
        <v>130</v>
      </c>
      <c r="FM37" s="19"/>
      <c r="FN37" s="19">
        <v>0</v>
      </c>
      <c r="FO37" s="47" t="s">
        <v>172</v>
      </c>
      <c r="FP37" s="19">
        <v>-4589351</v>
      </c>
      <c r="FQ37" s="19"/>
      <c r="FR37" s="19"/>
      <c r="FS37" s="47" t="s">
        <v>130</v>
      </c>
      <c r="FT37" s="19"/>
      <c r="FU37" s="19"/>
      <c r="FV37" s="19"/>
      <c r="FW37" s="19"/>
      <c r="FX37" s="19"/>
      <c r="FY37" s="19"/>
      <c r="FZ37" s="47" t="s">
        <v>175</v>
      </c>
      <c r="GA37" s="19"/>
      <c r="GB37" s="19">
        <v>-2323050</v>
      </c>
      <c r="GC37" s="19"/>
      <c r="GD37" s="48" t="s">
        <v>96</v>
      </c>
      <c r="GE37" s="48" t="s">
        <v>96</v>
      </c>
      <c r="GF37" s="19"/>
      <c r="GG37" s="19"/>
      <c r="GH37" s="47" t="s">
        <v>172</v>
      </c>
      <c r="GI37" s="19"/>
      <c r="GJ37" s="47" t="s">
        <v>96</v>
      </c>
      <c r="GK37" s="19"/>
      <c r="GL37" s="47" t="s">
        <v>96</v>
      </c>
      <c r="GM37" s="19"/>
      <c r="GN37" s="19">
        <v>-1044000</v>
      </c>
      <c r="GO37" s="47" t="s">
        <v>96</v>
      </c>
      <c r="GP37" s="19"/>
      <c r="GQ37" s="19"/>
      <c r="GR37" s="19"/>
      <c r="GS37" s="19"/>
      <c r="GT37" s="19"/>
      <c r="GU37" s="19"/>
      <c r="GV37" s="19">
        <v>-4875000</v>
      </c>
      <c r="GW37" s="19"/>
      <c r="GX37" s="19"/>
      <c r="GY37" s="19"/>
      <c r="GZ37" s="19"/>
      <c r="HA37" s="19"/>
      <c r="HB37" s="19"/>
      <c r="HC37" s="19"/>
      <c r="HD37" s="19"/>
      <c r="HE37" s="19"/>
      <c r="HF37" s="19">
        <v>-900000</v>
      </c>
      <c r="HG37" s="19"/>
      <c r="HH37" s="47" t="s">
        <v>130</v>
      </c>
      <c r="HI37" s="19"/>
      <c r="HJ37" s="19"/>
      <c r="HK37" s="19"/>
      <c r="HL37" s="19"/>
      <c r="HM37" s="19"/>
      <c r="HN37" s="19"/>
      <c r="HO37" s="19">
        <v>-320000</v>
      </c>
      <c r="HP37" s="19"/>
      <c r="HQ37" s="19"/>
      <c r="HR37" s="19"/>
      <c r="HS37" s="19"/>
      <c r="HT37" s="19"/>
      <c r="HU37" s="19"/>
      <c r="HV37" s="19">
        <v>600000</v>
      </c>
      <c r="HW37" s="19" t="s">
        <v>96</v>
      </c>
      <c r="HX37" s="19"/>
      <c r="HY37" s="19" t="s">
        <v>172</v>
      </c>
      <c r="HZ37" s="19"/>
      <c r="IA37" s="19"/>
      <c r="IB37" s="19"/>
      <c r="IC37" s="19">
        <v>-914000</v>
      </c>
      <c r="ID37" s="19"/>
      <c r="IE37" s="47" t="s">
        <v>96</v>
      </c>
      <c r="IF37" s="19"/>
      <c r="IG37" s="19"/>
      <c r="IH37" s="19">
        <v>-30169720</v>
      </c>
      <c r="II37" s="19"/>
      <c r="IJ37" s="19"/>
      <c r="IK37" s="19"/>
      <c r="IL37" s="19"/>
      <c r="IM37" s="19"/>
      <c r="IN37" s="19"/>
      <c r="IO37" s="19"/>
      <c r="IP37" s="19"/>
      <c r="IQ37" s="19"/>
      <c r="IR37" s="19"/>
      <c r="IS37" s="19"/>
      <c r="IT37" s="19"/>
      <c r="IU37" s="45"/>
      <c r="IV37" s="45"/>
      <c r="IW37" s="45"/>
      <c r="IX37" s="45"/>
      <c r="IY37" s="45"/>
      <c r="IZ37" s="45"/>
      <c r="JA37" s="45"/>
      <c r="JB37" s="45">
        <v>-454000</v>
      </c>
      <c r="JC37" s="45"/>
      <c r="JD37" s="45"/>
      <c r="JE37" s="45"/>
      <c r="JF37" s="45"/>
      <c r="JG37" s="45"/>
      <c r="JH37" s="45"/>
      <c r="JI37" s="45"/>
      <c r="JJ37" s="45">
        <v>-1014000</v>
      </c>
      <c r="JK37" s="45"/>
      <c r="JL37" s="45"/>
      <c r="JM37" s="45"/>
      <c r="JN37" s="45">
        <v>40000000</v>
      </c>
      <c r="JO37" s="46"/>
      <c r="JP37" s="46"/>
      <c r="JQ37" s="63" t="s">
        <v>175</v>
      </c>
      <c r="JR37" s="46"/>
      <c r="JS37" s="46"/>
      <c r="JT37" s="46"/>
      <c r="JU37" s="46"/>
      <c r="JV37" s="46"/>
      <c r="JW37" s="46"/>
      <c r="JX37" s="46">
        <v>717077278</v>
      </c>
      <c r="JY37" s="46"/>
      <c r="JZ37" s="46"/>
      <c r="KA37" s="46">
        <v>5500000</v>
      </c>
      <c r="KB37" s="46"/>
      <c r="KC37" s="46"/>
      <c r="KD37" s="46"/>
      <c r="KE37" s="46"/>
      <c r="KF37" s="46"/>
      <c r="KG37" s="46">
        <v>-1776000</v>
      </c>
      <c r="KH37" s="46"/>
    </row>
    <row r="38" spans="1:294">
      <c r="A38" s="7" t="s">
        <v>182</v>
      </c>
      <c r="B38" s="8" t="s">
        <v>56</v>
      </c>
      <c r="C38" s="19"/>
      <c r="D38" s="19"/>
      <c r="E38" s="19"/>
      <c r="F38" s="19"/>
      <c r="G38" s="47" t="s">
        <v>130</v>
      </c>
      <c r="H38" s="19"/>
      <c r="I38" s="19"/>
      <c r="J38" s="47" t="s">
        <v>4</v>
      </c>
      <c r="K38" s="19"/>
      <c r="L38" s="47" t="s">
        <v>96</v>
      </c>
      <c r="M38" s="47" t="s">
        <v>96</v>
      </c>
      <c r="N38" s="19"/>
      <c r="O38" s="19"/>
      <c r="P38" s="19"/>
      <c r="Q38" s="19"/>
      <c r="R38" s="19"/>
      <c r="S38" s="19"/>
      <c r="T38" s="47" t="s">
        <v>96</v>
      </c>
      <c r="U38" s="47" t="s">
        <v>172</v>
      </c>
      <c r="V38" s="47" t="s">
        <v>172</v>
      </c>
      <c r="W38" s="19"/>
      <c r="X38" s="19"/>
      <c r="Y38" s="19"/>
      <c r="Z38" s="19"/>
      <c r="AA38" s="19"/>
      <c r="AB38" s="19"/>
      <c r="AC38" s="19"/>
      <c r="AD38" s="19"/>
      <c r="AE38" s="19"/>
      <c r="AF38" s="47" t="s">
        <v>172</v>
      </c>
      <c r="AG38" s="19"/>
      <c r="AH38" s="19"/>
      <c r="AI38" s="19"/>
      <c r="AJ38" s="19"/>
      <c r="AK38" s="19"/>
      <c r="AL38" s="19"/>
      <c r="AM38" s="47" t="s">
        <v>4</v>
      </c>
      <c r="AN38" s="19"/>
      <c r="AO38" s="19"/>
      <c r="AP38" s="19"/>
      <c r="AQ38" s="47" t="s">
        <v>96</v>
      </c>
      <c r="AR38" s="19"/>
      <c r="AS38" s="19"/>
      <c r="AT38" s="47" t="s">
        <v>172</v>
      </c>
      <c r="AU38" s="19"/>
      <c r="AV38" s="19"/>
      <c r="AW38" s="19"/>
      <c r="AX38" s="47" t="s">
        <v>4</v>
      </c>
      <c r="AY38" s="19"/>
      <c r="AZ38" s="19"/>
      <c r="BA38" s="19"/>
      <c r="BB38" s="19"/>
      <c r="BC38" s="47" t="s">
        <v>4</v>
      </c>
      <c r="BD38" s="47" t="s">
        <v>130</v>
      </c>
      <c r="BE38" s="19"/>
      <c r="BF38" s="47" t="s">
        <v>96</v>
      </c>
      <c r="BG38" s="19"/>
      <c r="BH38" s="19"/>
      <c r="BI38" s="19"/>
      <c r="BJ38" s="19"/>
      <c r="BK38" s="19"/>
      <c r="BL38" s="19"/>
      <c r="BM38" s="19">
        <v>406674</v>
      </c>
      <c r="BN38" s="19"/>
      <c r="BO38" s="19"/>
      <c r="BP38" s="47" t="s">
        <v>96</v>
      </c>
      <c r="BQ38" s="47" t="s">
        <v>4</v>
      </c>
      <c r="BR38" s="19"/>
      <c r="BS38" s="19"/>
      <c r="BT38" s="47" t="s">
        <v>130</v>
      </c>
      <c r="BU38" s="19"/>
      <c r="BV38" s="19"/>
      <c r="BW38" s="19"/>
      <c r="BX38" s="19"/>
      <c r="BY38" s="19"/>
      <c r="BZ38" s="19"/>
      <c r="CA38" s="19"/>
      <c r="CB38" s="19"/>
      <c r="CC38" s="19"/>
      <c r="CD38" s="19"/>
      <c r="CE38" s="19"/>
      <c r="CF38" s="19"/>
      <c r="CG38" s="19"/>
      <c r="CH38" s="19"/>
      <c r="CI38" s="47" t="s">
        <v>130</v>
      </c>
      <c r="CJ38" s="19"/>
      <c r="CK38" s="19">
        <v>1601400000</v>
      </c>
      <c r="CL38" s="19"/>
      <c r="CM38" s="19"/>
      <c r="CN38" s="19"/>
      <c r="CO38" s="19"/>
      <c r="CP38" s="19"/>
      <c r="CQ38" s="47" t="s">
        <v>96</v>
      </c>
      <c r="CR38" s="19"/>
      <c r="CS38" s="47" t="s">
        <v>172</v>
      </c>
      <c r="CT38" s="19"/>
      <c r="CU38" s="19">
        <v>4414883</v>
      </c>
      <c r="CV38" s="19"/>
      <c r="CW38" s="19"/>
      <c r="CX38" s="19"/>
      <c r="CY38" s="47" t="s">
        <v>96</v>
      </c>
      <c r="CZ38" s="19"/>
      <c r="DA38" s="47" t="s">
        <v>89</v>
      </c>
      <c r="DB38" s="19"/>
      <c r="DC38" s="19"/>
      <c r="DD38" s="19"/>
      <c r="DE38" s="19"/>
      <c r="DF38" s="19"/>
      <c r="DG38" s="19"/>
      <c r="DH38" s="19"/>
      <c r="DI38" s="19"/>
      <c r="DJ38" s="19"/>
      <c r="DK38" s="19"/>
      <c r="DL38" s="19"/>
      <c r="DM38" s="19"/>
      <c r="DN38" s="19"/>
      <c r="DO38" s="19"/>
      <c r="DP38" s="19"/>
      <c r="DQ38" s="19"/>
      <c r="DR38" s="19"/>
      <c r="DS38" s="19"/>
      <c r="DT38" s="19"/>
      <c r="DU38" s="19"/>
      <c r="DV38" s="19"/>
      <c r="DW38" s="19"/>
      <c r="DX38" s="19"/>
      <c r="DY38" s="19"/>
      <c r="DZ38" s="19"/>
      <c r="EA38" s="19"/>
      <c r="EB38" s="19"/>
      <c r="EC38" s="19"/>
      <c r="ED38" s="19"/>
      <c r="EE38" s="19"/>
      <c r="EF38" s="19"/>
      <c r="EG38" s="19"/>
      <c r="EH38" s="19"/>
      <c r="EI38" s="19"/>
      <c r="EJ38" s="19"/>
      <c r="EK38" s="19"/>
      <c r="EL38" s="19"/>
      <c r="EM38" s="19"/>
      <c r="EN38" s="19"/>
      <c r="EO38" s="19"/>
      <c r="EP38" s="19"/>
      <c r="EQ38" s="19"/>
      <c r="ER38" s="19"/>
      <c r="ES38" s="19"/>
      <c r="ET38" s="19"/>
      <c r="EU38" s="19"/>
      <c r="EV38" s="19"/>
      <c r="EW38" s="19"/>
      <c r="EX38" s="19"/>
      <c r="EY38" s="19"/>
      <c r="EZ38" s="19"/>
      <c r="FA38" s="47" t="s">
        <v>130</v>
      </c>
      <c r="FB38" s="19"/>
      <c r="FC38" s="19"/>
      <c r="FD38" s="19"/>
      <c r="FE38" s="19"/>
      <c r="FF38" s="19"/>
      <c r="FG38" s="19"/>
      <c r="FH38" s="19"/>
      <c r="FI38" s="47" t="s">
        <v>96</v>
      </c>
      <c r="FJ38" s="19"/>
      <c r="FK38" s="19"/>
      <c r="FL38" s="47" t="s">
        <v>130</v>
      </c>
      <c r="FM38" s="19"/>
      <c r="FN38" s="19"/>
      <c r="FO38" s="47" t="s">
        <v>172</v>
      </c>
      <c r="FP38" s="19"/>
      <c r="FQ38" s="19"/>
      <c r="FR38" s="19"/>
      <c r="FS38" s="47" t="s">
        <v>130</v>
      </c>
      <c r="FT38" s="19"/>
      <c r="FU38" s="19"/>
      <c r="FV38" s="19"/>
      <c r="FW38" s="19"/>
      <c r="FX38" s="19"/>
      <c r="FY38" s="19"/>
      <c r="FZ38" s="47" t="s">
        <v>175</v>
      </c>
      <c r="GA38" s="19"/>
      <c r="GB38" s="19"/>
      <c r="GC38" s="19"/>
      <c r="GD38" s="48" t="s">
        <v>96</v>
      </c>
      <c r="GE38" s="48" t="s">
        <v>96</v>
      </c>
      <c r="GF38" s="19"/>
      <c r="GG38" s="19"/>
      <c r="GH38" s="47" t="s">
        <v>172</v>
      </c>
      <c r="GI38" s="19"/>
      <c r="GJ38" s="47" t="s">
        <v>96</v>
      </c>
      <c r="GK38" s="19"/>
      <c r="GL38" s="47" t="s">
        <v>96</v>
      </c>
      <c r="GM38" s="19"/>
      <c r="GN38" s="19"/>
      <c r="GO38" s="47" t="s">
        <v>96</v>
      </c>
      <c r="GP38" s="19">
        <v>1354954460</v>
      </c>
      <c r="GQ38" s="19"/>
      <c r="GR38" s="19"/>
      <c r="GS38" s="19"/>
      <c r="GT38" s="19"/>
      <c r="GU38" s="19"/>
      <c r="GV38" s="19"/>
      <c r="GW38" s="19"/>
      <c r="GX38" s="19"/>
      <c r="GY38" s="19"/>
      <c r="GZ38" s="19"/>
      <c r="HA38" s="19"/>
      <c r="HB38" s="19"/>
      <c r="HC38" s="19"/>
      <c r="HD38" s="19"/>
      <c r="HE38" s="19">
        <v>-561476053</v>
      </c>
      <c r="HF38" s="19"/>
      <c r="HG38" s="19"/>
      <c r="HH38" s="47" t="s">
        <v>130</v>
      </c>
      <c r="HI38" s="19"/>
      <c r="HJ38" s="19"/>
      <c r="HK38" s="19"/>
      <c r="HL38" s="19"/>
      <c r="HM38" s="19"/>
      <c r="HN38" s="19"/>
      <c r="HO38" s="19"/>
      <c r="HP38" s="19"/>
      <c r="HQ38" s="19"/>
      <c r="HR38" s="19"/>
      <c r="HS38" s="19"/>
      <c r="HT38" s="19"/>
      <c r="HU38" s="19"/>
      <c r="HV38" s="19"/>
      <c r="HW38" s="19" t="s">
        <v>96</v>
      </c>
      <c r="HX38" s="19">
        <v>464523</v>
      </c>
      <c r="HY38" s="19" t="s">
        <v>172</v>
      </c>
      <c r="HZ38" s="19"/>
      <c r="IA38" s="19"/>
      <c r="IB38" s="19"/>
      <c r="IC38" s="19"/>
      <c r="ID38" s="19"/>
      <c r="IE38" s="47" t="s">
        <v>96</v>
      </c>
      <c r="IF38" s="19"/>
      <c r="IG38" s="19"/>
      <c r="IH38" s="19"/>
      <c r="II38" s="19"/>
      <c r="IJ38" s="19"/>
      <c r="IK38" s="19"/>
      <c r="IL38" s="19"/>
      <c r="IM38" s="19"/>
      <c r="IN38" s="19"/>
      <c r="IO38" s="19"/>
      <c r="IP38" s="19"/>
      <c r="IQ38" s="19"/>
      <c r="IR38" s="19"/>
      <c r="IS38" s="19"/>
      <c r="IT38" s="19"/>
      <c r="IU38" s="45"/>
      <c r="IV38" s="45"/>
      <c r="IW38" s="45"/>
      <c r="IX38" s="45"/>
      <c r="IY38" s="45"/>
      <c r="IZ38" s="45"/>
      <c r="JA38" s="45"/>
      <c r="JB38" s="45"/>
      <c r="JC38" s="45"/>
      <c r="JD38" s="45"/>
      <c r="JE38" s="45"/>
      <c r="JF38" s="45"/>
      <c r="JG38" s="45"/>
      <c r="JH38" s="45"/>
      <c r="JI38" s="45"/>
      <c r="JJ38" s="45"/>
      <c r="JK38" s="45"/>
      <c r="JL38" s="45"/>
      <c r="JM38" s="45"/>
      <c r="JN38" s="45"/>
      <c r="JO38" s="46"/>
      <c r="JP38" s="46"/>
      <c r="JQ38" s="63" t="s">
        <v>175</v>
      </c>
      <c r="JR38" s="46"/>
      <c r="JS38" s="46"/>
      <c r="JT38" s="46"/>
      <c r="JU38" s="46"/>
      <c r="JV38" s="46"/>
      <c r="JW38" s="46"/>
      <c r="JX38" s="46"/>
      <c r="JY38" s="46"/>
      <c r="JZ38" s="46"/>
      <c r="KA38" s="46"/>
      <c r="KB38" s="46">
        <v>76056541</v>
      </c>
      <c r="KC38" s="46"/>
      <c r="KD38" s="46"/>
      <c r="KE38" s="46"/>
      <c r="KF38" s="46"/>
      <c r="KG38" s="46"/>
      <c r="KH38" s="46"/>
    </row>
    <row r="39" spans="1:294">
      <c r="A39" s="7" t="s">
        <v>182</v>
      </c>
      <c r="B39" s="8" t="s">
        <v>82</v>
      </c>
      <c r="C39" s="19">
        <v>212723240</v>
      </c>
      <c r="D39" s="19">
        <v>990325216</v>
      </c>
      <c r="E39" s="19">
        <v>425361889</v>
      </c>
      <c r="F39" s="19">
        <v>1080172457</v>
      </c>
      <c r="G39" s="47" t="s">
        <v>130</v>
      </c>
      <c r="H39" s="19">
        <v>323411090</v>
      </c>
      <c r="I39" s="19">
        <v>1126796701</v>
      </c>
      <c r="J39" s="47" t="s">
        <v>4</v>
      </c>
      <c r="K39" s="19">
        <v>-307415</v>
      </c>
      <c r="L39" s="47" t="s">
        <v>96</v>
      </c>
      <c r="M39" s="47" t="s">
        <v>96</v>
      </c>
      <c r="N39" s="19">
        <v>-200830034</v>
      </c>
      <c r="O39" s="19">
        <v>-96642532</v>
      </c>
      <c r="P39" s="19">
        <v>-11881748</v>
      </c>
      <c r="Q39" s="19">
        <v>109536267</v>
      </c>
      <c r="R39" s="19">
        <v>39015140</v>
      </c>
      <c r="S39" s="19">
        <v>1033789377</v>
      </c>
      <c r="T39" s="47" t="s">
        <v>96</v>
      </c>
      <c r="U39" s="47" t="s">
        <v>172</v>
      </c>
      <c r="V39" s="47" t="s">
        <v>172</v>
      </c>
      <c r="W39" s="19">
        <v>-815036039</v>
      </c>
      <c r="X39" s="19">
        <v>3518782203</v>
      </c>
      <c r="Y39" s="19">
        <v>-73214736</v>
      </c>
      <c r="Z39" s="19">
        <v>-638513218</v>
      </c>
      <c r="AA39" s="19">
        <v>1809284613</v>
      </c>
      <c r="AB39" s="19">
        <v>46957108</v>
      </c>
      <c r="AC39" s="19">
        <v>631684470</v>
      </c>
      <c r="AD39" s="19">
        <v>679168093</v>
      </c>
      <c r="AE39" s="19">
        <v>579952138</v>
      </c>
      <c r="AF39" s="47" t="s">
        <v>172</v>
      </c>
      <c r="AG39" s="19">
        <v>-1478061576</v>
      </c>
      <c r="AH39" s="19">
        <v>1332656327</v>
      </c>
      <c r="AI39" s="19">
        <v>-710870150</v>
      </c>
      <c r="AJ39" s="19">
        <v>290362299</v>
      </c>
      <c r="AK39" s="19">
        <v>1378461295</v>
      </c>
      <c r="AL39" s="19">
        <v>187867838</v>
      </c>
      <c r="AM39" s="47" t="s">
        <v>4</v>
      </c>
      <c r="AN39" s="19">
        <v>326620280</v>
      </c>
      <c r="AO39" s="19">
        <v>-2505068064</v>
      </c>
      <c r="AP39" s="19">
        <v>-799323981</v>
      </c>
      <c r="AQ39" s="47" t="s">
        <v>96</v>
      </c>
      <c r="AR39" s="19">
        <v>-1207319751</v>
      </c>
      <c r="AS39" s="19">
        <v>-209015689</v>
      </c>
      <c r="AT39" s="47" t="s">
        <v>172</v>
      </c>
      <c r="AU39" s="19">
        <v>-796698812</v>
      </c>
      <c r="AV39" s="19">
        <v>202417616</v>
      </c>
      <c r="AW39" s="19">
        <v>106714116</v>
      </c>
      <c r="AX39" s="47" t="s">
        <v>4</v>
      </c>
      <c r="AY39" s="19">
        <v>3683481</v>
      </c>
      <c r="AZ39" s="19">
        <v>87672075</v>
      </c>
      <c r="BA39" s="19">
        <v>-579258600</v>
      </c>
      <c r="BB39" s="19">
        <v>-153359879</v>
      </c>
      <c r="BC39" s="47" t="s">
        <v>4</v>
      </c>
      <c r="BD39" s="47" t="s">
        <v>130</v>
      </c>
      <c r="BE39" s="19">
        <v>217423474</v>
      </c>
      <c r="BF39" s="47" t="s">
        <v>96</v>
      </c>
      <c r="BG39" s="19">
        <v>-2007361045</v>
      </c>
      <c r="BH39" s="19">
        <v>71939742</v>
      </c>
      <c r="BI39" s="19">
        <v>597756745</v>
      </c>
      <c r="BJ39" s="19">
        <v>135587577</v>
      </c>
      <c r="BK39" s="19">
        <v>-1049464438</v>
      </c>
      <c r="BL39" s="19">
        <v>1015823516</v>
      </c>
      <c r="BM39" s="19">
        <v>357133594</v>
      </c>
      <c r="BN39" s="19">
        <v>155471332</v>
      </c>
      <c r="BO39" s="19">
        <v>-117914521</v>
      </c>
      <c r="BP39" s="47" t="s">
        <v>96</v>
      </c>
      <c r="BQ39" s="47" t="s">
        <v>4</v>
      </c>
      <c r="BR39" s="19">
        <v>5235640554</v>
      </c>
      <c r="BS39" s="19">
        <v>-54680405</v>
      </c>
      <c r="BT39" s="47" t="s">
        <v>130</v>
      </c>
      <c r="BU39" s="19">
        <v>-77064460</v>
      </c>
      <c r="BV39" s="19">
        <v>173110146</v>
      </c>
      <c r="BW39" s="19">
        <v>17624847</v>
      </c>
      <c r="BX39" s="19">
        <v>59206484</v>
      </c>
      <c r="BY39" s="19">
        <v>-1359441071</v>
      </c>
      <c r="BZ39" s="19">
        <v>2485427127</v>
      </c>
      <c r="CA39" s="19">
        <v>-287223332</v>
      </c>
      <c r="CB39" s="19">
        <v>-15263250</v>
      </c>
      <c r="CC39" s="19">
        <v>19162471</v>
      </c>
      <c r="CD39" s="19">
        <v>306817851</v>
      </c>
      <c r="CE39" s="19">
        <v>175787309</v>
      </c>
      <c r="CF39" s="19">
        <v>-1866582455</v>
      </c>
      <c r="CG39" s="19">
        <v>119035295</v>
      </c>
      <c r="CH39" s="19">
        <v>332387667</v>
      </c>
      <c r="CI39" s="47" t="s">
        <v>130</v>
      </c>
      <c r="CJ39" s="19">
        <v>41646158</v>
      </c>
      <c r="CK39" s="19">
        <v>-730014747</v>
      </c>
      <c r="CL39" s="19">
        <v>-50328068</v>
      </c>
      <c r="CM39" s="19">
        <v>2269791630</v>
      </c>
      <c r="CN39" s="19">
        <v>-18533794</v>
      </c>
      <c r="CO39" s="19">
        <v>23738557</v>
      </c>
      <c r="CP39" s="19">
        <v>395791293</v>
      </c>
      <c r="CQ39" s="47" t="s">
        <v>96</v>
      </c>
      <c r="CR39" s="19">
        <v>581865478</v>
      </c>
      <c r="CS39" s="47" t="s">
        <v>172</v>
      </c>
      <c r="CT39" s="19">
        <v>-19145698547</v>
      </c>
      <c r="CU39" s="19">
        <v>480104819</v>
      </c>
      <c r="CV39" s="19">
        <v>-256285465</v>
      </c>
      <c r="CW39" s="19">
        <v>821759285</v>
      </c>
      <c r="CX39" s="19">
        <v>-5586823915</v>
      </c>
      <c r="CY39" s="47" t="s">
        <v>96</v>
      </c>
      <c r="CZ39" s="19">
        <v>1407173772</v>
      </c>
      <c r="DA39" s="47" t="s">
        <v>89</v>
      </c>
      <c r="DB39" s="19">
        <v>528859002</v>
      </c>
      <c r="DC39" s="19">
        <v>-67638055</v>
      </c>
      <c r="DD39" s="19">
        <v>-168194955</v>
      </c>
      <c r="DE39" s="19">
        <v>378658865</v>
      </c>
      <c r="DF39" s="19">
        <v>-8546094</v>
      </c>
      <c r="DG39" s="19">
        <v>88441601</v>
      </c>
      <c r="DH39" s="19">
        <v>-211633971</v>
      </c>
      <c r="DI39" s="19">
        <v>754347413</v>
      </c>
      <c r="DJ39" s="19">
        <v>148815221</v>
      </c>
      <c r="DK39" s="19">
        <v>688500006</v>
      </c>
      <c r="DL39" s="19">
        <v>-70344646</v>
      </c>
      <c r="DM39" s="19">
        <v>1182193772</v>
      </c>
      <c r="DN39" s="19">
        <v>-49278621</v>
      </c>
      <c r="DO39" s="19">
        <v>7684185</v>
      </c>
      <c r="DP39" s="19">
        <v>813896561</v>
      </c>
      <c r="DQ39" s="19">
        <v>68924209</v>
      </c>
      <c r="DR39" s="19">
        <v>-389992032</v>
      </c>
      <c r="DS39" s="19">
        <v>233177506</v>
      </c>
      <c r="DT39" s="19">
        <v>1350648195</v>
      </c>
      <c r="DU39" s="19">
        <v>115932520</v>
      </c>
      <c r="DV39" s="19"/>
      <c r="DW39" s="19">
        <v>870600298</v>
      </c>
      <c r="DX39" s="19">
        <v>-480727072</v>
      </c>
      <c r="DY39" s="19">
        <v>169185028</v>
      </c>
      <c r="DZ39" s="19">
        <v>499803464</v>
      </c>
      <c r="EA39" s="19">
        <v>61991971</v>
      </c>
      <c r="EB39" s="19">
        <v>1668799529</v>
      </c>
      <c r="EC39" s="19">
        <v>-27272198</v>
      </c>
      <c r="ED39" s="19">
        <v>86488348</v>
      </c>
      <c r="EE39" s="19">
        <v>531165124</v>
      </c>
      <c r="EF39" s="19">
        <v>1325476119</v>
      </c>
      <c r="EG39" s="19">
        <v>-14843201350</v>
      </c>
      <c r="EH39" s="19">
        <v>4441296</v>
      </c>
      <c r="EI39" s="19">
        <v>-12466255264</v>
      </c>
      <c r="EJ39" s="19">
        <v>110247840</v>
      </c>
      <c r="EK39" s="19">
        <v>-2286991765</v>
      </c>
      <c r="EL39" s="19">
        <v>1791455154</v>
      </c>
      <c r="EM39" s="19">
        <v>853931234</v>
      </c>
      <c r="EN39" s="19">
        <v>2356579651</v>
      </c>
      <c r="EO39" s="19">
        <v>153385567</v>
      </c>
      <c r="EP39" s="19">
        <v>-163448009</v>
      </c>
      <c r="EQ39" s="19">
        <v>1565314721</v>
      </c>
      <c r="ER39" s="19">
        <v>-269113097</v>
      </c>
      <c r="ES39" s="19">
        <v>-521678278</v>
      </c>
      <c r="ET39" s="19">
        <v>-3000149963</v>
      </c>
      <c r="EU39" s="19">
        <v>329184149</v>
      </c>
      <c r="EV39" s="19">
        <v>68140182</v>
      </c>
      <c r="EW39" s="19">
        <v>-30429156</v>
      </c>
      <c r="EX39" s="19">
        <v>836128509</v>
      </c>
      <c r="EY39" s="19">
        <v>1915133089</v>
      </c>
      <c r="EZ39" s="19">
        <v>-240525853</v>
      </c>
      <c r="FA39" s="47" t="s">
        <v>130</v>
      </c>
      <c r="FB39" s="19">
        <v>-85136931</v>
      </c>
      <c r="FC39" s="19">
        <v>2168200</v>
      </c>
      <c r="FD39" s="19">
        <v>211081764</v>
      </c>
      <c r="FE39" s="19">
        <v>1593900851</v>
      </c>
      <c r="FF39" s="19">
        <v>67987852</v>
      </c>
      <c r="FG39" s="19">
        <v>1406083627</v>
      </c>
      <c r="FH39" s="19">
        <v>298215473</v>
      </c>
      <c r="FI39" s="47" t="s">
        <v>96</v>
      </c>
      <c r="FJ39" s="19">
        <v>204634884</v>
      </c>
      <c r="FK39" s="19">
        <v>128153115</v>
      </c>
      <c r="FL39" s="47" t="s">
        <v>130</v>
      </c>
      <c r="FM39" s="19">
        <v>-595062327</v>
      </c>
      <c r="FN39" s="19">
        <v>-3391215061</v>
      </c>
      <c r="FO39" s="47" t="s">
        <v>172</v>
      </c>
      <c r="FP39" s="19">
        <v>-34450712</v>
      </c>
      <c r="FQ39" s="19">
        <v>-109306046</v>
      </c>
      <c r="FR39" s="19">
        <v>218019930</v>
      </c>
      <c r="FS39" s="47" t="s">
        <v>130</v>
      </c>
      <c r="FT39" s="19">
        <v>2170502971</v>
      </c>
      <c r="FU39" s="19">
        <v>2773828</v>
      </c>
      <c r="FV39" s="19">
        <v>783978525</v>
      </c>
      <c r="FW39" s="19">
        <v>-85434881</v>
      </c>
      <c r="FX39" s="19">
        <v>-442060553</v>
      </c>
      <c r="FY39" s="19">
        <v>-3660281696</v>
      </c>
      <c r="FZ39" s="47" t="s">
        <v>175</v>
      </c>
      <c r="GA39" s="19">
        <v>-630532453</v>
      </c>
      <c r="GB39" s="19">
        <v>-256132812</v>
      </c>
      <c r="GC39" s="19">
        <v>175573730</v>
      </c>
      <c r="GD39" s="48" t="s">
        <v>96</v>
      </c>
      <c r="GE39" s="48" t="s">
        <v>96</v>
      </c>
      <c r="GF39" s="19">
        <v>-245471094</v>
      </c>
      <c r="GG39" s="19">
        <v>-2976984587</v>
      </c>
      <c r="GH39" s="47" t="s">
        <v>172</v>
      </c>
      <c r="GI39" s="19">
        <v>4444724</v>
      </c>
      <c r="GJ39" s="47" t="s">
        <v>96</v>
      </c>
      <c r="GK39" s="19">
        <v>-135306993</v>
      </c>
      <c r="GL39" s="47" t="s">
        <v>96</v>
      </c>
      <c r="GM39" s="19">
        <v>-3993216</v>
      </c>
      <c r="GN39" s="19">
        <v>-585753745</v>
      </c>
      <c r="GO39" s="47" t="s">
        <v>96</v>
      </c>
      <c r="GP39" s="19">
        <v>1644736002</v>
      </c>
      <c r="GQ39" s="19">
        <v>151553051</v>
      </c>
      <c r="GR39" s="19">
        <v>849165480</v>
      </c>
      <c r="GS39" s="19">
        <v>-291385562</v>
      </c>
      <c r="GT39" s="19">
        <v>-458608621</v>
      </c>
      <c r="GU39" s="19">
        <v>-39050327</v>
      </c>
      <c r="GV39" s="19">
        <v>1179691519</v>
      </c>
      <c r="GW39" s="19">
        <v>-7486129706</v>
      </c>
      <c r="GX39" s="19">
        <v>143551184</v>
      </c>
      <c r="GY39" s="19">
        <v>-3197093939</v>
      </c>
      <c r="GZ39" s="19">
        <v>513060698</v>
      </c>
      <c r="HA39" s="19">
        <v>-3050083972</v>
      </c>
      <c r="HB39" s="19"/>
      <c r="HC39" s="19">
        <v>-829084831</v>
      </c>
      <c r="HD39" s="19">
        <v>319625190</v>
      </c>
      <c r="HE39" s="19"/>
      <c r="HF39" s="19">
        <v>804225736</v>
      </c>
      <c r="HG39" s="19">
        <v>144290646</v>
      </c>
      <c r="HH39" s="47" t="s">
        <v>130</v>
      </c>
      <c r="HI39" s="19">
        <v>-2167817405</v>
      </c>
      <c r="HJ39" s="19">
        <v>680314480</v>
      </c>
      <c r="HK39" s="19">
        <v>-3468582791</v>
      </c>
      <c r="HL39" s="19">
        <v>1406788516</v>
      </c>
      <c r="HM39" s="19">
        <v>-208064522</v>
      </c>
      <c r="HN39" s="19">
        <v>-183319378</v>
      </c>
      <c r="HO39" s="19">
        <v>804579737</v>
      </c>
      <c r="HP39" s="19">
        <v>400738643</v>
      </c>
      <c r="HQ39" s="19">
        <v>149931478</v>
      </c>
      <c r="HR39" s="19">
        <v>121144681</v>
      </c>
      <c r="HS39" s="19">
        <v>156588735</v>
      </c>
      <c r="HT39" s="19">
        <v>24395668</v>
      </c>
      <c r="HU39" s="19">
        <v>-7891434304</v>
      </c>
      <c r="HV39" s="19">
        <v>17332989</v>
      </c>
      <c r="HW39" s="19" t="s">
        <v>96</v>
      </c>
      <c r="HX39" s="19">
        <v>287258806</v>
      </c>
      <c r="HY39" s="19" t="s">
        <v>172</v>
      </c>
      <c r="HZ39" s="19">
        <v>1477352106</v>
      </c>
      <c r="IA39" s="19">
        <v>579161967</v>
      </c>
      <c r="IB39" s="19">
        <v>-14648144</v>
      </c>
      <c r="IC39" s="19">
        <v>535184354</v>
      </c>
      <c r="ID39" s="19">
        <v>-4682798</v>
      </c>
      <c r="IE39" s="47" t="s">
        <v>96</v>
      </c>
      <c r="IF39" s="19">
        <v>73605824</v>
      </c>
      <c r="IG39" s="19">
        <v>-8925662</v>
      </c>
      <c r="IH39" s="19">
        <v>508619439</v>
      </c>
      <c r="II39" s="19">
        <v>-54452904</v>
      </c>
      <c r="IJ39" s="19">
        <v>-279948842</v>
      </c>
      <c r="IK39" s="19"/>
      <c r="IL39" s="19">
        <v>82305590</v>
      </c>
      <c r="IM39" s="19">
        <v>-748824486</v>
      </c>
      <c r="IN39" s="19">
        <v>-261775589</v>
      </c>
      <c r="IO39" s="19">
        <v>153219183</v>
      </c>
      <c r="IP39" s="19">
        <v>157699974</v>
      </c>
      <c r="IQ39" s="19">
        <v>334501630</v>
      </c>
      <c r="IR39" s="19">
        <v>512383012</v>
      </c>
      <c r="IS39" s="19">
        <v>266931139</v>
      </c>
      <c r="IT39" s="19">
        <v>434013677</v>
      </c>
      <c r="IU39" s="45">
        <v>784615569</v>
      </c>
      <c r="IV39" s="45">
        <v>269080705</v>
      </c>
      <c r="IW39" s="45">
        <v>-449595800</v>
      </c>
      <c r="IX39" s="45">
        <v>96712214</v>
      </c>
      <c r="IY39" s="45">
        <v>178728404</v>
      </c>
      <c r="IZ39" s="45">
        <v>29565916</v>
      </c>
      <c r="JA39" s="45">
        <v>622819989</v>
      </c>
      <c r="JB39" s="45">
        <v>-102624068</v>
      </c>
      <c r="JC39" s="45">
        <v>4088678</v>
      </c>
      <c r="JD39" s="45">
        <v>415429384</v>
      </c>
      <c r="JE39" s="45">
        <v>94549656</v>
      </c>
      <c r="JF39" s="45">
        <v>187087846</v>
      </c>
      <c r="JG39" s="45">
        <v>-72451012</v>
      </c>
      <c r="JH39" s="45">
        <v>-135746899</v>
      </c>
      <c r="JI39" s="45">
        <v>35949119</v>
      </c>
      <c r="JJ39" s="45">
        <v>-150975452</v>
      </c>
      <c r="JK39" s="45">
        <v>-23244613</v>
      </c>
      <c r="JL39" s="45">
        <v>253997179</v>
      </c>
      <c r="JM39" s="45">
        <v>88984386</v>
      </c>
      <c r="JN39" s="45">
        <v>757382012</v>
      </c>
      <c r="JO39" s="46">
        <v>-6799447</v>
      </c>
      <c r="JP39" s="46">
        <v>226200766</v>
      </c>
      <c r="JQ39" s="63" t="s">
        <v>175</v>
      </c>
      <c r="JR39" s="46">
        <v>-144560145</v>
      </c>
      <c r="JS39" s="46">
        <v>-217031504</v>
      </c>
      <c r="JT39" s="46">
        <v>-316311363</v>
      </c>
      <c r="JU39" s="46">
        <v>39211638</v>
      </c>
      <c r="JV39" s="46">
        <v>-444272339</v>
      </c>
      <c r="JW39" s="46">
        <v>2136192</v>
      </c>
      <c r="JX39" s="46">
        <v>776820691</v>
      </c>
      <c r="JY39" s="46">
        <v>520432604</v>
      </c>
      <c r="JZ39" s="46">
        <v>-3635219</v>
      </c>
      <c r="KA39" s="46">
        <v>9215628</v>
      </c>
      <c r="KB39" s="46">
        <v>1843950348</v>
      </c>
      <c r="KC39" s="46">
        <v>-55246893</v>
      </c>
      <c r="KD39" s="46">
        <v>28270014</v>
      </c>
      <c r="KE39" s="46">
        <v>-56650837</v>
      </c>
      <c r="KF39" s="46">
        <v>-506323659</v>
      </c>
      <c r="KG39" s="46">
        <v>-120208101</v>
      </c>
      <c r="KH39" s="46">
        <v>40110733</v>
      </c>
    </row>
    <row r="40" spans="1:294">
      <c r="A40" s="9" t="s">
        <v>183</v>
      </c>
      <c r="B40" s="10" t="s">
        <v>85</v>
      </c>
      <c r="C40" s="19">
        <v>1801544582</v>
      </c>
      <c r="D40" s="19">
        <v>3856618063</v>
      </c>
      <c r="E40" s="19">
        <v>1704782829</v>
      </c>
      <c r="F40" s="19">
        <v>1851253439</v>
      </c>
      <c r="G40" s="47" t="s">
        <v>130</v>
      </c>
      <c r="H40" s="19">
        <v>10685845461</v>
      </c>
      <c r="I40" s="19">
        <v>9720463014</v>
      </c>
      <c r="J40" s="47" t="s">
        <v>4</v>
      </c>
      <c r="K40" s="19">
        <v>3206738555</v>
      </c>
      <c r="L40" s="47" t="s">
        <v>96</v>
      </c>
      <c r="M40" s="47" t="s">
        <v>96</v>
      </c>
      <c r="N40" s="19">
        <v>716784876</v>
      </c>
      <c r="O40" s="19">
        <v>12765881489</v>
      </c>
      <c r="P40" s="19">
        <v>6543775200</v>
      </c>
      <c r="Q40" s="19">
        <v>428698999</v>
      </c>
      <c r="R40" s="19">
        <v>740325166</v>
      </c>
      <c r="S40" s="19">
        <v>13026841184</v>
      </c>
      <c r="T40" s="47" t="s">
        <v>96</v>
      </c>
      <c r="U40" s="47" t="s">
        <v>172</v>
      </c>
      <c r="V40" s="47" t="s">
        <v>172</v>
      </c>
      <c r="W40" s="19">
        <v>1150552995</v>
      </c>
      <c r="X40" s="19">
        <v>3003292998</v>
      </c>
      <c r="Y40" s="19">
        <v>312798170</v>
      </c>
      <c r="Z40" s="19">
        <v>760063586</v>
      </c>
      <c r="AA40" s="19">
        <v>3858157725</v>
      </c>
      <c r="AB40" s="19">
        <v>118349296</v>
      </c>
      <c r="AC40" s="19">
        <v>1819703055</v>
      </c>
      <c r="AD40" s="19">
        <v>4227103739</v>
      </c>
      <c r="AE40" s="19">
        <v>1088202812</v>
      </c>
      <c r="AF40" s="47" t="s">
        <v>172</v>
      </c>
      <c r="AG40" s="19">
        <v>79443869</v>
      </c>
      <c r="AH40" s="19">
        <v>2294616831</v>
      </c>
      <c r="AI40" s="19">
        <v>1869356766</v>
      </c>
      <c r="AJ40" s="19">
        <v>806432510</v>
      </c>
      <c r="AK40" s="19">
        <v>3235414008</v>
      </c>
      <c r="AL40" s="19">
        <v>724704853</v>
      </c>
      <c r="AM40" s="47" t="s">
        <v>4</v>
      </c>
      <c r="AN40" s="19">
        <v>1159911779</v>
      </c>
      <c r="AO40" s="19">
        <v>1607290705</v>
      </c>
      <c r="AP40" s="19">
        <v>905309771</v>
      </c>
      <c r="AQ40" s="47" t="s">
        <v>96</v>
      </c>
      <c r="AR40" s="19">
        <v>838388426</v>
      </c>
      <c r="AS40" s="19">
        <v>1054495056</v>
      </c>
      <c r="AT40" s="47" t="s">
        <v>172</v>
      </c>
      <c r="AU40" s="19">
        <v>1251317903</v>
      </c>
      <c r="AV40" s="19">
        <v>180146989</v>
      </c>
      <c r="AW40" s="19">
        <v>261223944</v>
      </c>
      <c r="AX40" s="47" t="s">
        <v>4</v>
      </c>
      <c r="AY40" s="19">
        <v>1101188431</v>
      </c>
      <c r="AZ40" s="19">
        <v>752043637</v>
      </c>
      <c r="BA40" s="19">
        <v>8371925793</v>
      </c>
      <c r="BB40" s="19">
        <v>17833640</v>
      </c>
      <c r="BC40" s="47" t="s">
        <v>4</v>
      </c>
      <c r="BD40" s="47" t="s">
        <v>130</v>
      </c>
      <c r="BE40" s="19">
        <v>711572932</v>
      </c>
      <c r="BF40" s="47" t="s">
        <v>96</v>
      </c>
      <c r="BG40" s="19">
        <v>2085636430</v>
      </c>
      <c r="BH40" s="19">
        <v>1050489943</v>
      </c>
      <c r="BI40" s="19">
        <v>659654253</v>
      </c>
      <c r="BJ40" s="19">
        <v>624636773</v>
      </c>
      <c r="BK40" s="19">
        <v>991714435</v>
      </c>
      <c r="BL40" s="19">
        <v>8720813692</v>
      </c>
      <c r="BM40" s="19">
        <v>3027082193</v>
      </c>
      <c r="BN40" s="19">
        <v>84641089</v>
      </c>
      <c r="BO40" s="19">
        <v>50391165</v>
      </c>
      <c r="BP40" s="47" t="s">
        <v>96</v>
      </c>
      <c r="BQ40" s="47" t="s">
        <v>4</v>
      </c>
      <c r="BR40" s="19">
        <v>11415923241</v>
      </c>
      <c r="BS40" s="19">
        <v>34099181</v>
      </c>
      <c r="BT40" s="47" t="s">
        <v>130</v>
      </c>
      <c r="BU40" s="19">
        <v>1564568969</v>
      </c>
      <c r="BV40" s="19">
        <v>313460772</v>
      </c>
      <c r="BW40" s="19">
        <v>496662992</v>
      </c>
      <c r="BX40" s="19">
        <v>551832506</v>
      </c>
      <c r="BY40" s="19">
        <v>6297805049</v>
      </c>
      <c r="BZ40" s="19">
        <v>2291640629</v>
      </c>
      <c r="CA40" s="19">
        <v>2504031477</v>
      </c>
      <c r="CB40" s="19">
        <v>350205381</v>
      </c>
      <c r="CC40" s="19">
        <v>1850794084</v>
      </c>
      <c r="CD40" s="19">
        <v>2932647729</v>
      </c>
      <c r="CE40" s="19">
        <v>27508485</v>
      </c>
      <c r="CF40" s="19">
        <v>288142218</v>
      </c>
      <c r="CG40" s="19">
        <v>1110225144</v>
      </c>
      <c r="CH40" s="19">
        <v>417693594</v>
      </c>
      <c r="CI40" s="47" t="s">
        <v>130</v>
      </c>
      <c r="CJ40" s="19">
        <v>154145799</v>
      </c>
      <c r="CK40" s="19">
        <v>3100513522</v>
      </c>
      <c r="CL40" s="19">
        <v>566623590</v>
      </c>
      <c r="CM40" s="19">
        <v>8588978743</v>
      </c>
      <c r="CN40" s="19">
        <v>316516199</v>
      </c>
      <c r="CO40" s="19">
        <v>140844200</v>
      </c>
      <c r="CP40" s="19">
        <v>5007817527</v>
      </c>
      <c r="CQ40" s="47" t="s">
        <v>96</v>
      </c>
      <c r="CR40" s="19">
        <v>2431475545</v>
      </c>
      <c r="CS40" s="47" t="s">
        <v>172</v>
      </c>
      <c r="CT40" s="19">
        <v>4103225591</v>
      </c>
      <c r="CU40" s="19">
        <v>589613864</v>
      </c>
      <c r="CV40" s="19">
        <v>164285205</v>
      </c>
      <c r="CW40" s="19">
        <v>2645829484</v>
      </c>
      <c r="CX40" s="19">
        <v>3929338390</v>
      </c>
      <c r="CY40" s="47" t="s">
        <v>96</v>
      </c>
      <c r="CZ40" s="19">
        <v>3847504906</v>
      </c>
      <c r="DA40" s="47" t="s">
        <v>89</v>
      </c>
      <c r="DB40" s="19">
        <v>868333928</v>
      </c>
      <c r="DC40" s="19">
        <v>47970193</v>
      </c>
      <c r="DD40" s="19">
        <v>27872645</v>
      </c>
      <c r="DE40" s="19">
        <v>2284213631</v>
      </c>
      <c r="DF40" s="19">
        <v>79752455</v>
      </c>
      <c r="DG40" s="19">
        <v>391464064</v>
      </c>
      <c r="DH40" s="19">
        <v>1011841714</v>
      </c>
      <c r="DI40" s="19">
        <v>4856141388</v>
      </c>
      <c r="DJ40" s="19">
        <v>216934358</v>
      </c>
      <c r="DK40" s="19">
        <v>11825882743</v>
      </c>
      <c r="DL40" s="19">
        <v>475347614</v>
      </c>
      <c r="DM40" s="19">
        <v>2884434024</v>
      </c>
      <c r="DN40" s="19">
        <v>1336558084</v>
      </c>
      <c r="DO40" s="19">
        <v>139370301</v>
      </c>
      <c r="DP40" s="19">
        <v>2101708219</v>
      </c>
      <c r="DQ40" s="19">
        <v>230044501</v>
      </c>
      <c r="DR40" s="19">
        <v>1605327121</v>
      </c>
      <c r="DS40" s="19">
        <v>1181076004</v>
      </c>
      <c r="DT40" s="19">
        <v>2599952390</v>
      </c>
      <c r="DU40" s="19">
        <v>451743043</v>
      </c>
      <c r="DV40" s="19">
        <v>7079163569</v>
      </c>
      <c r="DW40" s="19">
        <v>1246650774</v>
      </c>
      <c r="DX40" s="19">
        <v>5827289269</v>
      </c>
      <c r="DY40" s="19">
        <v>650745687</v>
      </c>
      <c r="DZ40" s="19">
        <v>1600106957</v>
      </c>
      <c r="EA40" s="19">
        <v>86246168</v>
      </c>
      <c r="EB40" s="19">
        <v>11227822073</v>
      </c>
      <c r="EC40" s="19">
        <v>999271050</v>
      </c>
      <c r="ED40" s="19">
        <v>88120340</v>
      </c>
      <c r="EE40" s="19">
        <v>1237531020</v>
      </c>
      <c r="EF40" s="19">
        <v>1383565831</v>
      </c>
      <c r="EG40" s="19">
        <v>1405114942</v>
      </c>
      <c r="EH40" s="19">
        <v>319478828</v>
      </c>
      <c r="EI40" s="19">
        <v>14398581315</v>
      </c>
      <c r="EJ40" s="19">
        <v>163774936</v>
      </c>
      <c r="EK40" s="19">
        <v>535887479</v>
      </c>
      <c r="EL40" s="19">
        <v>3994030261</v>
      </c>
      <c r="EM40" s="19">
        <v>861483623</v>
      </c>
      <c r="EN40" s="19">
        <v>8415909827</v>
      </c>
      <c r="EO40" s="19">
        <v>1323735976</v>
      </c>
      <c r="EP40" s="19">
        <v>1071824829</v>
      </c>
      <c r="EQ40" s="19">
        <v>7584400803</v>
      </c>
      <c r="ER40" s="19">
        <v>8017259579</v>
      </c>
      <c r="ES40" s="19">
        <v>719047776</v>
      </c>
      <c r="ET40" s="19">
        <v>2215700202</v>
      </c>
      <c r="EU40" s="19">
        <v>2297073924</v>
      </c>
      <c r="EV40" s="19">
        <v>415257092</v>
      </c>
      <c r="EW40" s="19">
        <v>868632152</v>
      </c>
      <c r="EX40" s="19">
        <v>1720913320</v>
      </c>
      <c r="EY40" s="19">
        <v>7786291376</v>
      </c>
      <c r="EZ40" s="19">
        <v>1094123216</v>
      </c>
      <c r="FA40" s="47" t="s">
        <v>130</v>
      </c>
      <c r="FB40" s="19">
        <v>317364936</v>
      </c>
      <c r="FC40" s="19">
        <v>2020883132</v>
      </c>
      <c r="FD40" s="19">
        <v>616241357</v>
      </c>
      <c r="FE40" s="19">
        <v>24362471393</v>
      </c>
      <c r="FF40" s="19">
        <v>793529183</v>
      </c>
      <c r="FG40" s="19">
        <v>4657624683</v>
      </c>
      <c r="FH40" s="19">
        <v>1238664350</v>
      </c>
      <c r="FI40" s="47" t="s">
        <v>96</v>
      </c>
      <c r="FJ40" s="19">
        <v>438979858</v>
      </c>
      <c r="FK40" s="19">
        <v>2697403514</v>
      </c>
      <c r="FL40" s="47" t="s">
        <v>130</v>
      </c>
      <c r="FM40" s="19">
        <v>448621968</v>
      </c>
      <c r="FN40" s="19">
        <v>611863944</v>
      </c>
      <c r="FO40" s="47" t="s">
        <v>172</v>
      </c>
      <c r="FP40" s="19">
        <v>180182830</v>
      </c>
      <c r="FQ40" s="19">
        <v>88580000</v>
      </c>
      <c r="FR40" s="19">
        <v>791882111</v>
      </c>
      <c r="FS40" s="47" t="s">
        <v>130</v>
      </c>
      <c r="FT40" s="19">
        <v>12310147334</v>
      </c>
      <c r="FU40" s="19">
        <v>70776794</v>
      </c>
      <c r="FV40" s="19">
        <v>1787114843</v>
      </c>
      <c r="FW40" s="19">
        <v>67388876</v>
      </c>
      <c r="FX40" s="19">
        <v>195699648</v>
      </c>
      <c r="FY40" s="19">
        <v>2417150500</v>
      </c>
      <c r="FZ40" s="47" t="s">
        <v>175</v>
      </c>
      <c r="GA40" s="19">
        <v>1256545988</v>
      </c>
      <c r="GB40" s="19">
        <v>40920770</v>
      </c>
      <c r="GC40" s="19">
        <v>240008672</v>
      </c>
      <c r="GD40" s="48" t="s">
        <v>96</v>
      </c>
      <c r="GE40" s="48" t="s">
        <v>96</v>
      </c>
      <c r="GF40" s="19">
        <v>1098641278</v>
      </c>
      <c r="GG40" s="19">
        <v>3137886101</v>
      </c>
      <c r="GH40" s="47" t="s">
        <v>172</v>
      </c>
      <c r="GI40" s="19">
        <v>155027658</v>
      </c>
      <c r="GJ40" s="47" t="s">
        <v>96</v>
      </c>
      <c r="GK40" s="19">
        <v>309241303</v>
      </c>
      <c r="GL40" s="47" t="s">
        <v>96</v>
      </c>
      <c r="GM40" s="19">
        <v>214072944</v>
      </c>
      <c r="GN40" s="19">
        <v>663562317</v>
      </c>
      <c r="GO40" s="47" t="s">
        <v>96</v>
      </c>
      <c r="GP40" s="19">
        <v>9912543050</v>
      </c>
      <c r="GQ40" s="19">
        <v>580419115</v>
      </c>
      <c r="GR40" s="19">
        <v>2075541986</v>
      </c>
      <c r="GS40" s="19">
        <v>276097716</v>
      </c>
      <c r="GT40" s="19">
        <v>470995625</v>
      </c>
      <c r="GU40" s="19">
        <v>389412863</v>
      </c>
      <c r="GV40" s="19">
        <f>SUM(GV41:GV44)</f>
        <v>6167584777</v>
      </c>
      <c r="GW40" s="19">
        <v>4614363578</v>
      </c>
      <c r="GX40" s="19">
        <v>1988997668</v>
      </c>
      <c r="GY40" s="19">
        <v>189041561</v>
      </c>
      <c r="GZ40" s="19">
        <v>1622679208</v>
      </c>
      <c r="HA40" s="19">
        <v>374354092</v>
      </c>
      <c r="HB40" s="19">
        <v>688443003</v>
      </c>
      <c r="HC40" s="19">
        <v>903751907</v>
      </c>
      <c r="HD40" s="19">
        <v>442690351</v>
      </c>
      <c r="HE40" s="19">
        <v>426871175</v>
      </c>
      <c r="HF40" s="19">
        <v>6418097235</v>
      </c>
      <c r="HG40" s="19">
        <v>422467417</v>
      </c>
      <c r="HH40" s="47" t="s">
        <v>130</v>
      </c>
      <c r="HI40" s="19">
        <v>627336907</v>
      </c>
      <c r="HJ40" s="19">
        <v>1965486744</v>
      </c>
      <c r="HK40" s="19">
        <v>1605372429</v>
      </c>
      <c r="HL40" s="19">
        <v>1510999091</v>
      </c>
      <c r="HM40" s="19">
        <v>606802701</v>
      </c>
      <c r="HN40" s="19">
        <v>105639056</v>
      </c>
      <c r="HO40" s="19">
        <v>2739399199</v>
      </c>
      <c r="HP40" s="19">
        <v>987481919</v>
      </c>
      <c r="HQ40" s="19">
        <v>1562988164</v>
      </c>
      <c r="HR40" s="19">
        <v>6456291856</v>
      </c>
      <c r="HS40" s="19">
        <v>1197479642</v>
      </c>
      <c r="HT40" s="19">
        <v>175543561</v>
      </c>
      <c r="HU40" s="19">
        <v>1589967430</v>
      </c>
      <c r="HV40" s="19">
        <v>310942264</v>
      </c>
      <c r="HW40" s="19" t="s">
        <v>96</v>
      </c>
      <c r="HX40" s="19">
        <v>2166856379</v>
      </c>
      <c r="HY40" s="19" t="s">
        <v>172</v>
      </c>
      <c r="HZ40" s="19">
        <v>6609887315</v>
      </c>
      <c r="IA40" s="19">
        <v>195625540</v>
      </c>
      <c r="IB40" s="19">
        <v>2641991243</v>
      </c>
      <c r="IC40" s="19">
        <v>7090488159</v>
      </c>
      <c r="ID40" s="19">
        <v>402502829</v>
      </c>
      <c r="IE40" s="47" t="s">
        <v>96</v>
      </c>
      <c r="IF40" s="19">
        <v>190894260</v>
      </c>
      <c r="IG40" s="19">
        <v>187570034</v>
      </c>
      <c r="IH40" s="19">
        <v>2828323150</v>
      </c>
      <c r="II40" s="19">
        <v>395072410</v>
      </c>
      <c r="IJ40" s="19">
        <v>876480527</v>
      </c>
      <c r="IK40" s="19">
        <v>589168436</v>
      </c>
      <c r="IL40" s="19">
        <v>598472663</v>
      </c>
      <c r="IM40" s="19">
        <v>431531366</v>
      </c>
      <c r="IN40" s="19">
        <v>789877026</v>
      </c>
      <c r="IO40" s="19">
        <v>1348485021</v>
      </c>
      <c r="IP40" s="19">
        <v>1934384928</v>
      </c>
      <c r="IQ40" s="19">
        <v>3698275314</v>
      </c>
      <c r="IR40" s="19">
        <v>1133972585</v>
      </c>
      <c r="IS40" s="19">
        <v>1770866215</v>
      </c>
      <c r="IT40" s="19">
        <v>911816148</v>
      </c>
      <c r="IU40" s="45">
        <v>6836736849</v>
      </c>
      <c r="IV40" s="45">
        <v>1847728846</v>
      </c>
      <c r="IW40" s="45">
        <v>196160445</v>
      </c>
      <c r="IX40" s="45">
        <v>1206361138</v>
      </c>
      <c r="IY40" s="45">
        <v>398381726</v>
      </c>
      <c r="IZ40" s="45">
        <v>565782724</v>
      </c>
      <c r="JA40" s="45">
        <v>5553099954</v>
      </c>
      <c r="JB40" s="45">
        <v>303951917</v>
      </c>
      <c r="JC40" s="45">
        <v>194029460</v>
      </c>
      <c r="JD40" s="45">
        <v>986948352</v>
      </c>
      <c r="JE40" s="45">
        <v>222985902</v>
      </c>
      <c r="JF40" s="45">
        <v>513205752</v>
      </c>
      <c r="JG40" s="45">
        <v>79569046</v>
      </c>
      <c r="JH40" s="45">
        <v>160126308</v>
      </c>
      <c r="JI40" s="45">
        <v>423506184</v>
      </c>
      <c r="JJ40" s="45">
        <v>141365189</v>
      </c>
      <c r="JK40" s="45">
        <v>418778404</v>
      </c>
      <c r="JL40" s="45">
        <v>4948993580</v>
      </c>
      <c r="JM40" s="45">
        <v>794848130</v>
      </c>
      <c r="JN40" s="45">
        <v>3415913767</v>
      </c>
      <c r="JO40" s="46">
        <v>205355440</v>
      </c>
      <c r="JP40" s="46">
        <v>578245580</v>
      </c>
      <c r="JQ40" s="63" t="s">
        <v>175</v>
      </c>
      <c r="JR40" s="46">
        <v>100351811</v>
      </c>
      <c r="JS40" s="46">
        <v>272596226</v>
      </c>
      <c r="JT40" s="46">
        <v>274483569</v>
      </c>
      <c r="JU40" s="46">
        <v>1119184376</v>
      </c>
      <c r="JV40" s="46">
        <v>1588141163</v>
      </c>
      <c r="JW40" s="46">
        <v>1212749247</v>
      </c>
      <c r="JX40" s="46">
        <v>6906916593</v>
      </c>
      <c r="JY40" s="46">
        <v>5562140148</v>
      </c>
      <c r="JZ40" s="46">
        <v>7989274</v>
      </c>
      <c r="KA40" s="46">
        <v>316812100</v>
      </c>
      <c r="KB40" s="46">
        <v>6501828033</v>
      </c>
      <c r="KC40" s="46">
        <v>570167906</v>
      </c>
      <c r="KD40" s="46">
        <v>3831635454</v>
      </c>
      <c r="KE40" s="46">
        <v>93590565</v>
      </c>
      <c r="KF40" s="46">
        <v>95064275</v>
      </c>
      <c r="KG40" s="46">
        <v>437775316</v>
      </c>
      <c r="KH40" s="46">
        <v>500993938</v>
      </c>
    </row>
    <row r="41" spans="1:294">
      <c r="A41" s="9" t="s">
        <v>183</v>
      </c>
      <c r="B41" s="15" t="s">
        <v>12</v>
      </c>
      <c r="C41" s="19"/>
      <c r="D41" s="19"/>
      <c r="E41" s="19">
        <v>281145437</v>
      </c>
      <c r="F41" s="19">
        <v>149373382</v>
      </c>
      <c r="G41" s="47" t="s">
        <v>130</v>
      </c>
      <c r="H41" s="19"/>
      <c r="I41" s="19"/>
      <c r="J41" s="47" t="s">
        <v>4</v>
      </c>
      <c r="K41" s="19"/>
      <c r="L41" s="47" t="s">
        <v>96</v>
      </c>
      <c r="M41" s="47" t="s">
        <v>96</v>
      </c>
      <c r="N41" s="19">
        <v>35225041</v>
      </c>
      <c r="O41" s="19"/>
      <c r="P41" s="19"/>
      <c r="Q41" s="19"/>
      <c r="R41" s="19">
        <v>358536462</v>
      </c>
      <c r="S41" s="19">
        <v>54139159</v>
      </c>
      <c r="T41" s="47" t="s">
        <v>96</v>
      </c>
      <c r="U41" s="47" t="s">
        <v>172</v>
      </c>
      <c r="V41" s="47" t="s">
        <v>172</v>
      </c>
      <c r="W41" s="19"/>
      <c r="X41" s="19"/>
      <c r="Y41" s="19"/>
      <c r="Z41" s="19">
        <v>136363636</v>
      </c>
      <c r="AA41" s="19"/>
      <c r="AB41" s="19"/>
      <c r="AC41" s="19"/>
      <c r="AD41" s="19"/>
      <c r="AE41" s="19"/>
      <c r="AF41" s="47" t="s">
        <v>172</v>
      </c>
      <c r="AG41" s="19"/>
      <c r="AH41" s="19">
        <v>806635489</v>
      </c>
      <c r="AI41" s="19">
        <v>1822504039</v>
      </c>
      <c r="AJ41" s="19">
        <v>805523419</v>
      </c>
      <c r="AK41" s="19">
        <v>2448839102</v>
      </c>
      <c r="AL41" s="19">
        <v>603182</v>
      </c>
      <c r="AM41" s="47" t="s">
        <v>4</v>
      </c>
      <c r="AN41" s="19"/>
      <c r="AO41" s="19"/>
      <c r="AP41" s="19"/>
      <c r="AQ41" s="47" t="s">
        <v>96</v>
      </c>
      <c r="AR41" s="19">
        <v>838388426</v>
      </c>
      <c r="AS41" s="19"/>
      <c r="AT41" s="47" t="s">
        <v>172</v>
      </c>
      <c r="AU41" s="19"/>
      <c r="AV41" s="19"/>
      <c r="AW41" s="19"/>
      <c r="AX41" s="47" t="s">
        <v>4</v>
      </c>
      <c r="AY41" s="19"/>
      <c r="AZ41" s="19"/>
      <c r="BA41" s="19">
        <v>8166450411</v>
      </c>
      <c r="BB41" s="19"/>
      <c r="BC41" s="47" t="s">
        <v>4</v>
      </c>
      <c r="BD41" s="47" t="s">
        <v>130</v>
      </c>
      <c r="BE41" s="19"/>
      <c r="BF41" s="47" t="s">
        <v>96</v>
      </c>
      <c r="BG41" s="19">
        <v>409880615</v>
      </c>
      <c r="BH41" s="19"/>
      <c r="BI41" s="19">
        <v>599659473</v>
      </c>
      <c r="BJ41" s="19">
        <v>140174282</v>
      </c>
      <c r="BK41" s="19"/>
      <c r="BL41" s="19"/>
      <c r="BM41" s="19"/>
      <c r="BN41" s="19"/>
      <c r="BO41" s="19">
        <v>33574616</v>
      </c>
      <c r="BP41" s="47" t="s">
        <v>96</v>
      </c>
      <c r="BQ41" s="47" t="s">
        <v>4</v>
      </c>
      <c r="BR41" s="19"/>
      <c r="BS41" s="19"/>
      <c r="BT41" s="47" t="s">
        <v>130</v>
      </c>
      <c r="BU41" s="19"/>
      <c r="BV41" s="19"/>
      <c r="BW41" s="19"/>
      <c r="BX41" s="19"/>
      <c r="BY41" s="19">
        <v>5925426797</v>
      </c>
      <c r="BZ41" s="19">
        <v>2291640629</v>
      </c>
      <c r="CA41" s="19"/>
      <c r="CB41" s="19">
        <v>98866324</v>
      </c>
      <c r="CC41" s="19">
        <v>1846194084</v>
      </c>
      <c r="CD41" s="19"/>
      <c r="CE41" s="19"/>
      <c r="CF41" s="19"/>
      <c r="CG41" s="19"/>
      <c r="CH41" s="19"/>
      <c r="CI41" s="47" t="s">
        <v>130</v>
      </c>
      <c r="CJ41" s="19">
        <v>55644455</v>
      </c>
      <c r="CK41" s="19"/>
      <c r="CL41" s="19"/>
      <c r="CM41" s="19"/>
      <c r="CN41" s="19"/>
      <c r="CO41" s="19">
        <v>140844200</v>
      </c>
      <c r="CP41" s="19">
        <v>1344698902</v>
      </c>
      <c r="CQ41" s="47" t="s">
        <v>96</v>
      </c>
      <c r="CR41" s="19"/>
      <c r="CS41" s="47" t="s">
        <v>172</v>
      </c>
      <c r="CT41" s="19">
        <v>120987491</v>
      </c>
      <c r="CU41" s="19"/>
      <c r="CV41" s="19">
        <v>164285205</v>
      </c>
      <c r="CW41" s="19"/>
      <c r="CX41" s="19">
        <v>54777521</v>
      </c>
      <c r="CY41" s="47" t="s">
        <v>96</v>
      </c>
      <c r="CZ41" s="19">
        <v>18332512</v>
      </c>
      <c r="DA41" s="47" t="s">
        <v>89</v>
      </c>
      <c r="DB41" s="19"/>
      <c r="DC41" s="19"/>
      <c r="DD41" s="19"/>
      <c r="DE41" s="19"/>
      <c r="DF41" s="19">
        <v>14703455</v>
      </c>
      <c r="DG41" s="19"/>
      <c r="DH41" s="19">
        <v>16814135</v>
      </c>
      <c r="DI41" s="19">
        <v>83999685</v>
      </c>
      <c r="DJ41" s="19">
        <v>1663183</v>
      </c>
      <c r="DK41" s="19">
        <v>318296732</v>
      </c>
      <c r="DL41" s="19">
        <v>620547</v>
      </c>
      <c r="DM41" s="19">
        <v>132804710</v>
      </c>
      <c r="DN41" s="19">
        <v>236880520</v>
      </c>
      <c r="DO41" s="19"/>
      <c r="DP41" s="19"/>
      <c r="DQ41" s="19"/>
      <c r="DR41" s="19"/>
      <c r="DS41" s="19">
        <v>1181076004</v>
      </c>
      <c r="DT41" s="19">
        <v>809165133</v>
      </c>
      <c r="DU41" s="19"/>
      <c r="DV41" s="19"/>
      <c r="DW41" s="19">
        <v>314956039</v>
      </c>
      <c r="DX41" s="19"/>
      <c r="DY41" s="19"/>
      <c r="DZ41" s="19"/>
      <c r="EA41" s="19"/>
      <c r="EB41" s="19"/>
      <c r="EC41" s="19"/>
      <c r="ED41" s="19">
        <v>88120340</v>
      </c>
      <c r="EE41" s="19"/>
      <c r="EF41" s="19"/>
      <c r="EG41" s="19">
        <v>31725260</v>
      </c>
      <c r="EH41" s="19"/>
      <c r="EI41" s="19"/>
      <c r="EJ41" s="19"/>
      <c r="EK41" s="19"/>
      <c r="EL41" s="19"/>
      <c r="EM41" s="19"/>
      <c r="EN41" s="19"/>
      <c r="EO41" s="19"/>
      <c r="EP41" s="19"/>
      <c r="EQ41" s="19"/>
      <c r="ER41" s="19"/>
      <c r="ES41" s="19">
        <v>704940997</v>
      </c>
      <c r="ET41" s="19"/>
      <c r="EU41" s="19"/>
      <c r="EV41" s="19">
        <v>415257092</v>
      </c>
      <c r="EW41" s="19">
        <v>486365617</v>
      </c>
      <c r="EX41" s="19">
        <v>61769599</v>
      </c>
      <c r="EY41" s="19"/>
      <c r="EZ41" s="19">
        <v>37370696</v>
      </c>
      <c r="FA41" s="47" t="s">
        <v>130</v>
      </c>
      <c r="FB41" s="19">
        <v>317364936</v>
      </c>
      <c r="FC41" s="19"/>
      <c r="FD41" s="19"/>
      <c r="FE41" s="19">
        <v>24362471393</v>
      </c>
      <c r="FF41" s="19"/>
      <c r="FG41" s="19">
        <v>212992476</v>
      </c>
      <c r="FH41" s="19">
        <v>339584205</v>
      </c>
      <c r="FI41" s="47" t="s">
        <v>96</v>
      </c>
      <c r="FJ41" s="19">
        <v>39769418</v>
      </c>
      <c r="FK41" s="19">
        <v>125551557</v>
      </c>
      <c r="FL41" s="47" t="s">
        <v>130</v>
      </c>
      <c r="FM41" s="19">
        <v>125324162</v>
      </c>
      <c r="FN41" s="19">
        <v>23750000</v>
      </c>
      <c r="FO41" s="47" t="s">
        <v>172</v>
      </c>
      <c r="FP41" s="19">
        <v>90942830</v>
      </c>
      <c r="FQ41" s="19"/>
      <c r="FR41" s="19">
        <v>791882111</v>
      </c>
      <c r="FS41" s="47" t="s">
        <v>130</v>
      </c>
      <c r="FT41" s="19"/>
      <c r="FU41" s="19"/>
      <c r="FV41" s="19"/>
      <c r="FW41" s="19">
        <v>60588876</v>
      </c>
      <c r="FX41" s="19">
        <v>195699648</v>
      </c>
      <c r="FY41" s="19">
        <v>1059197714</v>
      </c>
      <c r="FZ41" s="47" t="s">
        <v>175</v>
      </c>
      <c r="GA41" s="19">
        <v>20797421</v>
      </c>
      <c r="GB41" s="19">
        <v>32408803</v>
      </c>
      <c r="GC41" s="19"/>
      <c r="GD41" s="48" t="s">
        <v>96</v>
      </c>
      <c r="GE41" s="48" t="s">
        <v>96</v>
      </c>
      <c r="GF41" s="19"/>
      <c r="GG41" s="19">
        <v>2236041106</v>
      </c>
      <c r="GH41" s="47" t="s">
        <v>172</v>
      </c>
      <c r="GI41" s="19">
        <v>43740938</v>
      </c>
      <c r="GJ41" s="47" t="s">
        <v>96</v>
      </c>
      <c r="GK41" s="19"/>
      <c r="GL41" s="47" t="s">
        <v>96</v>
      </c>
      <c r="GM41" s="19"/>
      <c r="GN41" s="19"/>
      <c r="GO41" s="47" t="s">
        <v>96</v>
      </c>
      <c r="GP41" s="19">
        <v>2678823668</v>
      </c>
      <c r="GQ41" s="19"/>
      <c r="GR41" s="19">
        <v>1606704335</v>
      </c>
      <c r="GS41" s="19"/>
      <c r="GT41" s="19"/>
      <c r="GU41" s="19"/>
      <c r="GV41" s="19">
        <f>125172742+3599000</f>
        <v>128771742</v>
      </c>
      <c r="GW41" s="19">
        <v>302056839</v>
      </c>
      <c r="GX41" s="19">
        <v>195678805</v>
      </c>
      <c r="GY41" s="19"/>
      <c r="GZ41" s="19"/>
      <c r="HA41" s="19">
        <v>325620452</v>
      </c>
      <c r="HB41" s="19"/>
      <c r="HC41" s="19">
        <v>90019300</v>
      </c>
      <c r="HD41" s="19"/>
      <c r="HE41" s="19">
        <v>374796650</v>
      </c>
      <c r="HF41" s="19"/>
      <c r="HG41" s="19"/>
      <c r="HH41" s="47" t="s">
        <v>130</v>
      </c>
      <c r="HI41" s="19"/>
      <c r="HJ41" s="19">
        <v>624145449</v>
      </c>
      <c r="HK41" s="19">
        <v>482765000</v>
      </c>
      <c r="HL41" s="19"/>
      <c r="HM41" s="19"/>
      <c r="HN41" s="19"/>
      <c r="HO41" s="19"/>
      <c r="HP41" s="19">
        <v>933774913</v>
      </c>
      <c r="HQ41" s="19"/>
      <c r="HR41" s="19"/>
      <c r="HS41" s="19"/>
      <c r="HT41" s="19">
        <v>135543561</v>
      </c>
      <c r="HU41" s="19">
        <v>88735381</v>
      </c>
      <c r="HV41" s="19">
        <v>271402274</v>
      </c>
      <c r="HW41" s="47" t="s">
        <v>96</v>
      </c>
      <c r="HX41" s="19">
        <v>6900967</v>
      </c>
      <c r="HY41" s="19" t="s">
        <v>172</v>
      </c>
      <c r="HZ41" s="19"/>
      <c r="IA41" s="19"/>
      <c r="IB41" s="19">
        <v>8568942</v>
      </c>
      <c r="IC41" s="19"/>
      <c r="ID41" s="19">
        <v>402502829</v>
      </c>
      <c r="IE41" s="47" t="s">
        <v>96</v>
      </c>
      <c r="IF41" s="19"/>
      <c r="IG41" s="19">
        <v>187570034</v>
      </c>
      <c r="IH41" s="19">
        <v>2381631346</v>
      </c>
      <c r="II41" s="19"/>
      <c r="IJ41" s="19">
        <v>876480527</v>
      </c>
      <c r="IK41" s="19">
        <v>83504171</v>
      </c>
      <c r="IL41" s="19">
        <v>207462074</v>
      </c>
      <c r="IM41" s="19"/>
      <c r="IN41" s="19"/>
      <c r="IO41" s="19">
        <v>862357725</v>
      </c>
      <c r="IP41" s="19">
        <v>1431849158</v>
      </c>
      <c r="IQ41" s="19"/>
      <c r="IR41" s="19">
        <v>28796007</v>
      </c>
      <c r="IS41" s="19"/>
      <c r="IT41" s="19">
        <v>2763636</v>
      </c>
      <c r="IU41" s="45"/>
      <c r="IV41" s="45"/>
      <c r="IW41" s="45"/>
      <c r="IX41" s="45">
        <v>278118985</v>
      </c>
      <c r="IY41" s="45">
        <v>100000000</v>
      </c>
      <c r="IZ41" s="45">
        <v>16989089</v>
      </c>
      <c r="JA41" s="45"/>
      <c r="JB41" s="45"/>
      <c r="JC41" s="45"/>
      <c r="JD41" s="45"/>
      <c r="JE41" s="45">
        <v>222985902</v>
      </c>
      <c r="JF41" s="45">
        <v>374531825</v>
      </c>
      <c r="JG41" s="45"/>
      <c r="JH41" s="45"/>
      <c r="JI41" s="45"/>
      <c r="JJ41" s="45"/>
      <c r="JK41" s="45"/>
      <c r="JL41" s="45">
        <v>235818498</v>
      </c>
      <c r="JM41" s="45"/>
      <c r="JN41" s="45">
        <v>1358280140</v>
      </c>
      <c r="JO41" s="46"/>
      <c r="JP41" s="46"/>
      <c r="JQ41" s="63" t="s">
        <v>175</v>
      </c>
      <c r="JR41" s="46"/>
      <c r="JS41" s="46"/>
      <c r="JT41" s="46"/>
      <c r="JU41" s="46"/>
      <c r="JV41" s="46"/>
      <c r="JW41" s="46"/>
      <c r="JX41" s="46"/>
      <c r="JY41" s="46"/>
      <c r="JZ41" s="46"/>
      <c r="KA41" s="46"/>
      <c r="KB41" s="46"/>
      <c r="KC41" s="46"/>
      <c r="KD41" s="46"/>
      <c r="KE41" s="46">
        <v>1750000</v>
      </c>
      <c r="KF41" s="46"/>
      <c r="KG41" s="46">
        <v>305525334</v>
      </c>
      <c r="KH41" s="46"/>
    </row>
    <row r="42" spans="1:294">
      <c r="A42" s="9" t="s">
        <v>183</v>
      </c>
      <c r="B42" s="15" t="s">
        <v>22</v>
      </c>
      <c r="C42" s="19"/>
      <c r="D42" s="19">
        <v>3844577100</v>
      </c>
      <c r="E42" s="19">
        <f>1390251217+33386175</f>
        <v>1423637392</v>
      </c>
      <c r="F42" s="19"/>
      <c r="G42" s="47" t="s">
        <v>130</v>
      </c>
      <c r="H42" s="19"/>
      <c r="I42" s="19"/>
      <c r="J42" s="47" t="s">
        <v>4</v>
      </c>
      <c r="K42" s="19">
        <v>3206738555</v>
      </c>
      <c r="L42" s="47" t="s">
        <v>96</v>
      </c>
      <c r="M42" s="47" t="s">
        <v>96</v>
      </c>
      <c r="N42" s="19">
        <v>418067617</v>
      </c>
      <c r="O42" s="19"/>
      <c r="P42" s="19"/>
      <c r="Q42" s="19">
        <v>126444999</v>
      </c>
      <c r="R42" s="19"/>
      <c r="S42" s="19">
        <v>12972702025</v>
      </c>
      <c r="T42" s="47" t="s">
        <v>96</v>
      </c>
      <c r="U42" s="47" t="s">
        <v>172</v>
      </c>
      <c r="V42" s="47" t="s">
        <v>172</v>
      </c>
      <c r="W42" s="19">
        <v>801400354</v>
      </c>
      <c r="X42" s="19"/>
      <c r="Y42" s="19"/>
      <c r="Z42" s="19"/>
      <c r="AA42" s="19">
        <v>3805665438</v>
      </c>
      <c r="AB42" s="19"/>
      <c r="AC42" s="19">
        <v>1814718537</v>
      </c>
      <c r="AD42" s="19">
        <v>4211972939</v>
      </c>
      <c r="AE42" s="19">
        <v>530371954</v>
      </c>
      <c r="AF42" s="47" t="s">
        <v>172</v>
      </c>
      <c r="AG42" s="19"/>
      <c r="AH42" s="19"/>
      <c r="AI42" s="19"/>
      <c r="AJ42" s="19"/>
      <c r="AK42" s="19">
        <v>674409187</v>
      </c>
      <c r="AL42" s="19"/>
      <c r="AM42" s="47" t="s">
        <v>4</v>
      </c>
      <c r="AN42" s="19">
        <v>6424111</v>
      </c>
      <c r="AO42" s="19"/>
      <c r="AP42" s="19"/>
      <c r="AQ42" s="47" t="s">
        <v>96</v>
      </c>
      <c r="AR42" s="19"/>
      <c r="AS42" s="19"/>
      <c r="AT42" s="47" t="s">
        <v>172</v>
      </c>
      <c r="AU42" s="19"/>
      <c r="AV42" s="19"/>
      <c r="AW42" s="19">
        <v>19383000</v>
      </c>
      <c r="AX42" s="47" t="s">
        <v>4</v>
      </c>
      <c r="AY42" s="19">
        <v>217642977</v>
      </c>
      <c r="AZ42" s="19">
        <v>752043637</v>
      </c>
      <c r="BA42" s="19">
        <v>205475382</v>
      </c>
      <c r="BB42" s="19"/>
      <c r="BC42" s="47" t="s">
        <v>4</v>
      </c>
      <c r="BD42" s="47" t="s">
        <v>130</v>
      </c>
      <c r="BE42" s="19">
        <v>657467911</v>
      </c>
      <c r="BF42" s="47" t="s">
        <v>96</v>
      </c>
      <c r="BG42" s="19">
        <v>1444734568</v>
      </c>
      <c r="BH42" s="19">
        <v>1050489943</v>
      </c>
      <c r="BI42" s="19"/>
      <c r="BJ42" s="19">
        <v>83975842</v>
      </c>
      <c r="BK42" s="19">
        <v>434904436</v>
      </c>
      <c r="BL42" s="19"/>
      <c r="BM42" s="19">
        <f>109075202+303296663+1687821118</f>
        <v>2100192983</v>
      </c>
      <c r="BN42" s="19"/>
      <c r="BO42" s="19">
        <v>16816549</v>
      </c>
      <c r="BP42" s="47" t="s">
        <v>96</v>
      </c>
      <c r="BQ42" s="47" t="s">
        <v>4</v>
      </c>
      <c r="BR42" s="19">
        <v>11415923241</v>
      </c>
      <c r="BS42" s="19"/>
      <c r="BT42" s="47" t="s">
        <v>130</v>
      </c>
      <c r="BU42" s="19">
        <v>1564568969</v>
      </c>
      <c r="BV42" s="19"/>
      <c r="BW42" s="19"/>
      <c r="BX42" s="19"/>
      <c r="BY42" s="19"/>
      <c r="BZ42" s="19"/>
      <c r="CA42" s="19"/>
      <c r="CB42" s="19"/>
      <c r="CC42" s="19"/>
      <c r="CD42" s="19">
        <v>2932647729</v>
      </c>
      <c r="CE42" s="19">
        <v>27508485</v>
      </c>
      <c r="CF42" s="19">
        <v>288142218</v>
      </c>
      <c r="CG42" s="19"/>
      <c r="CH42" s="19">
        <v>373293594</v>
      </c>
      <c r="CI42" s="47" t="s">
        <v>130</v>
      </c>
      <c r="CJ42" s="19">
        <v>98501344</v>
      </c>
      <c r="CK42" s="19">
        <v>3100513522</v>
      </c>
      <c r="CL42" s="19">
        <v>566623590</v>
      </c>
      <c r="CM42" s="19"/>
      <c r="CN42" s="19"/>
      <c r="CO42" s="19"/>
      <c r="CP42" s="19">
        <v>160848539</v>
      </c>
      <c r="CQ42" s="47" t="s">
        <v>96</v>
      </c>
      <c r="CR42" s="19"/>
      <c r="CS42" s="47" t="s">
        <v>172</v>
      </c>
      <c r="CT42" s="19"/>
      <c r="CU42" s="19"/>
      <c r="CV42" s="19"/>
      <c r="CW42" s="19"/>
      <c r="CX42" s="19"/>
      <c r="CY42" s="47" t="s">
        <v>96</v>
      </c>
      <c r="CZ42" s="19"/>
      <c r="DA42" s="47" t="s">
        <v>89</v>
      </c>
      <c r="DB42" s="19">
        <v>689781410</v>
      </c>
      <c r="DC42" s="19"/>
      <c r="DD42" s="19"/>
      <c r="DE42" s="19"/>
      <c r="DF42" s="19"/>
      <c r="DG42" s="19"/>
      <c r="DH42" s="19">
        <v>7472100</v>
      </c>
      <c r="DI42" s="19">
        <v>4581596419</v>
      </c>
      <c r="DJ42" s="19"/>
      <c r="DK42" s="19">
        <v>6614430399</v>
      </c>
      <c r="DL42" s="19"/>
      <c r="DM42" s="19">
        <v>2751629314</v>
      </c>
      <c r="DN42" s="19">
        <v>950480517</v>
      </c>
      <c r="DO42" s="19"/>
      <c r="DP42" s="19">
        <v>2101708219</v>
      </c>
      <c r="DQ42" s="19">
        <v>215495276</v>
      </c>
      <c r="DR42" s="19">
        <v>1514647121</v>
      </c>
      <c r="DS42" s="19"/>
      <c r="DT42" s="19"/>
      <c r="DU42" s="19"/>
      <c r="DV42" s="19"/>
      <c r="DW42" s="19">
        <v>931694735</v>
      </c>
      <c r="DX42" s="19"/>
      <c r="DY42" s="19"/>
      <c r="DZ42" s="19"/>
      <c r="EA42" s="19"/>
      <c r="EB42" s="19">
        <v>211029509</v>
      </c>
      <c r="EC42" s="19">
        <v>987130161</v>
      </c>
      <c r="ED42" s="19"/>
      <c r="EE42" s="19">
        <v>872054400</v>
      </c>
      <c r="EF42" s="19">
        <v>1383565831</v>
      </c>
      <c r="EG42" s="19">
        <v>992221065</v>
      </c>
      <c r="EH42" s="19"/>
      <c r="EI42" s="19"/>
      <c r="EJ42" s="19"/>
      <c r="EK42" s="19"/>
      <c r="EL42" s="19">
        <v>3994030261</v>
      </c>
      <c r="EM42" s="19">
        <v>724578397</v>
      </c>
      <c r="EN42" s="19"/>
      <c r="EO42" s="19">
        <v>1323735976</v>
      </c>
      <c r="EP42" s="19">
        <v>499338755</v>
      </c>
      <c r="EQ42" s="19"/>
      <c r="ER42" s="19"/>
      <c r="ES42" s="19"/>
      <c r="ET42" s="19"/>
      <c r="EU42" s="19"/>
      <c r="EV42" s="19"/>
      <c r="EW42" s="19">
        <v>169835219</v>
      </c>
      <c r="EX42" s="19"/>
      <c r="EY42" s="19"/>
      <c r="EZ42" s="19"/>
      <c r="FA42" s="47" t="s">
        <v>130</v>
      </c>
      <c r="FB42" s="19"/>
      <c r="FC42" s="19">
        <v>2020883132</v>
      </c>
      <c r="FD42" s="19">
        <v>616241357</v>
      </c>
      <c r="FE42" s="19"/>
      <c r="FF42" s="19"/>
      <c r="FG42" s="19">
        <v>3996414852</v>
      </c>
      <c r="FH42" s="19">
        <v>228796313</v>
      </c>
      <c r="FI42" s="47" t="s">
        <v>96</v>
      </c>
      <c r="FJ42" s="19"/>
      <c r="FK42" s="19">
        <v>2094216262</v>
      </c>
      <c r="FL42" s="47" t="s">
        <v>130</v>
      </c>
      <c r="FM42" s="19"/>
      <c r="FN42" s="19">
        <v>588113944</v>
      </c>
      <c r="FO42" s="47" t="s">
        <v>172</v>
      </c>
      <c r="FP42" s="19"/>
      <c r="FQ42" s="19">
        <v>88580000</v>
      </c>
      <c r="FR42" s="19"/>
      <c r="FS42" s="47" t="s">
        <v>130</v>
      </c>
      <c r="FT42" s="19">
        <v>12310147334</v>
      </c>
      <c r="FU42" s="19"/>
      <c r="FV42" s="19"/>
      <c r="FW42" s="19"/>
      <c r="FX42" s="19"/>
      <c r="FY42" s="19"/>
      <c r="FZ42" s="47" t="s">
        <v>175</v>
      </c>
      <c r="GA42" s="19"/>
      <c r="GB42" s="19"/>
      <c r="GC42" s="19"/>
      <c r="GD42" s="48" t="s">
        <v>96</v>
      </c>
      <c r="GE42" s="48" t="s">
        <v>96</v>
      </c>
      <c r="GF42" s="19">
        <v>1098641278</v>
      </c>
      <c r="GG42" s="19">
        <v>901844995</v>
      </c>
      <c r="GH42" s="47" t="s">
        <v>172</v>
      </c>
      <c r="GI42" s="19">
        <v>63548083</v>
      </c>
      <c r="GJ42" s="47" t="s">
        <v>96</v>
      </c>
      <c r="GK42" s="19">
        <v>309241303</v>
      </c>
      <c r="GL42" s="47" t="s">
        <v>96</v>
      </c>
      <c r="GM42" s="19"/>
      <c r="GN42" s="19"/>
      <c r="GO42" s="47" t="s">
        <v>96</v>
      </c>
      <c r="GP42" s="19">
        <v>5787178568</v>
      </c>
      <c r="GQ42" s="19">
        <v>239283399</v>
      </c>
      <c r="GR42" s="19">
        <v>468837651</v>
      </c>
      <c r="GS42" s="19"/>
      <c r="GT42" s="19"/>
      <c r="GU42" s="19"/>
      <c r="GV42" s="19"/>
      <c r="GW42" s="19">
        <v>3011115895</v>
      </c>
      <c r="GX42" s="19">
        <v>1717485599</v>
      </c>
      <c r="GY42" s="19">
        <v>57530561</v>
      </c>
      <c r="GZ42" s="19">
        <v>1015536726</v>
      </c>
      <c r="HA42" s="19"/>
      <c r="HB42" s="19"/>
      <c r="HC42" s="19">
        <v>813732607</v>
      </c>
      <c r="HD42" s="19">
        <v>437033082</v>
      </c>
      <c r="HE42" s="19"/>
      <c r="HF42" s="19"/>
      <c r="HG42" s="19">
        <v>394900417</v>
      </c>
      <c r="HH42" s="47" t="s">
        <v>130</v>
      </c>
      <c r="HI42" s="19"/>
      <c r="HJ42" s="19">
        <v>1178316741</v>
      </c>
      <c r="HK42" s="19">
        <v>1074931944</v>
      </c>
      <c r="HL42" s="19">
        <v>241041694</v>
      </c>
      <c r="HM42" s="19"/>
      <c r="HN42" s="19"/>
      <c r="HO42" s="19">
        <v>1375902696</v>
      </c>
      <c r="HP42" s="19"/>
      <c r="HQ42" s="19"/>
      <c r="HR42" s="19">
        <v>6456291856</v>
      </c>
      <c r="HS42" s="19">
        <v>167270732</v>
      </c>
      <c r="HT42" s="19"/>
      <c r="HU42" s="19"/>
      <c r="HV42" s="19"/>
      <c r="HW42" s="47" t="s">
        <v>96</v>
      </c>
      <c r="HX42" s="19">
        <v>2155542311</v>
      </c>
      <c r="HY42" s="19" t="s">
        <v>172</v>
      </c>
      <c r="HZ42" s="19">
        <f>4035041987+92606322</f>
        <v>4127648309</v>
      </c>
      <c r="IA42" s="19"/>
      <c r="IB42" s="19"/>
      <c r="IC42" s="19"/>
      <c r="ID42" s="19"/>
      <c r="IE42" s="47" t="s">
        <v>96</v>
      </c>
      <c r="IF42" s="19"/>
      <c r="IG42" s="19"/>
      <c r="IH42" s="19"/>
      <c r="II42" s="19">
        <v>158367654</v>
      </c>
      <c r="IJ42" s="19"/>
      <c r="IK42" s="19">
        <v>378485790</v>
      </c>
      <c r="IL42" s="19">
        <v>364674226</v>
      </c>
      <c r="IM42" s="19"/>
      <c r="IN42" s="19"/>
      <c r="IO42" s="19">
        <v>486127296</v>
      </c>
      <c r="IP42" s="19"/>
      <c r="IQ42" s="19"/>
      <c r="IR42" s="19"/>
      <c r="IS42" s="19">
        <v>966824000</v>
      </c>
      <c r="IT42" s="19">
        <v>26379808</v>
      </c>
      <c r="IU42" s="45"/>
      <c r="IV42" s="45"/>
      <c r="IW42" s="45"/>
      <c r="IX42" s="45"/>
      <c r="IY42" s="45">
        <v>198381726</v>
      </c>
      <c r="IZ42" s="45">
        <v>127646214</v>
      </c>
      <c r="JA42" s="45">
        <v>5553099954</v>
      </c>
      <c r="JB42" s="45">
        <v>303951917</v>
      </c>
      <c r="JC42" s="45">
        <v>194029460</v>
      </c>
      <c r="JD42" s="45"/>
      <c r="JE42" s="45"/>
      <c r="JF42" s="45"/>
      <c r="JG42" s="45">
        <v>5454</v>
      </c>
      <c r="JH42" s="45"/>
      <c r="JI42" s="45">
        <v>211965686</v>
      </c>
      <c r="JJ42" s="45"/>
      <c r="JK42" s="45"/>
      <c r="JL42" s="45"/>
      <c r="JM42" s="45"/>
      <c r="JN42" s="45">
        <v>2057633627</v>
      </c>
      <c r="JO42" s="46"/>
      <c r="JP42" s="46"/>
      <c r="JQ42" s="63" t="s">
        <v>175</v>
      </c>
      <c r="JR42" s="46">
        <v>100351811</v>
      </c>
      <c r="JS42" s="46">
        <v>272596226</v>
      </c>
      <c r="JT42" s="46">
        <v>194924038</v>
      </c>
      <c r="JU42" s="46">
        <v>1119184376</v>
      </c>
      <c r="JV42" s="46"/>
      <c r="JW42" s="46"/>
      <c r="JX42" s="46"/>
      <c r="JY42" s="46"/>
      <c r="JZ42" s="46">
        <v>7989274</v>
      </c>
      <c r="KA42" s="46"/>
      <c r="KB42" s="46">
        <v>6501828033</v>
      </c>
      <c r="KC42" s="46">
        <v>570167906</v>
      </c>
      <c r="KD42" s="46"/>
      <c r="KE42" s="46">
        <v>91840565</v>
      </c>
      <c r="KF42" s="46">
        <v>23850500</v>
      </c>
      <c r="KG42" s="46"/>
      <c r="KH42" s="46"/>
    </row>
    <row r="43" spans="1:294">
      <c r="A43" s="9" t="s">
        <v>183</v>
      </c>
      <c r="B43" s="15" t="s">
        <v>28</v>
      </c>
      <c r="C43" s="19">
        <v>1762685582</v>
      </c>
      <c r="D43" s="19"/>
      <c r="E43" s="19"/>
      <c r="F43" s="19">
        <v>1673744551</v>
      </c>
      <c r="G43" s="47" t="s">
        <v>130</v>
      </c>
      <c r="H43" s="19"/>
      <c r="I43" s="19">
        <v>9718217854</v>
      </c>
      <c r="J43" s="47" t="s">
        <v>4</v>
      </c>
      <c r="K43" s="19"/>
      <c r="L43" s="47" t="s">
        <v>96</v>
      </c>
      <c r="M43" s="47" t="s">
        <v>96</v>
      </c>
      <c r="N43" s="19"/>
      <c r="O43" s="19">
        <v>12765881489</v>
      </c>
      <c r="P43" s="19">
        <v>6267994203</v>
      </c>
      <c r="Q43" s="19">
        <v>46850000</v>
      </c>
      <c r="R43" s="19">
        <v>381788704</v>
      </c>
      <c r="S43" s="19"/>
      <c r="T43" s="47" t="s">
        <v>96</v>
      </c>
      <c r="U43" s="47" t="s">
        <v>172</v>
      </c>
      <c r="V43" s="47" t="s">
        <v>172</v>
      </c>
      <c r="W43" s="19">
        <v>348352641</v>
      </c>
      <c r="X43" s="19">
        <v>2764313208</v>
      </c>
      <c r="Y43" s="19">
        <v>292824989</v>
      </c>
      <c r="Z43" s="19">
        <v>480845450</v>
      </c>
      <c r="AA43" s="19"/>
      <c r="AB43" s="19">
        <v>118349296</v>
      </c>
      <c r="AC43" s="19"/>
      <c r="AD43" s="19"/>
      <c r="AE43" s="19">
        <v>536974858</v>
      </c>
      <c r="AF43" s="47" t="s">
        <v>172</v>
      </c>
      <c r="AG43" s="19">
        <v>79443869</v>
      </c>
      <c r="AH43" s="19">
        <v>1487981342</v>
      </c>
      <c r="AI43" s="19">
        <v>35909091</v>
      </c>
      <c r="AJ43" s="19"/>
      <c r="AK43" s="19"/>
      <c r="AL43" s="19">
        <v>57305725</v>
      </c>
      <c r="AM43" s="47" t="s">
        <v>4</v>
      </c>
      <c r="AN43" s="19">
        <v>1050591463</v>
      </c>
      <c r="AO43" s="19">
        <v>1607290705</v>
      </c>
      <c r="AP43" s="19">
        <v>707620800</v>
      </c>
      <c r="AQ43" s="47" t="s">
        <v>96</v>
      </c>
      <c r="AR43" s="19"/>
      <c r="AS43" s="19">
        <v>874010512</v>
      </c>
      <c r="AT43" s="47" t="s">
        <v>172</v>
      </c>
      <c r="AU43" s="19">
        <v>1097199793</v>
      </c>
      <c r="AV43" s="19"/>
      <c r="AW43" s="19">
        <v>234666467</v>
      </c>
      <c r="AX43" s="47" t="s">
        <v>4</v>
      </c>
      <c r="AY43" s="19">
        <v>883545454</v>
      </c>
      <c r="AZ43" s="19"/>
      <c r="BA43" s="19"/>
      <c r="BB43" s="19">
        <v>17833640</v>
      </c>
      <c r="BC43" s="47" t="s">
        <v>4</v>
      </c>
      <c r="BD43" s="47" t="s">
        <v>130</v>
      </c>
      <c r="BE43" s="19"/>
      <c r="BF43" s="47" t="s">
        <v>96</v>
      </c>
      <c r="BG43" s="19">
        <v>26803638</v>
      </c>
      <c r="BH43" s="19"/>
      <c r="BI43" s="19"/>
      <c r="BJ43" s="19">
        <v>401413874</v>
      </c>
      <c r="BK43" s="19">
        <v>556809999</v>
      </c>
      <c r="BL43" s="19">
        <v>8720813692</v>
      </c>
      <c r="BM43" s="19">
        <f>500992121+425897089</f>
        <v>926889210</v>
      </c>
      <c r="BN43" s="19"/>
      <c r="BO43" s="19"/>
      <c r="BP43" s="47" t="s">
        <v>96</v>
      </c>
      <c r="BQ43" s="47" t="s">
        <v>4</v>
      </c>
      <c r="BR43" s="19"/>
      <c r="BS43" s="19"/>
      <c r="BT43" s="47" t="s">
        <v>130</v>
      </c>
      <c r="BU43" s="19"/>
      <c r="BV43" s="19">
        <v>38785319</v>
      </c>
      <c r="BW43" s="19">
        <v>496662992</v>
      </c>
      <c r="BX43" s="19">
        <v>270522956</v>
      </c>
      <c r="BY43" s="19"/>
      <c r="BZ43" s="19"/>
      <c r="CA43" s="19">
        <v>2469027846</v>
      </c>
      <c r="CB43" s="19">
        <v>249139057</v>
      </c>
      <c r="CC43" s="19"/>
      <c r="CD43" s="19"/>
      <c r="CE43" s="19"/>
      <c r="CF43" s="19"/>
      <c r="CG43" s="19">
        <v>1085686340</v>
      </c>
      <c r="CH43" s="19"/>
      <c r="CI43" s="47" t="s">
        <v>130</v>
      </c>
      <c r="CJ43" s="19"/>
      <c r="CK43" s="19"/>
      <c r="CL43" s="19"/>
      <c r="CM43" s="19">
        <v>8252765375</v>
      </c>
      <c r="CN43" s="19"/>
      <c r="CO43" s="19"/>
      <c r="CP43" s="19">
        <v>3502270086</v>
      </c>
      <c r="CQ43" s="47" t="s">
        <v>96</v>
      </c>
      <c r="CR43" s="19"/>
      <c r="CS43" s="47" t="s">
        <v>172</v>
      </c>
      <c r="CT43" s="19">
        <v>3982238100</v>
      </c>
      <c r="CU43" s="19">
        <v>589613864</v>
      </c>
      <c r="CV43" s="19"/>
      <c r="CW43" s="19">
        <v>2712298764</v>
      </c>
      <c r="CX43" s="19">
        <v>3872860869</v>
      </c>
      <c r="CY43" s="47" t="s">
        <v>96</v>
      </c>
      <c r="CZ43" s="19">
        <v>3673904821</v>
      </c>
      <c r="DA43" s="47" t="s">
        <v>89</v>
      </c>
      <c r="DB43" s="19"/>
      <c r="DC43" s="19">
        <v>47970193</v>
      </c>
      <c r="DD43" s="19"/>
      <c r="DE43" s="19"/>
      <c r="DF43" s="19">
        <v>65049000</v>
      </c>
      <c r="DG43" s="19"/>
      <c r="DH43" s="19">
        <v>987555479</v>
      </c>
      <c r="DI43" s="19"/>
      <c r="DJ43" s="19">
        <v>191401175</v>
      </c>
      <c r="DK43" s="19">
        <v>122870738</v>
      </c>
      <c r="DL43" s="19">
        <v>474727067</v>
      </c>
      <c r="DM43" s="19"/>
      <c r="DN43" s="19"/>
      <c r="DO43" s="19"/>
      <c r="DP43" s="19"/>
      <c r="DQ43" s="19"/>
      <c r="DR43" s="19"/>
      <c r="DS43" s="19"/>
      <c r="DT43" s="19">
        <v>1790787257</v>
      </c>
      <c r="DU43" s="19">
        <v>451743043</v>
      </c>
      <c r="DV43" s="19">
        <v>70616610</v>
      </c>
      <c r="DW43" s="19"/>
      <c r="DX43" s="19">
        <v>5827289269</v>
      </c>
      <c r="DY43" s="19"/>
      <c r="DZ43" s="19">
        <v>1600106957</v>
      </c>
      <c r="EA43" s="19"/>
      <c r="EB43" s="19">
        <v>10762310024</v>
      </c>
      <c r="EC43" s="19"/>
      <c r="ED43" s="19"/>
      <c r="EE43" s="19"/>
      <c r="EF43" s="19"/>
      <c r="EG43" s="19">
        <v>381168617</v>
      </c>
      <c r="EH43" s="19">
        <v>90452638</v>
      </c>
      <c r="EI43" s="19">
        <v>14398581315</v>
      </c>
      <c r="EJ43" s="19">
        <v>44170387</v>
      </c>
      <c r="EK43" s="19">
        <v>218617630</v>
      </c>
      <c r="EL43" s="19"/>
      <c r="EM43" s="19"/>
      <c r="EN43" s="19">
        <v>3902852752</v>
      </c>
      <c r="EO43" s="19"/>
      <c r="EP43" s="19"/>
      <c r="EQ43" s="19"/>
      <c r="ER43" s="19">
        <v>8017259579</v>
      </c>
      <c r="ES43" s="19"/>
      <c r="ET43" s="19">
        <v>2215700202</v>
      </c>
      <c r="EU43" s="19">
        <v>2058918952</v>
      </c>
      <c r="EV43" s="19"/>
      <c r="EW43" s="19"/>
      <c r="EX43" s="19">
        <v>1580724869</v>
      </c>
      <c r="EY43" s="19">
        <v>7773711376</v>
      </c>
      <c r="EZ43" s="19">
        <v>740815098</v>
      </c>
      <c r="FA43" s="47" t="s">
        <v>130</v>
      </c>
      <c r="FB43" s="19"/>
      <c r="FC43" s="19"/>
      <c r="FD43" s="19"/>
      <c r="FE43" s="19"/>
      <c r="FF43" s="19">
        <v>793529183</v>
      </c>
      <c r="FG43" s="19">
        <v>391595731</v>
      </c>
      <c r="FH43" s="19">
        <v>233420112</v>
      </c>
      <c r="FI43" s="47" t="s">
        <v>96</v>
      </c>
      <c r="FJ43" s="19"/>
      <c r="FK43" s="19">
        <v>67427156</v>
      </c>
      <c r="FL43" s="47" t="s">
        <v>130</v>
      </c>
      <c r="FM43" s="19">
        <v>306282240</v>
      </c>
      <c r="FN43" s="19"/>
      <c r="FO43" s="47" t="s">
        <v>172</v>
      </c>
      <c r="FP43" s="19"/>
      <c r="FQ43" s="19"/>
      <c r="FR43" s="19"/>
      <c r="FS43" s="47" t="s">
        <v>130</v>
      </c>
      <c r="FT43" s="19"/>
      <c r="FU43" s="19">
        <v>70776794</v>
      </c>
      <c r="FV43" s="19">
        <v>1787114843</v>
      </c>
      <c r="FW43" s="19">
        <v>6800000</v>
      </c>
      <c r="FX43" s="19"/>
      <c r="FY43" s="19">
        <v>1357952786</v>
      </c>
      <c r="FZ43" s="47" t="s">
        <v>175</v>
      </c>
      <c r="GA43" s="19"/>
      <c r="GB43" s="19"/>
      <c r="GC43" s="19">
        <v>240008672</v>
      </c>
      <c r="GD43" s="48" t="s">
        <v>96</v>
      </c>
      <c r="GE43" s="48" t="s">
        <v>96</v>
      </c>
      <c r="GF43" s="19"/>
      <c r="GG43" s="19"/>
      <c r="GH43" s="47" t="s">
        <v>172</v>
      </c>
      <c r="GI43" s="19">
        <v>47738637</v>
      </c>
      <c r="GJ43" s="47" t="s">
        <v>96</v>
      </c>
      <c r="GK43" s="19"/>
      <c r="GL43" s="47" t="s">
        <v>96</v>
      </c>
      <c r="GM43" s="19">
        <v>214072944</v>
      </c>
      <c r="GN43" s="19"/>
      <c r="GO43" s="47" t="s">
        <v>96</v>
      </c>
      <c r="GP43" s="19"/>
      <c r="GQ43" s="19"/>
      <c r="GR43" s="19"/>
      <c r="GS43" s="19">
        <v>211918184</v>
      </c>
      <c r="GT43" s="19">
        <v>87411648</v>
      </c>
      <c r="GU43" s="19">
        <v>200333800</v>
      </c>
      <c r="GV43" s="19">
        <f>720459895+3452000+16269000+3622107941+237445710+899076250+53554710</f>
        <v>5552365506</v>
      </c>
      <c r="GW43" s="19">
        <v>1301190844</v>
      </c>
      <c r="GX43" s="19">
        <v>24942545</v>
      </c>
      <c r="GY43" s="19"/>
      <c r="GZ43" s="19">
        <v>457330666</v>
      </c>
      <c r="HA43" s="19"/>
      <c r="HB43" s="19">
        <v>688443003</v>
      </c>
      <c r="HC43" s="19"/>
      <c r="HD43" s="19">
        <v>5657269</v>
      </c>
      <c r="HE43" s="19"/>
      <c r="HF43" s="19">
        <v>6408897235</v>
      </c>
      <c r="HG43" s="19">
        <v>27567000</v>
      </c>
      <c r="HH43" s="47" t="s">
        <v>130</v>
      </c>
      <c r="HI43" s="19">
        <v>627336907</v>
      </c>
      <c r="HJ43" s="19">
        <v>118921817</v>
      </c>
      <c r="HK43" s="19">
        <v>46994285</v>
      </c>
      <c r="HL43" s="19">
        <v>38638060</v>
      </c>
      <c r="HM43" s="19">
        <v>606802701</v>
      </c>
      <c r="HN43" s="19">
        <v>0</v>
      </c>
      <c r="HO43" s="19">
        <v>902551238</v>
      </c>
      <c r="HP43" s="19">
        <v>53544461</v>
      </c>
      <c r="HQ43" s="19">
        <v>1554375041</v>
      </c>
      <c r="HR43" s="19"/>
      <c r="HS43" s="19">
        <f>1029600635+608275</f>
        <v>1030208910</v>
      </c>
      <c r="HT43" s="19"/>
      <c r="HU43" s="19">
        <v>1498374857</v>
      </c>
      <c r="HV43" s="19"/>
      <c r="HW43" s="47" t="s">
        <v>96</v>
      </c>
      <c r="HX43" s="19"/>
      <c r="HY43" s="19" t="s">
        <v>172</v>
      </c>
      <c r="HZ43" s="19">
        <f>28422318+319231778+9760090</f>
        <v>357414186</v>
      </c>
      <c r="IA43" s="19">
        <v>132826400</v>
      </c>
      <c r="IB43" s="19"/>
      <c r="IC43" s="19">
        <v>7036839080</v>
      </c>
      <c r="ID43" s="19"/>
      <c r="IE43" s="47" t="s">
        <v>96</v>
      </c>
      <c r="IF43" s="19">
        <v>153468640</v>
      </c>
      <c r="IG43" s="19"/>
      <c r="IH43" s="19">
        <v>446691804</v>
      </c>
      <c r="II43" s="19"/>
      <c r="IJ43" s="19"/>
      <c r="IK43" s="19">
        <v>127178475</v>
      </c>
      <c r="IL43" s="19">
        <v>1436363</v>
      </c>
      <c r="IM43" s="19">
        <v>431531366</v>
      </c>
      <c r="IN43" s="19">
        <v>391646324</v>
      </c>
      <c r="IO43" s="19"/>
      <c r="IP43" s="19"/>
      <c r="IQ43" s="19">
        <v>3303706748</v>
      </c>
      <c r="IR43" s="19">
        <v>1105176578</v>
      </c>
      <c r="IS43" s="19"/>
      <c r="IT43" s="19">
        <v>882672704</v>
      </c>
      <c r="IU43" s="45">
        <v>6340333599</v>
      </c>
      <c r="IV43" s="45">
        <v>1847728846</v>
      </c>
      <c r="IW43" s="45">
        <v>196160445</v>
      </c>
      <c r="IX43" s="45"/>
      <c r="IY43" s="45"/>
      <c r="IZ43" s="45">
        <v>416601967</v>
      </c>
      <c r="JA43" s="45"/>
      <c r="JB43" s="45"/>
      <c r="JC43" s="45"/>
      <c r="JD43" s="45">
        <v>457422853</v>
      </c>
      <c r="JE43" s="45"/>
      <c r="JF43" s="45"/>
      <c r="JG43" s="45">
        <v>75255870</v>
      </c>
      <c r="JH43" s="45">
        <v>160126308</v>
      </c>
      <c r="JI43" s="45">
        <v>130607918</v>
      </c>
      <c r="JJ43" s="45">
        <v>141365189</v>
      </c>
      <c r="JK43" s="45"/>
      <c r="JL43" s="45">
        <v>4687475082</v>
      </c>
      <c r="JM43" s="45">
        <v>532659800</v>
      </c>
      <c r="JN43" s="45"/>
      <c r="JO43" s="46"/>
      <c r="JP43" s="46"/>
      <c r="JQ43" s="63" t="s">
        <v>175</v>
      </c>
      <c r="JR43" s="46"/>
      <c r="JS43" s="46"/>
      <c r="JT43" s="46">
        <v>79559531</v>
      </c>
      <c r="JU43" s="46"/>
      <c r="JV43" s="46">
        <v>926255746</v>
      </c>
      <c r="JW43" s="46"/>
      <c r="JX43" s="46">
        <v>6906916593</v>
      </c>
      <c r="JY43" s="46">
        <v>4210656001</v>
      </c>
      <c r="JZ43" s="46"/>
      <c r="KA43" s="46">
        <v>316812100</v>
      </c>
      <c r="KB43" s="46"/>
      <c r="KC43" s="46"/>
      <c r="KD43" s="46">
        <v>3579012689</v>
      </c>
      <c r="KE43" s="46"/>
      <c r="KF43" s="46">
        <v>71213775</v>
      </c>
      <c r="KG43" s="46"/>
      <c r="KH43" s="46"/>
    </row>
    <row r="44" spans="1:294">
      <c r="A44" s="9" t="s">
        <v>183</v>
      </c>
      <c r="B44" s="15" t="s">
        <v>24</v>
      </c>
      <c r="C44" s="19">
        <v>38859000</v>
      </c>
      <c r="D44" s="19">
        <v>12040963</v>
      </c>
      <c r="E44" s="19"/>
      <c r="F44" s="19">
        <v>28135506</v>
      </c>
      <c r="G44" s="47" t="s">
        <v>130</v>
      </c>
      <c r="H44" s="19">
        <v>10685845461</v>
      </c>
      <c r="I44" s="19">
        <v>2245160</v>
      </c>
      <c r="J44" s="47" t="s">
        <v>4</v>
      </c>
      <c r="K44" s="19"/>
      <c r="L44" s="47" t="s">
        <v>96</v>
      </c>
      <c r="M44" s="47" t="s">
        <v>96</v>
      </c>
      <c r="N44" s="19">
        <v>263492218</v>
      </c>
      <c r="O44" s="19"/>
      <c r="P44" s="19">
        <v>275780997</v>
      </c>
      <c r="Q44" s="19">
        <v>255404000</v>
      </c>
      <c r="R44" s="19"/>
      <c r="S44" s="19"/>
      <c r="T44" s="47" t="s">
        <v>96</v>
      </c>
      <c r="U44" s="47" t="s">
        <v>172</v>
      </c>
      <c r="V44" s="47" t="s">
        <v>172</v>
      </c>
      <c r="W44" s="19">
        <v>800000</v>
      </c>
      <c r="X44" s="19">
        <v>238979790</v>
      </c>
      <c r="Y44" s="19">
        <v>19973181</v>
      </c>
      <c r="Z44" s="19">
        <v>142854500</v>
      </c>
      <c r="AA44" s="19">
        <v>52492287</v>
      </c>
      <c r="AB44" s="19"/>
      <c r="AC44" s="19">
        <v>4984518</v>
      </c>
      <c r="AD44" s="19">
        <v>15130800</v>
      </c>
      <c r="AE44" s="19">
        <v>20856000</v>
      </c>
      <c r="AF44" s="47" t="s">
        <v>172</v>
      </c>
      <c r="AG44" s="19"/>
      <c r="AH44" s="19"/>
      <c r="AI44" s="19">
        <v>10943636</v>
      </c>
      <c r="AJ44" s="19">
        <v>909091</v>
      </c>
      <c r="AK44" s="19">
        <v>112165719</v>
      </c>
      <c r="AL44" s="19">
        <v>666795946</v>
      </c>
      <c r="AM44" s="47" t="s">
        <v>4</v>
      </c>
      <c r="AN44" s="19">
        <v>102896205</v>
      </c>
      <c r="AO44" s="19"/>
      <c r="AP44" s="19">
        <v>197688971</v>
      </c>
      <c r="AQ44" s="47" t="s">
        <v>96</v>
      </c>
      <c r="AR44" s="19"/>
      <c r="AS44" s="19">
        <v>180484544</v>
      </c>
      <c r="AT44" s="47" t="s">
        <v>172</v>
      </c>
      <c r="AU44" s="19">
        <v>154118110</v>
      </c>
      <c r="AV44" s="19">
        <v>180146989</v>
      </c>
      <c r="AW44" s="19">
        <v>7174477</v>
      </c>
      <c r="AX44" s="47" t="s">
        <v>4</v>
      </c>
      <c r="AY44" s="19"/>
      <c r="AZ44" s="19"/>
      <c r="BA44" s="19"/>
      <c r="BB44" s="19"/>
      <c r="BC44" s="47" t="s">
        <v>4</v>
      </c>
      <c r="BD44" s="47" t="s">
        <v>130</v>
      </c>
      <c r="BE44" s="19">
        <v>54105021</v>
      </c>
      <c r="BF44" s="47" t="s">
        <v>96</v>
      </c>
      <c r="BG44" s="19">
        <v>204217609</v>
      </c>
      <c r="BH44" s="19"/>
      <c r="BI44" s="19">
        <v>59994780</v>
      </c>
      <c r="BJ44" s="19">
        <v>-927225</v>
      </c>
      <c r="BK44" s="19"/>
      <c r="BL44" s="19"/>
      <c r="BM44" s="19"/>
      <c r="BN44" s="19">
        <v>84641089</v>
      </c>
      <c r="BO44" s="19"/>
      <c r="BP44" s="47" t="s">
        <v>96</v>
      </c>
      <c r="BQ44" s="47" t="s">
        <v>4</v>
      </c>
      <c r="BR44" s="19"/>
      <c r="BS44" s="19">
        <v>34099181</v>
      </c>
      <c r="BT44" s="47" t="s">
        <v>130</v>
      </c>
      <c r="BU44" s="19"/>
      <c r="BV44" s="19">
        <v>274675453</v>
      </c>
      <c r="BW44" s="19"/>
      <c r="BX44" s="19">
        <v>281309550</v>
      </c>
      <c r="BY44" s="19">
        <v>372378252</v>
      </c>
      <c r="BZ44" s="19"/>
      <c r="CA44" s="19">
        <v>35003631</v>
      </c>
      <c r="CB44" s="19">
        <v>2200000</v>
      </c>
      <c r="CC44" s="19">
        <v>4600000</v>
      </c>
      <c r="CD44" s="19"/>
      <c r="CE44" s="19"/>
      <c r="CF44" s="19"/>
      <c r="CG44" s="19">
        <v>24538804</v>
      </c>
      <c r="CH44" s="19">
        <v>44400000</v>
      </c>
      <c r="CI44" s="47" t="s">
        <v>130</v>
      </c>
      <c r="CJ44" s="19"/>
      <c r="CK44" s="19"/>
      <c r="CL44" s="19"/>
      <c r="CM44" s="19">
        <v>336213368</v>
      </c>
      <c r="CN44" s="19">
        <v>316516199</v>
      </c>
      <c r="CO44" s="19"/>
      <c r="CP44" s="19"/>
      <c r="CQ44" s="47" t="s">
        <v>96</v>
      </c>
      <c r="CR44" s="19">
        <v>2431475545</v>
      </c>
      <c r="CS44" s="47" t="s">
        <v>172</v>
      </c>
      <c r="CT44" s="19"/>
      <c r="CU44" s="19"/>
      <c r="CV44" s="19"/>
      <c r="CW44" s="19">
        <v>-66469280</v>
      </c>
      <c r="CX44" s="19">
        <v>1700000</v>
      </c>
      <c r="CY44" s="47" t="s">
        <v>96</v>
      </c>
      <c r="CZ44" s="19">
        <v>155267573</v>
      </c>
      <c r="DA44" s="47" t="s">
        <v>89</v>
      </c>
      <c r="DB44" s="19">
        <v>178552518</v>
      </c>
      <c r="DC44" s="19"/>
      <c r="DD44" s="19">
        <v>27872645</v>
      </c>
      <c r="DE44" s="19">
        <v>2284213631</v>
      </c>
      <c r="DF44" s="19"/>
      <c r="DG44" s="19">
        <v>391464064</v>
      </c>
      <c r="DH44" s="19"/>
      <c r="DI44" s="19">
        <v>190545284</v>
      </c>
      <c r="DJ44" s="19">
        <v>23870000</v>
      </c>
      <c r="DK44" s="19">
        <v>4770284874</v>
      </c>
      <c r="DL44" s="19"/>
      <c r="DM44" s="19"/>
      <c r="DN44" s="19">
        <v>149197047</v>
      </c>
      <c r="DO44" s="19">
        <v>139370301</v>
      </c>
      <c r="DP44" s="19"/>
      <c r="DQ44" s="19">
        <v>14549225</v>
      </c>
      <c r="DR44" s="19">
        <v>90680000</v>
      </c>
      <c r="DS44" s="19"/>
      <c r="DT44" s="19"/>
      <c r="DU44" s="19"/>
      <c r="DV44" s="19">
        <v>7008546959</v>
      </c>
      <c r="DW44" s="19"/>
      <c r="DX44" s="19"/>
      <c r="DY44" s="19">
        <v>650745687</v>
      </c>
      <c r="DZ44" s="19"/>
      <c r="EA44" s="19">
        <v>86246168</v>
      </c>
      <c r="EB44" s="19">
        <v>254482540</v>
      </c>
      <c r="EC44" s="19">
        <v>12140889</v>
      </c>
      <c r="ED44" s="19"/>
      <c r="EE44" s="19">
        <v>365476620</v>
      </c>
      <c r="EF44" s="19"/>
      <c r="EG44" s="19"/>
      <c r="EH44" s="19">
        <v>229026190</v>
      </c>
      <c r="EI44" s="19"/>
      <c r="EJ44" s="19">
        <v>119604549</v>
      </c>
      <c r="EK44" s="19">
        <v>317269849</v>
      </c>
      <c r="EL44" s="19"/>
      <c r="EM44" s="19">
        <v>136905226</v>
      </c>
      <c r="EN44" s="19">
        <v>4513057075</v>
      </c>
      <c r="EO44" s="19"/>
      <c r="EP44" s="19">
        <v>572486074</v>
      </c>
      <c r="EQ44" s="19">
        <v>7584400803</v>
      </c>
      <c r="ER44" s="19"/>
      <c r="ES44" s="19">
        <v>14106779</v>
      </c>
      <c r="ET44" s="19"/>
      <c r="EU44" s="19">
        <v>238154972</v>
      </c>
      <c r="EV44" s="19"/>
      <c r="EW44" s="19">
        <v>212431316</v>
      </c>
      <c r="EX44" s="19">
        <v>78418852</v>
      </c>
      <c r="EY44" s="19">
        <v>12580000</v>
      </c>
      <c r="EZ44" s="19">
        <v>315937422</v>
      </c>
      <c r="FA44" s="47" t="s">
        <v>130</v>
      </c>
      <c r="FB44" s="19"/>
      <c r="FC44" s="19"/>
      <c r="FD44" s="19"/>
      <c r="FE44" s="19"/>
      <c r="FF44" s="19"/>
      <c r="FG44" s="19">
        <v>56621624</v>
      </c>
      <c r="FH44" s="19">
        <v>436863720</v>
      </c>
      <c r="FI44" s="47" t="s">
        <v>96</v>
      </c>
      <c r="FJ44" s="19">
        <v>399210440</v>
      </c>
      <c r="FK44" s="19">
        <v>410208539</v>
      </c>
      <c r="FL44" s="47" t="s">
        <v>130</v>
      </c>
      <c r="FM44" s="19">
        <v>17015566</v>
      </c>
      <c r="FN44" s="19"/>
      <c r="FO44" s="47" t="s">
        <v>172</v>
      </c>
      <c r="FP44" s="19">
        <v>89240000</v>
      </c>
      <c r="FQ44" s="19"/>
      <c r="FR44" s="19"/>
      <c r="FS44" s="47" t="s">
        <v>130</v>
      </c>
      <c r="FT44" s="19"/>
      <c r="FU44" s="19"/>
      <c r="FV44" s="19"/>
      <c r="FW44" s="19"/>
      <c r="FX44" s="19"/>
      <c r="FY44" s="19"/>
      <c r="FZ44" s="47" t="s">
        <v>175</v>
      </c>
      <c r="GA44" s="19">
        <v>1235748567</v>
      </c>
      <c r="GB44" s="19">
        <v>8511967</v>
      </c>
      <c r="GC44" s="19"/>
      <c r="GD44" s="48" t="s">
        <v>96</v>
      </c>
      <c r="GE44" s="48" t="s">
        <v>96</v>
      </c>
      <c r="GF44" s="19"/>
      <c r="GG44" s="19"/>
      <c r="GH44" s="47" t="s">
        <v>172</v>
      </c>
      <c r="GI44" s="19"/>
      <c r="GJ44" s="47" t="s">
        <v>96</v>
      </c>
      <c r="GK44" s="19"/>
      <c r="GL44" s="47" t="s">
        <v>96</v>
      </c>
      <c r="GM44" s="19"/>
      <c r="GN44" s="19">
        <v>663562317</v>
      </c>
      <c r="GO44" s="47" t="s">
        <v>96</v>
      </c>
      <c r="GP44" s="19">
        <v>1446540814</v>
      </c>
      <c r="GQ44" s="19">
        <v>341135716</v>
      </c>
      <c r="GR44" s="19"/>
      <c r="GS44" s="19">
        <v>64179532</v>
      </c>
      <c r="GT44" s="19">
        <v>383583977</v>
      </c>
      <c r="GU44" s="19">
        <v>189079063</v>
      </c>
      <c r="GV44" s="19">
        <v>486447529</v>
      </c>
      <c r="GW44" s="19"/>
      <c r="GX44" s="19">
        <v>50890719</v>
      </c>
      <c r="GY44" s="19">
        <v>131511000</v>
      </c>
      <c r="GZ44" s="19">
        <v>149811816</v>
      </c>
      <c r="HA44" s="19">
        <v>48733640</v>
      </c>
      <c r="HB44" s="19"/>
      <c r="HC44" s="19"/>
      <c r="HD44" s="19"/>
      <c r="HE44" s="19">
        <v>52074525</v>
      </c>
      <c r="HF44" s="19">
        <v>9200000</v>
      </c>
      <c r="HG44" s="19"/>
      <c r="HH44" s="47" t="s">
        <v>130</v>
      </c>
      <c r="HI44" s="19">
        <v>0</v>
      </c>
      <c r="HJ44" s="19">
        <v>44102737</v>
      </c>
      <c r="HK44" s="19">
        <v>681200</v>
      </c>
      <c r="HL44" s="19">
        <f>1137573883+93745454</f>
        <v>1231319337</v>
      </c>
      <c r="HM44" s="19"/>
      <c r="HN44" s="19">
        <f>55801633+49837423</f>
        <v>105639056</v>
      </c>
      <c r="HO44" s="19">
        <v>460945265</v>
      </c>
      <c r="HP44" s="19">
        <v>162545</v>
      </c>
      <c r="HQ44" s="19">
        <v>8613123</v>
      </c>
      <c r="HR44" s="19"/>
      <c r="HS44" s="19">
        <v>0</v>
      </c>
      <c r="HT44" s="19">
        <v>40000000</v>
      </c>
      <c r="HU44" s="19">
        <v>2857192</v>
      </c>
      <c r="HV44" s="19">
        <v>39539990</v>
      </c>
      <c r="HW44" s="47" t="s">
        <v>96</v>
      </c>
      <c r="HX44" s="19">
        <v>4413101</v>
      </c>
      <c r="HY44" s="19" t="s">
        <v>172</v>
      </c>
      <c r="HZ44" s="19">
        <f>717758447+276818181+94596389+1035651803</f>
        <v>2124824820</v>
      </c>
      <c r="IA44" s="19">
        <v>62799140</v>
      </c>
      <c r="IB44" s="19">
        <v>2633422301</v>
      </c>
      <c r="IC44" s="19">
        <v>53649079</v>
      </c>
      <c r="ID44" s="19"/>
      <c r="IE44" s="47" t="s">
        <v>96</v>
      </c>
      <c r="IF44" s="19">
        <v>37425620</v>
      </c>
      <c r="IG44" s="19"/>
      <c r="IH44" s="19"/>
      <c r="II44" s="19">
        <v>236704756</v>
      </c>
      <c r="IJ44" s="19"/>
      <c r="IK44" s="19"/>
      <c r="IL44" s="19">
        <v>24900000</v>
      </c>
      <c r="IM44" s="19"/>
      <c r="IN44" s="19">
        <v>398230702</v>
      </c>
      <c r="IO44" s="19"/>
      <c r="IP44" s="19">
        <v>502535770</v>
      </c>
      <c r="IQ44" s="19">
        <v>394568566</v>
      </c>
      <c r="IR44" s="19"/>
      <c r="IS44" s="19">
        <v>804042215</v>
      </c>
      <c r="IT44" s="19"/>
      <c r="IU44" s="45">
        <v>496403250</v>
      </c>
      <c r="IV44" s="45"/>
      <c r="IW44" s="45"/>
      <c r="IX44" s="45">
        <v>928242153</v>
      </c>
      <c r="IY44" s="45">
        <v>100000000</v>
      </c>
      <c r="IZ44" s="45">
        <v>4545454</v>
      </c>
      <c r="JA44" s="45"/>
      <c r="JB44" s="45"/>
      <c r="JC44" s="45"/>
      <c r="JD44" s="45">
        <v>529525499</v>
      </c>
      <c r="JE44" s="45"/>
      <c r="JF44" s="45">
        <v>138673927</v>
      </c>
      <c r="JG44" s="45">
        <v>4307722</v>
      </c>
      <c r="JH44" s="45"/>
      <c r="JI44" s="45">
        <v>80932580</v>
      </c>
      <c r="JJ44" s="45"/>
      <c r="JK44" s="45">
        <v>418778404</v>
      </c>
      <c r="JL44" s="45">
        <v>25700000</v>
      </c>
      <c r="JM44" s="45">
        <v>262188330</v>
      </c>
      <c r="JN44" s="45"/>
      <c r="JO44" s="46">
        <v>205355440</v>
      </c>
      <c r="JP44" s="46">
        <v>578245580</v>
      </c>
      <c r="JQ44" s="63" t="s">
        <v>175</v>
      </c>
      <c r="JR44" s="46"/>
      <c r="JS44" s="46"/>
      <c r="JT44" s="46"/>
      <c r="JU44" s="46"/>
      <c r="JV44" s="46">
        <v>661885417</v>
      </c>
      <c r="JW44" s="46">
        <v>1212749247</v>
      </c>
      <c r="JX44" s="46"/>
      <c r="JY44" s="46">
        <v>1351484147</v>
      </c>
      <c r="JZ44" s="46"/>
      <c r="KA44" s="46"/>
      <c r="KB44" s="46"/>
      <c r="KC44" s="46"/>
      <c r="KD44" s="46">
        <v>252622765</v>
      </c>
      <c r="KE44" s="46"/>
      <c r="KF44" s="46"/>
      <c r="KG44" s="46">
        <v>132249982</v>
      </c>
      <c r="KH44" s="46">
        <v>500993938</v>
      </c>
    </row>
    <row r="45" spans="1:294">
      <c r="A45" s="9" t="s">
        <v>183</v>
      </c>
      <c r="B45" s="10" t="s">
        <v>144</v>
      </c>
      <c r="C45" s="19">
        <v>0</v>
      </c>
      <c r="D45" s="19">
        <v>3727568073</v>
      </c>
      <c r="E45" s="19">
        <v>1279353226</v>
      </c>
      <c r="F45" s="19">
        <v>131749248</v>
      </c>
      <c r="G45" s="47" t="s">
        <v>130</v>
      </c>
      <c r="H45" s="19">
        <v>0</v>
      </c>
      <c r="I45" s="19">
        <v>0</v>
      </c>
      <c r="J45" s="47" t="s">
        <v>4</v>
      </c>
      <c r="K45" s="19">
        <v>3057403457</v>
      </c>
      <c r="L45" s="47" t="s">
        <v>96</v>
      </c>
      <c r="M45" s="47" t="s">
        <v>96</v>
      </c>
      <c r="N45" s="19">
        <v>336351725</v>
      </c>
      <c r="O45" s="19">
        <v>613875705</v>
      </c>
      <c r="P45" s="19">
        <v>717176484</v>
      </c>
      <c r="Q45" s="19">
        <v>81114611</v>
      </c>
      <c r="R45" s="19">
        <v>241892029</v>
      </c>
      <c r="S45" s="19">
        <v>7782563699</v>
      </c>
      <c r="T45" s="47" t="s">
        <v>96</v>
      </c>
      <c r="U45" s="47" t="s">
        <v>172</v>
      </c>
      <c r="V45" s="47" t="s">
        <v>172</v>
      </c>
      <c r="W45" s="19">
        <v>128296848</v>
      </c>
      <c r="X45" s="19">
        <v>1453962264</v>
      </c>
      <c r="Y45" s="19">
        <v>0</v>
      </c>
      <c r="Z45" s="19">
        <v>69887774</v>
      </c>
      <c r="AA45" s="19">
        <v>3118863273</v>
      </c>
      <c r="AB45" s="19">
        <v>0</v>
      </c>
      <c r="AC45" s="19">
        <v>1616472815</v>
      </c>
      <c r="AD45" s="19">
        <v>3554466899</v>
      </c>
      <c r="AE45" s="19">
        <v>812395645</v>
      </c>
      <c r="AF45" s="47" t="s">
        <v>172</v>
      </c>
      <c r="AG45" s="19">
        <v>0</v>
      </c>
      <c r="AH45" s="19">
        <v>640363067</v>
      </c>
      <c r="AI45" s="19">
        <v>1609559538</v>
      </c>
      <c r="AJ45" s="19">
        <v>269583099</v>
      </c>
      <c r="AK45" s="19">
        <v>2818016973</v>
      </c>
      <c r="AL45" s="19">
        <v>0</v>
      </c>
      <c r="AM45" s="47" t="s">
        <v>4</v>
      </c>
      <c r="AN45" s="19">
        <v>4501999</v>
      </c>
      <c r="AO45" s="19">
        <v>431270944</v>
      </c>
      <c r="AP45" s="19">
        <v>0</v>
      </c>
      <c r="AQ45" s="47" t="s">
        <v>96</v>
      </c>
      <c r="AR45" s="19">
        <v>583782300</v>
      </c>
      <c r="AS45" s="19">
        <v>0</v>
      </c>
      <c r="AT45" s="47" t="s">
        <v>172</v>
      </c>
      <c r="AU45" s="19">
        <v>0</v>
      </c>
      <c r="AV45" s="19">
        <v>0</v>
      </c>
      <c r="AW45" s="19">
        <v>24960000</v>
      </c>
      <c r="AX45" s="47" t="s">
        <v>4</v>
      </c>
      <c r="AY45" s="19">
        <v>137402753</v>
      </c>
      <c r="AZ45" s="19">
        <v>444708242</v>
      </c>
      <c r="BA45" s="19">
        <v>6898875277</v>
      </c>
      <c r="BB45" s="19">
        <v>0</v>
      </c>
      <c r="BC45" s="47" t="s">
        <v>4</v>
      </c>
      <c r="BD45" s="47" t="s">
        <v>130</v>
      </c>
      <c r="BE45" s="19">
        <v>492693638</v>
      </c>
      <c r="BF45" s="47" t="s">
        <v>96</v>
      </c>
      <c r="BG45" s="19">
        <v>1057461719</v>
      </c>
      <c r="BH45" s="19">
        <v>884117839</v>
      </c>
      <c r="BI45" s="19">
        <v>216819984</v>
      </c>
      <c r="BJ45" s="19">
        <v>185066344</v>
      </c>
      <c r="BK45" s="19">
        <v>721659860</v>
      </c>
      <c r="BL45" s="19">
        <v>0</v>
      </c>
      <c r="BM45" s="19">
        <v>1346475257</v>
      </c>
      <c r="BN45" s="19">
        <v>83411150</v>
      </c>
      <c r="BO45" s="19">
        <v>37450714</v>
      </c>
      <c r="BP45" s="47" t="s">
        <v>96</v>
      </c>
      <c r="BQ45" s="47" t="s">
        <v>4</v>
      </c>
      <c r="BR45" s="19">
        <v>5669555614</v>
      </c>
      <c r="BS45" s="19">
        <v>0</v>
      </c>
      <c r="BT45" s="47" t="s">
        <v>130</v>
      </c>
      <c r="BU45" s="19">
        <v>970507310</v>
      </c>
      <c r="BV45" s="19">
        <v>0</v>
      </c>
      <c r="BW45" s="19">
        <v>0</v>
      </c>
      <c r="BX45" s="19">
        <v>0</v>
      </c>
      <c r="BY45" s="19">
        <v>5277461499</v>
      </c>
      <c r="BZ45" s="19">
        <v>912123040</v>
      </c>
      <c r="CA45" s="19">
        <v>0</v>
      </c>
      <c r="CB45" s="19">
        <v>4601120</v>
      </c>
      <c r="CC45" s="19">
        <v>1575540354</v>
      </c>
      <c r="CD45" s="19">
        <v>2019596659</v>
      </c>
      <c r="CE45" s="19">
        <v>17455030</v>
      </c>
      <c r="CF45" s="19">
        <v>197848729</v>
      </c>
      <c r="CG45" s="19">
        <v>0</v>
      </c>
      <c r="CH45" s="19">
        <v>145104448</v>
      </c>
      <c r="CI45" s="47" t="s">
        <v>130</v>
      </c>
      <c r="CJ45" s="19">
        <v>99747360</v>
      </c>
      <c r="CK45" s="19">
        <v>2428938194</v>
      </c>
      <c r="CL45" s="19">
        <v>415371710</v>
      </c>
      <c r="CM45" s="19">
        <v>0</v>
      </c>
      <c r="CN45" s="19">
        <v>0</v>
      </c>
      <c r="CO45" s="19">
        <v>0</v>
      </c>
      <c r="CP45" s="19">
        <v>635204465</v>
      </c>
      <c r="CQ45" s="47" t="s">
        <v>96</v>
      </c>
      <c r="CR45" s="19">
        <v>1773657631</v>
      </c>
      <c r="CS45" s="47" t="s">
        <v>172</v>
      </c>
      <c r="CT45" s="19">
        <v>113684053</v>
      </c>
      <c r="CU45" s="19">
        <v>0</v>
      </c>
      <c r="CV45" s="19">
        <v>91905325</v>
      </c>
      <c r="CW45" s="19">
        <v>435677293</v>
      </c>
      <c r="CX45" s="19">
        <v>822724867</v>
      </c>
      <c r="CY45" s="47" t="s">
        <v>96</v>
      </c>
      <c r="CZ45" s="19">
        <v>14466636</v>
      </c>
      <c r="DA45" s="47" t="s">
        <v>89</v>
      </c>
      <c r="DB45" s="19">
        <v>408201411</v>
      </c>
      <c r="DC45" s="19">
        <v>0</v>
      </c>
      <c r="DD45" s="19">
        <v>5982832</v>
      </c>
      <c r="DE45" s="19">
        <v>0</v>
      </c>
      <c r="DF45" s="19">
        <v>10630598</v>
      </c>
      <c r="DG45" s="19">
        <v>0</v>
      </c>
      <c r="DH45" s="19">
        <v>600705542</v>
      </c>
      <c r="DI45" s="19">
        <v>4015505557</v>
      </c>
      <c r="DJ45" s="19">
        <v>0</v>
      </c>
      <c r="DK45" s="19">
        <v>9966643494</v>
      </c>
      <c r="DL45" s="19">
        <v>0</v>
      </c>
      <c r="DM45" s="19">
        <v>2303551223</v>
      </c>
      <c r="DN45" s="19">
        <v>1089599018</v>
      </c>
      <c r="DO45" s="19">
        <v>0</v>
      </c>
      <c r="DP45" s="19">
        <v>1643824293</v>
      </c>
      <c r="DQ45" s="19">
        <v>175075326</v>
      </c>
      <c r="DR45" s="19">
        <v>450663845</v>
      </c>
      <c r="DS45" s="19">
        <v>0</v>
      </c>
      <c r="DT45" s="19">
        <v>282686754</v>
      </c>
      <c r="DU45" s="19">
        <v>0</v>
      </c>
      <c r="DV45" s="19">
        <v>174732933</v>
      </c>
      <c r="DW45" s="19">
        <v>890861444</v>
      </c>
      <c r="DX45" s="19">
        <v>0</v>
      </c>
      <c r="DY45" s="19">
        <v>112133233</v>
      </c>
      <c r="DZ45" s="19">
        <v>1352423072</v>
      </c>
      <c r="EA45" s="19">
        <v>0</v>
      </c>
      <c r="EB45" s="19">
        <v>477094977</v>
      </c>
      <c r="EC45" s="19">
        <v>447665668</v>
      </c>
      <c r="ED45" s="19">
        <v>0</v>
      </c>
      <c r="EE45" s="19">
        <v>757511076</v>
      </c>
      <c r="EF45" s="19">
        <v>245847741</v>
      </c>
      <c r="EG45" s="19">
        <v>1567535082</v>
      </c>
      <c r="EH45" s="19">
        <v>0</v>
      </c>
      <c r="EI45" s="19">
        <v>17624015240</v>
      </c>
      <c r="EJ45" s="19">
        <v>0</v>
      </c>
      <c r="EK45" s="19">
        <v>0</v>
      </c>
      <c r="EL45" s="19">
        <v>4620500544</v>
      </c>
      <c r="EM45" s="19">
        <v>584040183</v>
      </c>
      <c r="EN45" s="19">
        <v>0</v>
      </c>
      <c r="EO45" s="19">
        <v>388528913</v>
      </c>
      <c r="EP45" s="19">
        <v>210037837</v>
      </c>
      <c r="EQ45" s="19">
        <v>0</v>
      </c>
      <c r="ER45" s="19">
        <v>181300956</v>
      </c>
      <c r="ES45" s="19">
        <v>465008270</v>
      </c>
      <c r="ET45" s="19">
        <v>0</v>
      </c>
      <c r="EU45" s="19">
        <v>0</v>
      </c>
      <c r="EV45" s="19">
        <v>217410104</v>
      </c>
      <c r="EW45" s="19">
        <v>469162764</v>
      </c>
      <c r="EX45" s="19">
        <v>441858</v>
      </c>
      <c r="EY45" s="19">
        <v>0</v>
      </c>
      <c r="EZ45" s="19">
        <v>145130250</v>
      </c>
      <c r="FA45" s="47" t="s">
        <v>130</v>
      </c>
      <c r="FB45" s="19">
        <v>250592507</v>
      </c>
      <c r="FC45" s="19">
        <v>1499844452</v>
      </c>
      <c r="FD45" s="19">
        <v>330841419</v>
      </c>
      <c r="FE45" s="19">
        <v>18088504926</v>
      </c>
      <c r="FF45" s="19">
        <v>0</v>
      </c>
      <c r="FG45" s="19">
        <v>2823956650</v>
      </c>
      <c r="FH45" s="19">
        <v>399759013</v>
      </c>
      <c r="FI45" s="47" t="s">
        <v>96</v>
      </c>
      <c r="FJ45" s="19">
        <v>26345767</v>
      </c>
      <c r="FK45" s="19">
        <v>1525090501</v>
      </c>
      <c r="FL45" s="47" t="s">
        <v>130</v>
      </c>
      <c r="FM45" s="19">
        <v>127921229</v>
      </c>
      <c r="FN45" s="19">
        <v>153168776</v>
      </c>
      <c r="FO45" s="47" t="s">
        <v>172</v>
      </c>
      <c r="FP45" s="19">
        <v>0</v>
      </c>
      <c r="FQ45" s="19">
        <v>27874171</v>
      </c>
      <c r="FR45" s="19">
        <v>177270767</v>
      </c>
      <c r="FS45" s="47" t="s">
        <v>130</v>
      </c>
      <c r="FT45" s="19">
        <v>9993372078</v>
      </c>
      <c r="FU45" s="19">
        <v>0</v>
      </c>
      <c r="FV45" s="19">
        <v>244775053</v>
      </c>
      <c r="FW45" s="19">
        <v>94659022</v>
      </c>
      <c r="FX45" s="19">
        <v>0</v>
      </c>
      <c r="FY45" s="19">
        <v>354326013</v>
      </c>
      <c r="FZ45" s="47" t="s">
        <v>175</v>
      </c>
      <c r="GA45" s="19">
        <v>10111990</v>
      </c>
      <c r="GB45" s="19">
        <v>8625019</v>
      </c>
      <c r="GC45" s="19">
        <v>0</v>
      </c>
      <c r="GD45" s="48" t="s">
        <v>96</v>
      </c>
      <c r="GE45" s="48" t="s">
        <v>96</v>
      </c>
      <c r="GF45" s="19">
        <v>813580942</v>
      </c>
      <c r="GG45" s="19">
        <v>2699478945</v>
      </c>
      <c r="GH45" s="47" t="s">
        <v>172</v>
      </c>
      <c r="GI45" s="19">
        <v>82451673</v>
      </c>
      <c r="GJ45" s="47" t="s">
        <v>96</v>
      </c>
      <c r="GK45" s="19">
        <v>135629161</v>
      </c>
      <c r="GL45" s="47" t="s">
        <v>96</v>
      </c>
      <c r="GM45" s="19">
        <v>0</v>
      </c>
      <c r="GN45" s="19">
        <v>0</v>
      </c>
      <c r="GO45" s="47" t="s">
        <v>96</v>
      </c>
      <c r="GP45" s="19">
        <v>8725085147</v>
      </c>
      <c r="GQ45" s="19">
        <v>381752498</v>
      </c>
      <c r="GR45" s="19">
        <v>1063523333</v>
      </c>
      <c r="GS45" s="19">
        <v>0</v>
      </c>
      <c r="GT45" s="19">
        <v>195584705</v>
      </c>
      <c r="GU45" s="19">
        <v>0</v>
      </c>
      <c r="GV45" s="19">
        <v>105850470</v>
      </c>
      <c r="GW45" s="19">
        <v>2171177686</v>
      </c>
      <c r="GX45" s="19">
        <v>1538585794</v>
      </c>
      <c r="GY45" s="19">
        <v>1090064655</v>
      </c>
      <c r="GZ45" s="19">
        <v>232081505</v>
      </c>
      <c r="HA45" s="19">
        <v>325099250</v>
      </c>
      <c r="HB45" s="19">
        <v>0</v>
      </c>
      <c r="HC45" s="19">
        <v>708743969</v>
      </c>
      <c r="HD45" s="19">
        <v>161660601</v>
      </c>
      <c r="HE45" s="19">
        <v>254449657</v>
      </c>
      <c r="HF45" s="19">
        <v>0</v>
      </c>
      <c r="HG45" s="19">
        <v>162039215</v>
      </c>
      <c r="HH45" s="47" t="s">
        <v>130</v>
      </c>
      <c r="HI45" s="19">
        <v>0</v>
      </c>
      <c r="HJ45" s="19">
        <v>1314380034</v>
      </c>
      <c r="HK45" s="19">
        <v>1157450372</v>
      </c>
      <c r="HL45" s="19">
        <v>917363800</v>
      </c>
      <c r="HM45" s="19">
        <v>8208920</v>
      </c>
      <c r="HN45" s="19">
        <v>0</v>
      </c>
      <c r="HO45" s="19">
        <v>1956513663</v>
      </c>
      <c r="HP45" s="19">
        <v>527989000</v>
      </c>
      <c r="HQ45" s="19">
        <v>0</v>
      </c>
      <c r="HR45" s="19">
        <v>5751664053</v>
      </c>
      <c r="HS45" s="19">
        <v>500511817</v>
      </c>
      <c r="HT45" s="19">
        <v>15670686</v>
      </c>
      <c r="HU45" s="19">
        <v>72209525</v>
      </c>
      <c r="HV45" s="19">
        <v>128723475</v>
      </c>
      <c r="HW45" s="47" t="s">
        <v>96</v>
      </c>
      <c r="HX45" s="19">
        <v>1614661612</v>
      </c>
      <c r="HY45" s="19" t="s">
        <v>172</v>
      </c>
      <c r="HZ45" s="19">
        <v>5723124376</v>
      </c>
      <c r="IA45" s="19">
        <v>0</v>
      </c>
      <c r="IB45" s="19">
        <v>1299052</v>
      </c>
      <c r="IC45" s="19">
        <v>275745145</v>
      </c>
      <c r="ID45" s="19">
        <v>99775543</v>
      </c>
      <c r="IE45" s="47" t="s">
        <v>96</v>
      </c>
      <c r="IF45" s="19">
        <v>155728919</v>
      </c>
      <c r="IG45" s="19">
        <v>20169212</v>
      </c>
      <c r="IH45" s="19">
        <v>1945163686</v>
      </c>
      <c r="II45" s="19">
        <v>60360748</v>
      </c>
      <c r="IJ45" s="19">
        <v>241041283</v>
      </c>
      <c r="IK45" s="19">
        <v>304802390</v>
      </c>
      <c r="IL45" s="19">
        <v>293671032</v>
      </c>
      <c r="IM45" s="19">
        <v>691019930</v>
      </c>
      <c r="IN45" s="19">
        <v>0</v>
      </c>
      <c r="IO45" s="19">
        <v>357933269</v>
      </c>
      <c r="IP45" s="19">
        <v>895563749</v>
      </c>
      <c r="IQ45" s="19">
        <v>0</v>
      </c>
      <c r="IR45" s="19">
        <v>346094999</v>
      </c>
      <c r="IS45" s="19">
        <v>1276281384</v>
      </c>
      <c r="IT45" s="19">
        <v>47591197</v>
      </c>
      <c r="IU45" s="45">
        <v>0</v>
      </c>
      <c r="IV45" s="45">
        <v>0</v>
      </c>
      <c r="IW45" s="45">
        <v>0</v>
      </c>
      <c r="IX45" s="45">
        <v>333608988</v>
      </c>
      <c r="IY45" s="45">
        <v>71448722</v>
      </c>
      <c r="IZ45" s="45">
        <v>142679573</v>
      </c>
      <c r="JA45" s="45">
        <v>3653737584</v>
      </c>
      <c r="JB45" s="45">
        <v>78380009</v>
      </c>
      <c r="JC45" s="45">
        <v>51971819</v>
      </c>
      <c r="JD45" s="45">
        <v>0</v>
      </c>
      <c r="JE45" s="45">
        <v>53576955</v>
      </c>
      <c r="JF45" s="45">
        <v>252280820</v>
      </c>
      <c r="JG45" s="45">
        <v>7864440</v>
      </c>
      <c r="JH45" s="45">
        <v>0</v>
      </c>
      <c r="JI45" s="45">
        <v>164410060</v>
      </c>
      <c r="JJ45" s="45">
        <v>0</v>
      </c>
      <c r="JK45" s="45">
        <v>297786208</v>
      </c>
      <c r="JL45" s="45">
        <v>147041231</v>
      </c>
      <c r="JM45" s="45">
        <v>0</v>
      </c>
      <c r="JN45" s="45">
        <v>2707229154</v>
      </c>
      <c r="JO45" s="46">
        <v>0</v>
      </c>
      <c r="JP45" s="46">
        <v>394762726</v>
      </c>
      <c r="JQ45" s="63" t="s">
        <v>175</v>
      </c>
      <c r="JR45" s="46">
        <v>43208454</v>
      </c>
      <c r="JS45" s="46">
        <v>111017980</v>
      </c>
      <c r="JT45" s="46">
        <v>91305392</v>
      </c>
      <c r="JU45" s="46">
        <v>833747097</v>
      </c>
      <c r="JV45" s="46">
        <v>67769573</v>
      </c>
      <c r="JW45" s="46">
        <v>0</v>
      </c>
      <c r="JX45" s="46">
        <v>0</v>
      </c>
      <c r="JY45" s="46">
        <v>905204173</v>
      </c>
      <c r="JZ45" s="46">
        <v>3741554</v>
      </c>
      <c r="KA45" s="46">
        <v>61558287</v>
      </c>
      <c r="KB45" s="46">
        <v>5353965680</v>
      </c>
      <c r="KC45" s="46">
        <v>451304262</v>
      </c>
      <c r="KD45" s="46">
        <v>2850276614</v>
      </c>
      <c r="KE45" s="46">
        <v>119389615</v>
      </c>
      <c r="KF45" s="46">
        <v>108775531</v>
      </c>
      <c r="KG45" s="46">
        <v>188327456</v>
      </c>
      <c r="KH45" s="46">
        <v>0</v>
      </c>
    </row>
    <row r="46" spans="1:294">
      <c r="A46" s="9" t="s">
        <v>183</v>
      </c>
      <c r="B46" s="15" t="s">
        <v>67</v>
      </c>
      <c r="C46" s="19"/>
      <c r="D46" s="19"/>
      <c r="E46" s="19">
        <v>272907697</v>
      </c>
      <c r="F46" s="19">
        <v>131749248</v>
      </c>
      <c r="G46" s="47" t="s">
        <v>130</v>
      </c>
      <c r="H46" s="19">
        <v>0</v>
      </c>
      <c r="I46" s="19"/>
      <c r="J46" s="47" t="s">
        <v>4</v>
      </c>
      <c r="K46" s="19"/>
      <c r="L46" s="47" t="s">
        <v>96</v>
      </c>
      <c r="M46" s="47" t="s">
        <v>96</v>
      </c>
      <c r="N46" s="19">
        <v>19705154</v>
      </c>
      <c r="O46" s="19"/>
      <c r="P46" s="19"/>
      <c r="Q46" s="19"/>
      <c r="R46" s="19">
        <v>241892029</v>
      </c>
      <c r="S46" s="19">
        <v>50891175</v>
      </c>
      <c r="T46" s="47" t="s">
        <v>96</v>
      </c>
      <c r="U46" s="47" t="s">
        <v>172</v>
      </c>
      <c r="V46" s="47" t="s">
        <v>172</v>
      </c>
      <c r="W46" s="19"/>
      <c r="X46" s="19"/>
      <c r="Y46" s="19"/>
      <c r="Z46" s="19">
        <v>69887774</v>
      </c>
      <c r="AA46" s="19"/>
      <c r="AB46" s="19"/>
      <c r="AC46" s="19"/>
      <c r="AD46" s="19"/>
      <c r="AE46" s="19"/>
      <c r="AF46" s="47" t="s">
        <v>172</v>
      </c>
      <c r="AG46" s="19"/>
      <c r="AH46" s="19">
        <v>640363067</v>
      </c>
      <c r="AI46" s="19">
        <v>1609559538</v>
      </c>
      <c r="AJ46" s="19">
        <v>269583099</v>
      </c>
      <c r="AK46" s="19">
        <v>2190153732</v>
      </c>
      <c r="AL46" s="19"/>
      <c r="AM46" s="47" t="s">
        <v>4</v>
      </c>
      <c r="AN46" s="19"/>
      <c r="AO46" s="19">
        <v>0</v>
      </c>
      <c r="AP46" s="19"/>
      <c r="AQ46" s="47" t="s">
        <v>96</v>
      </c>
      <c r="AR46" s="19">
        <v>583782300</v>
      </c>
      <c r="AS46" s="19"/>
      <c r="AT46" s="47" t="s">
        <v>172</v>
      </c>
      <c r="AU46" s="19"/>
      <c r="AV46" s="19"/>
      <c r="AW46" s="19"/>
      <c r="AX46" s="47" t="s">
        <v>4</v>
      </c>
      <c r="AY46" s="19"/>
      <c r="AZ46" s="19"/>
      <c r="BA46" s="19">
        <v>6691490164</v>
      </c>
      <c r="BB46" s="19"/>
      <c r="BC46" s="47" t="s">
        <v>4</v>
      </c>
      <c r="BD46" s="47" t="s">
        <v>130</v>
      </c>
      <c r="BE46" s="19"/>
      <c r="BF46" s="47" t="s">
        <v>96</v>
      </c>
      <c r="BG46" s="19">
        <v>241108379</v>
      </c>
      <c r="BH46" s="19"/>
      <c r="BI46" s="19">
        <v>216819984</v>
      </c>
      <c r="BJ46" s="19">
        <v>62715252</v>
      </c>
      <c r="BK46" s="19"/>
      <c r="BL46" s="19"/>
      <c r="BM46" s="19">
        <v>54952502</v>
      </c>
      <c r="BN46" s="19"/>
      <c r="BO46" s="19">
        <v>26009014</v>
      </c>
      <c r="BP46" s="47" t="s">
        <v>96</v>
      </c>
      <c r="BQ46" s="47" t="s">
        <v>4</v>
      </c>
      <c r="BR46" s="19"/>
      <c r="BS46" s="19"/>
      <c r="BT46" s="47" t="s">
        <v>130</v>
      </c>
      <c r="BU46" s="19"/>
      <c r="BV46" s="19"/>
      <c r="BW46" s="19"/>
      <c r="BX46" s="19"/>
      <c r="BY46" s="19">
        <v>5277461499</v>
      </c>
      <c r="BZ46" s="19">
        <v>912123040</v>
      </c>
      <c r="CA46" s="19"/>
      <c r="CB46" s="19">
        <v>4601120</v>
      </c>
      <c r="CC46" s="19">
        <v>1575540354</v>
      </c>
      <c r="CD46" s="19"/>
      <c r="CE46" s="19"/>
      <c r="CF46" s="19"/>
      <c r="CG46" s="19"/>
      <c r="CH46" s="19"/>
      <c r="CI46" s="47" t="s">
        <v>130</v>
      </c>
      <c r="CJ46" s="19">
        <v>39231816</v>
      </c>
      <c r="CK46" s="19"/>
      <c r="CL46" s="19"/>
      <c r="CM46" s="19"/>
      <c r="CN46" s="19"/>
      <c r="CO46" s="19"/>
      <c r="CP46" s="19">
        <v>521116644</v>
      </c>
      <c r="CQ46" s="47" t="s">
        <v>96</v>
      </c>
      <c r="CR46" s="19"/>
      <c r="CS46" s="47" t="s">
        <v>172</v>
      </c>
      <c r="CT46" s="19">
        <v>113684053</v>
      </c>
      <c r="CU46" s="19"/>
      <c r="CV46" s="19">
        <v>91905325</v>
      </c>
      <c r="CW46" s="19">
        <v>435677293</v>
      </c>
      <c r="CX46" s="19">
        <v>76241174</v>
      </c>
      <c r="CY46" s="47" t="s">
        <v>96</v>
      </c>
      <c r="CZ46" s="19">
        <v>14466636</v>
      </c>
      <c r="DA46" s="47" t="s">
        <v>89</v>
      </c>
      <c r="DB46" s="19">
        <v>106247566</v>
      </c>
      <c r="DC46" s="19"/>
      <c r="DD46" s="19">
        <v>5982832</v>
      </c>
      <c r="DE46" s="19"/>
      <c r="DF46" s="19">
        <v>10630598</v>
      </c>
      <c r="DG46" s="19"/>
      <c r="DH46" s="19">
        <v>9687789</v>
      </c>
      <c r="DI46" s="19">
        <v>75664373</v>
      </c>
      <c r="DJ46" s="19"/>
      <c r="DK46" s="19">
        <v>557535810</v>
      </c>
      <c r="DL46" s="19"/>
      <c r="DM46" s="19">
        <v>114200650</v>
      </c>
      <c r="DN46" s="19">
        <v>200458455</v>
      </c>
      <c r="DO46" s="19"/>
      <c r="DP46" s="19"/>
      <c r="DQ46" s="19"/>
      <c r="DR46" s="19"/>
      <c r="DS46" s="19"/>
      <c r="DT46" s="19">
        <v>282686754</v>
      </c>
      <c r="DU46" s="19"/>
      <c r="DV46" s="19"/>
      <c r="DW46" s="19">
        <v>210603370</v>
      </c>
      <c r="DX46" s="19"/>
      <c r="DY46" s="19"/>
      <c r="DZ46" s="19"/>
      <c r="EA46" s="19"/>
      <c r="EB46" s="19"/>
      <c r="EC46" s="19"/>
      <c r="ED46" s="19"/>
      <c r="EE46" s="19"/>
      <c r="EF46" s="19"/>
      <c r="EG46" s="19">
        <v>13783546</v>
      </c>
      <c r="EH46" s="19"/>
      <c r="EI46" s="19"/>
      <c r="EJ46" s="19"/>
      <c r="EK46" s="19"/>
      <c r="EL46" s="19"/>
      <c r="EM46" s="19"/>
      <c r="EN46" s="19"/>
      <c r="EO46" s="19"/>
      <c r="EP46" s="19"/>
      <c r="EQ46" s="19"/>
      <c r="ER46" s="19"/>
      <c r="ES46" s="19">
        <v>465008270</v>
      </c>
      <c r="ET46" s="19"/>
      <c r="EU46" s="19"/>
      <c r="EV46" s="19">
        <v>217410104</v>
      </c>
      <c r="EW46" s="19">
        <v>365903550</v>
      </c>
      <c r="EX46" s="19">
        <v>441858</v>
      </c>
      <c r="EY46" s="19"/>
      <c r="EZ46" s="19">
        <v>37599266</v>
      </c>
      <c r="FA46" s="47" t="s">
        <v>130</v>
      </c>
      <c r="FB46" s="19">
        <v>250592507</v>
      </c>
      <c r="FC46" s="19"/>
      <c r="FD46" s="19"/>
      <c r="FE46" s="19">
        <v>18088504926</v>
      </c>
      <c r="FF46" s="19"/>
      <c r="FG46" s="19">
        <v>168264056</v>
      </c>
      <c r="FH46" s="19">
        <v>245045571</v>
      </c>
      <c r="FI46" s="47" t="s">
        <v>96</v>
      </c>
      <c r="FJ46" s="19">
        <v>26345767</v>
      </c>
      <c r="FK46" s="19">
        <v>809517098</v>
      </c>
      <c r="FL46" s="47" t="s">
        <v>130</v>
      </c>
      <c r="FM46" s="19">
        <v>127921229</v>
      </c>
      <c r="FN46" s="19">
        <v>15012500</v>
      </c>
      <c r="FO46" s="47" t="s">
        <v>172</v>
      </c>
      <c r="FP46" s="19"/>
      <c r="FQ46" s="19"/>
      <c r="FR46" s="19">
        <v>177270767</v>
      </c>
      <c r="FS46" s="47" t="s">
        <v>130</v>
      </c>
      <c r="FT46" s="19"/>
      <c r="FU46" s="19"/>
      <c r="FV46" s="19"/>
      <c r="FW46" s="19">
        <v>64208526</v>
      </c>
      <c r="FX46" s="19"/>
      <c r="FY46" s="19">
        <v>354326013</v>
      </c>
      <c r="FZ46" s="47" t="s">
        <v>175</v>
      </c>
      <c r="GA46" s="19">
        <v>10111990</v>
      </c>
      <c r="GB46" s="19">
        <v>8625019</v>
      </c>
      <c r="GC46" s="19"/>
      <c r="GD46" s="48" t="s">
        <v>96</v>
      </c>
      <c r="GE46" s="48" t="s">
        <v>96</v>
      </c>
      <c r="GF46" s="19"/>
      <c r="GG46" s="19">
        <v>946323689</v>
      </c>
      <c r="GH46" s="47" t="s">
        <v>172</v>
      </c>
      <c r="GI46" s="19">
        <v>20759051</v>
      </c>
      <c r="GJ46" s="47" t="s">
        <v>96</v>
      </c>
      <c r="GK46" s="19"/>
      <c r="GL46" s="47" t="s">
        <v>96</v>
      </c>
      <c r="GM46" s="19"/>
      <c r="GN46" s="19"/>
      <c r="GO46" s="47" t="s">
        <v>96</v>
      </c>
      <c r="GP46" s="19">
        <v>3077295254</v>
      </c>
      <c r="GQ46" s="19"/>
      <c r="GR46" s="19">
        <v>259733568</v>
      </c>
      <c r="GS46" s="19"/>
      <c r="GT46" s="19">
        <v>195584705</v>
      </c>
      <c r="GU46" s="19"/>
      <c r="GV46" s="19">
        <v>105850470</v>
      </c>
      <c r="GW46" s="19">
        <v>436265847</v>
      </c>
      <c r="GX46" s="19">
        <v>182612510</v>
      </c>
      <c r="GY46" s="19"/>
      <c r="GZ46" s="19"/>
      <c r="HA46" s="19">
        <v>325099250</v>
      </c>
      <c r="HB46" s="19"/>
      <c r="HC46" s="19">
        <v>78041359</v>
      </c>
      <c r="HD46" s="19"/>
      <c r="HE46" s="19">
        <v>254449657</v>
      </c>
      <c r="HF46" s="19"/>
      <c r="HG46" s="19"/>
      <c r="HH46" s="47" t="s">
        <v>130</v>
      </c>
      <c r="HI46" s="19"/>
      <c r="HJ46" s="19">
        <v>520826548</v>
      </c>
      <c r="HK46" s="19">
        <v>96028066</v>
      </c>
      <c r="HL46" s="19"/>
      <c r="HM46" s="19">
        <v>8208920</v>
      </c>
      <c r="HN46" s="19"/>
      <c r="HO46" s="19"/>
      <c r="HP46" s="19">
        <v>527989000</v>
      </c>
      <c r="HQ46" s="19"/>
      <c r="HR46" s="19"/>
      <c r="HS46" s="19"/>
      <c r="HT46" s="19">
        <v>15670686</v>
      </c>
      <c r="HU46" s="19">
        <v>72209525</v>
      </c>
      <c r="HV46" s="19">
        <v>128723475</v>
      </c>
      <c r="HW46" s="47" t="s">
        <v>96</v>
      </c>
      <c r="HX46" s="19">
        <v>5537367</v>
      </c>
      <c r="HY46" s="19" t="s">
        <v>172</v>
      </c>
      <c r="HZ46" s="19">
        <v>0</v>
      </c>
      <c r="IA46" s="19"/>
      <c r="IB46" s="19">
        <v>1299052</v>
      </c>
      <c r="IC46" s="19"/>
      <c r="ID46" s="19">
        <v>99775543</v>
      </c>
      <c r="IE46" s="47" t="s">
        <v>96</v>
      </c>
      <c r="IF46" s="19">
        <v>107247553</v>
      </c>
      <c r="IG46" s="19">
        <v>20169212</v>
      </c>
      <c r="IH46" s="19">
        <v>1261267938</v>
      </c>
      <c r="II46" s="19"/>
      <c r="IJ46" s="19">
        <v>241041283</v>
      </c>
      <c r="IK46" s="19">
        <v>64277715</v>
      </c>
      <c r="IL46" s="19">
        <v>91451314</v>
      </c>
      <c r="IM46" s="19"/>
      <c r="IN46" s="19"/>
      <c r="IO46" s="19">
        <v>209474934</v>
      </c>
      <c r="IP46" s="19">
        <v>895563749</v>
      </c>
      <c r="IQ46" s="19"/>
      <c r="IR46" s="19">
        <v>24406882</v>
      </c>
      <c r="IS46" s="19"/>
      <c r="IT46" s="19">
        <v>2161531</v>
      </c>
      <c r="IU46" s="45"/>
      <c r="IV46" s="45"/>
      <c r="IW46" s="45"/>
      <c r="IX46" s="45">
        <v>333608988</v>
      </c>
      <c r="IY46" s="45"/>
      <c r="IZ46" s="45">
        <v>5404000</v>
      </c>
      <c r="JA46" s="45"/>
      <c r="JB46" s="45"/>
      <c r="JC46" s="45"/>
      <c r="JD46" s="45"/>
      <c r="JE46" s="45">
        <v>53576955</v>
      </c>
      <c r="JF46" s="45">
        <v>252280820</v>
      </c>
      <c r="JG46" s="45"/>
      <c r="JH46" s="45"/>
      <c r="JI46" s="45"/>
      <c r="JJ46" s="45"/>
      <c r="JK46" s="45"/>
      <c r="JL46" s="45">
        <v>147041231</v>
      </c>
      <c r="JM46" s="45"/>
      <c r="JN46" s="45">
        <v>1253723416</v>
      </c>
      <c r="JO46" s="46"/>
      <c r="JP46" s="46"/>
      <c r="JQ46" s="63" t="s">
        <v>175</v>
      </c>
      <c r="JR46" s="46"/>
      <c r="JS46" s="46"/>
      <c r="JT46" s="46"/>
      <c r="JU46" s="46">
        <v>684410</v>
      </c>
      <c r="JV46" s="46">
        <v>67769573</v>
      </c>
      <c r="JW46" s="46"/>
      <c r="JX46" s="46"/>
      <c r="JY46" s="46"/>
      <c r="JZ46" s="46"/>
      <c r="KA46" s="46">
        <v>61558287</v>
      </c>
      <c r="KB46" s="46"/>
      <c r="KC46" s="46"/>
      <c r="KD46" s="46"/>
      <c r="KE46" s="46"/>
      <c r="KF46" s="46"/>
      <c r="KG46" s="46">
        <v>188327456</v>
      </c>
      <c r="KH46" s="46"/>
    </row>
    <row r="47" spans="1:294">
      <c r="A47" s="9" t="s">
        <v>183</v>
      </c>
      <c r="B47" s="15" t="s">
        <v>72</v>
      </c>
      <c r="C47" s="19"/>
      <c r="D47" s="19">
        <v>3727568073</v>
      </c>
      <c r="E47" s="19">
        <v>1006445529</v>
      </c>
      <c r="F47" s="19"/>
      <c r="G47" s="47" t="s">
        <v>130</v>
      </c>
      <c r="H47" s="19">
        <v>0</v>
      </c>
      <c r="I47" s="19"/>
      <c r="J47" s="47" t="s">
        <v>4</v>
      </c>
      <c r="K47" s="19">
        <v>3057403457</v>
      </c>
      <c r="L47" s="47" t="s">
        <v>96</v>
      </c>
      <c r="M47" s="47" t="s">
        <v>96</v>
      </c>
      <c r="N47" s="19">
        <v>316646571</v>
      </c>
      <c r="O47" s="19"/>
      <c r="P47" s="19"/>
      <c r="Q47" s="19">
        <v>81114611</v>
      </c>
      <c r="R47" s="19"/>
      <c r="S47" s="19">
        <v>7731672524</v>
      </c>
      <c r="T47" s="47" t="s">
        <v>96</v>
      </c>
      <c r="U47" s="47" t="s">
        <v>172</v>
      </c>
      <c r="V47" s="47" t="s">
        <v>172</v>
      </c>
      <c r="W47" s="19">
        <v>128296848</v>
      </c>
      <c r="X47" s="19"/>
      <c r="Y47" s="19"/>
      <c r="Z47" s="19"/>
      <c r="AA47" s="19">
        <v>3118863273</v>
      </c>
      <c r="AB47" s="19"/>
      <c r="AC47" s="19">
        <v>1616472815</v>
      </c>
      <c r="AD47" s="19">
        <v>3554466899</v>
      </c>
      <c r="AE47" s="19">
        <v>407871098</v>
      </c>
      <c r="AF47" s="47" t="s">
        <v>172</v>
      </c>
      <c r="AG47" s="19"/>
      <c r="AH47" s="19"/>
      <c r="AI47" s="19"/>
      <c r="AJ47" s="19"/>
      <c r="AK47" s="19">
        <v>553652563</v>
      </c>
      <c r="AL47" s="19"/>
      <c r="AM47" s="47" t="s">
        <v>4</v>
      </c>
      <c r="AN47" s="19">
        <v>4501999</v>
      </c>
      <c r="AO47" s="19"/>
      <c r="AP47" s="19"/>
      <c r="AQ47" s="47" t="s">
        <v>96</v>
      </c>
      <c r="AR47" s="19"/>
      <c r="AS47" s="19"/>
      <c r="AT47" s="47" t="s">
        <v>172</v>
      </c>
      <c r="AU47" s="19"/>
      <c r="AV47" s="19"/>
      <c r="AW47" s="19">
        <v>24960000</v>
      </c>
      <c r="AX47" s="47" t="s">
        <v>4</v>
      </c>
      <c r="AY47" s="19">
        <v>137402753</v>
      </c>
      <c r="AZ47" s="19">
        <v>444708242</v>
      </c>
      <c r="BA47" s="19">
        <v>207385113</v>
      </c>
      <c r="BB47" s="19"/>
      <c r="BC47" s="47" t="s">
        <v>4</v>
      </c>
      <c r="BD47" s="47" t="s">
        <v>130</v>
      </c>
      <c r="BE47" s="19">
        <v>492693638</v>
      </c>
      <c r="BF47" s="47" t="s">
        <v>96</v>
      </c>
      <c r="BG47" s="19">
        <v>803566553</v>
      </c>
      <c r="BH47" s="19">
        <v>884117839</v>
      </c>
      <c r="BI47" s="19"/>
      <c r="BJ47" s="19">
        <v>122351092</v>
      </c>
      <c r="BK47" s="19">
        <v>720059860</v>
      </c>
      <c r="BL47" s="19"/>
      <c r="BM47" s="19"/>
      <c r="BN47" s="19"/>
      <c r="BO47" s="19">
        <v>11441700</v>
      </c>
      <c r="BP47" s="47" t="s">
        <v>96</v>
      </c>
      <c r="BQ47" s="47" t="s">
        <v>4</v>
      </c>
      <c r="BR47" s="19">
        <v>5669555614</v>
      </c>
      <c r="BS47" s="19"/>
      <c r="BT47" s="47" t="s">
        <v>130</v>
      </c>
      <c r="BU47" s="19">
        <v>970507310</v>
      </c>
      <c r="BV47" s="19"/>
      <c r="BW47" s="19"/>
      <c r="BX47" s="19"/>
      <c r="BY47" s="19"/>
      <c r="BZ47" s="19"/>
      <c r="CA47" s="19"/>
      <c r="CB47" s="19"/>
      <c r="CC47" s="19"/>
      <c r="CD47" s="19">
        <v>2019596659</v>
      </c>
      <c r="CE47" s="19">
        <v>17455030</v>
      </c>
      <c r="CF47" s="19">
        <v>197848729</v>
      </c>
      <c r="CG47" s="19"/>
      <c r="CH47" s="19">
        <v>145104448</v>
      </c>
      <c r="CI47" s="47" t="s">
        <v>130</v>
      </c>
      <c r="CJ47" s="19">
        <v>60515544</v>
      </c>
      <c r="CK47" s="19">
        <v>2428938194</v>
      </c>
      <c r="CL47" s="19">
        <v>415371710</v>
      </c>
      <c r="CM47" s="19"/>
      <c r="CN47" s="19"/>
      <c r="CO47" s="19"/>
      <c r="CP47" s="19">
        <v>114087821</v>
      </c>
      <c r="CQ47" s="47" t="s">
        <v>96</v>
      </c>
      <c r="CR47" s="19"/>
      <c r="CS47" s="47" t="s">
        <v>172</v>
      </c>
      <c r="CT47" s="19"/>
      <c r="CU47" s="19"/>
      <c r="CV47" s="19"/>
      <c r="CW47" s="19"/>
      <c r="CX47" s="19"/>
      <c r="CY47" s="47" t="s">
        <v>96</v>
      </c>
      <c r="CZ47" s="19"/>
      <c r="DA47" s="47" t="s">
        <v>89</v>
      </c>
      <c r="DB47" s="19">
        <v>301953845</v>
      </c>
      <c r="DC47" s="19"/>
      <c r="DD47" s="19"/>
      <c r="DE47" s="19"/>
      <c r="DF47" s="19"/>
      <c r="DG47" s="19"/>
      <c r="DH47" s="19">
        <v>322488</v>
      </c>
      <c r="DI47" s="19">
        <v>3939841184</v>
      </c>
      <c r="DJ47" s="19"/>
      <c r="DK47" s="19">
        <v>5912044900</v>
      </c>
      <c r="DL47" s="19"/>
      <c r="DM47" s="19">
        <v>2189350573</v>
      </c>
      <c r="DN47" s="19">
        <v>889140563</v>
      </c>
      <c r="DO47" s="19"/>
      <c r="DP47" s="19">
        <v>1643824293</v>
      </c>
      <c r="DQ47" s="19">
        <v>175075326</v>
      </c>
      <c r="DR47" s="19">
        <v>450663845</v>
      </c>
      <c r="DS47" s="19"/>
      <c r="DT47" s="19"/>
      <c r="DU47" s="19"/>
      <c r="DV47" s="19"/>
      <c r="DW47" s="19">
        <v>680258074</v>
      </c>
      <c r="DX47" s="19"/>
      <c r="DY47" s="19">
        <v>112133233</v>
      </c>
      <c r="DZ47" s="19"/>
      <c r="EA47" s="19"/>
      <c r="EB47" s="19">
        <v>477094977</v>
      </c>
      <c r="EC47" s="19">
        <v>447665668</v>
      </c>
      <c r="ED47" s="19"/>
      <c r="EE47" s="19">
        <v>757511076</v>
      </c>
      <c r="EF47" s="19">
        <v>245847741</v>
      </c>
      <c r="EG47" s="19">
        <v>1386431367</v>
      </c>
      <c r="EH47" s="19"/>
      <c r="EI47" s="19"/>
      <c r="EJ47" s="19"/>
      <c r="EK47" s="19"/>
      <c r="EL47" s="19">
        <v>4620500544</v>
      </c>
      <c r="EM47" s="19">
        <v>584040183</v>
      </c>
      <c r="EN47" s="19"/>
      <c r="EO47" s="19">
        <v>388528913</v>
      </c>
      <c r="EP47" s="19">
        <v>210037837</v>
      </c>
      <c r="EQ47" s="19"/>
      <c r="ER47" s="19"/>
      <c r="ES47" s="19"/>
      <c r="ET47" s="19"/>
      <c r="EU47" s="19"/>
      <c r="EV47" s="19"/>
      <c r="EW47" s="19">
        <v>103259214</v>
      </c>
      <c r="EX47" s="19"/>
      <c r="EY47" s="19"/>
      <c r="EZ47" s="19"/>
      <c r="FA47" s="47" t="s">
        <v>130</v>
      </c>
      <c r="FB47" s="19"/>
      <c r="FC47" s="19">
        <v>1499844452</v>
      </c>
      <c r="FD47" s="19">
        <v>330841419</v>
      </c>
      <c r="FE47" s="19"/>
      <c r="FF47" s="19"/>
      <c r="FG47" s="19">
        <v>2655692594</v>
      </c>
      <c r="FH47" s="19">
        <v>154713442</v>
      </c>
      <c r="FI47" s="47" t="s">
        <v>96</v>
      </c>
      <c r="FJ47" s="19"/>
      <c r="FK47" s="19">
        <v>715573403</v>
      </c>
      <c r="FL47" s="47" t="s">
        <v>130</v>
      </c>
      <c r="FM47" s="19"/>
      <c r="FN47" s="19">
        <v>138156276</v>
      </c>
      <c r="FO47" s="47" t="s">
        <v>172</v>
      </c>
      <c r="FP47" s="19"/>
      <c r="FQ47" s="19">
        <v>27874171</v>
      </c>
      <c r="FR47" s="19"/>
      <c r="FS47" s="47" t="s">
        <v>130</v>
      </c>
      <c r="FT47" s="19">
        <v>9993372078</v>
      </c>
      <c r="FU47" s="19"/>
      <c r="FV47" s="19"/>
      <c r="FW47" s="19">
        <v>30450496</v>
      </c>
      <c r="FX47" s="19"/>
      <c r="FY47" s="19"/>
      <c r="FZ47" s="47" t="s">
        <v>175</v>
      </c>
      <c r="GA47" s="19"/>
      <c r="GB47" s="19"/>
      <c r="GC47" s="19"/>
      <c r="GD47" s="48" t="s">
        <v>96</v>
      </c>
      <c r="GE47" s="48" t="s">
        <v>96</v>
      </c>
      <c r="GF47" s="19">
        <v>813580942</v>
      </c>
      <c r="GG47" s="19">
        <v>1753155256</v>
      </c>
      <c r="GH47" s="47" t="s">
        <v>172</v>
      </c>
      <c r="GI47" s="19">
        <v>61692622</v>
      </c>
      <c r="GJ47" s="47" t="s">
        <v>96</v>
      </c>
      <c r="GK47" s="19">
        <v>135629161</v>
      </c>
      <c r="GL47" s="47" t="s">
        <v>96</v>
      </c>
      <c r="GM47" s="19"/>
      <c r="GN47" s="19"/>
      <c r="GO47" s="47" t="s">
        <v>96</v>
      </c>
      <c r="GP47" s="19">
        <v>5647789893</v>
      </c>
      <c r="GQ47" s="19">
        <v>381752498</v>
      </c>
      <c r="GR47" s="19">
        <v>803789765</v>
      </c>
      <c r="GS47" s="19"/>
      <c r="GT47" s="19"/>
      <c r="GU47" s="19"/>
      <c r="GV47" s="19"/>
      <c r="GW47" s="19">
        <v>1559273740</v>
      </c>
      <c r="GX47" s="19">
        <v>1355973284</v>
      </c>
      <c r="GY47" s="19">
        <v>1090064655</v>
      </c>
      <c r="GZ47" s="19">
        <v>232081505</v>
      </c>
      <c r="HA47" s="19"/>
      <c r="HB47" s="19"/>
      <c r="HC47" s="19">
        <v>630702610</v>
      </c>
      <c r="HD47" s="19">
        <v>161660601</v>
      </c>
      <c r="HE47" s="19"/>
      <c r="HF47" s="19"/>
      <c r="HG47" s="19">
        <v>162039215</v>
      </c>
      <c r="HH47" s="47" t="s">
        <v>130</v>
      </c>
      <c r="HI47" s="19"/>
      <c r="HJ47" s="19">
        <v>793553486</v>
      </c>
      <c r="HK47" s="19">
        <v>1061422306</v>
      </c>
      <c r="HL47" s="19">
        <v>917363800</v>
      </c>
      <c r="HM47" s="19"/>
      <c r="HN47" s="19"/>
      <c r="HO47" s="19">
        <v>1559698205</v>
      </c>
      <c r="HP47" s="19"/>
      <c r="HQ47" s="19"/>
      <c r="HR47" s="19">
        <v>5751664053</v>
      </c>
      <c r="HS47" s="19">
        <v>500511817</v>
      </c>
      <c r="HT47" s="19"/>
      <c r="HU47" s="19"/>
      <c r="HV47" s="19"/>
      <c r="HW47" s="47" t="s">
        <v>96</v>
      </c>
      <c r="HX47" s="19">
        <v>1609124245</v>
      </c>
      <c r="HY47" s="19" t="s">
        <v>172</v>
      </c>
      <c r="HZ47" s="19">
        <v>5723124376</v>
      </c>
      <c r="IA47" s="19"/>
      <c r="IB47" s="19"/>
      <c r="IC47" s="19">
        <v>275745145</v>
      </c>
      <c r="ID47" s="19"/>
      <c r="IE47" s="47" t="s">
        <v>96</v>
      </c>
      <c r="IF47" s="19"/>
      <c r="IG47" s="19"/>
      <c r="IH47" s="19"/>
      <c r="II47" s="19">
        <v>60360748</v>
      </c>
      <c r="IJ47" s="19"/>
      <c r="IK47" s="19">
        <v>240524675</v>
      </c>
      <c r="IL47" s="19">
        <v>202219718</v>
      </c>
      <c r="IM47" s="19"/>
      <c r="IN47" s="19"/>
      <c r="IO47" s="19">
        <v>148458335</v>
      </c>
      <c r="IP47" s="19"/>
      <c r="IQ47" s="19"/>
      <c r="IR47" s="19"/>
      <c r="IS47" s="19">
        <v>1276281384</v>
      </c>
      <c r="IT47" s="19">
        <v>45429666</v>
      </c>
      <c r="IU47" s="45"/>
      <c r="IV47" s="45"/>
      <c r="IW47" s="45"/>
      <c r="IX47" s="45"/>
      <c r="IY47" s="45">
        <v>71448722</v>
      </c>
      <c r="IZ47" s="45">
        <v>137275573</v>
      </c>
      <c r="JA47" s="45">
        <v>3653737584</v>
      </c>
      <c r="JB47" s="45">
        <v>78380009</v>
      </c>
      <c r="JC47" s="45">
        <v>51971819</v>
      </c>
      <c r="JD47" s="45"/>
      <c r="JE47" s="45"/>
      <c r="JF47" s="45"/>
      <c r="JG47" s="45">
        <v>7864440</v>
      </c>
      <c r="JH47" s="45"/>
      <c r="JI47" s="45">
        <v>164410060</v>
      </c>
      <c r="JJ47" s="45"/>
      <c r="JK47" s="45">
        <v>297786208</v>
      </c>
      <c r="JL47" s="45"/>
      <c r="JM47" s="45"/>
      <c r="JN47" s="45">
        <v>1453505738</v>
      </c>
      <c r="JO47" s="46"/>
      <c r="JP47" s="46"/>
      <c r="JQ47" s="63" t="s">
        <v>175</v>
      </c>
      <c r="JR47" s="46">
        <v>43208454</v>
      </c>
      <c r="JS47" s="46">
        <v>111017980</v>
      </c>
      <c r="JT47" s="46">
        <v>91305392</v>
      </c>
      <c r="JU47" s="46">
        <v>833062687</v>
      </c>
      <c r="JV47" s="46"/>
      <c r="JW47" s="46"/>
      <c r="JX47" s="46"/>
      <c r="JY47" s="46"/>
      <c r="JZ47" s="46">
        <v>3741554</v>
      </c>
      <c r="KA47" s="46"/>
      <c r="KB47" s="46">
        <v>5353965680</v>
      </c>
      <c r="KC47" s="46">
        <v>451304262</v>
      </c>
      <c r="KD47" s="46"/>
      <c r="KE47" s="46">
        <v>119389615</v>
      </c>
      <c r="KF47" s="46">
        <v>108775531</v>
      </c>
      <c r="KG47" s="46"/>
      <c r="KH47" s="46"/>
    </row>
    <row r="48" spans="1:294">
      <c r="A48" s="9" t="s">
        <v>183</v>
      </c>
      <c r="B48" s="15" t="s">
        <v>63</v>
      </c>
      <c r="C48" s="19"/>
      <c r="D48" s="19"/>
      <c r="E48" s="19"/>
      <c r="F48" s="19"/>
      <c r="G48" s="47" t="s">
        <v>130</v>
      </c>
      <c r="H48" s="19">
        <v>0</v>
      </c>
      <c r="I48" s="19"/>
      <c r="J48" s="47" t="s">
        <v>4</v>
      </c>
      <c r="K48" s="19"/>
      <c r="L48" s="47" t="s">
        <v>96</v>
      </c>
      <c r="M48" s="47" t="s">
        <v>96</v>
      </c>
      <c r="N48" s="19"/>
      <c r="O48" s="19">
        <v>613875705</v>
      </c>
      <c r="P48" s="19">
        <v>717176484</v>
      </c>
      <c r="Q48" s="19"/>
      <c r="R48" s="19"/>
      <c r="S48" s="19"/>
      <c r="T48" s="47" t="s">
        <v>96</v>
      </c>
      <c r="U48" s="47" t="s">
        <v>172</v>
      </c>
      <c r="V48" s="47" t="s">
        <v>172</v>
      </c>
      <c r="W48" s="19"/>
      <c r="X48" s="19">
        <v>1453962264</v>
      </c>
      <c r="Y48" s="19"/>
      <c r="Z48" s="19"/>
      <c r="AA48" s="19"/>
      <c r="AB48" s="19"/>
      <c r="AC48" s="19"/>
      <c r="AD48" s="19"/>
      <c r="AE48" s="19">
        <v>404524547</v>
      </c>
      <c r="AF48" s="47" t="s">
        <v>172</v>
      </c>
      <c r="AG48" s="19"/>
      <c r="AH48" s="19"/>
      <c r="AI48" s="19"/>
      <c r="AJ48" s="19"/>
      <c r="AK48" s="19"/>
      <c r="AL48" s="19"/>
      <c r="AM48" s="47" t="s">
        <v>4</v>
      </c>
      <c r="AN48" s="19"/>
      <c r="AO48" s="19">
        <v>431270944</v>
      </c>
      <c r="AP48" s="19"/>
      <c r="AQ48" s="47" t="s">
        <v>96</v>
      </c>
      <c r="AR48" s="19"/>
      <c r="AS48" s="19"/>
      <c r="AT48" s="47" t="s">
        <v>172</v>
      </c>
      <c r="AU48" s="19"/>
      <c r="AV48" s="19"/>
      <c r="AW48" s="19"/>
      <c r="AX48" s="47" t="s">
        <v>4</v>
      </c>
      <c r="AY48" s="19"/>
      <c r="AZ48" s="19"/>
      <c r="BA48" s="19"/>
      <c r="BB48" s="19"/>
      <c r="BC48" s="47" t="s">
        <v>4</v>
      </c>
      <c r="BD48" s="47" t="s">
        <v>130</v>
      </c>
      <c r="BE48" s="19"/>
      <c r="BF48" s="47" t="s">
        <v>96</v>
      </c>
      <c r="BG48" s="19">
        <v>12786787</v>
      </c>
      <c r="BH48" s="19"/>
      <c r="BI48" s="19"/>
      <c r="BJ48" s="19"/>
      <c r="BK48" s="19"/>
      <c r="BL48" s="19"/>
      <c r="BM48" s="19">
        <v>455208603</v>
      </c>
      <c r="BN48" s="19"/>
      <c r="BO48" s="19"/>
      <c r="BP48" s="47" t="s">
        <v>96</v>
      </c>
      <c r="BQ48" s="47" t="s">
        <v>4</v>
      </c>
      <c r="BR48" s="19"/>
      <c r="BS48" s="19"/>
      <c r="BT48" s="47" t="s">
        <v>130</v>
      </c>
      <c r="BU48" s="19"/>
      <c r="BV48" s="19"/>
      <c r="BW48" s="19"/>
      <c r="BX48" s="19"/>
      <c r="BY48" s="19"/>
      <c r="BZ48" s="19"/>
      <c r="CA48" s="19"/>
      <c r="CB48" s="19"/>
      <c r="CC48" s="19"/>
      <c r="CD48" s="19"/>
      <c r="CE48" s="19"/>
      <c r="CF48" s="19"/>
      <c r="CG48" s="19"/>
      <c r="CH48" s="19"/>
      <c r="CI48" s="47" t="s">
        <v>130</v>
      </c>
      <c r="CJ48" s="19"/>
      <c r="CK48" s="19"/>
      <c r="CL48" s="19"/>
      <c r="CM48" s="19"/>
      <c r="CN48" s="19"/>
      <c r="CO48" s="19"/>
      <c r="CP48" s="19"/>
      <c r="CQ48" s="47" t="s">
        <v>96</v>
      </c>
      <c r="CR48" s="19"/>
      <c r="CS48" s="47" t="s">
        <v>172</v>
      </c>
      <c r="CT48" s="19"/>
      <c r="CU48" s="19"/>
      <c r="CV48" s="19"/>
      <c r="CW48" s="19"/>
      <c r="CX48" s="19">
        <v>746483693</v>
      </c>
      <c r="CY48" s="47" t="s">
        <v>96</v>
      </c>
      <c r="CZ48" s="19"/>
      <c r="DA48" s="47" t="s">
        <v>89</v>
      </c>
      <c r="DB48" s="19"/>
      <c r="DC48" s="19"/>
      <c r="DD48" s="19"/>
      <c r="DE48" s="19"/>
      <c r="DF48" s="19"/>
      <c r="DG48" s="19"/>
      <c r="DH48" s="19">
        <v>590695265</v>
      </c>
      <c r="DI48" s="19"/>
      <c r="DJ48" s="19"/>
      <c r="DK48" s="19"/>
      <c r="DL48" s="19"/>
      <c r="DM48" s="19"/>
      <c r="DN48" s="19"/>
      <c r="DO48" s="19"/>
      <c r="DP48" s="19"/>
      <c r="DQ48" s="19"/>
      <c r="DR48" s="19"/>
      <c r="DS48" s="19"/>
      <c r="DT48" s="19"/>
      <c r="DU48" s="19"/>
      <c r="DV48" s="19">
        <v>174732933</v>
      </c>
      <c r="DW48" s="19"/>
      <c r="DX48" s="19"/>
      <c r="DY48" s="19"/>
      <c r="DZ48" s="19">
        <v>1352423072</v>
      </c>
      <c r="EA48" s="19"/>
      <c r="EB48" s="19"/>
      <c r="EC48" s="19"/>
      <c r="ED48" s="19"/>
      <c r="EE48" s="19"/>
      <c r="EF48" s="19"/>
      <c r="EG48" s="19">
        <v>167320169</v>
      </c>
      <c r="EH48" s="19"/>
      <c r="EI48" s="19">
        <v>17624015240</v>
      </c>
      <c r="EJ48" s="19"/>
      <c r="EK48" s="19"/>
      <c r="EL48" s="19"/>
      <c r="EM48" s="19"/>
      <c r="EN48" s="19"/>
      <c r="EO48" s="19"/>
      <c r="EP48" s="19"/>
      <c r="EQ48" s="19"/>
      <c r="ER48" s="19">
        <v>181300956</v>
      </c>
      <c r="ES48" s="19"/>
      <c r="ET48" s="19"/>
      <c r="EU48" s="19"/>
      <c r="EV48" s="19"/>
      <c r="EW48" s="19"/>
      <c r="EX48" s="19"/>
      <c r="EY48" s="19"/>
      <c r="EZ48" s="19">
        <v>107530984</v>
      </c>
      <c r="FA48" s="47" t="s">
        <v>130</v>
      </c>
      <c r="FB48" s="19"/>
      <c r="FC48" s="19"/>
      <c r="FD48" s="19"/>
      <c r="FE48" s="19"/>
      <c r="FF48" s="19"/>
      <c r="FG48" s="19"/>
      <c r="FH48" s="19"/>
      <c r="FI48" s="47" t="s">
        <v>96</v>
      </c>
      <c r="FJ48" s="19"/>
      <c r="FK48" s="19"/>
      <c r="FL48" s="47" t="s">
        <v>130</v>
      </c>
      <c r="FM48" s="19"/>
      <c r="FN48" s="19"/>
      <c r="FO48" s="47" t="s">
        <v>172</v>
      </c>
      <c r="FP48" s="19"/>
      <c r="FQ48" s="19"/>
      <c r="FR48" s="19"/>
      <c r="FS48" s="47" t="s">
        <v>130</v>
      </c>
      <c r="FT48" s="19"/>
      <c r="FU48" s="19"/>
      <c r="FV48" s="19">
        <v>244775053</v>
      </c>
      <c r="FW48" s="19"/>
      <c r="FX48" s="19"/>
      <c r="FY48" s="19"/>
      <c r="FZ48" s="47" t="s">
        <v>175</v>
      </c>
      <c r="GA48" s="19"/>
      <c r="GB48" s="19"/>
      <c r="GC48" s="19"/>
      <c r="GD48" s="48" t="s">
        <v>96</v>
      </c>
      <c r="GE48" s="48" t="s">
        <v>96</v>
      </c>
      <c r="GF48" s="19"/>
      <c r="GG48" s="19"/>
      <c r="GH48" s="47" t="s">
        <v>172</v>
      </c>
      <c r="GI48" s="19"/>
      <c r="GJ48" s="47" t="s">
        <v>96</v>
      </c>
      <c r="GK48" s="19"/>
      <c r="GL48" s="47" t="s">
        <v>96</v>
      </c>
      <c r="GM48" s="19"/>
      <c r="GN48" s="19"/>
      <c r="GO48" s="47" t="s">
        <v>96</v>
      </c>
      <c r="GP48" s="19"/>
      <c r="GQ48" s="19"/>
      <c r="GR48" s="19"/>
      <c r="GS48" s="19"/>
      <c r="GT48" s="19"/>
      <c r="GU48" s="19"/>
      <c r="GV48" s="19"/>
      <c r="GW48" s="19">
        <v>175638099</v>
      </c>
      <c r="GX48" s="19"/>
      <c r="GY48" s="19"/>
      <c r="GZ48" s="19"/>
      <c r="HA48" s="19"/>
      <c r="HB48" s="19"/>
      <c r="HC48" s="19"/>
      <c r="HD48" s="19"/>
      <c r="HE48" s="19"/>
      <c r="HF48" s="19"/>
      <c r="HG48" s="19"/>
      <c r="HH48" s="47" t="s">
        <v>130</v>
      </c>
      <c r="HI48" s="19"/>
      <c r="HJ48" s="19"/>
      <c r="HK48" s="19"/>
      <c r="HL48" s="19"/>
      <c r="HM48" s="19"/>
      <c r="HN48" s="19"/>
      <c r="HO48" s="19"/>
      <c r="HP48" s="19"/>
      <c r="HQ48" s="19"/>
      <c r="HR48" s="19"/>
      <c r="HS48" s="19"/>
      <c r="HT48" s="19"/>
      <c r="HU48" s="19"/>
      <c r="HV48" s="19"/>
      <c r="HW48" s="47" t="s">
        <v>96</v>
      </c>
      <c r="HX48" s="19"/>
      <c r="HY48" s="19" t="s">
        <v>172</v>
      </c>
      <c r="HZ48" s="19"/>
      <c r="IA48" s="19"/>
      <c r="IB48" s="19"/>
      <c r="IC48" s="19"/>
      <c r="ID48" s="19"/>
      <c r="IE48" s="47" t="s">
        <v>96</v>
      </c>
      <c r="IF48" s="19">
        <v>26048526</v>
      </c>
      <c r="IG48" s="19"/>
      <c r="IH48" s="19">
        <v>683895748</v>
      </c>
      <c r="II48" s="19"/>
      <c r="IJ48" s="19"/>
      <c r="IK48" s="19"/>
      <c r="IL48" s="19"/>
      <c r="IM48" s="19">
        <v>691019930</v>
      </c>
      <c r="IN48" s="19"/>
      <c r="IO48" s="19"/>
      <c r="IP48" s="19"/>
      <c r="IQ48" s="19"/>
      <c r="IR48" s="19">
        <v>321688117</v>
      </c>
      <c r="IS48" s="19"/>
      <c r="IT48" s="19"/>
      <c r="IU48" s="45"/>
      <c r="IV48" s="45"/>
      <c r="IW48" s="45"/>
      <c r="IX48" s="45"/>
      <c r="IY48" s="45"/>
      <c r="IZ48" s="45"/>
      <c r="JA48" s="45"/>
      <c r="JB48" s="45"/>
      <c r="JC48" s="45"/>
      <c r="JD48" s="45"/>
      <c r="JE48" s="45"/>
      <c r="JF48" s="45"/>
      <c r="JG48" s="45"/>
      <c r="JH48" s="45"/>
      <c r="JI48" s="45"/>
      <c r="JJ48" s="45"/>
      <c r="JK48" s="45"/>
      <c r="JL48" s="45"/>
      <c r="JM48" s="45"/>
      <c r="JN48" s="45"/>
      <c r="JO48" s="46"/>
      <c r="JP48" s="46"/>
      <c r="JQ48" s="63" t="s">
        <v>175</v>
      </c>
      <c r="JR48" s="46"/>
      <c r="JS48" s="46"/>
      <c r="JT48" s="46"/>
      <c r="JU48" s="46"/>
      <c r="JV48" s="46"/>
      <c r="JW48" s="46"/>
      <c r="JX48" s="46"/>
      <c r="JY48" s="46"/>
      <c r="JZ48" s="46"/>
      <c r="KA48" s="46"/>
      <c r="KB48" s="46"/>
      <c r="KC48" s="46"/>
      <c r="KD48" s="46">
        <v>2850276614</v>
      </c>
      <c r="KE48" s="46"/>
      <c r="KF48" s="46"/>
      <c r="KG48" s="46"/>
      <c r="KH48" s="46"/>
    </row>
    <row r="49" spans="1:294">
      <c r="A49" s="9" t="s">
        <v>183</v>
      </c>
      <c r="B49" s="15" t="s">
        <v>64</v>
      </c>
      <c r="C49" s="19"/>
      <c r="D49" s="19"/>
      <c r="E49" s="19"/>
      <c r="F49" s="19"/>
      <c r="G49" s="47" t="s">
        <v>130</v>
      </c>
      <c r="H49" s="19">
        <v>0</v>
      </c>
      <c r="I49" s="19"/>
      <c r="J49" s="47" t="s">
        <v>4</v>
      </c>
      <c r="K49" s="19"/>
      <c r="L49" s="47" t="s">
        <v>96</v>
      </c>
      <c r="M49" s="47" t="s">
        <v>96</v>
      </c>
      <c r="N49" s="19"/>
      <c r="O49" s="19"/>
      <c r="P49" s="19"/>
      <c r="Q49" s="19"/>
      <c r="R49" s="19"/>
      <c r="S49" s="19"/>
      <c r="T49" s="47" t="s">
        <v>96</v>
      </c>
      <c r="U49" s="47" t="s">
        <v>172</v>
      </c>
      <c r="V49" s="47" t="s">
        <v>172</v>
      </c>
      <c r="W49" s="19"/>
      <c r="X49" s="19"/>
      <c r="Y49" s="19"/>
      <c r="Z49" s="19"/>
      <c r="AA49" s="19"/>
      <c r="AB49" s="19"/>
      <c r="AC49" s="19"/>
      <c r="AD49" s="19"/>
      <c r="AE49" s="19"/>
      <c r="AF49" s="47" t="s">
        <v>172</v>
      </c>
      <c r="AG49" s="19"/>
      <c r="AH49" s="19"/>
      <c r="AI49" s="19"/>
      <c r="AJ49" s="19"/>
      <c r="AK49" s="19">
        <v>74210678</v>
      </c>
      <c r="AL49" s="19"/>
      <c r="AM49" s="47" t="s">
        <v>4</v>
      </c>
      <c r="AN49" s="19"/>
      <c r="AO49" s="19"/>
      <c r="AP49" s="19"/>
      <c r="AQ49" s="47" t="s">
        <v>96</v>
      </c>
      <c r="AR49" s="19"/>
      <c r="AS49" s="19"/>
      <c r="AT49" s="47" t="s">
        <v>172</v>
      </c>
      <c r="AU49" s="19"/>
      <c r="AV49" s="19"/>
      <c r="AW49" s="19"/>
      <c r="AX49" s="47" t="s">
        <v>4</v>
      </c>
      <c r="AY49" s="19"/>
      <c r="AZ49" s="19"/>
      <c r="BA49" s="19"/>
      <c r="BB49" s="19"/>
      <c r="BC49" s="47" t="s">
        <v>4</v>
      </c>
      <c r="BD49" s="47" t="s">
        <v>130</v>
      </c>
      <c r="BE49" s="19"/>
      <c r="BF49" s="47" t="s">
        <v>96</v>
      </c>
      <c r="BG49" s="19"/>
      <c r="BH49" s="19"/>
      <c r="BI49" s="19"/>
      <c r="BJ49" s="19"/>
      <c r="BK49" s="19">
        <v>1600000</v>
      </c>
      <c r="BL49" s="19"/>
      <c r="BM49" s="19">
        <v>836314152</v>
      </c>
      <c r="BN49" s="19">
        <v>83411150</v>
      </c>
      <c r="BO49" s="19"/>
      <c r="BP49" s="47" t="s">
        <v>96</v>
      </c>
      <c r="BQ49" s="47" t="s">
        <v>4</v>
      </c>
      <c r="BR49" s="19"/>
      <c r="BS49" s="19"/>
      <c r="BT49" s="47" t="s">
        <v>130</v>
      </c>
      <c r="BU49" s="19"/>
      <c r="BV49" s="19"/>
      <c r="BW49" s="19"/>
      <c r="BX49" s="19"/>
      <c r="BY49" s="19"/>
      <c r="BZ49" s="19"/>
      <c r="CA49" s="19"/>
      <c r="CB49" s="19"/>
      <c r="CC49" s="19"/>
      <c r="CD49" s="19"/>
      <c r="CE49" s="19"/>
      <c r="CF49" s="19"/>
      <c r="CG49" s="19"/>
      <c r="CH49" s="19"/>
      <c r="CI49" s="47" t="s">
        <v>130</v>
      </c>
      <c r="CJ49" s="19"/>
      <c r="CK49" s="19"/>
      <c r="CL49" s="19"/>
      <c r="CM49" s="19"/>
      <c r="CN49" s="19"/>
      <c r="CO49" s="19"/>
      <c r="CP49" s="19"/>
      <c r="CQ49" s="47" t="s">
        <v>96</v>
      </c>
      <c r="CR49" s="19">
        <v>1773657631</v>
      </c>
      <c r="CS49" s="47" t="s">
        <v>172</v>
      </c>
      <c r="CT49" s="19"/>
      <c r="CU49" s="19"/>
      <c r="CV49" s="19"/>
      <c r="CW49" s="19"/>
      <c r="CX49" s="19"/>
      <c r="CY49" s="47" t="s">
        <v>96</v>
      </c>
      <c r="CZ49" s="19"/>
      <c r="DA49" s="47" t="s">
        <v>89</v>
      </c>
      <c r="DB49" s="19"/>
      <c r="DC49" s="19"/>
      <c r="DD49" s="19"/>
      <c r="DE49" s="19"/>
      <c r="DF49" s="19"/>
      <c r="DG49" s="19"/>
      <c r="DH49" s="19"/>
      <c r="DI49" s="19"/>
      <c r="DJ49" s="19"/>
      <c r="DK49" s="19">
        <v>3497062784</v>
      </c>
      <c r="DL49" s="19"/>
      <c r="DM49" s="19"/>
      <c r="DN49" s="19"/>
      <c r="DO49" s="19"/>
      <c r="DP49" s="19"/>
      <c r="DQ49" s="19"/>
      <c r="DR49" s="19"/>
      <c r="DS49" s="19"/>
      <c r="DT49" s="19"/>
      <c r="DU49" s="19"/>
      <c r="DV49" s="19"/>
      <c r="DW49" s="19"/>
      <c r="DX49" s="19"/>
      <c r="DY49" s="19"/>
      <c r="DZ49" s="19"/>
      <c r="EA49" s="19"/>
      <c r="EB49" s="19"/>
      <c r="EC49" s="19"/>
      <c r="ED49" s="19"/>
      <c r="EE49" s="19"/>
      <c r="EF49" s="19"/>
      <c r="EG49" s="19"/>
      <c r="EH49" s="19"/>
      <c r="EI49" s="19"/>
      <c r="EJ49" s="19"/>
      <c r="EK49" s="19"/>
      <c r="EL49" s="19"/>
      <c r="EM49" s="19"/>
      <c r="EN49" s="19"/>
      <c r="EO49" s="19"/>
      <c r="EP49" s="19"/>
      <c r="EQ49" s="19"/>
      <c r="ER49" s="19"/>
      <c r="ES49" s="19"/>
      <c r="ET49" s="19"/>
      <c r="EU49" s="19"/>
      <c r="EV49" s="19"/>
      <c r="EW49" s="19"/>
      <c r="EX49" s="19"/>
      <c r="EY49" s="19"/>
      <c r="EZ49" s="19"/>
      <c r="FA49" s="47" t="s">
        <v>130</v>
      </c>
      <c r="FB49" s="19"/>
      <c r="FC49" s="19"/>
      <c r="FD49" s="19"/>
      <c r="FE49" s="19"/>
      <c r="FF49" s="19"/>
      <c r="FG49" s="19"/>
      <c r="FH49" s="19"/>
      <c r="FI49" s="47" t="s">
        <v>96</v>
      </c>
      <c r="FJ49" s="19"/>
      <c r="FK49" s="19"/>
      <c r="FL49" s="47" t="s">
        <v>130</v>
      </c>
      <c r="FM49" s="19"/>
      <c r="FN49" s="19"/>
      <c r="FO49" s="47" t="s">
        <v>172</v>
      </c>
      <c r="FP49" s="19"/>
      <c r="FQ49" s="19"/>
      <c r="FR49" s="19"/>
      <c r="FS49" s="47" t="s">
        <v>130</v>
      </c>
      <c r="FT49" s="19"/>
      <c r="FU49" s="19"/>
      <c r="FV49" s="19"/>
      <c r="FW49" s="19"/>
      <c r="FX49" s="19"/>
      <c r="FY49" s="19"/>
      <c r="FZ49" s="47" t="s">
        <v>175</v>
      </c>
      <c r="GA49" s="19"/>
      <c r="GB49" s="19"/>
      <c r="GC49" s="19"/>
      <c r="GD49" s="48" t="s">
        <v>96</v>
      </c>
      <c r="GE49" s="48" t="s">
        <v>96</v>
      </c>
      <c r="GF49" s="19"/>
      <c r="GG49" s="19"/>
      <c r="GH49" s="47" t="s">
        <v>172</v>
      </c>
      <c r="GI49" s="19"/>
      <c r="GJ49" s="47" t="s">
        <v>96</v>
      </c>
      <c r="GK49" s="19"/>
      <c r="GL49" s="47" t="s">
        <v>96</v>
      </c>
      <c r="GM49" s="19"/>
      <c r="GN49" s="19"/>
      <c r="GO49" s="47" t="s">
        <v>96</v>
      </c>
      <c r="GP49" s="19"/>
      <c r="GQ49" s="19"/>
      <c r="GR49" s="19"/>
      <c r="GS49" s="19"/>
      <c r="GT49" s="19"/>
      <c r="GU49" s="19"/>
      <c r="GV49" s="19"/>
      <c r="GW49" s="19"/>
      <c r="GX49" s="19"/>
      <c r="GY49" s="19"/>
      <c r="GZ49" s="19"/>
      <c r="HA49" s="19"/>
      <c r="HB49" s="19"/>
      <c r="HC49" s="19"/>
      <c r="HD49" s="19"/>
      <c r="HE49" s="19"/>
      <c r="HF49" s="19"/>
      <c r="HG49" s="19"/>
      <c r="HH49" s="47" t="s">
        <v>130</v>
      </c>
      <c r="HI49" s="19"/>
      <c r="HJ49" s="19"/>
      <c r="HK49" s="19"/>
      <c r="HL49" s="19"/>
      <c r="HM49" s="19"/>
      <c r="HN49" s="19"/>
      <c r="HO49" s="19">
        <v>396815458</v>
      </c>
      <c r="HP49" s="19"/>
      <c r="HQ49" s="19"/>
      <c r="HR49" s="19"/>
      <c r="HS49" s="19"/>
      <c r="HT49" s="19"/>
      <c r="HU49" s="19"/>
      <c r="HV49" s="19"/>
      <c r="HW49" s="47" t="s">
        <v>96</v>
      </c>
      <c r="HX49" s="19"/>
      <c r="HY49" s="19" t="s">
        <v>172</v>
      </c>
      <c r="HZ49" s="19"/>
      <c r="IA49" s="19"/>
      <c r="IB49" s="19"/>
      <c r="IC49" s="19"/>
      <c r="ID49" s="19"/>
      <c r="IE49" s="47" t="s">
        <v>96</v>
      </c>
      <c r="IF49" s="19">
        <v>22432840</v>
      </c>
      <c r="IG49" s="19"/>
      <c r="IH49" s="19"/>
      <c r="II49" s="19"/>
      <c r="IJ49" s="19"/>
      <c r="IK49" s="19"/>
      <c r="IL49" s="19"/>
      <c r="IM49" s="19"/>
      <c r="IN49" s="19"/>
      <c r="IO49" s="19"/>
      <c r="IP49" s="19"/>
      <c r="IQ49" s="19"/>
      <c r="IR49" s="19"/>
      <c r="IS49" s="19"/>
      <c r="IT49" s="19"/>
      <c r="IU49" s="45"/>
      <c r="IV49" s="45"/>
      <c r="IW49" s="45"/>
      <c r="IX49" s="45"/>
      <c r="IY49" s="45"/>
      <c r="IZ49" s="45"/>
      <c r="JA49" s="45"/>
      <c r="JB49" s="45"/>
      <c r="JC49" s="45"/>
      <c r="JD49" s="45"/>
      <c r="JE49" s="45"/>
      <c r="JF49" s="45"/>
      <c r="JG49" s="45"/>
      <c r="JH49" s="45"/>
      <c r="JI49" s="45"/>
      <c r="JJ49" s="45"/>
      <c r="JK49" s="45"/>
      <c r="JL49" s="45"/>
      <c r="JM49" s="45"/>
      <c r="JN49" s="45"/>
      <c r="JO49" s="46"/>
      <c r="JP49" s="46">
        <v>394762726</v>
      </c>
      <c r="JQ49" s="63" t="s">
        <v>175</v>
      </c>
      <c r="JR49" s="46"/>
      <c r="JS49" s="46"/>
      <c r="JT49" s="46"/>
      <c r="JU49" s="46"/>
      <c r="JV49" s="46"/>
      <c r="JW49" s="46"/>
      <c r="JX49" s="46"/>
      <c r="JY49" s="46">
        <v>905204173</v>
      </c>
      <c r="JZ49" s="46"/>
      <c r="KA49" s="46"/>
      <c r="KB49" s="46"/>
      <c r="KC49" s="46"/>
      <c r="KD49" s="46"/>
      <c r="KE49" s="46"/>
      <c r="KF49" s="46"/>
      <c r="KG49" s="46"/>
      <c r="KH49" s="46"/>
    </row>
    <row r="50" spans="1:294">
      <c r="A50" s="9" t="s">
        <v>183</v>
      </c>
      <c r="B50" s="10" t="s">
        <v>14</v>
      </c>
      <c r="C50" s="19">
        <v>1801544582</v>
      </c>
      <c r="D50" s="19">
        <v>129049990</v>
      </c>
      <c r="E50" s="19">
        <v>425429603</v>
      </c>
      <c r="F50" s="19">
        <v>1719504191</v>
      </c>
      <c r="G50" s="47" t="s">
        <v>130</v>
      </c>
      <c r="H50" s="19">
        <v>10685845461</v>
      </c>
      <c r="I50" s="19">
        <v>9720463014</v>
      </c>
      <c r="J50" s="47" t="s">
        <v>4</v>
      </c>
      <c r="K50" s="19">
        <v>149335098</v>
      </c>
      <c r="L50" s="47" t="s">
        <v>96</v>
      </c>
      <c r="M50" s="47" t="s">
        <v>96</v>
      </c>
      <c r="N50" s="19">
        <v>380433151</v>
      </c>
      <c r="O50" s="19">
        <v>12152005784</v>
      </c>
      <c r="P50" s="19">
        <v>5826598716</v>
      </c>
      <c r="Q50" s="19">
        <v>347584388</v>
      </c>
      <c r="R50" s="19">
        <v>498433137</v>
      </c>
      <c r="S50" s="19">
        <v>5244277485</v>
      </c>
      <c r="T50" s="47" t="s">
        <v>96</v>
      </c>
      <c r="U50" s="47" t="s">
        <v>172</v>
      </c>
      <c r="V50" s="47" t="s">
        <v>172</v>
      </c>
      <c r="W50" s="19">
        <v>1022256147</v>
      </c>
      <c r="X50" s="19">
        <v>1549330734</v>
      </c>
      <c r="Y50" s="19">
        <v>312798170</v>
      </c>
      <c r="Z50" s="19">
        <v>690175812</v>
      </c>
      <c r="AA50" s="19">
        <v>739294452</v>
      </c>
      <c r="AB50" s="19">
        <v>118349296</v>
      </c>
      <c r="AC50" s="19">
        <v>203230240</v>
      </c>
      <c r="AD50" s="19">
        <v>672636840</v>
      </c>
      <c r="AE50" s="19">
        <v>275807167</v>
      </c>
      <c r="AF50" s="47" t="s">
        <v>172</v>
      </c>
      <c r="AG50" s="19">
        <v>79443869</v>
      </c>
      <c r="AH50" s="19">
        <v>1654253764</v>
      </c>
      <c r="AI50" s="19">
        <v>259797228</v>
      </c>
      <c r="AJ50" s="19">
        <v>536849411</v>
      </c>
      <c r="AK50" s="19">
        <v>417397035</v>
      </c>
      <c r="AL50" s="19">
        <v>724704853</v>
      </c>
      <c r="AM50" s="47" t="s">
        <v>4</v>
      </c>
      <c r="AN50" s="19">
        <v>1155409780</v>
      </c>
      <c r="AO50" s="19">
        <v>1176019761</v>
      </c>
      <c r="AP50" s="19">
        <v>905309771</v>
      </c>
      <c r="AQ50" s="47" t="s">
        <v>96</v>
      </c>
      <c r="AR50" s="19">
        <v>254606126</v>
      </c>
      <c r="AS50" s="19">
        <v>1054495056</v>
      </c>
      <c r="AT50" s="47" t="s">
        <v>172</v>
      </c>
      <c r="AU50" s="19">
        <v>1251317903</v>
      </c>
      <c r="AV50" s="19">
        <v>180146989</v>
      </c>
      <c r="AW50" s="19">
        <v>236263944</v>
      </c>
      <c r="AX50" s="47" t="s">
        <v>4</v>
      </c>
      <c r="AY50" s="19">
        <v>963785678</v>
      </c>
      <c r="AZ50" s="19">
        <v>307335395</v>
      </c>
      <c r="BA50" s="19">
        <v>1473050516</v>
      </c>
      <c r="BB50" s="19">
        <v>17833640</v>
      </c>
      <c r="BC50" s="47" t="s">
        <v>4</v>
      </c>
      <c r="BD50" s="47" t="s">
        <v>130</v>
      </c>
      <c r="BE50" s="19">
        <v>218879294</v>
      </c>
      <c r="BF50" s="47" t="s">
        <v>96</v>
      </c>
      <c r="BG50" s="19">
        <v>1028174711</v>
      </c>
      <c r="BH50" s="19">
        <v>166372104</v>
      </c>
      <c r="BI50" s="19">
        <v>442834269</v>
      </c>
      <c r="BJ50" s="19">
        <v>439570429</v>
      </c>
      <c r="BK50" s="19">
        <v>270054575</v>
      </c>
      <c r="BL50" s="19">
        <v>8720813692</v>
      </c>
      <c r="BM50" s="19">
        <v>1680606936</v>
      </c>
      <c r="BN50" s="19">
        <v>1229939</v>
      </c>
      <c r="BO50" s="19">
        <v>12940451</v>
      </c>
      <c r="BP50" s="47" t="s">
        <v>96</v>
      </c>
      <c r="BQ50" s="47" t="s">
        <v>4</v>
      </c>
      <c r="BR50" s="19">
        <v>5746367627</v>
      </c>
      <c r="BS50" s="19">
        <v>34099181</v>
      </c>
      <c r="BT50" s="47" t="s">
        <v>130</v>
      </c>
      <c r="BU50" s="19">
        <v>594061659</v>
      </c>
      <c r="BV50" s="19">
        <v>313460772</v>
      </c>
      <c r="BW50" s="19">
        <v>496662992</v>
      </c>
      <c r="BX50" s="19">
        <v>551832506</v>
      </c>
      <c r="BY50" s="19">
        <v>1020343550</v>
      </c>
      <c r="BZ50" s="19">
        <v>1379517589</v>
      </c>
      <c r="CA50" s="19">
        <v>2504031477</v>
      </c>
      <c r="CB50" s="19">
        <v>345604261</v>
      </c>
      <c r="CC50" s="19">
        <v>275253730</v>
      </c>
      <c r="CD50" s="19">
        <v>913051070</v>
      </c>
      <c r="CE50" s="19">
        <v>10053455</v>
      </c>
      <c r="CF50" s="19">
        <v>90293489</v>
      </c>
      <c r="CG50" s="19">
        <v>1110225144</v>
      </c>
      <c r="CH50" s="19">
        <v>272589146</v>
      </c>
      <c r="CI50" s="47" t="s">
        <v>130</v>
      </c>
      <c r="CJ50" s="19">
        <v>54398439</v>
      </c>
      <c r="CK50" s="19">
        <v>671575328</v>
      </c>
      <c r="CL50" s="19">
        <v>151251880</v>
      </c>
      <c r="CM50" s="19">
        <v>8588978743</v>
      </c>
      <c r="CN50" s="19">
        <v>316516199</v>
      </c>
      <c r="CO50" s="19">
        <v>140844200</v>
      </c>
      <c r="CP50" s="19">
        <v>4372613062</v>
      </c>
      <c r="CQ50" s="47" t="s">
        <v>96</v>
      </c>
      <c r="CR50" s="19">
        <v>657817914</v>
      </c>
      <c r="CS50" s="47" t="s">
        <v>172</v>
      </c>
      <c r="CT50" s="19">
        <v>3989541538</v>
      </c>
      <c r="CU50" s="19">
        <v>589613864</v>
      </c>
      <c r="CV50" s="19">
        <v>72379880</v>
      </c>
      <c r="CW50" s="19">
        <v>2210152191</v>
      </c>
      <c r="CX50" s="19">
        <v>3106613523</v>
      </c>
      <c r="CY50" s="47" t="s">
        <v>96</v>
      </c>
      <c r="CZ50" s="19">
        <v>3833038270</v>
      </c>
      <c r="DA50" s="47" t="s">
        <v>89</v>
      </c>
      <c r="DB50" s="19">
        <v>460132517</v>
      </c>
      <c r="DC50" s="19">
        <v>47970193</v>
      </c>
      <c r="DD50" s="19">
        <v>21889813</v>
      </c>
      <c r="DE50" s="19">
        <v>2284213631</v>
      </c>
      <c r="DF50" s="19">
        <v>69121857</v>
      </c>
      <c r="DG50" s="19">
        <v>391464064</v>
      </c>
      <c r="DH50" s="19">
        <v>411136172</v>
      </c>
      <c r="DI50" s="19">
        <v>840635831</v>
      </c>
      <c r="DJ50" s="19">
        <v>216934358</v>
      </c>
      <c r="DK50" s="19">
        <v>1859239249</v>
      </c>
      <c r="DL50" s="19">
        <v>475347614</v>
      </c>
      <c r="DM50" s="19">
        <v>580882801</v>
      </c>
      <c r="DN50" s="19">
        <v>246959066</v>
      </c>
      <c r="DO50" s="19">
        <v>139370301</v>
      </c>
      <c r="DP50" s="19">
        <v>457883926</v>
      </c>
      <c r="DQ50" s="19">
        <v>54969175</v>
      </c>
      <c r="DR50" s="19">
        <v>1154663276</v>
      </c>
      <c r="DS50" s="19">
        <v>1181076004</v>
      </c>
      <c r="DT50" s="19">
        <v>2317265636</v>
      </c>
      <c r="DU50" s="19">
        <v>451743043</v>
      </c>
      <c r="DV50" s="19">
        <v>6904430636</v>
      </c>
      <c r="DW50" s="19">
        <v>355789330</v>
      </c>
      <c r="DX50" s="19">
        <v>5827289269</v>
      </c>
      <c r="DY50" s="19">
        <v>538612454</v>
      </c>
      <c r="DZ50" s="19">
        <v>247683885</v>
      </c>
      <c r="EA50" s="19">
        <v>86246168</v>
      </c>
      <c r="EB50" s="19">
        <v>10750727096</v>
      </c>
      <c r="EC50" s="19">
        <v>551605382</v>
      </c>
      <c r="ED50" s="19">
        <v>88120340</v>
      </c>
      <c r="EE50" s="19">
        <v>480019944</v>
      </c>
      <c r="EF50" s="19">
        <v>1137718090</v>
      </c>
      <c r="EG50" s="19">
        <v>-162420140</v>
      </c>
      <c r="EH50" s="19">
        <v>319478828</v>
      </c>
      <c r="EI50" s="19">
        <v>-3225433925</v>
      </c>
      <c r="EJ50" s="19">
        <v>163774936</v>
      </c>
      <c r="EK50" s="19">
        <v>535887479</v>
      </c>
      <c r="EL50" s="19">
        <v>-626470283</v>
      </c>
      <c r="EM50" s="19">
        <v>277443440</v>
      </c>
      <c r="EN50" s="19">
        <v>8415909827</v>
      </c>
      <c r="EO50" s="19">
        <v>935207063</v>
      </c>
      <c r="EP50" s="19">
        <v>861786992</v>
      </c>
      <c r="EQ50" s="19">
        <v>7584400803</v>
      </c>
      <c r="ER50" s="19">
        <v>7835958623</v>
      </c>
      <c r="ES50" s="19">
        <v>254039506</v>
      </c>
      <c r="ET50" s="19">
        <v>2215700202</v>
      </c>
      <c r="EU50" s="19">
        <v>2297073924</v>
      </c>
      <c r="EV50" s="19">
        <v>197846988</v>
      </c>
      <c r="EW50" s="19">
        <v>399469388</v>
      </c>
      <c r="EX50" s="19">
        <v>1720471462</v>
      </c>
      <c r="EY50" s="19">
        <v>7786291376</v>
      </c>
      <c r="EZ50" s="19">
        <v>948992966</v>
      </c>
      <c r="FA50" s="47" t="s">
        <v>130</v>
      </c>
      <c r="FB50" s="19">
        <v>66772429</v>
      </c>
      <c r="FC50" s="19">
        <v>521038680</v>
      </c>
      <c r="FD50" s="19">
        <v>285399938</v>
      </c>
      <c r="FE50" s="19">
        <v>6273966467</v>
      </c>
      <c r="FF50" s="19">
        <v>793529183</v>
      </c>
      <c r="FG50" s="19">
        <v>1833668033</v>
      </c>
      <c r="FH50" s="19">
        <v>838905337</v>
      </c>
      <c r="FI50" s="47" t="s">
        <v>96</v>
      </c>
      <c r="FJ50" s="19">
        <v>412634091</v>
      </c>
      <c r="FK50" s="19">
        <v>1172313013</v>
      </c>
      <c r="FL50" s="47" t="s">
        <v>130</v>
      </c>
      <c r="FM50" s="19">
        <v>320700739</v>
      </c>
      <c r="FN50" s="19">
        <v>458695168</v>
      </c>
      <c r="FO50" s="47" t="s">
        <v>172</v>
      </c>
      <c r="FP50" s="19">
        <v>180182830</v>
      </c>
      <c r="FQ50" s="19">
        <v>60705829</v>
      </c>
      <c r="FR50" s="19">
        <v>614611344</v>
      </c>
      <c r="FS50" s="47" t="s">
        <v>130</v>
      </c>
      <c r="FT50" s="19">
        <v>2316775256</v>
      </c>
      <c r="FU50" s="19">
        <v>70776794</v>
      </c>
      <c r="FV50" s="19">
        <v>1542339790</v>
      </c>
      <c r="FW50" s="19">
        <v>-27270146</v>
      </c>
      <c r="FX50" s="19">
        <v>195699648</v>
      </c>
      <c r="FY50" s="19">
        <v>2062824487</v>
      </c>
      <c r="FZ50" s="47" t="s">
        <v>175</v>
      </c>
      <c r="GA50" s="19">
        <v>1246433998</v>
      </c>
      <c r="GB50" s="19">
        <v>32295751</v>
      </c>
      <c r="GC50" s="19">
        <v>240008672</v>
      </c>
      <c r="GD50" s="48" t="s">
        <v>96</v>
      </c>
      <c r="GE50" s="48" t="s">
        <v>96</v>
      </c>
      <c r="GF50" s="19">
        <v>285060336</v>
      </c>
      <c r="GG50" s="19">
        <v>438407156</v>
      </c>
      <c r="GH50" s="47" t="s">
        <v>172</v>
      </c>
      <c r="GI50" s="19">
        <v>72575985</v>
      </c>
      <c r="GJ50" s="47" t="s">
        <v>96</v>
      </c>
      <c r="GK50" s="19">
        <v>173612142</v>
      </c>
      <c r="GL50" s="47" t="s">
        <v>96</v>
      </c>
      <c r="GM50" s="19">
        <v>214072944</v>
      </c>
      <c r="GN50" s="19">
        <v>663562317</v>
      </c>
      <c r="GO50" s="47" t="s">
        <v>96</v>
      </c>
      <c r="GP50" s="19">
        <v>1187457903</v>
      </c>
      <c r="GQ50" s="19">
        <v>198666617</v>
      </c>
      <c r="GR50" s="19">
        <v>1012018653</v>
      </c>
      <c r="GS50" s="19">
        <v>276097716</v>
      </c>
      <c r="GT50" s="19">
        <v>275410920</v>
      </c>
      <c r="GU50" s="19">
        <v>389412863</v>
      </c>
      <c r="GV50" s="19">
        <f>GV40-GV45</f>
        <v>6061734307</v>
      </c>
      <c r="GW50" s="19">
        <v>2443185892</v>
      </c>
      <c r="GX50" s="19">
        <v>450411874</v>
      </c>
      <c r="GY50" s="19">
        <v>-901023094</v>
      </c>
      <c r="GZ50" s="19">
        <v>1390597703</v>
      </c>
      <c r="HA50" s="19">
        <v>49254842</v>
      </c>
      <c r="HB50" s="19">
        <v>688443003</v>
      </c>
      <c r="HC50" s="19">
        <v>195007938</v>
      </c>
      <c r="HD50" s="19">
        <v>281029750</v>
      </c>
      <c r="HE50" s="19">
        <v>172421518</v>
      </c>
      <c r="HF50" s="19">
        <v>6418097235</v>
      </c>
      <c r="HG50" s="19">
        <v>260428202</v>
      </c>
      <c r="HH50" s="47" t="s">
        <v>130</v>
      </c>
      <c r="HI50" s="19">
        <v>627336907</v>
      </c>
      <c r="HJ50" s="19">
        <v>651106710</v>
      </c>
      <c r="HK50" s="19">
        <v>447922057</v>
      </c>
      <c r="HL50" s="19">
        <v>593635291</v>
      </c>
      <c r="HM50" s="19">
        <v>598593781</v>
      </c>
      <c r="HN50" s="19">
        <v>105639056</v>
      </c>
      <c r="HO50" s="19">
        <v>782885536</v>
      </c>
      <c r="HP50" s="19">
        <v>459492919</v>
      </c>
      <c r="HQ50" s="19">
        <v>1562988164</v>
      </c>
      <c r="HR50" s="19">
        <v>704627803</v>
      </c>
      <c r="HS50" s="19">
        <v>696967825</v>
      </c>
      <c r="HT50" s="19">
        <v>159872875</v>
      </c>
      <c r="HU50" s="19">
        <v>1517757905</v>
      </c>
      <c r="HV50" s="19">
        <v>182218789</v>
      </c>
      <c r="HW50" s="47" t="s">
        <v>96</v>
      </c>
      <c r="HX50" s="19">
        <v>552194767</v>
      </c>
      <c r="HY50" s="19" t="s">
        <v>172</v>
      </c>
      <c r="HZ50" s="19">
        <v>886762939</v>
      </c>
      <c r="IA50" s="19">
        <v>195625540</v>
      </c>
      <c r="IB50" s="19">
        <v>2640692191</v>
      </c>
      <c r="IC50" s="19">
        <v>6814743014</v>
      </c>
      <c r="ID50" s="19">
        <v>302727286</v>
      </c>
      <c r="IE50" s="47" t="s">
        <v>96</v>
      </c>
      <c r="IF50" s="19">
        <v>35165341</v>
      </c>
      <c r="IG50" s="19">
        <v>167400822</v>
      </c>
      <c r="IH50" s="19">
        <v>883159464</v>
      </c>
      <c r="II50" s="19">
        <v>334711662</v>
      </c>
      <c r="IJ50" s="19">
        <v>635439244</v>
      </c>
      <c r="IK50" s="19">
        <v>284366046</v>
      </c>
      <c r="IL50" s="19">
        <v>304801631</v>
      </c>
      <c r="IM50" s="19">
        <v>-259488564</v>
      </c>
      <c r="IN50" s="19">
        <v>789877026</v>
      </c>
      <c r="IO50" s="19">
        <v>990551752</v>
      </c>
      <c r="IP50" s="19">
        <v>1038821179</v>
      </c>
      <c r="IQ50" s="19">
        <v>3698275314</v>
      </c>
      <c r="IR50" s="19">
        <v>787877586</v>
      </c>
      <c r="IS50" s="19">
        <v>494584831</v>
      </c>
      <c r="IT50" s="19">
        <v>864224951</v>
      </c>
      <c r="IU50" s="45">
        <v>6836736849</v>
      </c>
      <c r="IV50" s="45">
        <v>1847728846</v>
      </c>
      <c r="IW50" s="45">
        <v>196160445</v>
      </c>
      <c r="IX50" s="45">
        <v>872752150</v>
      </c>
      <c r="IY50" s="45">
        <v>326933004</v>
      </c>
      <c r="IZ50" s="45">
        <v>423103151</v>
      </c>
      <c r="JA50" s="45">
        <v>1899362370</v>
      </c>
      <c r="JB50" s="45">
        <v>225571908</v>
      </c>
      <c r="JC50" s="45">
        <v>142057641</v>
      </c>
      <c r="JD50" s="45">
        <v>986948352</v>
      </c>
      <c r="JE50" s="45">
        <v>169408947</v>
      </c>
      <c r="JF50" s="45">
        <v>260924932</v>
      </c>
      <c r="JG50" s="45">
        <v>71704606</v>
      </c>
      <c r="JH50" s="45">
        <v>160126308</v>
      </c>
      <c r="JI50" s="45">
        <v>259096124</v>
      </c>
      <c r="JJ50" s="45">
        <v>141365189</v>
      </c>
      <c r="JK50" s="45">
        <v>120992196</v>
      </c>
      <c r="JL50" s="45">
        <v>4801952349</v>
      </c>
      <c r="JM50" s="45">
        <v>794848130</v>
      </c>
      <c r="JN50" s="45">
        <v>708684613</v>
      </c>
      <c r="JO50" s="46">
        <v>205355440</v>
      </c>
      <c r="JP50" s="46">
        <v>183482854</v>
      </c>
      <c r="JQ50" s="63" t="s">
        <v>175</v>
      </c>
      <c r="JR50" s="46">
        <v>57143357</v>
      </c>
      <c r="JS50" s="46">
        <v>161578246</v>
      </c>
      <c r="JT50" s="46">
        <v>183178177</v>
      </c>
      <c r="JU50" s="46">
        <v>285437279</v>
      </c>
      <c r="JV50" s="46">
        <v>1520371590</v>
      </c>
      <c r="JW50" s="46">
        <v>1212749247</v>
      </c>
      <c r="JX50" s="46">
        <v>6906916593</v>
      </c>
      <c r="JY50" s="46">
        <v>4656935975</v>
      </c>
      <c r="JZ50" s="46">
        <v>4247720</v>
      </c>
      <c r="KA50" s="46">
        <v>255253813</v>
      </c>
      <c r="KB50" s="46">
        <v>1147862353</v>
      </c>
      <c r="KC50" s="46">
        <v>118863644</v>
      </c>
      <c r="KD50" s="46">
        <v>981358840</v>
      </c>
      <c r="KE50" s="46">
        <v>-25799050</v>
      </c>
      <c r="KF50" s="46">
        <v>-13711256</v>
      </c>
      <c r="KG50" s="46">
        <v>249447860</v>
      </c>
      <c r="KH50" s="46">
        <v>500993938</v>
      </c>
    </row>
    <row r="51" spans="1:294">
      <c r="A51" s="9" t="s">
        <v>183</v>
      </c>
      <c r="B51" s="10" t="s">
        <v>102</v>
      </c>
      <c r="C51" s="19">
        <v>2016502784</v>
      </c>
      <c r="D51" s="19">
        <v>519716660</v>
      </c>
      <c r="E51" s="19">
        <v>467455668</v>
      </c>
      <c r="F51" s="19">
        <v>1634041268</v>
      </c>
      <c r="G51" s="47" t="s">
        <v>130</v>
      </c>
      <c r="H51" s="19">
        <v>10897604812</v>
      </c>
      <c r="I51" s="19">
        <v>9711077340</v>
      </c>
      <c r="J51" s="47" t="s">
        <v>4</v>
      </c>
      <c r="K51" s="19">
        <v>923066463</v>
      </c>
      <c r="L51" s="47" t="s">
        <v>96</v>
      </c>
      <c r="M51" s="47" t="s">
        <v>96</v>
      </c>
      <c r="N51" s="19">
        <v>755844178</v>
      </c>
      <c r="O51" s="19">
        <v>12437461119</v>
      </c>
      <c r="P51" s="19">
        <v>5998055294</v>
      </c>
      <c r="Q51" s="19">
        <v>258145464</v>
      </c>
      <c r="R51" s="19">
        <v>423627425</v>
      </c>
      <c r="S51" s="19">
        <v>4812841583</v>
      </c>
      <c r="T51" s="47" t="s">
        <v>96</v>
      </c>
      <c r="U51" s="47" t="s">
        <v>172</v>
      </c>
      <c r="V51" s="47" t="s">
        <v>172</v>
      </c>
      <c r="W51" s="19">
        <v>1008971441</v>
      </c>
      <c r="X51" s="19">
        <v>972436593</v>
      </c>
      <c r="Y51" s="19">
        <v>413283739</v>
      </c>
      <c r="Z51" s="19">
        <v>864772509</v>
      </c>
      <c r="AA51" s="19">
        <v>442269253</v>
      </c>
      <c r="AB51" s="19">
        <v>278615391</v>
      </c>
      <c r="AC51" s="19">
        <v>193654876</v>
      </c>
      <c r="AD51" s="19">
        <v>293615441</v>
      </c>
      <c r="AE51" s="19">
        <v>471330729</v>
      </c>
      <c r="AF51" s="47" t="s">
        <v>172</v>
      </c>
      <c r="AG51" s="19">
        <v>421469380</v>
      </c>
      <c r="AH51" s="19">
        <v>2298164967</v>
      </c>
      <c r="AI51" s="19">
        <v>348856245</v>
      </c>
      <c r="AJ51" s="19">
        <v>539136732</v>
      </c>
      <c r="AK51" s="19">
        <v>481185505</v>
      </c>
      <c r="AL51" s="19">
        <v>734535467</v>
      </c>
      <c r="AM51" s="47" t="s">
        <v>4</v>
      </c>
      <c r="AN51" s="19">
        <v>1133383039</v>
      </c>
      <c r="AO51" s="19">
        <v>1447444562</v>
      </c>
      <c r="AP51" s="19">
        <v>1125645528</v>
      </c>
      <c r="AQ51" s="47" t="s">
        <v>96</v>
      </c>
      <c r="AR51" s="19">
        <v>1074340600</v>
      </c>
      <c r="AS51" s="19">
        <v>1545191596</v>
      </c>
      <c r="AT51" s="47" t="s">
        <v>172</v>
      </c>
      <c r="AU51" s="19">
        <v>1514820879</v>
      </c>
      <c r="AV51" s="19">
        <v>146460470</v>
      </c>
      <c r="AW51" s="19">
        <v>240472479</v>
      </c>
      <c r="AX51" s="47" t="s">
        <v>4</v>
      </c>
      <c r="AY51" s="19">
        <v>997925073</v>
      </c>
      <c r="AZ51" s="19">
        <v>310057524</v>
      </c>
      <c r="BA51" s="19">
        <v>2204497300</v>
      </c>
      <c r="BB51" s="19">
        <v>105201439</v>
      </c>
      <c r="BC51" s="47" t="s">
        <v>4</v>
      </c>
      <c r="BD51" s="47" t="s">
        <v>130</v>
      </c>
      <c r="BE51" s="19">
        <v>178889252</v>
      </c>
      <c r="BF51" s="47" t="s">
        <v>96</v>
      </c>
      <c r="BG51" s="19">
        <v>1175826720</v>
      </c>
      <c r="BH51" s="19">
        <v>144555990</v>
      </c>
      <c r="BI51" s="19">
        <v>547856711</v>
      </c>
      <c r="BJ51" s="19">
        <v>419767637</v>
      </c>
      <c r="BK51" s="19">
        <v>1075868667</v>
      </c>
      <c r="BL51" s="19">
        <v>7903903346</v>
      </c>
      <c r="BM51" s="19">
        <v>1789430400</v>
      </c>
      <c r="BN51" s="19">
        <v>89527417</v>
      </c>
      <c r="BO51" s="19">
        <v>39095916</v>
      </c>
      <c r="BP51" s="47" t="s">
        <v>96</v>
      </c>
      <c r="BQ51" s="47" t="s">
        <v>4</v>
      </c>
      <c r="BR51" s="19">
        <v>2718895444</v>
      </c>
      <c r="BS51" s="19">
        <v>73537059</v>
      </c>
      <c r="BT51" s="47" t="s">
        <v>130</v>
      </c>
      <c r="BU51" s="19">
        <v>656313905</v>
      </c>
      <c r="BV51" s="19">
        <v>470314455</v>
      </c>
      <c r="BW51" s="19">
        <v>540898745</v>
      </c>
      <c r="BX51" s="19">
        <v>664793066</v>
      </c>
      <c r="BY51" s="19">
        <v>2774165509</v>
      </c>
      <c r="BZ51" s="19">
        <v>651271947</v>
      </c>
      <c r="CA51" s="19">
        <v>2546799438</v>
      </c>
      <c r="CB51" s="19">
        <v>346466786</v>
      </c>
      <c r="CC51" s="19">
        <v>283049213</v>
      </c>
      <c r="CD51" s="19">
        <v>922767522</v>
      </c>
      <c r="CE51" s="19">
        <v>48547819</v>
      </c>
      <c r="CF51" s="19">
        <v>298040113</v>
      </c>
      <c r="CG51" s="19">
        <v>1170244080</v>
      </c>
      <c r="CH51" s="19">
        <v>270717732</v>
      </c>
      <c r="CI51" s="47" t="s">
        <v>130</v>
      </c>
      <c r="CJ51" s="19">
        <v>51660917</v>
      </c>
      <c r="CK51" s="19">
        <v>1116133125</v>
      </c>
      <c r="CL51" s="19">
        <v>187977673</v>
      </c>
      <c r="CM51" s="19">
        <v>8416780010</v>
      </c>
      <c r="CN51" s="19">
        <v>300209507</v>
      </c>
      <c r="CO51" s="19">
        <v>229341258</v>
      </c>
      <c r="CP51" s="19">
        <v>4348977973</v>
      </c>
      <c r="CQ51" s="47" t="s">
        <v>96</v>
      </c>
      <c r="CR51" s="19">
        <v>515948291</v>
      </c>
      <c r="CS51" s="47" t="s">
        <v>172</v>
      </c>
      <c r="CT51" s="19">
        <v>14395378293</v>
      </c>
      <c r="CU51" s="19">
        <v>451923072</v>
      </c>
      <c r="CV51" s="19">
        <v>91397587</v>
      </c>
      <c r="CW51" s="19">
        <v>2683971367</v>
      </c>
      <c r="CX51" s="19">
        <v>3930265894</v>
      </c>
      <c r="CY51" s="47" t="s">
        <v>96</v>
      </c>
      <c r="CZ51" s="19">
        <v>3516413709</v>
      </c>
      <c r="DA51" s="47" t="s">
        <v>89</v>
      </c>
      <c r="DB51" s="19">
        <v>484068997</v>
      </c>
      <c r="DC51" s="19">
        <v>59407331</v>
      </c>
      <c r="DD51" s="19">
        <v>119271409</v>
      </c>
      <c r="DE51" s="19">
        <v>2259630888</v>
      </c>
      <c r="DF51" s="19">
        <v>97696825</v>
      </c>
      <c r="DG51" s="19">
        <v>466826641</v>
      </c>
      <c r="DH51" s="19">
        <v>457223445</v>
      </c>
      <c r="DI51" s="19">
        <v>694366855</v>
      </c>
      <c r="DJ51" s="19">
        <v>227936284</v>
      </c>
      <c r="DK51" s="19">
        <v>1914158247</v>
      </c>
      <c r="DL51" s="19">
        <v>558312000</v>
      </c>
      <c r="DM51" s="19">
        <v>456835416</v>
      </c>
      <c r="DN51" s="19">
        <v>294271275</v>
      </c>
      <c r="DO51" s="19">
        <v>174252947</v>
      </c>
      <c r="DP51" s="19">
        <v>371168083</v>
      </c>
      <c r="DQ51" s="19">
        <v>46724565</v>
      </c>
      <c r="DR51" s="19">
        <v>1215851301</v>
      </c>
      <c r="DS51" s="19">
        <v>1222369851</v>
      </c>
      <c r="DT51" s="19">
        <v>2204982804</v>
      </c>
      <c r="DU51" s="19">
        <v>453479914</v>
      </c>
      <c r="DV51" s="19">
        <v>5012888904</v>
      </c>
      <c r="DW51" s="19">
        <v>332737403</v>
      </c>
      <c r="DX51" s="19">
        <v>7752334686</v>
      </c>
      <c r="DY51" s="19">
        <v>518482627</v>
      </c>
      <c r="DZ51" s="19">
        <v>211054257</v>
      </c>
      <c r="EA51" s="19">
        <v>127532703</v>
      </c>
      <c r="EB51" s="19">
        <v>10288904907</v>
      </c>
      <c r="EC51" s="19">
        <v>522225074</v>
      </c>
      <c r="ED51" s="19">
        <v>359331092</v>
      </c>
      <c r="EE51" s="19">
        <v>143763297</v>
      </c>
      <c r="EF51" s="19">
        <v>540579990</v>
      </c>
      <c r="EG51" s="19">
        <v>2346177913</v>
      </c>
      <c r="EH51" s="19">
        <v>376733508</v>
      </c>
      <c r="EI51" s="19">
        <v>3198132556</v>
      </c>
      <c r="EJ51" s="19">
        <v>573596058</v>
      </c>
      <c r="EK51" s="19">
        <v>1720056032</v>
      </c>
      <c r="EL51" s="19">
        <v>409634142</v>
      </c>
      <c r="EM51" s="19">
        <v>192409630</v>
      </c>
      <c r="EN51" s="19">
        <v>8290887087</v>
      </c>
      <c r="EO51" s="19">
        <v>947062193</v>
      </c>
      <c r="EP51" s="19">
        <v>904711538</v>
      </c>
      <c r="EQ51" s="19">
        <v>7050786289</v>
      </c>
      <c r="ER51" s="19">
        <v>8213473701</v>
      </c>
      <c r="ES51" s="19">
        <v>561974247</v>
      </c>
      <c r="ET51" s="19">
        <v>4485225400</v>
      </c>
      <c r="EU51" s="19">
        <v>1773168404</v>
      </c>
      <c r="EV51" s="19">
        <v>162747548</v>
      </c>
      <c r="EW51" s="19">
        <v>394047246</v>
      </c>
      <c r="EX51" s="19">
        <v>1666230878</v>
      </c>
      <c r="EY51" s="19">
        <v>7808822054</v>
      </c>
      <c r="EZ51" s="19">
        <v>1251542763</v>
      </c>
      <c r="FA51" s="47" t="s">
        <v>130</v>
      </c>
      <c r="FB51" s="19">
        <v>192837617</v>
      </c>
      <c r="FC51" s="19">
        <v>619761999</v>
      </c>
      <c r="FD51" s="19">
        <v>274117056</v>
      </c>
      <c r="FE51" s="19">
        <v>6133339094</v>
      </c>
      <c r="FF51" s="19">
        <v>831475831</v>
      </c>
      <c r="FG51" s="19">
        <v>805137550</v>
      </c>
      <c r="FH51" s="19">
        <v>822745441</v>
      </c>
      <c r="FI51" s="47" t="s">
        <v>96</v>
      </c>
      <c r="FJ51" s="19">
        <v>390766192</v>
      </c>
      <c r="FK51" s="19">
        <v>1569130044</v>
      </c>
      <c r="FL51" s="47" t="s">
        <v>130</v>
      </c>
      <c r="FM51" s="19">
        <v>1015442980</v>
      </c>
      <c r="FN51" s="19">
        <v>2067907649</v>
      </c>
      <c r="FO51" s="47" t="s">
        <v>172</v>
      </c>
      <c r="FP51" s="19">
        <v>251189677</v>
      </c>
      <c r="FQ51" s="19">
        <v>79875784</v>
      </c>
      <c r="FR51" s="19">
        <v>755622453</v>
      </c>
      <c r="FS51" s="47" t="s">
        <v>130</v>
      </c>
      <c r="FT51" s="19">
        <v>2292485393</v>
      </c>
      <c r="FU51" s="19">
        <v>69475116</v>
      </c>
      <c r="FV51" s="19">
        <v>1321697354</v>
      </c>
      <c r="FW51" s="19">
        <v>25887101</v>
      </c>
      <c r="FX51" s="19">
        <v>411110174</v>
      </c>
      <c r="FY51" s="19">
        <v>3178599835</v>
      </c>
      <c r="FZ51" s="47" t="s">
        <v>175</v>
      </c>
      <c r="GA51" s="19">
        <v>1518074831</v>
      </c>
      <c r="GB51" s="19">
        <v>271836928</v>
      </c>
      <c r="GC51" s="19">
        <v>195564430</v>
      </c>
      <c r="GD51" s="48" t="s">
        <v>96</v>
      </c>
      <c r="GE51" s="48" t="s">
        <v>96</v>
      </c>
      <c r="GF51" s="19">
        <v>594305811</v>
      </c>
      <c r="GG51" s="19">
        <v>2362877197</v>
      </c>
      <c r="GH51" s="47" t="s">
        <v>172</v>
      </c>
      <c r="GI51" s="19">
        <v>63740266</v>
      </c>
      <c r="GJ51" s="47" t="s">
        <v>96</v>
      </c>
      <c r="GK51" s="19">
        <v>279297040</v>
      </c>
      <c r="GL51" s="47" t="s">
        <v>96</v>
      </c>
      <c r="GM51" s="19">
        <v>459229050</v>
      </c>
      <c r="GN51" s="19">
        <v>770291265</v>
      </c>
      <c r="GO51" s="47" t="s">
        <v>96</v>
      </c>
      <c r="GP51" s="19">
        <v>843809705</v>
      </c>
      <c r="GQ51" s="19">
        <v>180968155</v>
      </c>
      <c r="GR51" s="19">
        <v>1363538748</v>
      </c>
      <c r="GS51" s="19">
        <v>626238462</v>
      </c>
      <c r="GT51" s="19">
        <v>428905100</v>
      </c>
      <c r="GU51" s="19">
        <v>368346056</v>
      </c>
      <c r="GV51" s="19">
        <v>6441254127</v>
      </c>
      <c r="GW51" s="19">
        <v>5367401298</v>
      </c>
      <c r="GX51" s="19">
        <v>478760205</v>
      </c>
      <c r="GY51" s="19">
        <v>1400471003</v>
      </c>
      <c r="GZ51" s="19">
        <v>1326846029</v>
      </c>
      <c r="HA51" s="19">
        <v>476294312</v>
      </c>
      <c r="HB51" s="19">
        <v>901686877</v>
      </c>
      <c r="HC51" s="19">
        <v>337145586</v>
      </c>
      <c r="HD51" s="19">
        <v>894938127</v>
      </c>
      <c r="HE51" s="19">
        <v>306238740</v>
      </c>
      <c r="HF51" s="19">
        <v>6518564418</v>
      </c>
      <c r="HG51" s="19">
        <v>294152934</v>
      </c>
      <c r="HH51" s="47" t="s">
        <v>130</v>
      </c>
      <c r="HI51" s="19">
        <v>1805999749</v>
      </c>
      <c r="HJ51" s="19">
        <v>166782491</v>
      </c>
      <c r="HK51" s="19">
        <v>1420177261</v>
      </c>
      <c r="HL51" s="19">
        <v>206917309</v>
      </c>
      <c r="HM51" s="19">
        <v>856565562</v>
      </c>
      <c r="HN51" s="19">
        <v>171706177</v>
      </c>
      <c r="HO51" s="19">
        <v>760066732</v>
      </c>
      <c r="HP51" s="19">
        <v>970313407</v>
      </c>
      <c r="HQ51" s="19">
        <v>1430891765</v>
      </c>
      <c r="HR51" s="19">
        <v>1653133995</v>
      </c>
      <c r="HS51" s="19">
        <v>716911927</v>
      </c>
      <c r="HT51" s="19">
        <v>152789476</v>
      </c>
      <c r="HU51" s="19">
        <v>4073222912</v>
      </c>
      <c r="HV51" s="19">
        <v>198325395</v>
      </c>
      <c r="HW51" s="47" t="s">
        <v>96</v>
      </c>
      <c r="HX51" s="19">
        <v>388901965</v>
      </c>
      <c r="HY51" s="19" t="s">
        <v>172</v>
      </c>
      <c r="HZ51" s="19">
        <v>393261894</v>
      </c>
      <c r="IA51" s="19">
        <v>213203815</v>
      </c>
      <c r="IB51" s="19">
        <v>2410162904</v>
      </c>
      <c r="IC51" s="19">
        <v>6418460461</v>
      </c>
      <c r="ID51" s="19">
        <v>341152625</v>
      </c>
      <c r="IE51" s="47" t="s">
        <v>96</v>
      </c>
      <c r="IF51" s="19">
        <v>144645442</v>
      </c>
      <c r="IG51" s="19">
        <v>162641267</v>
      </c>
      <c r="IH51" s="19">
        <v>807182671</v>
      </c>
      <c r="II51" s="19">
        <v>277693111</v>
      </c>
      <c r="IJ51" s="19">
        <v>728429887</v>
      </c>
      <c r="IK51" s="19">
        <v>311496860</v>
      </c>
      <c r="IL51" s="19">
        <v>258518458</v>
      </c>
      <c r="IM51" s="19">
        <v>404023797</v>
      </c>
      <c r="IN51" s="19">
        <v>1108993486</v>
      </c>
      <c r="IO51" s="19">
        <v>896747338</v>
      </c>
      <c r="IP51" s="19">
        <v>1279980548</v>
      </c>
      <c r="IQ51" s="19">
        <v>4017396428</v>
      </c>
      <c r="IR51" s="19">
        <v>771635131</v>
      </c>
      <c r="IS51" s="19">
        <v>394293040</v>
      </c>
      <c r="IT51" s="19">
        <v>685659143</v>
      </c>
      <c r="IU51" s="45">
        <v>6803660828</v>
      </c>
      <c r="IV51" s="45">
        <v>1828073307</v>
      </c>
      <c r="IW51" s="45">
        <v>861309006</v>
      </c>
      <c r="IX51" s="45">
        <v>853275258</v>
      </c>
      <c r="IY51" s="45">
        <v>307071157</v>
      </c>
      <c r="IZ51" s="45">
        <v>423923158</v>
      </c>
      <c r="JA51" s="45">
        <v>1309440764</v>
      </c>
      <c r="JB51" s="45">
        <v>347830172</v>
      </c>
      <c r="JC51" s="45">
        <v>110406311</v>
      </c>
      <c r="JD51" s="45">
        <v>809403711</v>
      </c>
      <c r="JE51" s="45">
        <v>101637244</v>
      </c>
      <c r="JF51" s="45">
        <v>332624287</v>
      </c>
      <c r="JG51" s="45">
        <v>124451643</v>
      </c>
      <c r="JH51" s="45">
        <v>187598680</v>
      </c>
      <c r="JI51" s="45">
        <v>242952099</v>
      </c>
      <c r="JJ51" s="45">
        <v>121812809</v>
      </c>
      <c r="JK51" s="45">
        <v>153425749</v>
      </c>
      <c r="JL51" s="45">
        <v>4878762970</v>
      </c>
      <c r="JM51" s="45">
        <v>771530292</v>
      </c>
      <c r="JN51" s="45">
        <v>342556161</v>
      </c>
      <c r="JO51" s="46">
        <v>208149899</v>
      </c>
      <c r="JP51" s="46">
        <v>302994744</v>
      </c>
      <c r="JQ51" s="63" t="s">
        <v>175</v>
      </c>
      <c r="JR51" s="46">
        <v>606552318</v>
      </c>
      <c r="JS51" s="46">
        <v>359551190</v>
      </c>
      <c r="JT51" s="46">
        <v>263330096</v>
      </c>
      <c r="JU51" s="46">
        <v>192597499</v>
      </c>
      <c r="JV51" s="46">
        <v>1493871886</v>
      </c>
      <c r="JW51" s="46">
        <v>1315456989</v>
      </c>
      <c r="JX51" s="46">
        <v>6968633447</v>
      </c>
      <c r="JY51" s="46">
        <v>4542111209</v>
      </c>
      <c r="JZ51" s="46">
        <v>12443118</v>
      </c>
      <c r="KA51" s="46">
        <v>246136093</v>
      </c>
      <c r="KB51" s="46">
        <v>900339121</v>
      </c>
      <c r="KC51" s="46">
        <v>419048954</v>
      </c>
      <c r="KD51" s="46">
        <v>969079124</v>
      </c>
      <c r="KE51" s="46">
        <v>49146250</v>
      </c>
      <c r="KF51" s="46">
        <v>417593472</v>
      </c>
      <c r="KG51" s="46">
        <v>375396536</v>
      </c>
      <c r="KH51" s="46">
        <v>483088831</v>
      </c>
    </row>
    <row r="52" spans="1:294">
      <c r="A52" s="9" t="s">
        <v>183</v>
      </c>
      <c r="B52" s="15" t="s">
        <v>26</v>
      </c>
      <c r="C52" s="19">
        <v>1762505445</v>
      </c>
      <c r="D52" s="19">
        <v>461644590</v>
      </c>
      <c r="E52" s="19">
        <v>227668619</v>
      </c>
      <c r="F52" s="19">
        <v>971222750</v>
      </c>
      <c r="G52" s="47" t="s">
        <v>130</v>
      </c>
      <c r="H52" s="19">
        <v>7885936257</v>
      </c>
      <c r="I52" s="19">
        <v>8198930802</v>
      </c>
      <c r="J52" s="47" t="s">
        <v>4</v>
      </c>
      <c r="K52" s="19">
        <v>596814400</v>
      </c>
      <c r="L52" s="47" t="s">
        <v>96</v>
      </c>
      <c r="M52" s="47" t="s">
        <v>96</v>
      </c>
      <c r="N52" s="19">
        <v>397693392</v>
      </c>
      <c r="O52" s="19">
        <v>9232555739</v>
      </c>
      <c r="P52" s="19">
        <v>4396472696</v>
      </c>
      <c r="Q52" s="19">
        <v>118734371</v>
      </c>
      <c r="R52" s="19">
        <v>146354872</v>
      </c>
      <c r="S52" s="19">
        <v>824360351</v>
      </c>
      <c r="T52" s="47" t="s">
        <v>96</v>
      </c>
      <c r="U52" s="47" t="s">
        <v>172</v>
      </c>
      <c r="V52" s="47" t="s">
        <v>172</v>
      </c>
      <c r="W52" s="19">
        <v>169583895</v>
      </c>
      <c r="X52" s="19">
        <v>462391450</v>
      </c>
      <c r="Y52" s="19">
        <v>296255553</v>
      </c>
      <c r="Z52" s="19">
        <v>230830217</v>
      </c>
      <c r="AA52" s="19">
        <v>293400000</v>
      </c>
      <c r="AB52" s="19">
        <v>77884277</v>
      </c>
      <c r="AC52" s="19">
        <v>105626424</v>
      </c>
      <c r="AD52" s="19">
        <v>132588338</v>
      </c>
      <c r="AE52" s="19">
        <v>265345486</v>
      </c>
      <c r="AF52" s="47" t="s">
        <v>172</v>
      </c>
      <c r="AG52" s="19">
        <v>272717087</v>
      </c>
      <c r="AH52" s="19">
        <v>864580175</v>
      </c>
      <c r="AI52" s="19">
        <v>183093400</v>
      </c>
      <c r="AJ52" s="19">
        <v>305437690</v>
      </c>
      <c r="AK52" s="19">
        <v>206615160</v>
      </c>
      <c r="AL52" s="19">
        <v>168400700</v>
      </c>
      <c r="AM52" s="47" t="s">
        <v>4</v>
      </c>
      <c r="AN52" s="19">
        <v>582653540</v>
      </c>
      <c r="AO52" s="19">
        <v>634008222</v>
      </c>
      <c r="AP52" s="19">
        <v>563021983</v>
      </c>
      <c r="AQ52" s="47" t="s">
        <v>96</v>
      </c>
      <c r="AR52" s="19">
        <v>455523366</v>
      </c>
      <c r="AS52" s="19">
        <v>327551643</v>
      </c>
      <c r="AT52" s="47" t="s">
        <v>172</v>
      </c>
      <c r="AU52" s="19">
        <v>726298726</v>
      </c>
      <c r="AV52" s="19">
        <v>55095437</v>
      </c>
      <c r="AW52" s="19">
        <v>138551426</v>
      </c>
      <c r="AX52" s="47" t="s">
        <v>4</v>
      </c>
      <c r="AY52" s="19">
        <v>709350208</v>
      </c>
      <c r="AZ52" s="19">
        <v>140106506</v>
      </c>
      <c r="BA52" s="19">
        <v>1523828679</v>
      </c>
      <c r="BB52" s="19">
        <v>81958800</v>
      </c>
      <c r="BC52" s="47" t="s">
        <v>4</v>
      </c>
      <c r="BD52" s="47" t="s">
        <v>130</v>
      </c>
      <c r="BE52" s="19">
        <v>67868687</v>
      </c>
      <c r="BF52" s="47" t="s">
        <v>96</v>
      </c>
      <c r="BG52" s="19">
        <v>440044655</v>
      </c>
      <c r="BH52" s="19">
        <v>88999227</v>
      </c>
      <c r="BI52" s="19">
        <v>342788324</v>
      </c>
      <c r="BJ52" s="19">
        <v>201796470</v>
      </c>
      <c r="BK52" s="19">
        <v>497624423</v>
      </c>
      <c r="BL52" s="19">
        <v>593514344</v>
      </c>
      <c r="BM52" s="19">
        <v>739148860</v>
      </c>
      <c r="BN52" s="19">
        <v>59519925</v>
      </c>
      <c r="BO52" s="19">
        <v>2746800</v>
      </c>
      <c r="BP52" s="47" t="s">
        <v>96</v>
      </c>
      <c r="BQ52" s="47" t="s">
        <v>4</v>
      </c>
      <c r="BR52" s="19">
        <v>1167752387</v>
      </c>
      <c r="BS52" s="19">
        <v>32650000</v>
      </c>
      <c r="BT52" s="47" t="s">
        <v>130</v>
      </c>
      <c r="BU52" s="19">
        <v>269920921</v>
      </c>
      <c r="BV52" s="19">
        <v>70766159</v>
      </c>
      <c r="BW52" s="19">
        <v>288162635</v>
      </c>
      <c r="BX52" s="19">
        <v>409684573</v>
      </c>
      <c r="BY52" s="19">
        <v>1278878128</v>
      </c>
      <c r="BZ52" s="19">
        <v>303393316</v>
      </c>
      <c r="CA52" s="19">
        <v>1203399948</v>
      </c>
      <c r="CB52" s="19">
        <v>114590070</v>
      </c>
      <c r="CC52" s="19">
        <v>153168202</v>
      </c>
      <c r="CD52" s="19">
        <v>344332257</v>
      </c>
      <c r="CE52" s="19">
        <v>38784000</v>
      </c>
      <c r="CF52" s="19">
        <v>130509954</v>
      </c>
      <c r="CG52" s="19">
        <v>1024431584</v>
      </c>
      <c r="CH52" s="19">
        <v>157257400</v>
      </c>
      <c r="CI52" s="47" t="s">
        <v>130</v>
      </c>
      <c r="CJ52" s="19">
        <v>36000000</v>
      </c>
      <c r="CK52" s="19">
        <v>914126201</v>
      </c>
      <c r="CL52" s="19">
        <v>24405100</v>
      </c>
      <c r="CM52" s="19">
        <v>7927537465</v>
      </c>
      <c r="CN52" s="19">
        <v>116159036</v>
      </c>
      <c r="CO52" s="19">
        <v>124450377</v>
      </c>
      <c r="CP52" s="19">
        <v>527959884</v>
      </c>
      <c r="CQ52" s="47" t="s">
        <v>96</v>
      </c>
      <c r="CR52" s="19">
        <v>370493680</v>
      </c>
      <c r="CS52" s="47" t="s">
        <v>172</v>
      </c>
      <c r="CT52" s="19">
        <v>3479656705</v>
      </c>
      <c r="CU52" s="19">
        <v>275395856</v>
      </c>
      <c r="CV52" s="19">
        <v>47935802</v>
      </c>
      <c r="CW52" s="19">
        <v>1567684790</v>
      </c>
      <c r="CX52" s="19">
        <v>1887864668</v>
      </c>
      <c r="CY52" s="47" t="s">
        <v>96</v>
      </c>
      <c r="CZ52" s="19">
        <v>891121752</v>
      </c>
      <c r="DA52" s="47" t="s">
        <v>89</v>
      </c>
      <c r="DB52" s="19">
        <v>146047987</v>
      </c>
      <c r="DC52" s="19">
        <v>2870000</v>
      </c>
      <c r="DD52" s="19">
        <v>28347120</v>
      </c>
      <c r="DE52" s="19">
        <v>1764668859</v>
      </c>
      <c r="DF52" s="19">
        <v>63275950</v>
      </c>
      <c r="DG52" s="19">
        <v>533041435</v>
      </c>
      <c r="DH52" s="19">
        <v>220648440</v>
      </c>
      <c r="DI52" s="19">
        <v>129087794</v>
      </c>
      <c r="DJ52" s="19">
        <v>86959998</v>
      </c>
      <c r="DK52" s="19">
        <v>482699619</v>
      </c>
      <c r="DL52" s="19">
        <v>349222851</v>
      </c>
      <c r="DM52" s="19">
        <v>312924484</v>
      </c>
      <c r="DN52" s="19">
        <v>65356680</v>
      </c>
      <c r="DO52" s="19">
        <v>150549408</v>
      </c>
      <c r="DP52" s="19">
        <v>117760890</v>
      </c>
      <c r="DQ52" s="19">
        <v>26300000</v>
      </c>
      <c r="DR52" s="19">
        <v>395836120</v>
      </c>
      <c r="DS52" s="19">
        <v>1040510634</v>
      </c>
      <c r="DT52" s="19">
        <v>707226417</v>
      </c>
      <c r="DU52" s="19">
        <v>293687555</v>
      </c>
      <c r="DV52" s="19">
        <v>955407196</v>
      </c>
      <c r="DW52" s="19">
        <v>155012970</v>
      </c>
      <c r="DX52" s="19">
        <v>3106398978</v>
      </c>
      <c r="DY52" s="19">
        <v>488230093</v>
      </c>
      <c r="DZ52" s="19">
        <v>139529650</v>
      </c>
      <c r="EA52" s="19">
        <v>106950000</v>
      </c>
      <c r="EB52" s="19">
        <v>9423644063</v>
      </c>
      <c r="EC52" s="19">
        <v>192989720</v>
      </c>
      <c r="ED52" s="19">
        <f>268103921-1500000</f>
        <v>266603921</v>
      </c>
      <c r="EE52" s="19">
        <v>94784122</v>
      </c>
      <c r="EF52" s="19">
        <v>258338920</v>
      </c>
      <c r="EG52" s="19">
        <v>818375143</v>
      </c>
      <c r="EH52" s="19">
        <v>54900000</v>
      </c>
      <c r="EI52" s="19">
        <v>1075196250</v>
      </c>
      <c r="EJ52" s="19">
        <v>279345423</v>
      </c>
      <c r="EK52" s="19">
        <v>768463926</v>
      </c>
      <c r="EL52" s="19">
        <v>180635118</v>
      </c>
      <c r="EM52" s="19">
        <v>137630896</v>
      </c>
      <c r="EN52" s="19">
        <v>6550011425</v>
      </c>
      <c r="EO52" s="19">
        <v>476464913</v>
      </c>
      <c r="EP52" s="19">
        <v>705861710</v>
      </c>
      <c r="EQ52" s="19">
        <v>6013219089</v>
      </c>
      <c r="ER52" s="19">
        <v>7169806904</v>
      </c>
      <c r="ES52" s="19">
        <v>342618308</v>
      </c>
      <c r="ET52" s="19">
        <v>820274676</v>
      </c>
      <c r="EU52" s="19">
        <v>665383619</v>
      </c>
      <c r="EV52" s="19">
        <v>133554480</v>
      </c>
      <c r="EW52" s="19">
        <v>99544190</v>
      </c>
      <c r="EX52" s="19">
        <v>275176638</v>
      </c>
      <c r="EY52" s="19">
        <v>6321873400</v>
      </c>
      <c r="EZ52" s="19">
        <f>681633714-125200000</f>
        <v>556433714</v>
      </c>
      <c r="FA52" s="47" t="s">
        <v>130</v>
      </c>
      <c r="FB52" s="19">
        <v>57526002</v>
      </c>
      <c r="FC52" s="19">
        <v>167658300</v>
      </c>
      <c r="FD52" s="19">
        <v>164520000</v>
      </c>
      <c r="FE52" s="19">
        <v>1956393362</v>
      </c>
      <c r="FF52" s="19">
        <v>426861530</v>
      </c>
      <c r="FG52" s="19">
        <v>490903189</v>
      </c>
      <c r="FH52" s="19">
        <v>434216007</v>
      </c>
      <c r="FI52" s="47" t="s">
        <v>96</v>
      </c>
      <c r="FJ52" s="19">
        <v>183000030</v>
      </c>
      <c r="FK52" s="19">
        <v>1088550001</v>
      </c>
      <c r="FL52" s="47" t="s">
        <v>130</v>
      </c>
      <c r="FM52" s="19">
        <v>552350747</v>
      </c>
      <c r="FN52" s="19">
        <v>670648922</v>
      </c>
      <c r="FO52" s="47" t="s">
        <v>172</v>
      </c>
      <c r="FP52" s="19">
        <v>160333916</v>
      </c>
      <c r="FQ52" s="19">
        <v>62790981</v>
      </c>
      <c r="FR52" s="19">
        <v>383420562</v>
      </c>
      <c r="FS52" s="47" t="s">
        <v>130</v>
      </c>
      <c r="FT52" s="19">
        <v>259271953</v>
      </c>
      <c r="FU52" s="19">
        <v>20067170</v>
      </c>
      <c r="FV52" s="19">
        <v>891459978</v>
      </c>
      <c r="FW52" s="19"/>
      <c r="FX52" s="19">
        <v>293650000</v>
      </c>
      <c r="FY52" s="19">
        <v>594968969</v>
      </c>
      <c r="FZ52" s="47" t="s">
        <v>175</v>
      </c>
      <c r="GA52" s="19">
        <v>1029567261</v>
      </c>
      <c r="GB52" s="19">
        <v>150832668</v>
      </c>
      <c r="GC52" s="19">
        <v>127607603</v>
      </c>
      <c r="GD52" s="48" t="s">
        <v>96</v>
      </c>
      <c r="GE52" s="48" t="s">
        <v>96</v>
      </c>
      <c r="GF52" s="19">
        <v>226958531</v>
      </c>
      <c r="GG52" s="19">
        <v>534077757</v>
      </c>
      <c r="GH52" s="47" t="s">
        <v>172</v>
      </c>
      <c r="GI52" s="19">
        <v>12000000</v>
      </c>
      <c r="GJ52" s="47" t="s">
        <v>96</v>
      </c>
      <c r="GK52" s="19">
        <v>115260131</v>
      </c>
      <c r="GL52" s="47" t="s">
        <v>96</v>
      </c>
      <c r="GM52" s="19">
        <v>177098010</v>
      </c>
      <c r="GN52" s="19">
        <v>106134843</v>
      </c>
      <c r="GO52" s="47" t="s">
        <v>96</v>
      </c>
      <c r="GP52" s="19">
        <v>270878087</v>
      </c>
      <c r="GQ52" s="19">
        <v>125659162</v>
      </c>
      <c r="GR52" s="19">
        <v>380581304</v>
      </c>
      <c r="GS52" s="19">
        <v>338168520</v>
      </c>
      <c r="GT52" s="19">
        <v>290056400</v>
      </c>
      <c r="GU52" s="19">
        <v>235888211</v>
      </c>
      <c r="GV52" s="19">
        <v>5517960745</v>
      </c>
      <c r="GW52" s="19">
        <v>2268272535</v>
      </c>
      <c r="GX52" s="19">
        <v>226178578</v>
      </c>
      <c r="GY52" s="19">
        <v>778203274</v>
      </c>
      <c r="GZ52" s="19">
        <v>800334255</v>
      </c>
      <c r="HA52" s="19">
        <v>241212921</v>
      </c>
      <c r="HB52" s="19">
        <v>408219024</v>
      </c>
      <c r="HC52" s="19">
        <v>147270940</v>
      </c>
      <c r="HD52" s="19">
        <v>167778391</v>
      </c>
      <c r="HE52" s="19">
        <v>175277876</v>
      </c>
      <c r="HF52" s="19">
        <v>5789664721</v>
      </c>
      <c r="HG52" s="19">
        <v>237292834</v>
      </c>
      <c r="HH52" s="47" t="s">
        <v>130</v>
      </c>
      <c r="HI52" s="19">
        <v>1380934267</v>
      </c>
      <c r="HJ52" s="19">
        <v>51080000</v>
      </c>
      <c r="HK52" s="19">
        <v>1005930150</v>
      </c>
      <c r="HL52" s="19">
        <v>134543467</v>
      </c>
      <c r="HM52" s="19">
        <v>341170760</v>
      </c>
      <c r="HN52" s="19">
        <v>111694453</v>
      </c>
      <c r="HO52" s="19">
        <v>715978270</v>
      </c>
      <c r="HP52" s="19">
        <v>1347435922</v>
      </c>
      <c r="HQ52" s="19">
        <v>1646947442</v>
      </c>
      <c r="HR52" s="19">
        <v>3209555865</v>
      </c>
      <c r="HS52" s="19">
        <v>503112681</v>
      </c>
      <c r="HT52" s="19">
        <v>119721620</v>
      </c>
      <c r="HU52" s="19">
        <v>923086596</v>
      </c>
      <c r="HV52" s="19">
        <v>103764865</v>
      </c>
      <c r="HW52" s="47" t="s">
        <v>96</v>
      </c>
      <c r="HX52" s="19">
        <v>107099071</v>
      </c>
      <c r="HY52" s="19" t="s">
        <v>172</v>
      </c>
      <c r="HZ52" s="19">
        <v>315393444</v>
      </c>
      <c r="IA52" s="19">
        <f>156286370+4800000+4241760+14086934</f>
        <v>179415064</v>
      </c>
      <c r="IB52" s="19">
        <v>982570836</v>
      </c>
      <c r="IC52" s="19">
        <v>5754080729</v>
      </c>
      <c r="ID52" s="19">
        <v>286020503</v>
      </c>
      <c r="IE52" s="47" t="s">
        <v>96</v>
      </c>
      <c r="IF52" s="19">
        <v>90007134</v>
      </c>
      <c r="IG52" s="19">
        <v>75656570</v>
      </c>
      <c r="IH52" s="19">
        <v>300635881</v>
      </c>
      <c r="II52" s="19">
        <v>35911620</v>
      </c>
      <c r="IJ52" s="19">
        <v>546732070</v>
      </c>
      <c r="IK52" s="19">
        <v>189466738</v>
      </c>
      <c r="IL52" s="19">
        <v>229155048</v>
      </c>
      <c r="IM52" s="19">
        <v>255937907</v>
      </c>
      <c r="IN52" s="19">
        <v>520982599</v>
      </c>
      <c r="IO52" s="19">
        <v>379508441</v>
      </c>
      <c r="IP52" s="19">
        <v>637209776</v>
      </c>
      <c r="IQ52" s="19">
        <v>282308038</v>
      </c>
      <c r="IR52" s="19">
        <v>460331901</v>
      </c>
      <c r="IS52" s="19">
        <v>127276931</v>
      </c>
      <c r="IT52" s="19">
        <v>519294365</v>
      </c>
      <c r="IU52" s="45">
        <v>6093359925</v>
      </c>
      <c r="IV52" s="45">
        <v>1575988500</v>
      </c>
      <c r="IW52" s="45">
        <v>421146427</v>
      </c>
      <c r="IX52" s="45">
        <v>560854467</v>
      </c>
      <c r="IY52" s="45">
        <v>138327359</v>
      </c>
      <c r="IZ52" s="45">
        <v>291730361</v>
      </c>
      <c r="JA52" s="45">
        <v>505254954</v>
      </c>
      <c r="JB52" s="45">
        <v>150213326</v>
      </c>
      <c r="JC52" s="45">
        <v>49430000</v>
      </c>
      <c r="JD52" s="45">
        <v>326123218</v>
      </c>
      <c r="JE52" s="45">
        <v>47874845</v>
      </c>
      <c r="JF52" s="45">
        <v>60371228</v>
      </c>
      <c r="JG52" s="45">
        <v>99210297</v>
      </c>
      <c r="JH52" s="45">
        <v>130993434</v>
      </c>
      <c r="JI52" s="45">
        <v>109302641</v>
      </c>
      <c r="JJ52" s="45">
        <v>182357957</v>
      </c>
      <c r="JK52" s="45">
        <v>46106355</v>
      </c>
      <c r="JL52" s="45">
        <v>4127221236</v>
      </c>
      <c r="JM52" s="45">
        <v>227147265</v>
      </c>
      <c r="JN52" s="45">
        <v>98115000</v>
      </c>
      <c r="JO52" s="46">
        <v>128972375</v>
      </c>
      <c r="JP52" s="46">
        <v>8598874</v>
      </c>
      <c r="JQ52" s="63" t="s">
        <v>175</v>
      </c>
      <c r="JR52" s="46">
        <v>132688241</v>
      </c>
      <c r="JS52" s="46">
        <v>257565297</v>
      </c>
      <c r="JT52" s="46">
        <v>91843549</v>
      </c>
      <c r="JU52" s="46">
        <v>133962305</v>
      </c>
      <c r="JV52" s="46">
        <v>971954278</v>
      </c>
      <c r="JW52" s="46">
        <v>675480850</v>
      </c>
      <c r="JX52" s="46">
        <v>6282770620</v>
      </c>
      <c r="JY52" s="46">
        <v>3214667161</v>
      </c>
      <c r="JZ52" s="46">
        <v>2883780</v>
      </c>
      <c r="KA52" s="46">
        <v>93367612</v>
      </c>
      <c r="KB52" s="46">
        <v>335636594</v>
      </c>
      <c r="KC52" s="46">
        <v>160417633</v>
      </c>
      <c r="KD52" s="46">
        <v>756592117</v>
      </c>
      <c r="KE52" s="46">
        <v>26400000</v>
      </c>
      <c r="KF52" s="46">
        <v>192602358</v>
      </c>
      <c r="KG52" s="46">
        <v>117865564</v>
      </c>
      <c r="KH52" s="46">
        <v>190959663</v>
      </c>
    </row>
    <row r="53" spans="1:294">
      <c r="A53" s="9" t="s">
        <v>183</v>
      </c>
      <c r="B53" s="15" t="s">
        <v>35</v>
      </c>
      <c r="C53" s="19"/>
      <c r="D53" s="19">
        <v>-583444900</v>
      </c>
      <c r="E53" s="19"/>
      <c r="F53" s="19"/>
      <c r="G53" s="47" t="s">
        <v>130</v>
      </c>
      <c r="H53" s="19"/>
      <c r="I53" s="19">
        <v>-123888233</v>
      </c>
      <c r="J53" s="47" t="s">
        <v>4</v>
      </c>
      <c r="K53" s="19"/>
      <c r="L53" s="47" t="s">
        <v>96</v>
      </c>
      <c r="M53" s="47" t="s">
        <v>96</v>
      </c>
      <c r="N53" s="19"/>
      <c r="O53" s="19"/>
      <c r="P53" s="19"/>
      <c r="Q53" s="19">
        <v>-23575000</v>
      </c>
      <c r="R53" s="19"/>
      <c r="S53" s="19"/>
      <c r="T53" s="47" t="s">
        <v>96</v>
      </c>
      <c r="U53" s="47" t="s">
        <v>172</v>
      </c>
      <c r="V53" s="47" t="s">
        <v>172</v>
      </c>
      <c r="W53" s="19">
        <v>-5388380</v>
      </c>
      <c r="X53" s="19"/>
      <c r="Y53" s="19">
        <v>-51824510</v>
      </c>
      <c r="Z53" s="19"/>
      <c r="AA53" s="19"/>
      <c r="AB53" s="19"/>
      <c r="AC53" s="19"/>
      <c r="AD53" s="19"/>
      <c r="AE53" s="19">
        <v>-68233915</v>
      </c>
      <c r="AF53" s="47" t="s">
        <v>172</v>
      </c>
      <c r="AG53" s="19"/>
      <c r="AH53" s="19"/>
      <c r="AI53" s="19"/>
      <c r="AJ53" s="19">
        <v>-10301000</v>
      </c>
      <c r="AK53" s="19"/>
      <c r="AL53" s="19"/>
      <c r="AM53" s="47" t="s">
        <v>4</v>
      </c>
      <c r="AN53" s="19"/>
      <c r="AO53" s="19"/>
      <c r="AP53" s="19">
        <v>-16250000</v>
      </c>
      <c r="AQ53" s="47" t="s">
        <v>96</v>
      </c>
      <c r="AR53" s="19"/>
      <c r="AS53" s="19"/>
      <c r="AT53" s="47" t="s">
        <v>172</v>
      </c>
      <c r="AU53" s="19"/>
      <c r="AV53" s="19"/>
      <c r="AW53" s="19">
        <v>-35265600</v>
      </c>
      <c r="AX53" s="47" t="s">
        <v>4</v>
      </c>
      <c r="AY53" s="19"/>
      <c r="AZ53" s="19"/>
      <c r="BA53" s="19">
        <v>-224318880</v>
      </c>
      <c r="BB53" s="19"/>
      <c r="BC53" s="47" t="s">
        <v>4</v>
      </c>
      <c r="BD53" s="47" t="s">
        <v>130</v>
      </c>
      <c r="BE53" s="19"/>
      <c r="BF53" s="47" t="s">
        <v>96</v>
      </c>
      <c r="BG53" s="19"/>
      <c r="BH53" s="19">
        <v>-13553410</v>
      </c>
      <c r="BI53" s="19"/>
      <c r="BJ53" s="19">
        <v>-7976000</v>
      </c>
      <c r="BK53" s="19"/>
      <c r="BL53" s="19"/>
      <c r="BM53" s="19">
        <v>-85033930</v>
      </c>
      <c r="BN53" s="19"/>
      <c r="BO53" s="19"/>
      <c r="BP53" s="47" t="s">
        <v>96</v>
      </c>
      <c r="BQ53" s="47" t="s">
        <v>4</v>
      </c>
      <c r="BR53" s="19">
        <v>-219182090</v>
      </c>
      <c r="BS53" s="19">
        <v>-15750000</v>
      </c>
      <c r="BT53" s="47" t="s">
        <v>130</v>
      </c>
      <c r="BU53" s="19"/>
      <c r="BV53" s="19">
        <v>-2691750</v>
      </c>
      <c r="BW53" s="19">
        <v>-165840690</v>
      </c>
      <c r="BX53" s="19">
        <v>-63600000</v>
      </c>
      <c r="BY53" s="19">
        <v>-55188170</v>
      </c>
      <c r="BZ53" s="19"/>
      <c r="CA53" s="19">
        <v>-154753934</v>
      </c>
      <c r="CB53" s="19">
        <v>-12686910</v>
      </c>
      <c r="CC53" s="19">
        <v>-16564220</v>
      </c>
      <c r="CD53" s="19"/>
      <c r="CE53" s="19">
        <v>-8280640</v>
      </c>
      <c r="CF53" s="19"/>
      <c r="CG53" s="19"/>
      <c r="CH53" s="19">
        <v>-61229280</v>
      </c>
      <c r="CI53" s="47" t="s">
        <v>130</v>
      </c>
      <c r="CJ53" s="19"/>
      <c r="CK53" s="19">
        <v>-260083710</v>
      </c>
      <c r="CL53" s="19"/>
      <c r="CM53" s="19">
        <v>-723431601</v>
      </c>
      <c r="CN53" s="19"/>
      <c r="CO53" s="19"/>
      <c r="CP53" s="19">
        <v>-29332410</v>
      </c>
      <c r="CQ53" s="47" t="s">
        <v>96</v>
      </c>
      <c r="CR53" s="19">
        <v>-11233950</v>
      </c>
      <c r="CS53" s="47" t="s">
        <v>172</v>
      </c>
      <c r="CT53" s="19"/>
      <c r="CU53" s="19">
        <v>-73175420</v>
      </c>
      <c r="CV53" s="19"/>
      <c r="CW53" s="19">
        <v>-11716000</v>
      </c>
      <c r="CX53" s="19">
        <v>-118788670</v>
      </c>
      <c r="CY53" s="47" t="s">
        <v>96</v>
      </c>
      <c r="CZ53" s="19">
        <v>-14080000</v>
      </c>
      <c r="DA53" s="47" t="s">
        <v>89</v>
      </c>
      <c r="DB53" s="19">
        <v>-5780000</v>
      </c>
      <c r="DC53" s="19"/>
      <c r="DD53" s="19"/>
      <c r="DE53" s="19"/>
      <c r="DF53" s="19">
        <v>-6657390</v>
      </c>
      <c r="DG53" s="19">
        <v>-183181130</v>
      </c>
      <c r="DH53" s="19">
        <v>-25170000</v>
      </c>
      <c r="DI53" s="19">
        <v>-33516500</v>
      </c>
      <c r="DJ53" s="19">
        <v>-14879990</v>
      </c>
      <c r="DK53" s="19"/>
      <c r="DL53" s="19"/>
      <c r="DM53" s="19"/>
      <c r="DN53" s="19"/>
      <c r="DO53" s="19">
        <v>-9498670</v>
      </c>
      <c r="DP53" s="19"/>
      <c r="DQ53" s="19">
        <v>-7600000</v>
      </c>
      <c r="DR53" s="19">
        <v>-108531610</v>
      </c>
      <c r="DS53" s="19">
        <v>-20137890</v>
      </c>
      <c r="DT53" s="19">
        <v>-26036360</v>
      </c>
      <c r="DU53" s="19">
        <v>-24241000</v>
      </c>
      <c r="DV53" s="19"/>
      <c r="DW53" s="19"/>
      <c r="DX53" s="19"/>
      <c r="DY53" s="19">
        <v>-127012100</v>
      </c>
      <c r="DZ53" s="19"/>
      <c r="EA53" s="19"/>
      <c r="EB53" s="19">
        <v>-120887100</v>
      </c>
      <c r="EC53" s="19"/>
      <c r="ED53" s="19"/>
      <c r="EE53" s="19"/>
      <c r="EF53" s="19"/>
      <c r="EG53" s="19"/>
      <c r="EH53" s="19"/>
      <c r="EI53" s="19"/>
      <c r="EJ53" s="19"/>
      <c r="EK53" s="19">
        <f>-2400000-80550000</f>
        <v>-82950000</v>
      </c>
      <c r="EL53" s="19"/>
      <c r="EM53" s="19"/>
      <c r="EN53" s="19">
        <v>-111464200</v>
      </c>
      <c r="EO53" s="19"/>
      <c r="EP53" s="19"/>
      <c r="EQ53" s="19"/>
      <c r="ER53" s="19"/>
      <c r="ES53" s="19">
        <v>-28966260</v>
      </c>
      <c r="ET53" s="19"/>
      <c r="EU53" s="19"/>
      <c r="EV53" s="19">
        <v>-41364040</v>
      </c>
      <c r="EW53" s="19"/>
      <c r="EX53" s="19">
        <v>-64917260</v>
      </c>
      <c r="EY53" s="19">
        <v>-213501190</v>
      </c>
      <c r="EZ53" s="19"/>
      <c r="FA53" s="47" t="s">
        <v>130</v>
      </c>
      <c r="FB53" s="19">
        <v>-11810340</v>
      </c>
      <c r="FC53" s="19"/>
      <c r="FD53" s="19">
        <v>-10740000</v>
      </c>
      <c r="FE53" s="19"/>
      <c r="FF53" s="19">
        <v>-4100000</v>
      </c>
      <c r="FG53" s="19">
        <v>-107510190</v>
      </c>
      <c r="FH53" s="19"/>
      <c r="FI53" s="47" t="s">
        <v>96</v>
      </c>
      <c r="FJ53" s="19">
        <v>-30000000</v>
      </c>
      <c r="FK53" s="19">
        <v>-6000000</v>
      </c>
      <c r="FL53" s="47" t="s">
        <v>130</v>
      </c>
      <c r="FM53" s="19"/>
      <c r="FN53" s="19"/>
      <c r="FO53" s="47" t="s">
        <v>172</v>
      </c>
      <c r="FP53" s="19">
        <v>-56816120</v>
      </c>
      <c r="FQ53" s="19"/>
      <c r="FR53" s="19"/>
      <c r="FS53" s="47" t="s">
        <v>130</v>
      </c>
      <c r="FT53" s="19"/>
      <c r="FU53" s="19"/>
      <c r="FV53" s="19"/>
      <c r="FW53" s="19"/>
      <c r="FX53" s="19"/>
      <c r="FY53" s="19"/>
      <c r="FZ53" s="47" t="s">
        <v>175</v>
      </c>
      <c r="GA53" s="19">
        <v>-225663660</v>
      </c>
      <c r="GB53" s="19"/>
      <c r="GC53" s="19">
        <v>-15967580</v>
      </c>
      <c r="GD53" s="48" t="s">
        <v>96</v>
      </c>
      <c r="GE53" s="48" t="s">
        <v>96</v>
      </c>
      <c r="GF53" s="19"/>
      <c r="GG53" s="19"/>
      <c r="GH53" s="47" t="s">
        <v>172</v>
      </c>
      <c r="GI53" s="19"/>
      <c r="GJ53" s="47" t="s">
        <v>96</v>
      </c>
      <c r="GK53" s="19"/>
      <c r="GL53" s="47" t="s">
        <v>96</v>
      </c>
      <c r="GM53" s="19"/>
      <c r="GN53" s="19"/>
      <c r="GO53" s="47" t="s">
        <v>96</v>
      </c>
      <c r="GP53" s="19">
        <v>-40207400</v>
      </c>
      <c r="GQ53" s="19"/>
      <c r="GR53" s="19"/>
      <c r="GS53" s="19"/>
      <c r="GT53" s="19">
        <v>-43611450</v>
      </c>
      <c r="GU53" s="19"/>
      <c r="GV53" s="19">
        <v>-38820000</v>
      </c>
      <c r="GW53" s="19"/>
      <c r="GX53" s="19">
        <v>-71085480</v>
      </c>
      <c r="GY53" s="19"/>
      <c r="GZ53" s="19">
        <v>-294005890</v>
      </c>
      <c r="HA53" s="19"/>
      <c r="HB53" s="19"/>
      <c r="HC53" s="19"/>
      <c r="HD53" s="19"/>
      <c r="HE53" s="19"/>
      <c r="HF53" s="19"/>
      <c r="HG53" s="19">
        <v>-38071740</v>
      </c>
      <c r="HH53" s="47" t="s">
        <v>130</v>
      </c>
      <c r="HI53" s="19"/>
      <c r="HJ53" s="19"/>
      <c r="HK53" s="19"/>
      <c r="HL53" s="19"/>
      <c r="HM53" s="19"/>
      <c r="HN53" s="19"/>
      <c r="HO53" s="19">
        <v>-175588450</v>
      </c>
      <c r="HP53" s="19">
        <v>-849552982</v>
      </c>
      <c r="HQ53" s="19">
        <v>-418430290</v>
      </c>
      <c r="HR53" s="19">
        <v>-2390498408</v>
      </c>
      <c r="HS53" s="19">
        <v>-56253330</v>
      </c>
      <c r="HT53" s="19"/>
      <c r="HU53" s="19"/>
      <c r="HV53" s="19">
        <v>-8060000</v>
      </c>
      <c r="HW53" s="47" t="s">
        <v>96</v>
      </c>
      <c r="HX53" s="19"/>
      <c r="HY53" s="19" t="s">
        <v>172</v>
      </c>
      <c r="HZ53" s="19">
        <v>-55573760</v>
      </c>
      <c r="IA53" s="19">
        <v>-101461230</v>
      </c>
      <c r="IB53" s="19"/>
      <c r="IC53" s="19">
        <f>-87938347-42729090-60970000-129538986</f>
        <v>-321176423</v>
      </c>
      <c r="ID53" s="19"/>
      <c r="IE53" s="47" t="s">
        <v>96</v>
      </c>
      <c r="IF53" s="19"/>
      <c r="IG53" s="19"/>
      <c r="IH53" s="19"/>
      <c r="II53" s="19"/>
      <c r="IJ53" s="19"/>
      <c r="IK53" s="19"/>
      <c r="IL53" s="19">
        <v>-122579432</v>
      </c>
      <c r="IM53" s="19"/>
      <c r="IN53" s="19"/>
      <c r="IO53" s="19">
        <v>-128355590</v>
      </c>
      <c r="IP53" s="19"/>
      <c r="IQ53" s="19"/>
      <c r="IR53" s="19"/>
      <c r="IS53" s="19"/>
      <c r="IT53" s="19">
        <v>-60664010</v>
      </c>
      <c r="IU53" s="45">
        <v>-6400000</v>
      </c>
      <c r="IV53" s="45">
        <v>-87208306</v>
      </c>
      <c r="IW53" s="45"/>
      <c r="IX53" s="45">
        <v>-194212800</v>
      </c>
      <c r="IY53" s="45"/>
      <c r="IZ53" s="45"/>
      <c r="JA53" s="45"/>
      <c r="JB53" s="45"/>
      <c r="JC53" s="45"/>
      <c r="JD53" s="45">
        <v>-29794423</v>
      </c>
      <c r="JE53" s="45"/>
      <c r="JF53" s="45"/>
      <c r="JG53" s="45">
        <v>-52582740</v>
      </c>
      <c r="JH53" s="45">
        <v>-32609650</v>
      </c>
      <c r="JI53" s="45"/>
      <c r="JJ53" s="45">
        <v>-132698920</v>
      </c>
      <c r="JK53" s="45"/>
      <c r="JL53" s="45">
        <v>-157249913</v>
      </c>
      <c r="JM53" s="45"/>
      <c r="JN53" s="45"/>
      <c r="JO53" s="46"/>
      <c r="JP53" s="46"/>
      <c r="JQ53" s="63" t="s">
        <v>175</v>
      </c>
      <c r="JR53" s="46"/>
      <c r="JS53" s="46">
        <v>-74058660</v>
      </c>
      <c r="JT53" s="46"/>
      <c r="JU53" s="46"/>
      <c r="JV53" s="46"/>
      <c r="JW53" s="46"/>
      <c r="JX53" s="46"/>
      <c r="JY53" s="46"/>
      <c r="JZ53" s="46"/>
      <c r="KA53" s="46"/>
      <c r="KB53" s="46"/>
      <c r="KC53" s="46"/>
      <c r="KD53" s="46"/>
      <c r="KE53" s="46"/>
      <c r="KF53" s="46"/>
      <c r="KG53" s="46"/>
      <c r="KH53" s="46"/>
    </row>
    <row r="54" spans="1:294">
      <c r="A54" s="9" t="s">
        <v>183</v>
      </c>
      <c r="B54" s="15" t="s">
        <v>73</v>
      </c>
      <c r="C54" s="19">
        <v>7700000</v>
      </c>
      <c r="D54" s="19">
        <v>12383207</v>
      </c>
      <c r="E54" s="19">
        <v>58725124</v>
      </c>
      <c r="F54" s="19">
        <v>16850337</v>
      </c>
      <c r="G54" s="47" t="s">
        <v>130</v>
      </c>
      <c r="H54" s="19">
        <v>4962947</v>
      </c>
      <c r="I54" s="19"/>
      <c r="J54" s="47" t="s">
        <v>4</v>
      </c>
      <c r="K54" s="19">
        <v>28005642</v>
      </c>
      <c r="L54" s="47" t="s">
        <v>96</v>
      </c>
      <c r="M54" s="47" t="s">
        <v>96</v>
      </c>
      <c r="N54" s="19">
        <v>30977482</v>
      </c>
      <c r="O54" s="19">
        <v>606653857</v>
      </c>
      <c r="P54" s="19">
        <v>200903173</v>
      </c>
      <c r="Q54" s="19">
        <v>60950517</v>
      </c>
      <c r="R54" s="19">
        <v>545370</v>
      </c>
      <c r="S54" s="19">
        <v>611553554</v>
      </c>
      <c r="T54" s="47" t="s">
        <v>96</v>
      </c>
      <c r="U54" s="47" t="s">
        <v>172</v>
      </c>
      <c r="V54" s="47" t="s">
        <v>172</v>
      </c>
      <c r="W54" s="19"/>
      <c r="X54" s="19">
        <v>62436495</v>
      </c>
      <c r="Y54" s="19">
        <v>1756273</v>
      </c>
      <c r="Z54" s="19">
        <v>68648340</v>
      </c>
      <c r="AA54" s="19">
        <v>36632345</v>
      </c>
      <c r="AB54" s="19">
        <v>5973846</v>
      </c>
      <c r="AC54" s="19">
        <v>2388304</v>
      </c>
      <c r="AD54" s="19">
        <v>828423</v>
      </c>
      <c r="AE54" s="19">
        <v>73486847</v>
      </c>
      <c r="AF54" s="47" t="s">
        <v>172</v>
      </c>
      <c r="AG54" s="19"/>
      <c r="AH54" s="19">
        <v>105287191</v>
      </c>
      <c r="AI54" s="19"/>
      <c r="AJ54" s="19">
        <v>706094</v>
      </c>
      <c r="AK54" s="19">
        <v>17041246</v>
      </c>
      <c r="AL54" s="19">
        <v>1482600</v>
      </c>
      <c r="AM54" s="47" t="s">
        <v>4</v>
      </c>
      <c r="AN54" s="19">
        <v>79584039</v>
      </c>
      <c r="AO54" s="19">
        <v>48368295</v>
      </c>
      <c r="AP54" s="19">
        <v>3561603</v>
      </c>
      <c r="AQ54" s="47" t="s">
        <v>96</v>
      </c>
      <c r="AR54" s="19">
        <v>98177328</v>
      </c>
      <c r="AS54" s="19"/>
      <c r="AT54" s="47" t="s">
        <v>172</v>
      </c>
      <c r="AU54" s="19">
        <v>600000</v>
      </c>
      <c r="AV54" s="19">
        <v>28045865</v>
      </c>
      <c r="AW54" s="19">
        <v>23330300</v>
      </c>
      <c r="AX54" s="47" t="s">
        <v>4</v>
      </c>
      <c r="AY54" s="19">
        <v>21131239</v>
      </c>
      <c r="AZ54" s="19">
        <v>8610209</v>
      </c>
      <c r="BA54" s="19">
        <v>9514528</v>
      </c>
      <c r="BB54" s="19"/>
      <c r="BC54" s="47" t="s">
        <v>4</v>
      </c>
      <c r="BD54" s="47" t="s">
        <v>130</v>
      </c>
      <c r="BE54" s="19">
        <v>5323377</v>
      </c>
      <c r="BF54" s="47" t="s">
        <v>96</v>
      </c>
      <c r="BG54" s="19">
        <v>13621556</v>
      </c>
      <c r="BH54" s="19">
        <v>5188334</v>
      </c>
      <c r="BI54" s="19">
        <v>23385250</v>
      </c>
      <c r="BJ54" s="19">
        <v>11310361</v>
      </c>
      <c r="BK54" s="19">
        <v>35288056</v>
      </c>
      <c r="BL54" s="19">
        <v>17663248</v>
      </c>
      <c r="BM54" s="19"/>
      <c r="BN54" s="19">
        <v>7782295</v>
      </c>
      <c r="BO54" s="19">
        <v>21952723</v>
      </c>
      <c r="BP54" s="47" t="s">
        <v>96</v>
      </c>
      <c r="BQ54" s="47" t="s">
        <v>4</v>
      </c>
      <c r="BR54" s="19">
        <v>104083932</v>
      </c>
      <c r="BS54" s="19">
        <v>14605998</v>
      </c>
      <c r="BT54" s="47" t="s">
        <v>130</v>
      </c>
      <c r="BU54" s="19"/>
      <c r="BV54" s="19"/>
      <c r="BW54" s="19">
        <v>3183600</v>
      </c>
      <c r="BX54" s="19">
        <v>0</v>
      </c>
      <c r="BY54" s="19">
        <v>28829682</v>
      </c>
      <c r="BZ54" s="19">
        <v>4988613</v>
      </c>
      <c r="CA54" s="19">
        <v>32888368</v>
      </c>
      <c r="CB54" s="19">
        <v>57249655</v>
      </c>
      <c r="CC54" s="19"/>
      <c r="CD54" s="19"/>
      <c r="CE54" s="19"/>
      <c r="CF54" s="19">
        <v>1808898</v>
      </c>
      <c r="CG54" s="19">
        <v>17294952</v>
      </c>
      <c r="CH54" s="19">
        <v>2496368</v>
      </c>
      <c r="CI54" s="47" t="s">
        <v>130</v>
      </c>
      <c r="CJ54" s="19"/>
      <c r="CK54" s="19">
        <v>10381766</v>
      </c>
      <c r="CL54" s="19"/>
      <c r="CM54" s="19">
        <v>117849150</v>
      </c>
      <c r="CN54" s="19">
        <v>9732521</v>
      </c>
      <c r="CO54" s="19">
        <v>30223627</v>
      </c>
      <c r="CP54" s="19">
        <v>40576213</v>
      </c>
      <c r="CQ54" s="47" t="s">
        <v>96</v>
      </c>
      <c r="CR54" s="19">
        <v>6639412</v>
      </c>
      <c r="CS54" s="47" t="s">
        <v>172</v>
      </c>
      <c r="CT54" s="19">
        <v>59136983</v>
      </c>
      <c r="CU54" s="19">
        <v>11204178</v>
      </c>
      <c r="CV54" s="19">
        <v>250000</v>
      </c>
      <c r="CW54" s="19">
        <v>144103688</v>
      </c>
      <c r="CX54" s="19">
        <v>47631440</v>
      </c>
      <c r="CY54" s="47" t="s">
        <v>96</v>
      </c>
      <c r="CZ54" s="19">
        <v>89038022</v>
      </c>
      <c r="DA54" s="47" t="s">
        <v>89</v>
      </c>
      <c r="DB54" s="19">
        <v>8862925</v>
      </c>
      <c r="DC54" s="19"/>
      <c r="DD54" s="19">
        <v>22588599</v>
      </c>
      <c r="DE54" s="19"/>
      <c r="DF54" s="19">
        <v>2460705</v>
      </c>
      <c r="DG54" s="19">
        <v>10173283</v>
      </c>
      <c r="DH54" s="19">
        <v>583129</v>
      </c>
      <c r="DI54" s="19">
        <v>103671012</v>
      </c>
      <c r="DJ54" s="19">
        <v>656704</v>
      </c>
      <c r="DK54" s="19">
        <v>182079394</v>
      </c>
      <c r="DL54" s="19">
        <v>19817129</v>
      </c>
      <c r="DM54" s="19">
        <v>30386246</v>
      </c>
      <c r="DN54" s="19">
        <v>19582713</v>
      </c>
      <c r="DO54" s="19"/>
      <c r="DP54" s="19">
        <v>3595566</v>
      </c>
      <c r="DQ54" s="19"/>
      <c r="DR54" s="19"/>
      <c r="DS54" s="19">
        <v>10307596</v>
      </c>
      <c r="DT54" s="19">
        <v>132082255</v>
      </c>
      <c r="DU54" s="19">
        <v>4879694</v>
      </c>
      <c r="DV54" s="19">
        <v>3832500</v>
      </c>
      <c r="DW54" s="19">
        <v>11171703</v>
      </c>
      <c r="DX54" s="19">
        <v>191887821</v>
      </c>
      <c r="DY54" s="19">
        <v>43512639</v>
      </c>
      <c r="DZ54" s="19">
        <v>2575876</v>
      </c>
      <c r="EA54" s="19"/>
      <c r="EB54" s="19">
        <v>123166845</v>
      </c>
      <c r="EC54" s="19">
        <v>2402013</v>
      </c>
      <c r="ED54" s="19">
        <v>18399485</v>
      </c>
      <c r="EE54" s="19">
        <v>12751947</v>
      </c>
      <c r="EF54" s="19">
        <v>53199268</v>
      </c>
      <c r="EG54" s="19">
        <v>292738846</v>
      </c>
      <c r="EH54" s="19"/>
      <c r="EI54" s="19">
        <v>101955239</v>
      </c>
      <c r="EJ54" s="19">
        <v>5570294</v>
      </c>
      <c r="EK54" s="19">
        <v>27858190</v>
      </c>
      <c r="EL54" s="19"/>
      <c r="EM54" s="19">
        <v>4021343</v>
      </c>
      <c r="EN54" s="19">
        <v>36480197</v>
      </c>
      <c r="EO54" s="19">
        <v>44149535</v>
      </c>
      <c r="EP54" s="19"/>
      <c r="EQ54" s="19"/>
      <c r="ER54" s="19">
        <v>71106617</v>
      </c>
      <c r="ES54" s="19">
        <v>28583482</v>
      </c>
      <c r="ET54" s="19">
        <v>49529006</v>
      </c>
      <c r="EU54" s="19">
        <v>28142136</v>
      </c>
      <c r="EV54" s="19">
        <v>325767</v>
      </c>
      <c r="EW54" s="19">
        <v>37789267</v>
      </c>
      <c r="EX54" s="19">
        <v>59919781</v>
      </c>
      <c r="EY54" s="19">
        <v>202752739</v>
      </c>
      <c r="EZ54" s="19">
        <v>37179837</v>
      </c>
      <c r="FA54" s="47" t="s">
        <v>130</v>
      </c>
      <c r="FB54" s="19">
        <v>102195496</v>
      </c>
      <c r="FC54" s="19">
        <v>172879999</v>
      </c>
      <c r="FD54" s="19">
        <v>12902181</v>
      </c>
      <c r="FE54" s="19">
        <v>126084259</v>
      </c>
      <c r="FF54" s="19"/>
      <c r="FG54" s="19">
        <v>20540941</v>
      </c>
      <c r="FH54" s="19">
        <v>17416230</v>
      </c>
      <c r="FI54" s="47" t="s">
        <v>96</v>
      </c>
      <c r="FJ54" s="19">
        <v>8837899</v>
      </c>
      <c r="FK54" s="19">
        <v>62415337</v>
      </c>
      <c r="FL54" s="47" t="s">
        <v>130</v>
      </c>
      <c r="FM54" s="19"/>
      <c r="FN54" s="19">
        <v>324308103</v>
      </c>
      <c r="FO54" s="47" t="s">
        <v>172</v>
      </c>
      <c r="FP54" s="19">
        <v>2697100</v>
      </c>
      <c r="FQ54" s="19"/>
      <c r="FR54" s="19">
        <v>21533201</v>
      </c>
      <c r="FS54" s="47" t="s">
        <v>130</v>
      </c>
      <c r="FT54" s="19">
        <v>56345026</v>
      </c>
      <c r="FU54" s="19"/>
      <c r="FV54" s="19">
        <v>36450870</v>
      </c>
      <c r="FW54" s="19">
        <v>1510706</v>
      </c>
      <c r="FX54" s="19">
        <v>13986594</v>
      </c>
      <c r="FY54" s="19">
        <v>197220945</v>
      </c>
      <c r="FZ54" s="47" t="s">
        <v>175</v>
      </c>
      <c r="GA54" s="19">
        <v>17733517</v>
      </c>
      <c r="GB54" s="19">
        <v>12354890</v>
      </c>
      <c r="GC54" s="19">
        <v>7161327</v>
      </c>
      <c r="GD54" s="48" t="s">
        <v>96</v>
      </c>
      <c r="GE54" s="48" t="s">
        <v>96</v>
      </c>
      <c r="GF54" s="19">
        <v>12479780</v>
      </c>
      <c r="GG54" s="19">
        <v>54537294</v>
      </c>
      <c r="GH54" s="47" t="s">
        <v>172</v>
      </c>
      <c r="GI54" s="19"/>
      <c r="GJ54" s="47" t="s">
        <v>96</v>
      </c>
      <c r="GK54" s="19">
        <v>8556983</v>
      </c>
      <c r="GL54" s="47" t="s">
        <v>96</v>
      </c>
      <c r="GM54" s="19"/>
      <c r="GN54" s="19"/>
      <c r="GO54" s="47" t="s">
        <v>96</v>
      </c>
      <c r="GP54" s="19">
        <v>196934385</v>
      </c>
      <c r="GQ54" s="19">
        <v>9601663</v>
      </c>
      <c r="GR54" s="19"/>
      <c r="GS54" s="19">
        <v>14338623</v>
      </c>
      <c r="GT54" s="19"/>
      <c r="GU54" s="19"/>
      <c r="GV54" s="19">
        <v>15442298</v>
      </c>
      <c r="GW54" s="19">
        <v>441611642</v>
      </c>
      <c r="GX54" s="19">
        <v>142698976</v>
      </c>
      <c r="GY54" s="19">
        <v>7147429</v>
      </c>
      <c r="GZ54" s="19">
        <v>123013348</v>
      </c>
      <c r="HA54" s="19">
        <v>30570939</v>
      </c>
      <c r="HB54" s="19">
        <v>5792237</v>
      </c>
      <c r="HC54" s="19">
        <v>1203818</v>
      </c>
      <c r="HD54" s="19">
        <v>24190858</v>
      </c>
      <c r="HE54" s="19"/>
      <c r="HF54" s="19">
        <v>51757668</v>
      </c>
      <c r="HG54" s="19">
        <v>7489855</v>
      </c>
      <c r="HH54" s="47" t="s">
        <v>130</v>
      </c>
      <c r="HI54" s="19">
        <v>30815551</v>
      </c>
      <c r="HJ54" s="19">
        <v>55025967</v>
      </c>
      <c r="HK54" s="19">
        <v>36525261</v>
      </c>
      <c r="HL54" s="19">
        <v>8694702</v>
      </c>
      <c r="HM54" s="19">
        <v>25121276</v>
      </c>
      <c r="HN54" s="19">
        <v>10233342</v>
      </c>
      <c r="HO54" s="19">
        <v>16950773</v>
      </c>
      <c r="HP54" s="19">
        <v>3914835</v>
      </c>
      <c r="HQ54" s="19">
        <v>4934500</v>
      </c>
      <c r="HR54" s="19">
        <v>34842424</v>
      </c>
      <c r="HS54" s="19">
        <v>41298831</v>
      </c>
      <c r="HT54" s="19"/>
      <c r="HU54" s="19">
        <v>104993804</v>
      </c>
      <c r="HV54" s="19"/>
      <c r="HW54" s="47" t="s">
        <v>96</v>
      </c>
      <c r="HX54" s="19">
        <v>6969454</v>
      </c>
      <c r="HY54" s="19" t="s">
        <v>172</v>
      </c>
      <c r="HZ54" s="19">
        <v>11932966</v>
      </c>
      <c r="IA54" s="19">
        <v>7216124</v>
      </c>
      <c r="IB54" s="19">
        <v>1000000</v>
      </c>
      <c r="IC54" s="19">
        <v>65822690</v>
      </c>
      <c r="ID54" s="19">
        <v>2271816</v>
      </c>
      <c r="IE54" s="47" t="s">
        <v>96</v>
      </c>
      <c r="IF54" s="19">
        <v>2850411</v>
      </c>
      <c r="IG54" s="19">
        <v>369991</v>
      </c>
      <c r="IH54" s="19">
        <v>9882180</v>
      </c>
      <c r="II54" s="19"/>
      <c r="IJ54" s="19"/>
      <c r="IK54" s="19"/>
      <c r="IL54" s="19">
        <v>31088105</v>
      </c>
      <c r="IM54" s="19">
        <v>1799999</v>
      </c>
      <c r="IN54" s="19"/>
      <c r="IO54" s="19">
        <v>2305708</v>
      </c>
      <c r="IP54" s="19">
        <v>16340390</v>
      </c>
      <c r="IQ54" s="19"/>
      <c r="IR54" s="19">
        <v>34684404</v>
      </c>
      <c r="IS54" s="19">
        <v>21639142</v>
      </c>
      <c r="IT54" s="19">
        <v>52585019</v>
      </c>
      <c r="IU54" s="45">
        <v>4378440</v>
      </c>
      <c r="IV54" s="45">
        <v>44788642</v>
      </c>
      <c r="IW54" s="45"/>
      <c r="IX54" s="45">
        <v>115740440</v>
      </c>
      <c r="IY54" s="45">
        <v>24858062</v>
      </c>
      <c r="IZ54" s="45"/>
      <c r="JA54" s="45">
        <v>10238657</v>
      </c>
      <c r="JB54" s="45"/>
      <c r="JC54" s="45">
        <v>9523480</v>
      </c>
      <c r="JD54" s="45">
        <v>117184</v>
      </c>
      <c r="JE54" s="45">
        <v>4339854</v>
      </c>
      <c r="JF54" s="45"/>
      <c r="JG54" s="45">
        <v>12131061</v>
      </c>
      <c r="JH54" s="45"/>
      <c r="JI54" s="45">
        <v>5642869</v>
      </c>
      <c r="JJ54" s="45">
        <v>359754</v>
      </c>
      <c r="JK54" s="45"/>
      <c r="JL54" s="45">
        <v>96419553</v>
      </c>
      <c r="JM54" s="45"/>
      <c r="JN54" s="45">
        <v>1268155</v>
      </c>
      <c r="JO54" s="46">
        <v>49237</v>
      </c>
      <c r="JP54" s="46">
        <v>5053400</v>
      </c>
      <c r="JQ54" s="63" t="s">
        <v>175</v>
      </c>
      <c r="JR54" s="46">
        <v>3653118</v>
      </c>
      <c r="JS54" s="46">
        <v>43976525</v>
      </c>
      <c r="JT54" s="46"/>
      <c r="JU54" s="46">
        <v>4108967</v>
      </c>
      <c r="JV54" s="46">
        <v>79346362</v>
      </c>
      <c r="JW54" s="46"/>
      <c r="JX54" s="46"/>
      <c r="JY54" s="46">
        <v>40309270</v>
      </c>
      <c r="JZ54" s="46"/>
      <c r="KA54" s="46">
        <v>605000</v>
      </c>
      <c r="KB54" s="46">
        <v>106736663</v>
      </c>
      <c r="KC54" s="46">
        <v>9695635</v>
      </c>
      <c r="KD54" s="46"/>
      <c r="KE54" s="46"/>
      <c r="KF54" s="46">
        <v>4700000</v>
      </c>
      <c r="KG54" s="46">
        <v>406738</v>
      </c>
      <c r="KH54" s="46">
        <v>5183054</v>
      </c>
    </row>
    <row r="55" spans="1:294">
      <c r="A55" s="9" t="s">
        <v>183</v>
      </c>
      <c r="B55" s="15" t="s">
        <v>58</v>
      </c>
      <c r="C55" s="19"/>
      <c r="D55" s="19"/>
      <c r="E55" s="19"/>
      <c r="F55" s="19"/>
      <c r="G55" s="47" t="s">
        <v>130</v>
      </c>
      <c r="H55" s="19"/>
      <c r="I55" s="19"/>
      <c r="J55" s="47" t="s">
        <v>4</v>
      </c>
      <c r="K55" s="19">
        <v>-3702337</v>
      </c>
      <c r="L55" s="47" t="s">
        <v>96</v>
      </c>
      <c r="M55" s="47" t="s">
        <v>96</v>
      </c>
      <c r="N55" s="19"/>
      <c r="O55" s="19"/>
      <c r="P55" s="19"/>
      <c r="Q55" s="19"/>
      <c r="R55" s="19"/>
      <c r="S55" s="19">
        <v>0</v>
      </c>
      <c r="T55" s="47" t="s">
        <v>96</v>
      </c>
      <c r="U55" s="47" t="s">
        <v>172</v>
      </c>
      <c r="V55" s="47" t="s">
        <v>172</v>
      </c>
      <c r="W55" s="19"/>
      <c r="X55" s="19"/>
      <c r="Y55" s="19"/>
      <c r="Z55" s="19"/>
      <c r="AA55" s="19"/>
      <c r="AB55" s="19"/>
      <c r="AC55" s="19"/>
      <c r="AD55" s="19">
        <v>16608668</v>
      </c>
      <c r="AE55" s="19"/>
      <c r="AF55" s="47" t="s">
        <v>172</v>
      </c>
      <c r="AG55" s="19"/>
      <c r="AH55" s="19"/>
      <c r="AI55" s="19">
        <v>3999000</v>
      </c>
      <c r="AJ55" s="19"/>
      <c r="AK55" s="19"/>
      <c r="AL55" s="19"/>
      <c r="AM55" s="47" t="s">
        <v>4</v>
      </c>
      <c r="AN55" s="19"/>
      <c r="AO55" s="19"/>
      <c r="AP55" s="19">
        <v>4302000</v>
      </c>
      <c r="AQ55" s="47" t="s">
        <v>96</v>
      </c>
      <c r="AR55" s="19"/>
      <c r="AS55" s="19"/>
      <c r="AT55" s="47" t="s">
        <v>172</v>
      </c>
      <c r="AU55" s="19"/>
      <c r="AV55" s="19">
        <v>661308</v>
      </c>
      <c r="AW55" s="19"/>
      <c r="AX55" s="47" t="s">
        <v>4</v>
      </c>
      <c r="AY55" s="19"/>
      <c r="AZ55" s="19"/>
      <c r="BA55" s="19"/>
      <c r="BB55" s="19"/>
      <c r="BC55" s="47" t="s">
        <v>4</v>
      </c>
      <c r="BD55" s="47" t="s">
        <v>130</v>
      </c>
      <c r="BE55" s="19"/>
      <c r="BF55" s="47" t="s">
        <v>96</v>
      </c>
      <c r="BG55" s="19"/>
      <c r="BH55" s="19"/>
      <c r="BI55" s="19">
        <v>155045</v>
      </c>
      <c r="BJ55" s="19">
        <v>3143146</v>
      </c>
      <c r="BK55" s="19">
        <v>9211508</v>
      </c>
      <c r="BL55" s="19">
        <v>440000</v>
      </c>
      <c r="BM55" s="19"/>
      <c r="BN55" s="19"/>
      <c r="BO55" s="19"/>
      <c r="BP55" s="47" t="s">
        <v>96</v>
      </c>
      <c r="BQ55" s="47" t="s">
        <v>4</v>
      </c>
      <c r="BR55" s="19"/>
      <c r="BS55" s="19"/>
      <c r="BT55" s="47" t="s">
        <v>130</v>
      </c>
      <c r="BU55" s="19"/>
      <c r="BV55" s="19"/>
      <c r="BW55" s="19"/>
      <c r="BX55" s="19"/>
      <c r="BY55" s="19"/>
      <c r="BZ55" s="19"/>
      <c r="CA55" s="19"/>
      <c r="CB55" s="19"/>
      <c r="CC55" s="19"/>
      <c r="CD55" s="19"/>
      <c r="CE55" s="19"/>
      <c r="CF55" s="19"/>
      <c r="CG55" s="19"/>
      <c r="CH55" s="19"/>
      <c r="CI55" s="47" t="s">
        <v>130</v>
      </c>
      <c r="CJ55" s="19">
        <v>247116</v>
      </c>
      <c r="CK55" s="19"/>
      <c r="CL55" s="19"/>
      <c r="CM55" s="19"/>
      <c r="CN55" s="19"/>
      <c r="CO55" s="19"/>
      <c r="CP55" s="19"/>
      <c r="CQ55" s="47" t="s">
        <v>96</v>
      </c>
      <c r="CR55" s="19">
        <v>297038</v>
      </c>
      <c r="CS55" s="47" t="s">
        <v>172</v>
      </c>
      <c r="CT55" s="19"/>
      <c r="CU55" s="19"/>
      <c r="CV55" s="19"/>
      <c r="CW55" s="19"/>
      <c r="CX55" s="19">
        <v>9330494</v>
      </c>
      <c r="CY55" s="47" t="s">
        <v>96</v>
      </c>
      <c r="CZ55" s="19"/>
      <c r="DA55" s="47" t="s">
        <v>89</v>
      </c>
      <c r="DB55" s="19"/>
      <c r="DC55" s="19"/>
      <c r="DD55" s="19"/>
      <c r="DE55" s="19"/>
      <c r="DF55" s="19"/>
      <c r="DG55" s="19"/>
      <c r="DH55" s="19">
        <v>144554</v>
      </c>
      <c r="DI55" s="19">
        <v>670939</v>
      </c>
      <c r="DJ55" s="19"/>
      <c r="DK55" s="19">
        <v>96047178</v>
      </c>
      <c r="DL55" s="19"/>
      <c r="DM55" s="19"/>
      <c r="DN55" s="19"/>
      <c r="DO55" s="19"/>
      <c r="DP55" s="19">
        <v>2989275</v>
      </c>
      <c r="DQ55" s="19"/>
      <c r="DR55" s="19"/>
      <c r="DS55" s="19"/>
      <c r="DT55" s="19"/>
      <c r="DU55" s="19"/>
      <c r="DV55" s="19"/>
      <c r="DW55" s="19"/>
      <c r="DX55" s="19">
        <v>3000000</v>
      </c>
      <c r="DY55" s="19">
        <v>182649</v>
      </c>
      <c r="DZ55" s="19"/>
      <c r="EA55" s="19"/>
      <c r="EB55" s="19">
        <v>21569</v>
      </c>
      <c r="EC55" s="19"/>
      <c r="ED55" s="19"/>
      <c r="EE55" s="19"/>
      <c r="EF55" s="19">
        <v>22644672</v>
      </c>
      <c r="EG55" s="19">
        <v>-26400000</v>
      </c>
      <c r="EH55" s="19"/>
      <c r="EI55" s="19">
        <v>16374274</v>
      </c>
      <c r="EJ55" s="19"/>
      <c r="EK55" s="19"/>
      <c r="EL55" s="19"/>
      <c r="EM55" s="19"/>
      <c r="EN55" s="19"/>
      <c r="EO55" s="19"/>
      <c r="EP55" s="19"/>
      <c r="EQ55" s="19"/>
      <c r="ER55" s="19"/>
      <c r="ES55" s="19"/>
      <c r="ET55" s="19"/>
      <c r="EU55" s="19"/>
      <c r="EV55" s="19"/>
      <c r="EW55" s="19"/>
      <c r="EX55" s="19"/>
      <c r="EY55" s="19"/>
      <c r="EZ55" s="19"/>
      <c r="FA55" s="47" t="s">
        <v>130</v>
      </c>
      <c r="FB55" s="19"/>
      <c r="FC55" s="19">
        <v>8704160</v>
      </c>
      <c r="FD55" s="19"/>
      <c r="FE55" s="19"/>
      <c r="FF55" s="19"/>
      <c r="FG55" s="19"/>
      <c r="FH55" s="19"/>
      <c r="FI55" s="47" t="s">
        <v>96</v>
      </c>
      <c r="FJ55" s="19"/>
      <c r="FK55" s="19"/>
      <c r="FL55" s="47" t="s">
        <v>130</v>
      </c>
      <c r="FM55" s="19"/>
      <c r="FN55" s="19"/>
      <c r="FO55" s="47" t="s">
        <v>172</v>
      </c>
      <c r="FP55" s="19"/>
      <c r="FQ55" s="19"/>
      <c r="FR55" s="19"/>
      <c r="FS55" s="47" t="s">
        <v>130</v>
      </c>
      <c r="FT55" s="19"/>
      <c r="FU55" s="19"/>
      <c r="FV55" s="19"/>
      <c r="FW55" s="19"/>
      <c r="FX55" s="19"/>
      <c r="FY55" s="19"/>
      <c r="FZ55" s="47" t="s">
        <v>175</v>
      </c>
      <c r="GA55" s="19"/>
      <c r="GB55" s="19"/>
      <c r="GC55" s="19"/>
      <c r="GD55" s="48" t="s">
        <v>96</v>
      </c>
      <c r="GE55" s="48" t="s">
        <v>96</v>
      </c>
      <c r="GF55" s="19"/>
      <c r="GG55" s="19"/>
      <c r="GH55" s="47" t="s">
        <v>172</v>
      </c>
      <c r="GI55" s="19"/>
      <c r="GJ55" s="47" t="s">
        <v>96</v>
      </c>
      <c r="GK55" s="19"/>
      <c r="GL55" s="47" t="s">
        <v>96</v>
      </c>
      <c r="GM55" s="19"/>
      <c r="GN55" s="19"/>
      <c r="GO55" s="47" t="s">
        <v>96</v>
      </c>
      <c r="GP55" s="19"/>
      <c r="GQ55" s="19"/>
      <c r="GR55" s="19"/>
      <c r="GS55" s="19">
        <v>9954389</v>
      </c>
      <c r="GT55" s="19"/>
      <c r="GU55" s="19"/>
      <c r="GV55" s="19"/>
      <c r="GW55" s="19"/>
      <c r="GX55" s="19"/>
      <c r="GY55" s="19"/>
      <c r="GZ55" s="19"/>
      <c r="HA55" s="19"/>
      <c r="HB55" s="19"/>
      <c r="HC55" s="19"/>
      <c r="HD55" s="19"/>
      <c r="HE55" s="19"/>
      <c r="HF55" s="19">
        <v>-408694</v>
      </c>
      <c r="HG55" s="19"/>
      <c r="HH55" s="47" t="s">
        <v>130</v>
      </c>
      <c r="HI55" s="19">
        <v>181647</v>
      </c>
      <c r="HJ55" s="19"/>
      <c r="HK55" s="19">
        <v>7118326</v>
      </c>
      <c r="HL55" s="19"/>
      <c r="HM55" s="19"/>
      <c r="HN55" s="19"/>
      <c r="HO55" s="19"/>
      <c r="HP55" s="19"/>
      <c r="HQ55" s="19"/>
      <c r="HR55" s="19"/>
      <c r="HS55" s="19"/>
      <c r="HT55" s="19"/>
      <c r="HU55" s="19"/>
      <c r="HV55" s="19"/>
      <c r="HW55" s="47" t="s">
        <v>96</v>
      </c>
      <c r="HX55" s="19">
        <v>1363872</v>
      </c>
      <c r="HY55" s="19" t="s">
        <v>172</v>
      </c>
      <c r="HZ55" s="19"/>
      <c r="IA55" s="19"/>
      <c r="IB55" s="19"/>
      <c r="IC55" s="19"/>
      <c r="ID55" s="19"/>
      <c r="IE55" s="47" t="s">
        <v>96</v>
      </c>
      <c r="IF55" s="19"/>
      <c r="IG55" s="19"/>
      <c r="IH55" s="19"/>
      <c r="II55" s="19"/>
      <c r="IJ55" s="19"/>
      <c r="IK55" s="19"/>
      <c r="IL55" s="19">
        <v>17765000</v>
      </c>
      <c r="IM55" s="19"/>
      <c r="IN55" s="19"/>
      <c r="IO55" s="19"/>
      <c r="IP55" s="19"/>
      <c r="IQ55" s="19"/>
      <c r="IR55" s="19"/>
      <c r="IS55" s="19"/>
      <c r="IT55" s="19"/>
      <c r="IU55" s="45"/>
      <c r="IV55" s="45"/>
      <c r="IW55" s="45"/>
      <c r="IX55" s="45"/>
      <c r="IY55" s="45"/>
      <c r="IZ55" s="45"/>
      <c r="JA55" s="45"/>
      <c r="JB55" s="45"/>
      <c r="JC55" s="45"/>
      <c r="JD55" s="45"/>
      <c r="JE55" s="45"/>
      <c r="JF55" s="45"/>
      <c r="JG55" s="45"/>
      <c r="JH55" s="45">
        <v>-139380</v>
      </c>
      <c r="JI55" s="45">
        <v>781027</v>
      </c>
      <c r="JJ55" s="45"/>
      <c r="JK55" s="45"/>
      <c r="JL55" s="45"/>
      <c r="JM55" s="45"/>
      <c r="JN55" s="45">
        <v>7653954</v>
      </c>
      <c r="JO55" s="46"/>
      <c r="JP55" s="46"/>
      <c r="JQ55" s="63" t="s">
        <v>175</v>
      </c>
      <c r="JR55" s="46"/>
      <c r="JS55" s="46"/>
      <c r="JT55" s="46"/>
      <c r="JU55" s="46"/>
      <c r="JV55" s="46"/>
      <c r="JW55" s="46"/>
      <c r="JX55" s="46"/>
      <c r="JY55" s="46">
        <v>1222945</v>
      </c>
      <c r="JZ55" s="46"/>
      <c r="KA55" s="46"/>
      <c r="KB55" s="46"/>
      <c r="KC55" s="46"/>
      <c r="KD55" s="46"/>
      <c r="KE55" s="46"/>
      <c r="KF55" s="46"/>
      <c r="KG55" s="46"/>
      <c r="KH55" s="46"/>
    </row>
    <row r="56" spans="1:294">
      <c r="A56" s="9" t="s">
        <v>183</v>
      </c>
      <c r="B56" s="15" t="s">
        <v>55</v>
      </c>
      <c r="C56" s="19">
        <v>656790</v>
      </c>
      <c r="D56" s="19">
        <v>14713353</v>
      </c>
      <c r="E56" s="19">
        <v>2115308</v>
      </c>
      <c r="F56" s="19">
        <v>68612610</v>
      </c>
      <c r="G56" s="47" t="s">
        <v>130</v>
      </c>
      <c r="H56" s="19">
        <v>20080810</v>
      </c>
      <c r="I56" s="19">
        <v>148554286</v>
      </c>
      <c r="J56" s="47" t="s">
        <v>4</v>
      </c>
      <c r="K56" s="19">
        <v>65059095</v>
      </c>
      <c r="L56" s="47" t="s">
        <v>96</v>
      </c>
      <c r="M56" s="47" t="s">
        <v>96</v>
      </c>
      <c r="N56" s="19">
        <v>19200960</v>
      </c>
      <c r="O56" s="19">
        <v>16326910</v>
      </c>
      <c r="P56" s="19">
        <v>48208056</v>
      </c>
      <c r="Q56" s="19">
        <v>6112331</v>
      </c>
      <c r="R56" s="19">
        <v>5601670</v>
      </c>
      <c r="S56" s="19">
        <v>93873816</v>
      </c>
      <c r="T56" s="47" t="s">
        <v>96</v>
      </c>
      <c r="U56" s="47" t="s">
        <v>172</v>
      </c>
      <c r="V56" s="47" t="s">
        <v>172</v>
      </c>
      <c r="W56" s="19">
        <v>558850</v>
      </c>
      <c r="X56" s="19">
        <v>35223752</v>
      </c>
      <c r="Y56" s="19">
        <v>30705646</v>
      </c>
      <c r="Z56" s="19">
        <v>4998492</v>
      </c>
      <c r="AA56" s="19">
        <v>16859272</v>
      </c>
      <c r="AB56" s="19">
        <v>3681010</v>
      </c>
      <c r="AC56" s="19">
        <v>14420420</v>
      </c>
      <c r="AD56" s="19">
        <v>13948433</v>
      </c>
      <c r="AE56" s="19">
        <v>20206000</v>
      </c>
      <c r="AF56" s="47" t="s">
        <v>172</v>
      </c>
      <c r="AG56" s="19">
        <v>16140699</v>
      </c>
      <c r="AH56" s="19">
        <v>17789090</v>
      </c>
      <c r="AI56" s="19">
        <v>5342589</v>
      </c>
      <c r="AJ56" s="19">
        <v>7945370</v>
      </c>
      <c r="AK56" s="19">
        <v>20911222</v>
      </c>
      <c r="AL56" s="19">
        <v>10556740</v>
      </c>
      <c r="AM56" s="47" t="s">
        <v>4</v>
      </c>
      <c r="AN56" s="19">
        <v>30806930</v>
      </c>
      <c r="AO56" s="19">
        <v>35594212</v>
      </c>
      <c r="AP56" s="19">
        <v>663598</v>
      </c>
      <c r="AQ56" s="47" t="s">
        <v>96</v>
      </c>
      <c r="AR56" s="19">
        <v>14915260</v>
      </c>
      <c r="AS56" s="19">
        <v>47078337</v>
      </c>
      <c r="AT56" s="47" t="s">
        <v>172</v>
      </c>
      <c r="AU56" s="19">
        <v>33135860</v>
      </c>
      <c r="AV56" s="19">
        <v>1405970</v>
      </c>
      <c r="AW56" s="19">
        <v>7320060</v>
      </c>
      <c r="AX56" s="47" t="s">
        <v>4</v>
      </c>
      <c r="AY56" s="19">
        <v>28102726</v>
      </c>
      <c r="AZ56" s="19">
        <v>11264410</v>
      </c>
      <c r="BA56" s="19">
        <v>72849257</v>
      </c>
      <c r="BB56" s="19">
        <v>3027050</v>
      </c>
      <c r="BC56" s="47" t="s">
        <v>4</v>
      </c>
      <c r="BD56" s="47" t="s">
        <v>130</v>
      </c>
      <c r="BE56" s="19">
        <v>773270</v>
      </c>
      <c r="BF56" s="47" t="s">
        <v>96</v>
      </c>
      <c r="BG56" s="19">
        <v>11788831</v>
      </c>
      <c r="BH56" s="19">
        <v>7546893</v>
      </c>
      <c r="BI56" s="19">
        <v>12452890</v>
      </c>
      <c r="BJ56" s="19">
        <v>19010465</v>
      </c>
      <c r="BK56" s="19">
        <v>24121470</v>
      </c>
      <c r="BL56" s="19">
        <v>22272010</v>
      </c>
      <c r="BM56" s="19">
        <v>33800423</v>
      </c>
      <c r="BN56" s="19">
        <v>1369311</v>
      </c>
      <c r="BO56" s="19">
        <v>104440</v>
      </c>
      <c r="BP56" s="47" t="s">
        <v>96</v>
      </c>
      <c r="BQ56" s="47" t="s">
        <v>4</v>
      </c>
      <c r="BR56" s="19">
        <v>82605110</v>
      </c>
      <c r="BS56" s="19">
        <v>729630</v>
      </c>
      <c r="BT56" s="47" t="s">
        <v>130</v>
      </c>
      <c r="BU56" s="19">
        <v>12679100</v>
      </c>
      <c r="BV56" s="19">
        <v>2732625</v>
      </c>
      <c r="BW56" s="19">
        <v>10683400</v>
      </c>
      <c r="BX56" s="19">
        <v>11661960</v>
      </c>
      <c r="BY56" s="19">
        <v>48944460</v>
      </c>
      <c r="BZ56" s="19">
        <v>11464860</v>
      </c>
      <c r="CA56" s="19">
        <v>43548290</v>
      </c>
      <c r="CB56" s="19">
        <v>8221238</v>
      </c>
      <c r="CC56" s="19">
        <v>244390</v>
      </c>
      <c r="CD56" s="19">
        <v>68634250</v>
      </c>
      <c r="CE56" s="19">
        <v>1163550</v>
      </c>
      <c r="CF56" s="19">
        <v>6289047</v>
      </c>
      <c r="CG56" s="19">
        <v>2028040</v>
      </c>
      <c r="CH56" s="19">
        <v>5728805</v>
      </c>
      <c r="CI56" s="47" t="s">
        <v>130</v>
      </c>
      <c r="CJ56" s="19">
        <v>2201970</v>
      </c>
      <c r="CK56" s="19">
        <v>54751944</v>
      </c>
      <c r="CL56" s="19">
        <v>1166630</v>
      </c>
      <c r="CM56" s="19">
        <v>6657830</v>
      </c>
      <c r="CN56" s="19">
        <v>3297430</v>
      </c>
      <c r="CO56" s="19">
        <v>6018120</v>
      </c>
      <c r="CP56" s="19">
        <v>22753419</v>
      </c>
      <c r="CQ56" s="47" t="s">
        <v>96</v>
      </c>
      <c r="CR56" s="19">
        <v>11656700</v>
      </c>
      <c r="CS56" s="47" t="s">
        <v>172</v>
      </c>
      <c r="CT56" s="19">
        <v>180378494</v>
      </c>
      <c r="CU56" s="19">
        <v>10082410</v>
      </c>
      <c r="CV56" s="19">
        <v>1574140</v>
      </c>
      <c r="CW56" s="19">
        <v>14652910</v>
      </c>
      <c r="CX56" s="19">
        <v>81871286</v>
      </c>
      <c r="CY56" s="47" t="s">
        <v>96</v>
      </c>
      <c r="CZ56" s="19">
        <v>25142248</v>
      </c>
      <c r="DA56" s="47" t="s">
        <v>89</v>
      </c>
      <c r="DB56" s="19">
        <v>8542500</v>
      </c>
      <c r="DC56" s="19">
        <v>444990</v>
      </c>
      <c r="DD56" s="19">
        <v>1966220</v>
      </c>
      <c r="DE56" s="19">
        <v>18005500</v>
      </c>
      <c r="DF56" s="19">
        <v>2920600</v>
      </c>
      <c r="DG56" s="19">
        <v>14056037</v>
      </c>
      <c r="DH56" s="19">
        <v>10769030</v>
      </c>
      <c r="DI56" s="19">
        <v>18467857</v>
      </c>
      <c r="DJ56" s="19">
        <v>1407612</v>
      </c>
      <c r="DK56" s="19">
        <v>52357323</v>
      </c>
      <c r="DL56" s="19">
        <v>11525320</v>
      </c>
      <c r="DM56" s="19">
        <v>5833150</v>
      </c>
      <c r="DN56" s="19">
        <v>23717438</v>
      </c>
      <c r="DO56" s="19">
        <v>4097760</v>
      </c>
      <c r="DP56" s="19">
        <v>7901014</v>
      </c>
      <c r="DQ56" s="19">
        <v>3651237</v>
      </c>
      <c r="DR56" s="19">
        <v>18714513</v>
      </c>
      <c r="DS56" s="19">
        <v>9759890</v>
      </c>
      <c r="DT56" s="19">
        <v>39738688</v>
      </c>
      <c r="DU56" s="19">
        <v>9359220</v>
      </c>
      <c r="DV56" s="19">
        <v>357660</v>
      </c>
      <c r="DW56" s="19">
        <v>436583</v>
      </c>
      <c r="DX56" s="19">
        <v>18565080</v>
      </c>
      <c r="DY56" s="19">
        <v>7523518</v>
      </c>
      <c r="DZ56" s="19">
        <v>11930130</v>
      </c>
      <c r="EA56" s="19">
        <v>229909</v>
      </c>
      <c r="EB56" s="19">
        <v>137456122</v>
      </c>
      <c r="EC56" s="19">
        <v>8065080</v>
      </c>
      <c r="ED56" s="19">
        <v>10065310</v>
      </c>
      <c r="EE56" s="19">
        <v>9521586</v>
      </c>
      <c r="EF56" s="19">
        <v>10457810</v>
      </c>
      <c r="EG56" s="19">
        <v>66470680</v>
      </c>
      <c r="EH56" s="19">
        <v>16513916</v>
      </c>
      <c r="EI56" s="19">
        <v>8511908</v>
      </c>
      <c r="EJ56" s="19">
        <v>202390</v>
      </c>
      <c r="EK56" s="19">
        <v>37375280</v>
      </c>
      <c r="EL56" s="19">
        <v>62330900</v>
      </c>
      <c r="EM56" s="19">
        <v>6475570</v>
      </c>
      <c r="EN56" s="19">
        <v>23309006</v>
      </c>
      <c r="EO56" s="19">
        <v>19213680</v>
      </c>
      <c r="EP56" s="19">
        <v>3804934</v>
      </c>
      <c r="EQ56" s="19">
        <v>46137290</v>
      </c>
      <c r="ER56" s="19">
        <v>186204584</v>
      </c>
      <c r="ES56" s="19">
        <v>16609820</v>
      </c>
      <c r="ET56" s="19">
        <v>52439185</v>
      </c>
      <c r="EU56" s="19">
        <v>25259560</v>
      </c>
      <c r="EV56" s="19">
        <v>4643000</v>
      </c>
      <c r="EW56" s="19">
        <v>6724143</v>
      </c>
      <c r="EX56" s="19">
        <v>15855318</v>
      </c>
      <c r="EY56" s="19">
        <v>145874149</v>
      </c>
      <c r="EZ56" s="19">
        <v>18532290</v>
      </c>
      <c r="FA56" s="47" t="s">
        <v>130</v>
      </c>
      <c r="FB56" s="19">
        <v>4480040</v>
      </c>
      <c r="FC56" s="19">
        <v>28875359</v>
      </c>
      <c r="FD56" s="19">
        <v>6927160</v>
      </c>
      <c r="FE56" s="19">
        <v>82130025</v>
      </c>
      <c r="FF56" s="19">
        <v>12679919</v>
      </c>
      <c r="FG56" s="19">
        <v>17527210</v>
      </c>
      <c r="FH56" s="19">
        <v>19531100</v>
      </c>
      <c r="FI56" s="47" t="s">
        <v>96</v>
      </c>
      <c r="FJ56" s="19">
        <v>1382490</v>
      </c>
      <c r="FK56" s="19">
        <v>33632680</v>
      </c>
      <c r="FL56" s="47" t="s">
        <v>130</v>
      </c>
      <c r="FM56" s="19">
        <v>20907737</v>
      </c>
      <c r="FN56" s="19">
        <v>28506322</v>
      </c>
      <c r="FO56" s="47" t="s">
        <v>172</v>
      </c>
      <c r="FP56" s="19">
        <v>14304910</v>
      </c>
      <c r="FQ56" s="19">
        <v>1270340</v>
      </c>
      <c r="FR56" s="19">
        <v>15893960</v>
      </c>
      <c r="FS56" s="47" t="s">
        <v>130</v>
      </c>
      <c r="FT56" s="19">
        <v>13129210</v>
      </c>
      <c r="FU56" s="19">
        <v>1291920</v>
      </c>
      <c r="FV56" s="19">
        <v>41181669</v>
      </c>
      <c r="FW56" s="19">
        <v>430566</v>
      </c>
      <c r="FX56" s="19">
        <v>488700</v>
      </c>
      <c r="FY56" s="19">
        <v>35059700</v>
      </c>
      <c r="FZ56" s="47" t="s">
        <v>175</v>
      </c>
      <c r="GA56" s="19">
        <v>34587010</v>
      </c>
      <c r="GB56" s="19">
        <v>8591059</v>
      </c>
      <c r="GC56" s="19">
        <v>3825560</v>
      </c>
      <c r="GD56" s="48" t="s">
        <v>96</v>
      </c>
      <c r="GE56" s="48" t="s">
        <v>96</v>
      </c>
      <c r="GF56" s="19">
        <v>12481240</v>
      </c>
      <c r="GG56" s="19">
        <v>43305655</v>
      </c>
      <c r="GH56" s="47" t="s">
        <v>172</v>
      </c>
      <c r="GI56" s="19">
        <v>902800</v>
      </c>
      <c r="GJ56" s="47" t="s">
        <v>96</v>
      </c>
      <c r="GK56" s="19">
        <v>6852600</v>
      </c>
      <c r="GL56" s="47" t="s">
        <v>96</v>
      </c>
      <c r="GM56" s="19">
        <v>3978637</v>
      </c>
      <c r="GN56" s="19">
        <v>1692603</v>
      </c>
      <c r="GO56" s="47" t="s">
        <v>96</v>
      </c>
      <c r="GP56" s="19">
        <v>12905287</v>
      </c>
      <c r="GQ56" s="19">
        <v>2347210</v>
      </c>
      <c r="GR56" s="19">
        <v>26634088</v>
      </c>
      <c r="GS56" s="19">
        <v>13377090</v>
      </c>
      <c r="GT56" s="19">
        <v>12018690</v>
      </c>
      <c r="GU56" s="19">
        <v>8858670</v>
      </c>
      <c r="GV56" s="19">
        <v>28089790</v>
      </c>
      <c r="GW56" s="19">
        <v>25221602</v>
      </c>
      <c r="GX56" s="19">
        <v>449020</v>
      </c>
      <c r="GY56" s="19">
        <v>22473400</v>
      </c>
      <c r="GZ56" s="19">
        <v>38389764</v>
      </c>
      <c r="HA56" s="19">
        <v>9207485</v>
      </c>
      <c r="HB56" s="19">
        <v>327420</v>
      </c>
      <c r="HC56" s="19">
        <v>2325300</v>
      </c>
      <c r="HD56" s="19">
        <v>9080200</v>
      </c>
      <c r="HE56" s="19">
        <v>5379905</v>
      </c>
      <c r="HF56" s="19">
        <v>182196428</v>
      </c>
      <c r="HG56" s="19">
        <v>13601923</v>
      </c>
      <c r="HH56" s="47" t="s">
        <v>130</v>
      </c>
      <c r="HI56" s="19">
        <v>35913530</v>
      </c>
      <c r="HJ56" s="19">
        <v>2114117</v>
      </c>
      <c r="HK56" s="19">
        <v>38928694</v>
      </c>
      <c r="HL56" s="19">
        <v>10078006</v>
      </c>
      <c r="HM56" s="19">
        <v>54119950</v>
      </c>
      <c r="HN56" s="19">
        <v>8377970</v>
      </c>
      <c r="HO56" s="19">
        <v>895440</v>
      </c>
      <c r="HP56" s="19">
        <v>111167860</v>
      </c>
      <c r="HQ56" s="19">
        <v>29020304</v>
      </c>
      <c r="HR56" s="19">
        <v>36436250</v>
      </c>
      <c r="HS56" s="19">
        <v>12207158</v>
      </c>
      <c r="HT56" s="19">
        <v>421350</v>
      </c>
      <c r="HU56" s="19">
        <v>1753360</v>
      </c>
      <c r="HV56" s="19">
        <v>2050410</v>
      </c>
      <c r="HW56" s="47" t="s">
        <v>96</v>
      </c>
      <c r="HX56" s="19">
        <v>28224290</v>
      </c>
      <c r="HY56" s="19" t="s">
        <v>172</v>
      </c>
      <c r="HZ56" s="19">
        <v>253831</v>
      </c>
      <c r="IA56" s="19">
        <v>544630</v>
      </c>
      <c r="IB56" s="19">
        <v>46105427</v>
      </c>
      <c r="IC56" s="19">
        <v>181323180</v>
      </c>
      <c r="ID56" s="19">
        <v>12404360</v>
      </c>
      <c r="IE56" s="47" t="s">
        <v>96</v>
      </c>
      <c r="IF56" s="19">
        <v>2923610</v>
      </c>
      <c r="IG56" s="19">
        <v>3090411</v>
      </c>
      <c r="IH56" s="19">
        <v>21167400</v>
      </c>
      <c r="II56" s="19">
        <v>7010510</v>
      </c>
      <c r="IJ56" s="19">
        <v>935000</v>
      </c>
      <c r="IK56" s="19">
        <v>13328374</v>
      </c>
      <c r="IL56" s="19">
        <v>11841263</v>
      </c>
      <c r="IM56" s="19">
        <v>27133620</v>
      </c>
      <c r="IN56" s="19">
        <v>21804230</v>
      </c>
      <c r="IO56" s="19">
        <v>10146790</v>
      </c>
      <c r="IP56" s="19">
        <v>24642620</v>
      </c>
      <c r="IQ56" s="19">
        <v>14635230</v>
      </c>
      <c r="IR56" s="19">
        <v>24840280</v>
      </c>
      <c r="IS56" s="19">
        <v>14727840</v>
      </c>
      <c r="IT56" s="19">
        <v>21322800</v>
      </c>
      <c r="IU56" s="45">
        <v>13699830</v>
      </c>
      <c r="IV56" s="45">
        <v>744050</v>
      </c>
      <c r="IW56" s="45">
        <v>7880383</v>
      </c>
      <c r="IX56" s="45">
        <v>20600616</v>
      </c>
      <c r="IY56" s="45">
        <v>416720</v>
      </c>
      <c r="IZ56" s="45">
        <v>10835740</v>
      </c>
      <c r="JA56" s="45">
        <v>9712570</v>
      </c>
      <c r="JB56" s="45">
        <v>7293333</v>
      </c>
      <c r="JC56" s="45">
        <v>2193810</v>
      </c>
      <c r="JD56" s="45">
        <v>11642970</v>
      </c>
      <c r="JE56" s="45">
        <v>2056350</v>
      </c>
      <c r="JF56" s="45">
        <v>15445650</v>
      </c>
      <c r="JG56" s="45">
        <v>5229671</v>
      </c>
      <c r="JH56" s="45">
        <v>3086380</v>
      </c>
      <c r="JI56" s="45">
        <v>6357930</v>
      </c>
      <c r="JJ56" s="45">
        <v>10004050</v>
      </c>
      <c r="JK56" s="45">
        <v>10761961</v>
      </c>
      <c r="JL56" s="45">
        <v>157647735</v>
      </c>
      <c r="JM56" s="45">
        <v>10902650</v>
      </c>
      <c r="JN56" s="45">
        <v>9613119</v>
      </c>
      <c r="JO56" s="46">
        <v>4089210</v>
      </c>
      <c r="JP56" s="46">
        <v>416170</v>
      </c>
      <c r="JQ56" s="63" t="s">
        <v>175</v>
      </c>
      <c r="JR56" s="46">
        <v>10327390</v>
      </c>
      <c r="JS56" s="46">
        <v>10057790</v>
      </c>
      <c r="JT56" s="46">
        <v>10093612</v>
      </c>
      <c r="JU56" s="46">
        <v>707180</v>
      </c>
      <c r="JV56" s="46">
        <v>25452510</v>
      </c>
      <c r="JW56" s="46">
        <v>14188940</v>
      </c>
      <c r="JX56" s="46">
        <v>487819322</v>
      </c>
      <c r="JY56" s="46">
        <v>73198457</v>
      </c>
      <c r="JZ56" s="46">
        <v>22500</v>
      </c>
      <c r="KA56" s="46"/>
      <c r="KB56" s="46">
        <v>15896150</v>
      </c>
      <c r="KC56" s="46">
        <v>4809352</v>
      </c>
      <c r="KD56" s="46">
        <v>8572050</v>
      </c>
      <c r="KE56" s="46">
        <v>155690</v>
      </c>
      <c r="KF56" s="46">
        <v>4225207</v>
      </c>
      <c r="KG56" s="46">
        <v>4435770</v>
      </c>
      <c r="KH56" s="46">
        <v>14115704</v>
      </c>
    </row>
    <row r="57" spans="1:294">
      <c r="A57" s="9" t="s">
        <v>183</v>
      </c>
      <c r="B57" s="15" t="s">
        <v>77</v>
      </c>
      <c r="C57" s="19">
        <v>245640549</v>
      </c>
      <c r="D57" s="19">
        <v>614420410</v>
      </c>
      <c r="E57" s="19">
        <v>178946617</v>
      </c>
      <c r="F57" s="19">
        <v>577355571</v>
      </c>
      <c r="G57" s="47" t="s">
        <v>130</v>
      </c>
      <c r="H57" s="19">
        <v>2986624798</v>
      </c>
      <c r="I57" s="19">
        <v>1487480485</v>
      </c>
      <c r="J57" s="47" t="s">
        <v>4</v>
      </c>
      <c r="K57" s="19">
        <v>236889663</v>
      </c>
      <c r="L57" s="47" t="s">
        <v>96</v>
      </c>
      <c r="M57" s="47" t="s">
        <v>96</v>
      </c>
      <c r="N57" s="19">
        <v>307972344</v>
      </c>
      <c r="O57" s="19">
        <v>2581924613</v>
      </c>
      <c r="P57" s="19">
        <v>1352471369</v>
      </c>
      <c r="Q57" s="19">
        <v>95923245</v>
      </c>
      <c r="R57" s="19">
        <v>271125513</v>
      </c>
      <c r="S57" s="19">
        <v>3283053862</v>
      </c>
      <c r="T57" s="47" t="s">
        <v>96</v>
      </c>
      <c r="U57" s="47" t="s">
        <v>172</v>
      </c>
      <c r="V57" s="47" t="s">
        <v>172</v>
      </c>
      <c r="W57" s="19">
        <v>844217076</v>
      </c>
      <c r="X57" s="19">
        <v>412384896</v>
      </c>
      <c r="Y57" s="19">
        <v>136390777</v>
      </c>
      <c r="Z57" s="19">
        <v>560295460</v>
      </c>
      <c r="AA57" s="19">
        <v>95377636</v>
      </c>
      <c r="AB57" s="19">
        <v>191076258</v>
      </c>
      <c r="AC57" s="19">
        <v>71219728</v>
      </c>
      <c r="AD57" s="19">
        <v>129641579</v>
      </c>
      <c r="AE57" s="19">
        <v>180526311</v>
      </c>
      <c r="AF57" s="47" t="s">
        <v>172</v>
      </c>
      <c r="AG57" s="19">
        <v>132611594</v>
      </c>
      <c r="AH57" s="19">
        <v>1310508511</v>
      </c>
      <c r="AI57" s="19">
        <v>156421256</v>
      </c>
      <c r="AJ57" s="19">
        <v>235348578</v>
      </c>
      <c r="AK57" s="19">
        <v>236617877</v>
      </c>
      <c r="AL57" s="19">
        <v>554095427</v>
      </c>
      <c r="AM57" s="47" t="s">
        <v>4</v>
      </c>
      <c r="AN57" s="19">
        <v>440338530</v>
      </c>
      <c r="AO57" s="19">
        <v>729473833</v>
      </c>
      <c r="AP57" s="19">
        <v>570346344</v>
      </c>
      <c r="AQ57" s="47" t="s">
        <v>96</v>
      </c>
      <c r="AR57" s="19">
        <v>505724646</v>
      </c>
      <c r="AS57" s="19">
        <v>1170561616</v>
      </c>
      <c r="AT57" s="47" t="s">
        <v>172</v>
      </c>
      <c r="AU57" s="19">
        <v>754786293</v>
      </c>
      <c r="AV57" s="19">
        <v>61251890</v>
      </c>
      <c r="AW57" s="19">
        <v>106536293</v>
      </c>
      <c r="AX57" s="47" t="s">
        <v>4</v>
      </c>
      <c r="AY57" s="19">
        <v>239340900</v>
      </c>
      <c r="AZ57" s="19">
        <v>150076399</v>
      </c>
      <c r="BA57" s="19">
        <v>822623716</v>
      </c>
      <c r="BB57" s="19">
        <v>20215589</v>
      </c>
      <c r="BC57" s="47" t="s">
        <v>4</v>
      </c>
      <c r="BD57" s="47" t="s">
        <v>130</v>
      </c>
      <c r="BE57" s="19">
        <v>104923918</v>
      </c>
      <c r="BF57" s="47" t="s">
        <v>96</v>
      </c>
      <c r="BG57" s="19">
        <v>710371678</v>
      </c>
      <c r="BH57" s="19">
        <v>56374946</v>
      </c>
      <c r="BI57" s="19">
        <v>169075202</v>
      </c>
      <c r="BJ57" s="19">
        <v>192483195</v>
      </c>
      <c r="BK57" s="19">
        <v>509623210</v>
      </c>
      <c r="BL57" s="19">
        <v>7270013744</v>
      </c>
      <c r="BM57" s="19">
        <v>1101515047</v>
      </c>
      <c r="BN57" s="19">
        <v>20855886</v>
      </c>
      <c r="BO57" s="19">
        <v>14291953</v>
      </c>
      <c r="BP57" s="47" t="s">
        <v>96</v>
      </c>
      <c r="BQ57" s="47" t="s">
        <v>4</v>
      </c>
      <c r="BR57" s="19">
        <v>1583636105</v>
      </c>
      <c r="BS57" s="19">
        <v>41301431</v>
      </c>
      <c r="BT57" s="47" t="s">
        <v>130</v>
      </c>
      <c r="BU57" s="19">
        <v>373713884</v>
      </c>
      <c r="BV57" s="19">
        <v>399507421</v>
      </c>
      <c r="BW57" s="19">
        <v>404709800</v>
      </c>
      <c r="BX57" s="19">
        <v>307046533</v>
      </c>
      <c r="BY57" s="19">
        <v>1472701409</v>
      </c>
      <c r="BZ57" s="19">
        <v>331425158</v>
      </c>
      <c r="CA57" s="19">
        <v>1421716766</v>
      </c>
      <c r="CB57" s="19">
        <v>179092733</v>
      </c>
      <c r="CC57" s="19">
        <v>146200841</v>
      </c>
      <c r="CD57" s="19">
        <v>509801015</v>
      </c>
      <c r="CE57" s="19">
        <v>16880909</v>
      </c>
      <c r="CF57" s="19">
        <v>159432214</v>
      </c>
      <c r="CG57" s="19">
        <v>126489504</v>
      </c>
      <c r="CH57" s="19">
        <v>166464439</v>
      </c>
      <c r="CI57" s="47" t="s">
        <v>130</v>
      </c>
      <c r="CJ57" s="19">
        <v>13211831</v>
      </c>
      <c r="CK57" s="19">
        <v>396956924</v>
      </c>
      <c r="CL57" s="19">
        <v>162405943</v>
      </c>
      <c r="CM57" s="19">
        <v>1088167166</v>
      </c>
      <c r="CN57" s="19">
        <v>171020520</v>
      </c>
      <c r="CO57" s="19">
        <v>68649134</v>
      </c>
      <c r="CP57" s="19">
        <v>3787020867</v>
      </c>
      <c r="CQ57" s="47" t="s">
        <v>96</v>
      </c>
      <c r="CR57" s="19">
        <v>138095411</v>
      </c>
      <c r="CS57" s="47" t="s">
        <v>172</v>
      </c>
      <c r="CT57" s="19">
        <v>10676206111</v>
      </c>
      <c r="CU57" s="19">
        <v>228416048</v>
      </c>
      <c r="CV57" s="19">
        <v>41637645</v>
      </c>
      <c r="CW57" s="19">
        <v>969245979</v>
      </c>
      <c r="CX57" s="19">
        <v>2022356676</v>
      </c>
      <c r="CY57" s="47" t="s">
        <v>96</v>
      </c>
      <c r="CZ57" s="19">
        <v>2525191687</v>
      </c>
      <c r="DA57" s="47" t="s">
        <v>89</v>
      </c>
      <c r="DB57" s="19">
        <v>326395585</v>
      </c>
      <c r="DC57" s="19">
        <v>56092341</v>
      </c>
      <c r="DD57" s="19">
        <v>66369470</v>
      </c>
      <c r="DE57" s="19">
        <v>476956529</v>
      </c>
      <c r="DF57" s="19">
        <v>35696960</v>
      </c>
      <c r="DG57" s="19">
        <v>92737016</v>
      </c>
      <c r="DH57" s="19">
        <v>250248292</v>
      </c>
      <c r="DI57" s="19">
        <v>475985753</v>
      </c>
      <c r="DJ57" s="19">
        <v>153791960</v>
      </c>
      <c r="DK57" s="19">
        <v>1100974733</v>
      </c>
      <c r="DL57" s="19">
        <v>177746700</v>
      </c>
      <c r="DM57" s="19">
        <v>107691536</v>
      </c>
      <c r="DN57" s="19">
        <v>185614444</v>
      </c>
      <c r="DO57" s="19">
        <v>29104449</v>
      </c>
      <c r="DP57" s="19">
        <v>238921338</v>
      </c>
      <c r="DQ57" s="19">
        <v>24373328</v>
      </c>
      <c r="DR57" s="19">
        <v>909832278</v>
      </c>
      <c r="DS57" s="19">
        <v>181929621</v>
      </c>
      <c r="DT57" s="19">
        <v>1351971804</v>
      </c>
      <c r="DU57" s="19">
        <v>169794445</v>
      </c>
      <c r="DV57" s="19">
        <v>4053291548</v>
      </c>
      <c r="DW57" s="19">
        <v>166116147</v>
      </c>
      <c r="DX57" s="19">
        <v>4432482807</v>
      </c>
      <c r="DY57" s="19">
        <v>106045828</v>
      </c>
      <c r="DZ57" s="19">
        <v>57018601</v>
      </c>
      <c r="EA57" s="19">
        <v>20352794</v>
      </c>
      <c r="EB57" s="19">
        <v>725503408</v>
      </c>
      <c r="EC57" s="19">
        <v>318768261</v>
      </c>
      <c r="ED57" s="19">
        <f>62762376+1500000</f>
        <v>64262376</v>
      </c>
      <c r="EE57" s="19">
        <v>26705642</v>
      </c>
      <c r="EF57" s="19">
        <v>195939320</v>
      </c>
      <c r="EG57" s="19">
        <v>1194993244</v>
      </c>
      <c r="EH57" s="19">
        <v>305319592</v>
      </c>
      <c r="EI57" s="19">
        <v>1996094885</v>
      </c>
      <c r="EJ57" s="19">
        <v>288477951</v>
      </c>
      <c r="EK57" s="19">
        <f>886358636+2400000+80550000</f>
        <v>969308636</v>
      </c>
      <c r="EL57" s="19">
        <v>166668124</v>
      </c>
      <c r="EM57" s="19">
        <v>44281821</v>
      </c>
      <c r="EN57" s="19">
        <v>1792550659</v>
      </c>
      <c r="EO57" s="19">
        <v>407234065</v>
      </c>
      <c r="EP57" s="19">
        <v>195044894</v>
      </c>
      <c r="EQ57" s="19">
        <v>991429910</v>
      </c>
      <c r="ER57" s="19">
        <v>786355596</v>
      </c>
      <c r="ES57" s="19">
        <v>203128897</v>
      </c>
      <c r="ET57" s="19">
        <v>3562982533</v>
      </c>
      <c r="EU57" s="19">
        <v>1054383089</v>
      </c>
      <c r="EV57" s="19">
        <v>65588341</v>
      </c>
      <c r="EW57" s="19">
        <v>249989646</v>
      </c>
      <c r="EX57" s="19">
        <v>1380196401</v>
      </c>
      <c r="EY57" s="19">
        <v>1351822956</v>
      </c>
      <c r="EZ57" s="19">
        <f>514196922+125200000</f>
        <v>639396922</v>
      </c>
      <c r="FA57" s="47" t="s">
        <v>130</v>
      </c>
      <c r="FB57" s="19">
        <v>40446419</v>
      </c>
      <c r="FC57" s="19">
        <v>241644181</v>
      </c>
      <c r="FD57" s="19">
        <v>100507715</v>
      </c>
      <c r="FE57" s="19">
        <v>3968731448</v>
      </c>
      <c r="FF57" s="19">
        <v>396034382</v>
      </c>
      <c r="FG57" s="19">
        <v>383676400</v>
      </c>
      <c r="FH57" s="19">
        <v>351582104</v>
      </c>
      <c r="FI57" s="47" t="s">
        <v>96</v>
      </c>
      <c r="FJ57" s="19">
        <v>227545773</v>
      </c>
      <c r="FK57" s="19">
        <v>390532026</v>
      </c>
      <c r="FL57" s="47" t="s">
        <v>130</v>
      </c>
      <c r="FM57" s="19">
        <v>442184496</v>
      </c>
      <c r="FN57" s="19">
        <v>1044444302</v>
      </c>
      <c r="FO57" s="47" t="s">
        <v>172</v>
      </c>
      <c r="FP57" s="19">
        <v>130669871</v>
      </c>
      <c r="FQ57" s="19">
        <v>15814463</v>
      </c>
      <c r="FR57" s="19">
        <v>334774730</v>
      </c>
      <c r="FS57" s="47" t="s">
        <v>130</v>
      </c>
      <c r="FT57" s="19">
        <v>1963739204</v>
      </c>
      <c r="FU57" s="19">
        <v>48116026</v>
      </c>
      <c r="FV57" s="19">
        <v>352604837</v>
      </c>
      <c r="FW57" s="19">
        <v>23945829</v>
      </c>
      <c r="FX57" s="19">
        <v>102984880</v>
      </c>
      <c r="FY57" s="19">
        <v>2351350221</v>
      </c>
      <c r="FZ57" s="47" t="s">
        <v>175</v>
      </c>
      <c r="GA57" s="19">
        <v>661850703</v>
      </c>
      <c r="GB57" s="19">
        <v>100058311</v>
      </c>
      <c r="GC57" s="19">
        <v>72937520</v>
      </c>
      <c r="GD57" s="48" t="s">
        <v>96</v>
      </c>
      <c r="GE57" s="48" t="s">
        <v>96</v>
      </c>
      <c r="GF57" s="19">
        <v>342386260</v>
      </c>
      <c r="GG57" s="19">
        <v>1730956491</v>
      </c>
      <c r="GH57" s="47" t="s">
        <v>172</v>
      </c>
      <c r="GI57" s="19">
        <v>50837466</v>
      </c>
      <c r="GJ57" s="47" t="s">
        <v>96</v>
      </c>
      <c r="GK57" s="19">
        <v>148627326</v>
      </c>
      <c r="GL57" s="47" t="s">
        <v>96</v>
      </c>
      <c r="GM57" s="19">
        <v>278152403</v>
      </c>
      <c r="GN57" s="19">
        <v>662463819</v>
      </c>
      <c r="GO57" s="47" t="s">
        <v>96</v>
      </c>
      <c r="GP57" s="19">
        <v>403299346</v>
      </c>
      <c r="GQ57" s="19">
        <v>43360120</v>
      </c>
      <c r="GR57" s="19">
        <v>956323356</v>
      </c>
      <c r="GS57" s="19">
        <v>250399840</v>
      </c>
      <c r="GT57" s="19">
        <v>170441460</v>
      </c>
      <c r="GU57" s="19">
        <v>123599175</v>
      </c>
      <c r="GV57" s="19">
        <v>918581294</v>
      </c>
      <c r="GW57" s="19">
        <v>2632295519</v>
      </c>
      <c r="GX57" s="19">
        <v>180519111</v>
      </c>
      <c r="GY57" s="19">
        <v>592646900</v>
      </c>
      <c r="GZ57" s="19">
        <v>659114552</v>
      </c>
      <c r="HA57" s="19">
        <v>195302967</v>
      </c>
      <c r="HB57" s="19">
        <v>487348196</v>
      </c>
      <c r="HC57" s="19">
        <v>186345528</v>
      </c>
      <c r="HD57" s="19">
        <v>693888678</v>
      </c>
      <c r="HE57" s="19">
        <v>125580959</v>
      </c>
      <c r="HF57" s="19">
        <v>495354295</v>
      </c>
      <c r="HG57" s="19">
        <v>73840062</v>
      </c>
      <c r="HH57" s="47" t="s">
        <v>130</v>
      </c>
      <c r="HI57" s="19">
        <v>358154754</v>
      </c>
      <c r="HJ57" s="19">
        <v>58562407</v>
      </c>
      <c r="HK57" s="19">
        <v>331674830</v>
      </c>
      <c r="HL57" s="19">
        <v>53601134</v>
      </c>
      <c r="HM57" s="19">
        <v>436153576</v>
      </c>
      <c r="HN57" s="19">
        <v>41400412</v>
      </c>
      <c r="HO57" s="19">
        <v>201830699</v>
      </c>
      <c r="HP57" s="19">
        <v>357347772</v>
      </c>
      <c r="HQ57" s="19">
        <v>168419809</v>
      </c>
      <c r="HR57" s="19">
        <v>762797864</v>
      </c>
      <c r="HS57" s="19">
        <v>216546587</v>
      </c>
      <c r="HT57" s="19">
        <v>32646506</v>
      </c>
      <c r="HU57" s="19">
        <v>3043389152</v>
      </c>
      <c r="HV57" s="19">
        <v>100570120</v>
      </c>
      <c r="HW57" s="47" t="s">
        <v>96</v>
      </c>
      <c r="HX57" s="19">
        <v>245245278</v>
      </c>
      <c r="HY57" s="19" t="s">
        <v>172</v>
      </c>
      <c r="HZ57" s="19">
        <v>121255413</v>
      </c>
      <c r="IA57" s="19">
        <f>213203815-IA52-IA53-IA54-IA56</f>
        <v>127489227</v>
      </c>
      <c r="IB57" s="19">
        <v>1380486641</v>
      </c>
      <c r="IC57" s="19">
        <f>6418460461-IC52-IC53-IC54-IC56</f>
        <v>738410285</v>
      </c>
      <c r="ID57" s="19">
        <v>40455946</v>
      </c>
      <c r="IE57" s="47" t="s">
        <v>96</v>
      </c>
      <c r="IF57" s="19">
        <v>48864287</v>
      </c>
      <c r="IG57" s="19">
        <v>83524295</v>
      </c>
      <c r="IH57" s="19">
        <v>475497210</v>
      </c>
      <c r="II57" s="19">
        <v>234770981</v>
      </c>
      <c r="IJ57" s="19">
        <v>180762817</v>
      </c>
      <c r="IK57" s="19">
        <v>108701748</v>
      </c>
      <c r="IL57" s="19">
        <v>91248474</v>
      </c>
      <c r="IM57" s="19">
        <v>119152271</v>
      </c>
      <c r="IN57" s="19">
        <v>566206657</v>
      </c>
      <c r="IO57" s="19">
        <v>633141989</v>
      </c>
      <c r="IP57" s="19">
        <v>601787762</v>
      </c>
      <c r="IQ57" s="19">
        <v>3720453160</v>
      </c>
      <c r="IR57" s="19">
        <v>251778546</v>
      </c>
      <c r="IS57" s="19">
        <v>230649127</v>
      </c>
      <c r="IT57" s="19">
        <v>153120969</v>
      </c>
      <c r="IU57" s="45">
        <v>698622633</v>
      </c>
      <c r="IV57" s="45">
        <v>293760421</v>
      </c>
      <c r="IW57" s="45">
        <v>432282196</v>
      </c>
      <c r="IX57" s="45">
        <v>350292535</v>
      </c>
      <c r="IY57" s="45">
        <v>143469016</v>
      </c>
      <c r="IZ57" s="45">
        <v>121357057</v>
      </c>
      <c r="JA57" s="45">
        <v>784234583</v>
      </c>
      <c r="JB57" s="45">
        <v>190323513</v>
      </c>
      <c r="JC57" s="45">
        <v>49259021</v>
      </c>
      <c r="JD57" s="45">
        <v>501314762</v>
      </c>
      <c r="JE57" s="45">
        <v>47366195</v>
      </c>
      <c r="JF57" s="45">
        <v>256807409</v>
      </c>
      <c r="JG57" s="45">
        <v>60463354</v>
      </c>
      <c r="JH57" s="45">
        <v>86267896</v>
      </c>
      <c r="JI57" s="45">
        <v>120867632</v>
      </c>
      <c r="JJ57" s="45">
        <v>61789968</v>
      </c>
      <c r="JK57" s="45">
        <v>96557433</v>
      </c>
      <c r="JL57" s="45">
        <v>654724359</v>
      </c>
      <c r="JM57" s="45">
        <v>533480377</v>
      </c>
      <c r="JN57" s="45">
        <v>225905933</v>
      </c>
      <c r="JO57" s="46">
        <v>75039077</v>
      </c>
      <c r="JP57" s="46">
        <v>288926300</v>
      </c>
      <c r="JQ57" s="63" t="s">
        <v>175</v>
      </c>
      <c r="JR57" s="46">
        <v>459883569</v>
      </c>
      <c r="JS57" s="46">
        <v>122010238</v>
      </c>
      <c r="JT57" s="46">
        <v>161392935</v>
      </c>
      <c r="JU57" s="46">
        <v>53819047</v>
      </c>
      <c r="JV57" s="46">
        <v>417118736</v>
      </c>
      <c r="JW57" s="46">
        <v>625787199</v>
      </c>
      <c r="JX57" s="46">
        <v>198043505</v>
      </c>
      <c r="JY57" s="46">
        <v>1212713376</v>
      </c>
      <c r="JZ57" s="46">
        <v>9536838</v>
      </c>
      <c r="KA57" s="46">
        <v>152163481</v>
      </c>
      <c r="KB57" s="46">
        <v>442069714</v>
      </c>
      <c r="KC57" s="46">
        <v>244126334</v>
      </c>
      <c r="KD57" s="46">
        <v>203914957</v>
      </c>
      <c r="KE57" s="46">
        <v>22590560</v>
      </c>
      <c r="KF57" s="46">
        <v>216065907</v>
      </c>
      <c r="KG57" s="46">
        <v>252688464</v>
      </c>
      <c r="KH57" s="46">
        <v>272830410</v>
      </c>
    </row>
    <row r="58" spans="1:294">
      <c r="A58" s="9" t="s">
        <v>183</v>
      </c>
      <c r="B58" s="10" t="s">
        <v>87</v>
      </c>
      <c r="C58" s="19">
        <v>-214958202</v>
      </c>
      <c r="D58" s="19">
        <v>-390666670</v>
      </c>
      <c r="E58" s="19">
        <v>-42026065</v>
      </c>
      <c r="F58" s="19">
        <v>85462923</v>
      </c>
      <c r="G58" s="47" t="s">
        <v>130</v>
      </c>
      <c r="H58" s="19">
        <v>-211759351</v>
      </c>
      <c r="I58" s="19">
        <v>9385674</v>
      </c>
      <c r="J58" s="47" t="s">
        <v>4</v>
      </c>
      <c r="K58" s="19">
        <v>-773731365</v>
      </c>
      <c r="L58" s="47" t="s">
        <v>96</v>
      </c>
      <c r="M58" s="47" t="s">
        <v>96</v>
      </c>
      <c r="N58" s="19">
        <v>-375411027</v>
      </c>
      <c r="O58" s="19">
        <v>-285455335</v>
      </c>
      <c r="P58" s="19">
        <v>-171456578</v>
      </c>
      <c r="Q58" s="19">
        <v>89438924</v>
      </c>
      <c r="R58" s="19">
        <v>74805712</v>
      </c>
      <c r="S58" s="19">
        <v>431435902</v>
      </c>
      <c r="T58" s="47" t="s">
        <v>96</v>
      </c>
      <c r="U58" s="47" t="s">
        <v>172</v>
      </c>
      <c r="V58" s="47" t="s">
        <v>172</v>
      </c>
      <c r="W58" s="19">
        <v>13284706</v>
      </c>
      <c r="X58" s="19">
        <v>576894141</v>
      </c>
      <c r="Y58" s="19">
        <v>-100485569</v>
      </c>
      <c r="Z58" s="19">
        <v>-174596697</v>
      </c>
      <c r="AA58" s="19">
        <v>297025199</v>
      </c>
      <c r="AB58" s="19">
        <v>-160266095</v>
      </c>
      <c r="AC58" s="19">
        <v>9575364</v>
      </c>
      <c r="AD58" s="19">
        <v>379021399</v>
      </c>
      <c r="AE58" s="19">
        <v>-195523562</v>
      </c>
      <c r="AF58" s="47" t="s">
        <v>172</v>
      </c>
      <c r="AG58" s="19">
        <v>-342025511</v>
      </c>
      <c r="AH58" s="19">
        <v>-643911203</v>
      </c>
      <c r="AI58" s="19">
        <v>-89059017</v>
      </c>
      <c r="AJ58" s="19">
        <v>-2287321</v>
      </c>
      <c r="AK58" s="19">
        <v>-63788470</v>
      </c>
      <c r="AL58" s="19">
        <v>-9830614</v>
      </c>
      <c r="AM58" s="47" t="s">
        <v>4</v>
      </c>
      <c r="AN58" s="19">
        <v>22026741</v>
      </c>
      <c r="AO58" s="19">
        <v>-271424801</v>
      </c>
      <c r="AP58" s="19">
        <v>-220335757</v>
      </c>
      <c r="AQ58" s="47" t="s">
        <v>96</v>
      </c>
      <c r="AR58" s="19">
        <v>-819734474</v>
      </c>
      <c r="AS58" s="19">
        <v>-490696540</v>
      </c>
      <c r="AT58" s="47" t="s">
        <v>172</v>
      </c>
      <c r="AU58" s="19">
        <v>-263502976</v>
      </c>
      <c r="AV58" s="19">
        <v>33686519</v>
      </c>
      <c r="AW58" s="19">
        <v>-4208535</v>
      </c>
      <c r="AX58" s="47" t="s">
        <v>4</v>
      </c>
      <c r="AY58" s="19">
        <v>-34139395</v>
      </c>
      <c r="AZ58" s="19">
        <v>-2722129</v>
      </c>
      <c r="BA58" s="19">
        <v>-731446784</v>
      </c>
      <c r="BB58" s="19">
        <v>-87367799</v>
      </c>
      <c r="BC58" s="47" t="s">
        <v>4</v>
      </c>
      <c r="BD58" s="47" t="s">
        <v>130</v>
      </c>
      <c r="BE58" s="19">
        <v>39990042</v>
      </c>
      <c r="BF58" s="47" t="s">
        <v>96</v>
      </c>
      <c r="BG58" s="19">
        <v>-147652009</v>
      </c>
      <c r="BH58" s="19">
        <v>21816114</v>
      </c>
      <c r="BI58" s="19">
        <v>-105022442</v>
      </c>
      <c r="BJ58" s="19">
        <v>19802792</v>
      </c>
      <c r="BK58" s="19">
        <v>-805814092</v>
      </c>
      <c r="BL58" s="19">
        <v>816910346</v>
      </c>
      <c r="BM58" s="19">
        <v>-108823464</v>
      </c>
      <c r="BN58" s="19">
        <v>-88297478</v>
      </c>
      <c r="BO58" s="19">
        <v>-26155465</v>
      </c>
      <c r="BP58" s="47" t="s">
        <v>96</v>
      </c>
      <c r="BQ58" s="47" t="s">
        <v>4</v>
      </c>
      <c r="BR58" s="19">
        <v>3027472183</v>
      </c>
      <c r="BS58" s="19">
        <v>-39437878</v>
      </c>
      <c r="BT58" s="47" t="s">
        <v>130</v>
      </c>
      <c r="BU58" s="19">
        <v>-62252246</v>
      </c>
      <c r="BV58" s="19">
        <v>-156853683</v>
      </c>
      <c r="BW58" s="19">
        <v>-44235753</v>
      </c>
      <c r="BX58" s="19">
        <v>-112960560</v>
      </c>
      <c r="BY58" s="19">
        <v>-1753821959</v>
      </c>
      <c r="BZ58" s="19">
        <v>728245642</v>
      </c>
      <c r="CA58" s="19">
        <v>-42767961</v>
      </c>
      <c r="CB58" s="19">
        <v>-862525</v>
      </c>
      <c r="CC58" s="19">
        <v>-7795483</v>
      </c>
      <c r="CD58" s="19">
        <v>-9716452</v>
      </c>
      <c r="CE58" s="19">
        <v>-38494364</v>
      </c>
      <c r="CF58" s="19">
        <v>-207746624</v>
      </c>
      <c r="CG58" s="19">
        <v>-60018936</v>
      </c>
      <c r="CH58" s="19">
        <v>1871414</v>
      </c>
      <c r="CI58" s="47" t="s">
        <v>130</v>
      </c>
      <c r="CJ58" s="19">
        <v>2737522</v>
      </c>
      <c r="CK58" s="19">
        <v>-444557797</v>
      </c>
      <c r="CL58" s="19">
        <v>-36725793</v>
      </c>
      <c r="CM58" s="19">
        <v>172198733</v>
      </c>
      <c r="CN58" s="19">
        <v>16306692</v>
      </c>
      <c r="CO58" s="19">
        <v>-88497058</v>
      </c>
      <c r="CP58" s="19">
        <v>23635089</v>
      </c>
      <c r="CQ58" s="47" t="s">
        <v>96</v>
      </c>
      <c r="CR58" s="19">
        <v>141869623</v>
      </c>
      <c r="CS58" s="47" t="s">
        <v>172</v>
      </c>
      <c r="CT58" s="19">
        <v>-10405836755</v>
      </c>
      <c r="CU58" s="19">
        <v>137690792</v>
      </c>
      <c r="CV58" s="19">
        <v>-19017707</v>
      </c>
      <c r="CW58" s="19">
        <v>-473819176</v>
      </c>
      <c r="CX58" s="19">
        <v>-823652371</v>
      </c>
      <c r="CY58" s="47" t="s">
        <v>96</v>
      </c>
      <c r="CZ58" s="19">
        <v>316624561</v>
      </c>
      <c r="DA58" s="47" t="s">
        <v>89</v>
      </c>
      <c r="DB58" s="19">
        <v>-23936480</v>
      </c>
      <c r="DC58" s="19">
        <v>-11437138</v>
      </c>
      <c r="DD58" s="19">
        <v>-97381596</v>
      </c>
      <c r="DE58" s="19">
        <v>24582743</v>
      </c>
      <c r="DF58" s="19">
        <v>-28574968</v>
      </c>
      <c r="DG58" s="19">
        <v>-75362577</v>
      </c>
      <c r="DH58" s="19">
        <v>-46087273</v>
      </c>
      <c r="DI58" s="19">
        <v>146268976</v>
      </c>
      <c r="DJ58" s="19">
        <v>-11001926</v>
      </c>
      <c r="DK58" s="19">
        <v>-54918998</v>
      </c>
      <c r="DL58" s="19">
        <v>-82964386</v>
      </c>
      <c r="DM58" s="19">
        <v>124047385</v>
      </c>
      <c r="DN58" s="19">
        <v>-47312209</v>
      </c>
      <c r="DO58" s="19">
        <v>-34882646</v>
      </c>
      <c r="DP58" s="19">
        <v>86715843</v>
      </c>
      <c r="DQ58" s="19">
        <v>8244610</v>
      </c>
      <c r="DR58" s="19">
        <v>-61188025</v>
      </c>
      <c r="DS58" s="19">
        <v>-41293847</v>
      </c>
      <c r="DT58" s="19">
        <v>112282832</v>
      </c>
      <c r="DU58" s="19">
        <v>-1736871</v>
      </c>
      <c r="DV58" s="19">
        <v>1891541732</v>
      </c>
      <c r="DW58" s="19">
        <v>23051927</v>
      </c>
      <c r="DX58" s="19">
        <v>-1925045417</v>
      </c>
      <c r="DY58" s="19">
        <v>20129827</v>
      </c>
      <c r="DZ58" s="19">
        <v>36629628</v>
      </c>
      <c r="EA58" s="19">
        <v>-41286535</v>
      </c>
      <c r="EB58" s="19">
        <v>461822189</v>
      </c>
      <c r="EC58" s="19">
        <v>29380308</v>
      </c>
      <c r="ED58" s="19">
        <v>-271210752</v>
      </c>
      <c r="EE58" s="19">
        <v>336256647</v>
      </c>
      <c r="EF58" s="19">
        <v>597138100</v>
      </c>
      <c r="EG58" s="19">
        <v>-2508598053</v>
      </c>
      <c r="EH58" s="19">
        <v>-57254680</v>
      </c>
      <c r="EI58" s="19">
        <v>-6423566481</v>
      </c>
      <c r="EJ58" s="19">
        <v>-409821122</v>
      </c>
      <c r="EK58" s="19">
        <v>-1184168553</v>
      </c>
      <c r="EL58" s="19">
        <v>-1036104425</v>
      </c>
      <c r="EM58" s="19">
        <v>85033810</v>
      </c>
      <c r="EN58" s="19">
        <v>125022740</v>
      </c>
      <c r="EO58" s="19">
        <v>-11855130</v>
      </c>
      <c r="EP58" s="19">
        <v>-42924546</v>
      </c>
      <c r="EQ58" s="19">
        <v>533614514</v>
      </c>
      <c r="ER58" s="19">
        <v>-377515078</v>
      </c>
      <c r="ES58" s="19">
        <v>-307934741</v>
      </c>
      <c r="ET58" s="19">
        <v>-2269525198</v>
      </c>
      <c r="EU58" s="19">
        <v>523905520</v>
      </c>
      <c r="EV58" s="19">
        <v>35099440</v>
      </c>
      <c r="EW58" s="19">
        <v>5422142</v>
      </c>
      <c r="EX58" s="19">
        <v>54240584</v>
      </c>
      <c r="EY58" s="19">
        <v>-22530678</v>
      </c>
      <c r="EZ58" s="19">
        <v>-302549797</v>
      </c>
      <c r="FA58" s="47" t="s">
        <v>130</v>
      </c>
      <c r="FB58" s="19">
        <v>-126065188</v>
      </c>
      <c r="FC58" s="19">
        <v>-98723319</v>
      </c>
      <c r="FD58" s="19">
        <v>11282882</v>
      </c>
      <c r="FE58" s="19">
        <v>140627373</v>
      </c>
      <c r="FF58" s="19">
        <v>-37946648</v>
      </c>
      <c r="FG58" s="19">
        <v>1028530483</v>
      </c>
      <c r="FH58" s="19">
        <v>16159896</v>
      </c>
      <c r="FI58" s="47" t="s">
        <v>96</v>
      </c>
      <c r="FJ58" s="19">
        <v>21867899</v>
      </c>
      <c r="FK58" s="19">
        <v>-396817031</v>
      </c>
      <c r="FL58" s="47" t="s">
        <v>130</v>
      </c>
      <c r="FM58" s="19">
        <v>-694742241</v>
      </c>
      <c r="FN58" s="19">
        <v>-1609212481</v>
      </c>
      <c r="FO58" s="47" t="s">
        <v>172</v>
      </c>
      <c r="FP58" s="19">
        <v>-71006847</v>
      </c>
      <c r="FQ58" s="19">
        <v>-19169955</v>
      </c>
      <c r="FR58" s="19">
        <v>-141011109</v>
      </c>
      <c r="FS58" s="47" t="s">
        <v>130</v>
      </c>
      <c r="FT58" s="19">
        <v>24289863</v>
      </c>
      <c r="FU58" s="19">
        <v>1301678</v>
      </c>
      <c r="FV58" s="19">
        <v>220642436</v>
      </c>
      <c r="FW58" s="19">
        <v>-53157247</v>
      </c>
      <c r="FX58" s="19">
        <v>-215410526</v>
      </c>
      <c r="FY58" s="19">
        <v>-1115775348</v>
      </c>
      <c r="FZ58" s="47" t="s">
        <v>175</v>
      </c>
      <c r="GA58" s="19">
        <v>-271640833</v>
      </c>
      <c r="GB58" s="19">
        <v>-239541177</v>
      </c>
      <c r="GC58" s="19">
        <v>44444242</v>
      </c>
      <c r="GD58" s="48" t="s">
        <v>96</v>
      </c>
      <c r="GE58" s="48" t="s">
        <v>96</v>
      </c>
      <c r="GF58" s="19">
        <v>-309245475</v>
      </c>
      <c r="GG58" s="19">
        <v>-1924470041</v>
      </c>
      <c r="GH58" s="47" t="s">
        <v>172</v>
      </c>
      <c r="GI58" s="19">
        <v>8835719</v>
      </c>
      <c r="GJ58" s="47" t="s">
        <v>96</v>
      </c>
      <c r="GK58" s="19">
        <v>-105684898</v>
      </c>
      <c r="GL58" s="47" t="s">
        <v>96</v>
      </c>
      <c r="GM58" s="19">
        <v>-245156106</v>
      </c>
      <c r="GN58" s="19">
        <v>-106728948</v>
      </c>
      <c r="GO58" s="47" t="s">
        <v>96</v>
      </c>
      <c r="GP58" s="19">
        <v>343648198</v>
      </c>
      <c r="GQ58" s="19">
        <v>17698462</v>
      </c>
      <c r="GR58" s="19">
        <v>-351520095</v>
      </c>
      <c r="GS58" s="19">
        <v>-350140746</v>
      </c>
      <c r="GT58" s="19">
        <v>-153494180</v>
      </c>
      <c r="GU58" s="19">
        <v>21066807</v>
      </c>
      <c r="GV58" s="19">
        <v>21966810</v>
      </c>
      <c r="GW58" s="19">
        <v>-2924215406</v>
      </c>
      <c r="GX58" s="19">
        <v>-28348331</v>
      </c>
      <c r="GY58" s="19">
        <v>-2301494097</v>
      </c>
      <c r="GZ58" s="19">
        <v>63751674</v>
      </c>
      <c r="HA58" s="19">
        <v>-427039470</v>
      </c>
      <c r="HB58" s="19">
        <v>-213243874</v>
      </c>
      <c r="HC58" s="19">
        <v>-142137648</v>
      </c>
      <c r="HD58" s="19">
        <v>-613908377</v>
      </c>
      <c r="HE58" s="19">
        <v>-133817222</v>
      </c>
      <c r="HF58" s="19">
        <v>-100467183</v>
      </c>
      <c r="HG58" s="19">
        <v>-33724732</v>
      </c>
      <c r="HH58" s="47" t="s">
        <v>130</v>
      </c>
      <c r="HI58" s="19">
        <v>-1178662842</v>
      </c>
      <c r="HJ58" s="19">
        <v>484324219</v>
      </c>
      <c r="HK58" s="19">
        <v>-972255204</v>
      </c>
      <c r="HL58" s="19">
        <v>386717982</v>
      </c>
      <c r="HM58" s="19">
        <v>-257971781</v>
      </c>
      <c r="HN58" s="19">
        <v>-66067121</v>
      </c>
      <c r="HO58" s="19">
        <v>22818804</v>
      </c>
      <c r="HP58" s="19">
        <v>-510820488</v>
      </c>
      <c r="HQ58" s="19">
        <v>132096399</v>
      </c>
      <c r="HR58" s="19">
        <v>-948506192</v>
      </c>
      <c r="HS58" s="19">
        <v>-19944102</v>
      </c>
      <c r="HT58" s="19">
        <v>7083399</v>
      </c>
      <c r="HU58" s="19">
        <v>-2555465007</v>
      </c>
      <c r="HV58" s="19">
        <v>-16106606</v>
      </c>
      <c r="HW58" s="47" t="s">
        <v>96</v>
      </c>
      <c r="HX58" s="19">
        <v>163292802</v>
      </c>
      <c r="HY58" s="19" t="s">
        <v>172</v>
      </c>
      <c r="HZ58" s="19">
        <v>493501045</v>
      </c>
      <c r="IA58" s="19">
        <v>-17578275</v>
      </c>
      <c r="IB58" s="19">
        <v>230529287</v>
      </c>
      <c r="IC58" s="19">
        <v>396282553</v>
      </c>
      <c r="ID58" s="19">
        <v>-38425339</v>
      </c>
      <c r="IE58" s="47" t="s">
        <v>96</v>
      </c>
      <c r="IF58" s="19">
        <v>-109480101</v>
      </c>
      <c r="IG58" s="19">
        <v>4759555</v>
      </c>
      <c r="IH58" s="19">
        <v>75976793</v>
      </c>
      <c r="II58" s="19">
        <v>57018551</v>
      </c>
      <c r="IJ58" s="19">
        <v>-92990643</v>
      </c>
      <c r="IK58" s="19">
        <v>-27130814</v>
      </c>
      <c r="IL58" s="19">
        <v>46283173</v>
      </c>
      <c r="IM58" s="19">
        <v>-663512361</v>
      </c>
      <c r="IN58" s="19">
        <v>-319116460</v>
      </c>
      <c r="IO58" s="19">
        <v>93804414</v>
      </c>
      <c r="IP58" s="19">
        <v>-241159369</v>
      </c>
      <c r="IQ58" s="19">
        <v>-319121114</v>
      </c>
      <c r="IR58" s="19">
        <v>16242455</v>
      </c>
      <c r="IS58" s="19">
        <v>100291791</v>
      </c>
      <c r="IT58" s="19">
        <v>178565808</v>
      </c>
      <c r="IU58" s="45">
        <v>33076021</v>
      </c>
      <c r="IV58" s="45">
        <v>19655539</v>
      </c>
      <c r="IW58" s="45">
        <v>-665148561</v>
      </c>
      <c r="IX58" s="45">
        <v>19476892</v>
      </c>
      <c r="IY58" s="45">
        <v>19861847</v>
      </c>
      <c r="IZ58" s="45">
        <v>-820007</v>
      </c>
      <c r="JA58" s="45">
        <v>589921606</v>
      </c>
      <c r="JB58" s="45">
        <v>-122258264</v>
      </c>
      <c r="JC58" s="45">
        <v>31651330</v>
      </c>
      <c r="JD58" s="45">
        <v>177544641</v>
      </c>
      <c r="JE58" s="45">
        <v>67771703</v>
      </c>
      <c r="JF58" s="45">
        <v>-71699355</v>
      </c>
      <c r="JG58" s="45">
        <v>-52747037</v>
      </c>
      <c r="JH58" s="45">
        <v>-27472372</v>
      </c>
      <c r="JI58" s="45">
        <v>16144025</v>
      </c>
      <c r="JJ58" s="45">
        <v>19552380</v>
      </c>
      <c r="JK58" s="45">
        <v>-32433553</v>
      </c>
      <c r="JL58" s="45">
        <v>-76810621</v>
      </c>
      <c r="JM58" s="45">
        <v>23317838</v>
      </c>
      <c r="JN58" s="45">
        <v>366128452</v>
      </c>
      <c r="JO58" s="46">
        <v>-2794459</v>
      </c>
      <c r="JP58" s="46">
        <v>-119511890</v>
      </c>
      <c r="JQ58" s="63" t="s">
        <v>175</v>
      </c>
      <c r="JR58" s="46">
        <v>-549408961</v>
      </c>
      <c r="JS58" s="46">
        <v>-197972944</v>
      </c>
      <c r="JT58" s="46">
        <v>-80151919</v>
      </c>
      <c r="JU58" s="46">
        <v>92839780</v>
      </c>
      <c r="JV58" s="46">
        <v>26499704</v>
      </c>
      <c r="JW58" s="46">
        <v>-102707742</v>
      </c>
      <c r="JX58" s="46">
        <v>-61716854</v>
      </c>
      <c r="JY58" s="46">
        <v>114824766</v>
      </c>
      <c r="JZ58" s="46">
        <v>-8195398</v>
      </c>
      <c r="KA58" s="46">
        <v>9117720</v>
      </c>
      <c r="KB58" s="46">
        <v>247523232</v>
      </c>
      <c r="KC58" s="46">
        <v>-300185310</v>
      </c>
      <c r="KD58" s="46">
        <v>12279716</v>
      </c>
      <c r="KE58" s="46">
        <v>-74945300</v>
      </c>
      <c r="KF58" s="46">
        <v>-431304728</v>
      </c>
      <c r="KG58" s="46">
        <v>-125948676</v>
      </c>
      <c r="KH58" s="46">
        <v>17905107</v>
      </c>
    </row>
    <row r="59" spans="1:294">
      <c r="A59" s="9" t="s">
        <v>183</v>
      </c>
      <c r="B59" s="10" t="s">
        <v>16</v>
      </c>
      <c r="C59" s="19">
        <v>166954021</v>
      </c>
      <c r="D59" s="19">
        <v>571024778</v>
      </c>
      <c r="E59" s="19">
        <v>129964585</v>
      </c>
      <c r="F59" s="19">
        <v>275708881</v>
      </c>
      <c r="G59" s="47" t="s">
        <v>130</v>
      </c>
      <c r="H59" s="19">
        <v>822508208</v>
      </c>
      <c r="I59" s="19">
        <v>561481906</v>
      </c>
      <c r="J59" s="47" t="s">
        <v>4</v>
      </c>
      <c r="K59" s="19">
        <v>939879441</v>
      </c>
      <c r="L59" s="47" t="s">
        <v>96</v>
      </c>
      <c r="M59" s="47" t="s">
        <v>96</v>
      </c>
      <c r="N59" s="19">
        <v>406105066</v>
      </c>
      <c r="O59" s="19">
        <v>621429433</v>
      </c>
      <c r="P59" s="19">
        <v>54825759</v>
      </c>
      <c r="Q59" s="19">
        <v>12885435</v>
      </c>
      <c r="R59" s="19">
        <v>9972387</v>
      </c>
      <c r="S59" s="19">
        <v>156457670</v>
      </c>
      <c r="T59" s="47" t="s">
        <v>96</v>
      </c>
      <c r="U59" s="47" t="s">
        <v>172</v>
      </c>
      <c r="V59" s="47" t="s">
        <v>172</v>
      </c>
      <c r="W59" s="19">
        <v>31797135</v>
      </c>
      <c r="X59" s="19">
        <v>235813784</v>
      </c>
      <c r="Y59" s="19">
        <v>12809465</v>
      </c>
      <c r="Z59" s="19">
        <v>49665423</v>
      </c>
      <c r="AA59" s="19">
        <v>159904282</v>
      </c>
      <c r="AB59" s="19">
        <v>131594149</v>
      </c>
      <c r="AC59" s="19">
        <v>72754749</v>
      </c>
      <c r="AD59" s="19">
        <v>285414329</v>
      </c>
      <c r="AE59" s="19">
        <v>297464287</v>
      </c>
      <c r="AF59" s="47" t="s">
        <v>172</v>
      </c>
      <c r="AG59" s="19">
        <v>180701195</v>
      </c>
      <c r="AH59" s="19">
        <v>1575301268</v>
      </c>
      <c r="AI59" s="19">
        <v>38199184</v>
      </c>
      <c r="AJ59" s="19">
        <v>23805312</v>
      </c>
      <c r="AK59" s="19">
        <v>145798157</v>
      </c>
      <c r="AL59" s="19">
        <v>152719734</v>
      </c>
      <c r="AM59" s="47" t="s">
        <v>4</v>
      </c>
      <c r="AN59" s="19">
        <v>36567274</v>
      </c>
      <c r="AO59" s="19">
        <v>100803343</v>
      </c>
      <c r="AP59" s="19">
        <v>131265067</v>
      </c>
      <c r="AQ59" s="47" t="s">
        <v>96</v>
      </c>
      <c r="AR59" s="19">
        <v>29519304</v>
      </c>
      <c r="AS59" s="19">
        <v>571421446</v>
      </c>
      <c r="AT59" s="47" t="s">
        <v>172</v>
      </c>
      <c r="AU59" s="19">
        <v>320146413</v>
      </c>
      <c r="AV59" s="19">
        <v>21327183</v>
      </c>
      <c r="AW59" s="19">
        <v>10067583</v>
      </c>
      <c r="AX59" s="47" t="s">
        <v>4</v>
      </c>
      <c r="AY59" s="19">
        <v>54545565</v>
      </c>
      <c r="AZ59" s="19">
        <v>26062672</v>
      </c>
      <c r="BA59" s="19">
        <v>624638974</v>
      </c>
      <c r="BB59" s="19">
        <v>84266746</v>
      </c>
      <c r="BC59" s="47" t="s">
        <v>4</v>
      </c>
      <c r="BD59" s="47" t="s">
        <v>130</v>
      </c>
      <c r="BE59" s="19">
        <v>29569834</v>
      </c>
      <c r="BF59" s="47" t="s">
        <v>96</v>
      </c>
      <c r="BG59" s="19">
        <v>75431502</v>
      </c>
      <c r="BH59" s="19">
        <v>33895327</v>
      </c>
      <c r="BI59" s="19">
        <v>80111996</v>
      </c>
      <c r="BJ59" s="19">
        <v>4955218</v>
      </c>
      <c r="BK59" s="19">
        <v>494136509</v>
      </c>
      <c r="BL59" s="19">
        <v>7074935</v>
      </c>
      <c r="BM59" s="19">
        <v>153886763</v>
      </c>
      <c r="BN59" s="19">
        <v>22347740</v>
      </c>
      <c r="BO59" s="19">
        <v>7480741</v>
      </c>
      <c r="BP59" s="47" t="s">
        <v>96</v>
      </c>
      <c r="BQ59" s="47" t="s">
        <v>4</v>
      </c>
      <c r="BR59" s="19">
        <v>16441623</v>
      </c>
      <c r="BS59" s="19">
        <v>10042302</v>
      </c>
      <c r="BT59" s="47" t="s">
        <v>130</v>
      </c>
      <c r="BU59" s="19">
        <v>91430008</v>
      </c>
      <c r="BV59" s="19">
        <v>76139358</v>
      </c>
      <c r="BW59" s="19">
        <v>53676058</v>
      </c>
      <c r="BX59" s="19">
        <v>7364230</v>
      </c>
      <c r="BY59" s="19">
        <v>2162267343</v>
      </c>
      <c r="BZ59" s="19">
        <v>188343953</v>
      </c>
      <c r="CA59" s="19">
        <v>3934594</v>
      </c>
      <c r="CB59" s="19">
        <v>15710902</v>
      </c>
      <c r="CC59" s="19">
        <v>57248333</v>
      </c>
      <c r="CD59" s="19">
        <v>36496188</v>
      </c>
      <c r="CE59" s="19">
        <v>5223881</v>
      </c>
      <c r="CF59" s="19">
        <v>449122834</v>
      </c>
      <c r="CG59" s="19">
        <v>61187755</v>
      </c>
      <c r="CH59" s="19">
        <v>75792886</v>
      </c>
      <c r="CI59" s="47" t="s">
        <v>130</v>
      </c>
      <c r="CJ59" s="19">
        <v>5348687</v>
      </c>
      <c r="CK59" s="19">
        <v>13283567</v>
      </c>
      <c r="CL59" s="19">
        <v>26448534</v>
      </c>
      <c r="CM59" s="19">
        <v>242720837</v>
      </c>
      <c r="CN59" s="19">
        <v>204982</v>
      </c>
      <c r="CO59" s="19">
        <v>23185522</v>
      </c>
      <c r="CP59" s="19">
        <v>254634119</v>
      </c>
      <c r="CQ59" s="47" t="s">
        <v>96</v>
      </c>
      <c r="CR59" s="19">
        <v>23768938</v>
      </c>
      <c r="CS59" s="47" t="s">
        <v>172</v>
      </c>
      <c r="CT59" s="19">
        <v>377266409</v>
      </c>
      <c r="CU59" s="19">
        <v>84941900</v>
      </c>
      <c r="CV59" s="19">
        <v>9389668</v>
      </c>
      <c r="CW59" s="19">
        <v>644145666</v>
      </c>
      <c r="CX59" s="19">
        <v>52704273</v>
      </c>
      <c r="CY59" s="47" t="s">
        <v>96</v>
      </c>
      <c r="CZ59" s="19">
        <v>176005826</v>
      </c>
      <c r="DA59" s="47" t="s">
        <v>89</v>
      </c>
      <c r="DB59" s="19">
        <v>84720601</v>
      </c>
      <c r="DC59" s="19">
        <v>8180723</v>
      </c>
      <c r="DD59" s="19">
        <v>91058364</v>
      </c>
      <c r="DE59" s="19">
        <v>52914750</v>
      </c>
      <c r="DF59" s="19">
        <v>11404498</v>
      </c>
      <c r="DG59" s="19">
        <v>180908556</v>
      </c>
      <c r="DH59" s="19">
        <v>91262120</v>
      </c>
      <c r="DI59" s="19">
        <v>145263544</v>
      </c>
      <c r="DJ59" s="19">
        <v>11568206</v>
      </c>
      <c r="DK59" s="19">
        <v>75328464</v>
      </c>
      <c r="DL59" s="19">
        <v>116165792</v>
      </c>
      <c r="DM59" s="19">
        <v>153765905</v>
      </c>
      <c r="DN59" s="19">
        <v>20420123</v>
      </c>
      <c r="DO59" s="19">
        <v>15260693</v>
      </c>
      <c r="DP59" s="19">
        <v>40923837</v>
      </c>
      <c r="DQ59" s="19">
        <v>2538848</v>
      </c>
      <c r="DR59" s="19">
        <v>150627581</v>
      </c>
      <c r="DS59" s="19">
        <v>108954326</v>
      </c>
      <c r="DT59" s="19">
        <v>357637514</v>
      </c>
      <c r="DU59" s="19">
        <v>4200000</v>
      </c>
      <c r="DV59" s="19">
        <v>413674845</v>
      </c>
      <c r="DW59" s="19">
        <v>149715844</v>
      </c>
      <c r="DX59" s="19">
        <v>171044816</v>
      </c>
      <c r="DY59" s="19">
        <v>66612536</v>
      </c>
      <c r="DZ59" s="19">
        <v>29894147</v>
      </c>
      <c r="EA59" s="19">
        <v>11745597</v>
      </c>
      <c r="EB59" s="19">
        <v>781003384</v>
      </c>
      <c r="EC59" s="19">
        <v>7934451</v>
      </c>
      <c r="ED59" s="19">
        <v>318193606</v>
      </c>
      <c r="EE59" s="19">
        <v>59447228</v>
      </c>
      <c r="EF59" s="19">
        <v>447793498</v>
      </c>
      <c r="EG59" s="19">
        <v>257483575</v>
      </c>
      <c r="EH59" s="19">
        <v>200611453</v>
      </c>
      <c r="EI59" s="19">
        <v>165754811</v>
      </c>
      <c r="EJ59" s="19">
        <v>446320257</v>
      </c>
      <c r="EK59" s="19">
        <v>79113954</v>
      </c>
      <c r="EL59" s="19">
        <v>676798627</v>
      </c>
      <c r="EM59" s="19">
        <v>34797869</v>
      </c>
      <c r="EN59" s="19">
        <v>836522428</v>
      </c>
      <c r="EO59" s="19">
        <v>43685096</v>
      </c>
      <c r="EP59" s="19">
        <v>57908341</v>
      </c>
      <c r="EQ59" s="19">
        <v>30613750</v>
      </c>
      <c r="ER59" s="19">
        <v>635172401</v>
      </c>
      <c r="ES59" s="19">
        <v>201830640</v>
      </c>
      <c r="ET59" s="19">
        <v>292545441</v>
      </c>
      <c r="EU59" s="19">
        <v>101268107</v>
      </c>
      <c r="EV59" s="19">
        <v>13034704</v>
      </c>
      <c r="EW59" s="19">
        <v>21408461</v>
      </c>
      <c r="EX59" s="19">
        <v>29921231</v>
      </c>
      <c r="EY59" s="19">
        <v>256230178</v>
      </c>
      <c r="EZ59" s="19">
        <v>324158512</v>
      </c>
      <c r="FA59" s="47" t="s">
        <v>130</v>
      </c>
      <c r="FB59" s="19">
        <v>160463038</v>
      </c>
      <c r="FC59" s="19">
        <v>122712724</v>
      </c>
      <c r="FD59" s="19">
        <v>118478420</v>
      </c>
      <c r="FE59" s="19">
        <v>399897433</v>
      </c>
      <c r="FF59" s="19">
        <v>4356213</v>
      </c>
      <c r="FG59" s="19">
        <v>119676128</v>
      </c>
      <c r="FH59" s="19">
        <v>44745412</v>
      </c>
      <c r="FI59" s="47" t="s">
        <v>96</v>
      </c>
      <c r="FJ59" s="19">
        <v>27764519</v>
      </c>
      <c r="FK59" s="19">
        <v>1102408857</v>
      </c>
      <c r="FL59" s="47" t="s">
        <v>130</v>
      </c>
      <c r="FM59" s="19">
        <v>362193449</v>
      </c>
      <c r="FN59" s="19">
        <v>111245272</v>
      </c>
      <c r="FO59" s="47" t="s">
        <v>172</v>
      </c>
      <c r="FP59" s="19">
        <v>14609440</v>
      </c>
      <c r="FQ59" s="19">
        <v>9475687</v>
      </c>
      <c r="FR59" s="19">
        <v>385118790</v>
      </c>
      <c r="FS59" s="47" t="s">
        <v>130</v>
      </c>
      <c r="FT59" s="19">
        <v>586579525</v>
      </c>
      <c r="FU59" s="19">
        <v>5024839</v>
      </c>
      <c r="FV59" s="19">
        <v>254271154</v>
      </c>
      <c r="FW59" s="19">
        <v>14099141</v>
      </c>
      <c r="FX59" s="19">
        <v>238593147</v>
      </c>
      <c r="FY59" s="19">
        <v>141033014</v>
      </c>
      <c r="FZ59" s="47" t="s">
        <v>175</v>
      </c>
      <c r="GA59" s="19">
        <v>46729962</v>
      </c>
      <c r="GB59" s="19">
        <v>70182855</v>
      </c>
      <c r="GC59" s="19">
        <v>24921951</v>
      </c>
      <c r="GD59" s="48" t="s">
        <v>96</v>
      </c>
      <c r="GE59" s="48" t="s">
        <v>96</v>
      </c>
      <c r="GF59" s="19">
        <v>49130197</v>
      </c>
      <c r="GG59" s="19">
        <v>333136479</v>
      </c>
      <c r="GH59" s="47" t="s">
        <v>172</v>
      </c>
      <c r="GI59" s="19">
        <v>2238102</v>
      </c>
      <c r="GJ59" s="47" t="s">
        <v>96</v>
      </c>
      <c r="GK59" s="19">
        <v>108450496</v>
      </c>
      <c r="GL59" s="47" t="s">
        <v>96</v>
      </c>
      <c r="GM59" s="19">
        <v>256777251</v>
      </c>
      <c r="GN59" s="19">
        <v>42197590</v>
      </c>
      <c r="GO59" s="47" t="s">
        <v>96</v>
      </c>
      <c r="GP59" s="19">
        <v>70517266</v>
      </c>
      <c r="GQ59" s="19">
        <v>61487582</v>
      </c>
      <c r="GR59" s="19">
        <v>564846815</v>
      </c>
      <c r="GS59" s="19">
        <v>148918833</v>
      </c>
      <c r="GT59" s="19">
        <v>74904328</v>
      </c>
      <c r="GU59" s="19">
        <v>139209</v>
      </c>
      <c r="GV59" s="19">
        <v>201136750</v>
      </c>
      <c r="GW59" s="19">
        <v>363685691</v>
      </c>
      <c r="GX59" s="19">
        <v>48899053</v>
      </c>
      <c r="GY59" s="19">
        <v>1790610684</v>
      </c>
      <c r="GZ59" s="19">
        <v>15433637</v>
      </c>
      <c r="HA59" s="19">
        <v>149179104</v>
      </c>
      <c r="HB59" s="19">
        <v>621936141</v>
      </c>
      <c r="HC59" s="19">
        <v>149198994</v>
      </c>
      <c r="HD59" s="19">
        <v>905084916</v>
      </c>
      <c r="HE59" s="19">
        <v>22673361</v>
      </c>
      <c r="HF59" s="19">
        <v>383400444</v>
      </c>
      <c r="HG59" s="19">
        <v>198398719</v>
      </c>
      <c r="HH59" s="47" t="s">
        <v>130</v>
      </c>
      <c r="HI59" s="19">
        <v>565139424</v>
      </c>
      <c r="HJ59" s="19">
        <v>13454397</v>
      </c>
      <c r="HK59" s="19">
        <v>121850090</v>
      </c>
      <c r="HL59" s="19">
        <v>260498689</v>
      </c>
      <c r="HM59" s="19">
        <v>5515725</v>
      </c>
      <c r="HN59" s="19">
        <v>50735958</v>
      </c>
      <c r="HO59" s="19">
        <v>232601044</v>
      </c>
      <c r="HP59" s="19">
        <v>2519845665</v>
      </c>
      <c r="HQ59" s="19">
        <v>9275821</v>
      </c>
      <c r="HR59" s="19">
        <v>807170496</v>
      </c>
      <c r="HS59" s="19">
        <v>62829360</v>
      </c>
      <c r="HT59" s="19">
        <v>133465833</v>
      </c>
      <c r="HU59" s="19">
        <v>265230322</v>
      </c>
      <c r="HV59" s="19">
        <v>34256450</v>
      </c>
      <c r="HW59" s="47" t="s">
        <v>96</v>
      </c>
      <c r="HX59" s="19">
        <v>2068422</v>
      </c>
      <c r="HY59" s="19" t="s">
        <v>172</v>
      </c>
      <c r="HZ59" s="19">
        <v>265684427</v>
      </c>
      <c r="IA59" s="19">
        <v>2287924</v>
      </c>
      <c r="IB59" s="19">
        <v>220034982</v>
      </c>
      <c r="IC59" s="19">
        <v>42199814</v>
      </c>
      <c r="ID59" s="19">
        <v>38815564</v>
      </c>
      <c r="IE59" s="47" t="s">
        <v>96</v>
      </c>
      <c r="IF59" s="19">
        <v>102046380</v>
      </c>
      <c r="IG59" s="19">
        <v>2821298</v>
      </c>
      <c r="IH59" s="19">
        <v>97550133</v>
      </c>
      <c r="II59" s="19">
        <v>8133545</v>
      </c>
      <c r="IJ59" s="19">
        <v>39957346</v>
      </c>
      <c r="IK59" s="19">
        <v>51026510</v>
      </c>
      <c r="IL59" s="19">
        <v>9417211</v>
      </c>
      <c r="IM59" s="19">
        <v>39205830</v>
      </c>
      <c r="IN59" s="19">
        <v>37694059</v>
      </c>
      <c r="IO59" s="19">
        <v>608880</v>
      </c>
      <c r="IP59" s="19">
        <v>250886758</v>
      </c>
      <c r="IQ59" s="19">
        <v>8838968</v>
      </c>
      <c r="IR59" s="19">
        <v>45560875</v>
      </c>
      <c r="IS59" s="19">
        <v>116844056</v>
      </c>
      <c r="IT59" s="19">
        <v>7927739</v>
      </c>
      <c r="IU59" s="45">
        <v>88370249</v>
      </c>
      <c r="IV59" s="45">
        <v>73284419</v>
      </c>
      <c r="IW59" s="45">
        <v>499869184</v>
      </c>
      <c r="IX59" s="45">
        <v>31489950</v>
      </c>
      <c r="IY59" s="45">
        <v>138608020</v>
      </c>
      <c r="IZ59" s="45">
        <v>28607667</v>
      </c>
      <c r="JA59" s="45">
        <v>234594618</v>
      </c>
      <c r="JB59" s="45">
        <v>96880374</v>
      </c>
      <c r="JC59" s="45">
        <v>2128811</v>
      </c>
      <c r="JD59" s="45">
        <v>61325773</v>
      </c>
      <c r="JE59" s="45">
        <v>8848389</v>
      </c>
      <c r="JF59" s="45">
        <v>176412503</v>
      </c>
      <c r="JG59" s="45">
        <v>18222685</v>
      </c>
      <c r="JH59" s="45">
        <v>16342303</v>
      </c>
      <c r="JI59" s="45">
        <v>16932600</v>
      </c>
      <c r="JJ59" s="45">
        <v>22020890</v>
      </c>
      <c r="JK59" s="45">
        <v>12278402</v>
      </c>
      <c r="JL59" s="45">
        <v>114982625</v>
      </c>
      <c r="JM59" s="45">
        <v>11472258</v>
      </c>
      <c r="JN59" s="45">
        <v>12885238</v>
      </c>
      <c r="JO59" s="46">
        <v>19163</v>
      </c>
      <c r="JP59" s="46">
        <v>19731569</v>
      </c>
      <c r="JQ59" s="63" t="s">
        <v>175</v>
      </c>
      <c r="JR59" s="46">
        <v>397570897</v>
      </c>
      <c r="JS59" s="46">
        <v>182425553</v>
      </c>
      <c r="JT59" s="46">
        <v>31319669</v>
      </c>
      <c r="JU59" s="46">
        <v>27658307</v>
      </c>
      <c r="JV59" s="46">
        <v>84092569</v>
      </c>
      <c r="JW59" s="46">
        <v>75455930</v>
      </c>
      <c r="JX59" s="46">
        <v>50638350</v>
      </c>
      <c r="JY59" s="46">
        <v>16058214</v>
      </c>
      <c r="JZ59" s="46">
        <v>5001267</v>
      </c>
      <c r="KA59" s="46">
        <v>97908</v>
      </c>
      <c r="KB59" s="46">
        <v>557500900</v>
      </c>
      <c r="KC59" s="46">
        <v>201279038</v>
      </c>
      <c r="KD59" s="46">
        <v>3586499</v>
      </c>
      <c r="KE59" s="46">
        <v>42065094</v>
      </c>
      <c r="KF59" s="46">
        <v>126248515</v>
      </c>
      <c r="KG59" s="46">
        <v>6597530</v>
      </c>
      <c r="KH59" s="46">
        <v>16582047</v>
      </c>
    </row>
    <row r="60" spans="1:294">
      <c r="A60" s="9" t="s">
        <v>183</v>
      </c>
      <c r="B60" s="15" t="s">
        <v>148</v>
      </c>
      <c r="C60" s="19">
        <v>1107255</v>
      </c>
      <c r="D60" s="19">
        <v>164008</v>
      </c>
      <c r="E60" s="19">
        <v>2044159</v>
      </c>
      <c r="F60" s="19">
        <v>1469755</v>
      </c>
      <c r="G60" s="47" t="s">
        <v>130</v>
      </c>
      <c r="H60" s="19">
        <v>6558949</v>
      </c>
      <c r="I60" s="19">
        <v>166455</v>
      </c>
      <c r="J60" s="47" t="s">
        <v>4</v>
      </c>
      <c r="K60" s="19">
        <v>355603</v>
      </c>
      <c r="L60" s="47" t="s">
        <v>96</v>
      </c>
      <c r="M60" s="47" t="s">
        <v>96</v>
      </c>
      <c r="N60" s="19">
        <v>95666</v>
      </c>
      <c r="O60" s="19">
        <v>1970006</v>
      </c>
      <c r="P60" s="19">
        <v>902965</v>
      </c>
      <c r="Q60" s="19">
        <v>9776</v>
      </c>
      <c r="R60" s="19">
        <v>373821</v>
      </c>
      <c r="S60" s="19">
        <v>21497246</v>
      </c>
      <c r="T60" s="47" t="s">
        <v>96</v>
      </c>
      <c r="U60" s="47" t="s">
        <v>172</v>
      </c>
      <c r="V60" s="47" t="s">
        <v>172</v>
      </c>
      <c r="W60" s="19">
        <v>95079</v>
      </c>
      <c r="X60" s="19">
        <v>4662877</v>
      </c>
      <c r="Y60" s="19">
        <v>555221</v>
      </c>
      <c r="Z60" s="19">
        <v>60829</v>
      </c>
      <c r="AA60" s="19">
        <v>8346352</v>
      </c>
      <c r="AB60" s="19">
        <v>2164046</v>
      </c>
      <c r="AC60" s="19">
        <v>160884</v>
      </c>
      <c r="AD60" s="19">
        <v>502863</v>
      </c>
      <c r="AE60" s="19">
        <v>12479284</v>
      </c>
      <c r="AF60" s="47" t="s">
        <v>172</v>
      </c>
      <c r="AG60" s="19">
        <v>26762</v>
      </c>
      <c r="AH60" s="19">
        <v>5788881</v>
      </c>
      <c r="AI60" s="19">
        <v>12925</v>
      </c>
      <c r="AJ60" s="19">
        <v>86593</v>
      </c>
      <c r="AK60" s="19">
        <v>40182328</v>
      </c>
      <c r="AL60" s="19">
        <v>231317</v>
      </c>
      <c r="AM60" s="47" t="s">
        <v>4</v>
      </c>
      <c r="AN60" s="19">
        <v>86905</v>
      </c>
      <c r="AO60" s="19">
        <v>911213</v>
      </c>
      <c r="AP60" s="19">
        <v>1458400</v>
      </c>
      <c r="AQ60" s="47" t="s">
        <v>96</v>
      </c>
      <c r="AR60" s="19">
        <v>392348</v>
      </c>
      <c r="AS60" s="19">
        <v>181058</v>
      </c>
      <c r="AT60" s="47" t="s">
        <v>172</v>
      </c>
      <c r="AU60" s="19">
        <v>308786331</v>
      </c>
      <c r="AV60" s="19">
        <v>81273</v>
      </c>
      <c r="AW60" s="19">
        <v>9055</v>
      </c>
      <c r="AX60" s="47" t="s">
        <v>4</v>
      </c>
      <c r="AY60" s="19">
        <v>68915</v>
      </c>
      <c r="AZ60" s="19">
        <v>142467</v>
      </c>
      <c r="BA60" s="19">
        <v>249876</v>
      </c>
      <c r="BB60" s="19">
        <v>27600</v>
      </c>
      <c r="BC60" s="47" t="s">
        <v>4</v>
      </c>
      <c r="BD60" s="47" t="s">
        <v>130</v>
      </c>
      <c r="BE60" s="19">
        <v>94107</v>
      </c>
      <c r="BF60" s="47" t="s">
        <v>96</v>
      </c>
      <c r="BG60" s="19">
        <v>4536317</v>
      </c>
      <c r="BH60" s="19">
        <v>272015</v>
      </c>
      <c r="BI60" s="19">
        <v>263161</v>
      </c>
      <c r="BJ60" s="19">
        <v>19372</v>
      </c>
      <c r="BK60" s="19">
        <v>1210609</v>
      </c>
      <c r="BL60" s="19">
        <v>1417522</v>
      </c>
      <c r="BM60" s="19">
        <v>1431183</v>
      </c>
      <c r="BN60" s="19">
        <v>18311</v>
      </c>
      <c r="BO60" s="19">
        <v>5699</v>
      </c>
      <c r="BP60" s="47" t="s">
        <v>96</v>
      </c>
      <c r="BQ60" s="47" t="s">
        <v>4</v>
      </c>
      <c r="BR60" s="19">
        <v>2851426</v>
      </c>
      <c r="BS60" s="19">
        <v>12970</v>
      </c>
      <c r="BT60" s="47" t="s">
        <v>130</v>
      </c>
      <c r="BU60" s="19">
        <v>18730</v>
      </c>
      <c r="BV60" s="19">
        <v>29326</v>
      </c>
      <c r="BW60" s="19">
        <v>14408</v>
      </c>
      <c r="BX60" s="19">
        <v>187942</v>
      </c>
      <c r="BY60" s="19">
        <v>349800</v>
      </c>
      <c r="BZ60" s="19">
        <v>111981680</v>
      </c>
      <c r="CA60" s="19">
        <v>588141</v>
      </c>
      <c r="CB60" s="19">
        <v>55358</v>
      </c>
      <c r="CC60" s="19">
        <v>121873</v>
      </c>
      <c r="CD60" s="19">
        <v>1669935</v>
      </c>
      <c r="CE60" s="19">
        <v>1940</v>
      </c>
      <c r="CF60" s="19">
        <v>5738</v>
      </c>
      <c r="CG60" s="19">
        <v>855802</v>
      </c>
      <c r="CH60" s="19">
        <v>204778</v>
      </c>
      <c r="CI60" s="47" t="s">
        <v>130</v>
      </c>
      <c r="CJ60" s="19">
        <v>338</v>
      </c>
      <c r="CK60" s="19">
        <v>4708</v>
      </c>
      <c r="CL60" s="19">
        <v>77772</v>
      </c>
      <c r="CM60" s="19">
        <v>6203702</v>
      </c>
      <c r="CN60" s="19">
        <v>145547</v>
      </c>
      <c r="CO60" s="19"/>
      <c r="CP60" s="19">
        <v>8491</v>
      </c>
      <c r="CQ60" s="47" t="s">
        <v>96</v>
      </c>
      <c r="CR60" s="19">
        <v>522686</v>
      </c>
      <c r="CS60" s="47" t="s">
        <v>172</v>
      </c>
      <c r="CT60" s="19">
        <v>76195044</v>
      </c>
      <c r="CU60" s="19">
        <v>226222</v>
      </c>
      <c r="CV60" s="19">
        <v>6694</v>
      </c>
      <c r="CW60" s="19">
        <v>14154253</v>
      </c>
      <c r="CX60" s="19">
        <v>11258991</v>
      </c>
      <c r="CY60" s="47" t="s">
        <v>96</v>
      </c>
      <c r="CZ60" s="19">
        <v>4737961</v>
      </c>
      <c r="DA60" s="47" t="s">
        <v>89</v>
      </c>
      <c r="DB60" s="19">
        <v>58630</v>
      </c>
      <c r="DC60" s="19">
        <v>8303</v>
      </c>
      <c r="DD60" s="19">
        <v>2203</v>
      </c>
      <c r="DE60" s="19">
        <v>29645</v>
      </c>
      <c r="DF60" s="19">
        <v>4976</v>
      </c>
      <c r="DG60" s="19">
        <v>25684</v>
      </c>
      <c r="DH60" s="19">
        <v>2956427</v>
      </c>
      <c r="DI60" s="19">
        <v>208592</v>
      </c>
      <c r="DJ60" s="19">
        <v>244876</v>
      </c>
      <c r="DK60" s="19">
        <v>817045</v>
      </c>
      <c r="DL60" s="19">
        <v>430719</v>
      </c>
      <c r="DM60" s="19">
        <v>24070450</v>
      </c>
      <c r="DN60" s="19">
        <v>389803</v>
      </c>
      <c r="DO60" s="19">
        <v>6731</v>
      </c>
      <c r="DP60" s="19">
        <v>743139</v>
      </c>
      <c r="DQ60" s="19">
        <v>13802</v>
      </c>
      <c r="DR60" s="19">
        <v>589905</v>
      </c>
      <c r="DS60" s="19">
        <v>4342326</v>
      </c>
      <c r="DT60" s="19">
        <v>3699511</v>
      </c>
      <c r="DU60" s="19"/>
      <c r="DV60" s="19">
        <v>2809802</v>
      </c>
      <c r="DW60" s="19">
        <v>3921227</v>
      </c>
      <c r="DX60" s="19">
        <v>19329471</v>
      </c>
      <c r="DY60" s="19">
        <v>114583</v>
      </c>
      <c r="DZ60" s="19">
        <v>18174689</v>
      </c>
      <c r="EA60" s="19">
        <v>2997720</v>
      </c>
      <c r="EB60" s="19">
        <v>3069286</v>
      </c>
      <c r="EC60" s="19">
        <v>71647</v>
      </c>
      <c r="ED60" s="19">
        <v>161425</v>
      </c>
      <c r="EE60" s="19">
        <v>350192</v>
      </c>
      <c r="EF60" s="19">
        <v>68068</v>
      </c>
      <c r="EG60" s="19">
        <v>3599217</v>
      </c>
      <c r="EH60" s="19">
        <v>20317</v>
      </c>
      <c r="EI60" s="19">
        <v>22602091</v>
      </c>
      <c r="EJ60" s="19">
        <v>936854</v>
      </c>
      <c r="EK60" s="19">
        <v>563428</v>
      </c>
      <c r="EL60" s="19">
        <v>3231193</v>
      </c>
      <c r="EM60" s="19">
        <v>245944</v>
      </c>
      <c r="EN60" s="19">
        <v>16748342</v>
      </c>
      <c r="EO60" s="19">
        <v>236911</v>
      </c>
      <c r="EP60" s="19">
        <v>20569</v>
      </c>
      <c r="EQ60" s="19">
        <v>1313949</v>
      </c>
      <c r="ER60" s="19">
        <v>2415688</v>
      </c>
      <c r="ES60" s="19">
        <v>89370</v>
      </c>
      <c r="ET60" s="19">
        <v>2427032</v>
      </c>
      <c r="EU60" s="19">
        <v>993116</v>
      </c>
      <c r="EV60" s="19">
        <v>62364</v>
      </c>
      <c r="EW60" s="19">
        <v>8111</v>
      </c>
      <c r="EX60" s="19">
        <v>606294</v>
      </c>
      <c r="EY60" s="19">
        <v>4045960</v>
      </c>
      <c r="EZ60" s="19">
        <v>172142</v>
      </c>
      <c r="FA60" s="47" t="s">
        <v>130</v>
      </c>
      <c r="FB60" s="19">
        <v>17604</v>
      </c>
      <c r="FC60" s="19">
        <v>29214</v>
      </c>
      <c r="FD60" s="19">
        <v>33472</v>
      </c>
      <c r="FE60" s="19">
        <v>26016057</v>
      </c>
      <c r="FF60" s="19">
        <v>13763</v>
      </c>
      <c r="FG60" s="19">
        <v>2949115</v>
      </c>
      <c r="FH60" s="19">
        <v>171509</v>
      </c>
      <c r="FI60" s="47" t="s">
        <v>96</v>
      </c>
      <c r="FJ60" s="19">
        <v>401068</v>
      </c>
      <c r="FK60" s="19">
        <v>136666</v>
      </c>
      <c r="FL60" s="47" t="s">
        <v>130</v>
      </c>
      <c r="FM60" s="19">
        <v>80099</v>
      </c>
      <c r="FN60" s="19">
        <v>18857283</v>
      </c>
      <c r="FO60" s="47" t="s">
        <v>172</v>
      </c>
      <c r="FP60" s="19">
        <v>551046</v>
      </c>
      <c r="FQ60" s="19">
        <v>94453</v>
      </c>
      <c r="FR60" s="19">
        <v>22579</v>
      </c>
      <c r="FS60" s="47" t="s">
        <v>130</v>
      </c>
      <c r="FT60" s="19">
        <v>35358379</v>
      </c>
      <c r="FU60" s="19">
        <v>8331</v>
      </c>
      <c r="FV60" s="19">
        <v>41378622</v>
      </c>
      <c r="FW60" s="19">
        <v>912</v>
      </c>
      <c r="FX60" s="19">
        <v>23151</v>
      </c>
      <c r="FY60" s="19">
        <v>2002023</v>
      </c>
      <c r="FZ60" s="47" t="s">
        <v>175</v>
      </c>
      <c r="GA60" s="19">
        <v>837877</v>
      </c>
      <c r="GB60" s="19">
        <v>145756</v>
      </c>
      <c r="GC60" s="19">
        <v>161894</v>
      </c>
      <c r="GD60" s="48" t="s">
        <v>96</v>
      </c>
      <c r="GE60" s="48" t="s">
        <v>96</v>
      </c>
      <c r="GF60" s="19">
        <v>700629</v>
      </c>
      <c r="GG60" s="19">
        <v>1109823</v>
      </c>
      <c r="GH60" s="47" t="s">
        <v>172</v>
      </c>
      <c r="GI60" s="19">
        <v>14387</v>
      </c>
      <c r="GJ60" s="47" t="s">
        <v>96</v>
      </c>
      <c r="GK60" s="19">
        <v>35590</v>
      </c>
      <c r="GL60" s="47" t="s">
        <v>96</v>
      </c>
      <c r="GM60" s="19">
        <v>27051</v>
      </c>
      <c r="GN60" s="19">
        <v>92210</v>
      </c>
      <c r="GO60" s="47" t="s">
        <v>96</v>
      </c>
      <c r="GP60" s="19">
        <v>9866586</v>
      </c>
      <c r="GQ60" s="19">
        <v>290174</v>
      </c>
      <c r="GR60" s="19">
        <v>575867</v>
      </c>
      <c r="GS60" s="19"/>
      <c r="GT60" s="19">
        <v>10578</v>
      </c>
      <c r="GU60" s="19">
        <v>85581</v>
      </c>
      <c r="GV60" s="19">
        <v>5707357</v>
      </c>
      <c r="GW60" s="19">
        <v>54715894</v>
      </c>
      <c r="GX60" s="19">
        <v>162006</v>
      </c>
      <c r="GY60" s="19">
        <v>627938</v>
      </c>
      <c r="GZ60" s="19">
        <v>212693</v>
      </c>
      <c r="HA60" s="19">
        <v>71933</v>
      </c>
      <c r="HB60" s="19">
        <v>191598</v>
      </c>
      <c r="HC60" s="19">
        <v>951032</v>
      </c>
      <c r="HD60" s="19">
        <v>121540</v>
      </c>
      <c r="HE60" s="19">
        <v>23309</v>
      </c>
      <c r="HF60" s="19">
        <v>434374</v>
      </c>
      <c r="HG60" s="19">
        <v>88002</v>
      </c>
      <c r="HH60" s="47" t="s">
        <v>130</v>
      </c>
      <c r="HI60" s="19">
        <v>557979</v>
      </c>
      <c r="HJ60" s="19">
        <v>1262032</v>
      </c>
      <c r="HK60" s="19">
        <v>1347922</v>
      </c>
      <c r="HL60" s="19">
        <v>769901</v>
      </c>
      <c r="HM60" s="19">
        <v>60701</v>
      </c>
      <c r="HN60" s="19">
        <v>276062</v>
      </c>
      <c r="HO60" s="19">
        <v>799856</v>
      </c>
      <c r="HP60" s="19">
        <v>128709</v>
      </c>
      <c r="HQ60" s="19">
        <v>48620</v>
      </c>
      <c r="HR60" s="19">
        <v>1432883</v>
      </c>
      <c r="HS60" s="19">
        <v>386814</v>
      </c>
      <c r="HT60" s="19">
        <v>1030</v>
      </c>
      <c r="HU60" s="19">
        <v>2734577</v>
      </c>
      <c r="HV60" s="19">
        <v>24006</v>
      </c>
      <c r="HW60" s="47" t="s">
        <v>96</v>
      </c>
      <c r="HX60" s="19">
        <v>129510</v>
      </c>
      <c r="HY60" s="19" t="s">
        <v>172</v>
      </c>
      <c r="HZ60" s="19">
        <v>4305077</v>
      </c>
      <c r="IA60" s="19">
        <v>243694</v>
      </c>
      <c r="IB60" s="19">
        <v>835312</v>
      </c>
      <c r="IC60" s="19">
        <v>1061287</v>
      </c>
      <c r="ID60" s="19">
        <v>17250</v>
      </c>
      <c r="IE60" s="47" t="s">
        <v>96</v>
      </c>
      <c r="IF60" s="19">
        <v>21443</v>
      </c>
      <c r="IG60" s="19">
        <v>28614</v>
      </c>
      <c r="IH60" s="19">
        <v>387596</v>
      </c>
      <c r="II60" s="19">
        <v>53446</v>
      </c>
      <c r="IJ60" s="19">
        <v>242166</v>
      </c>
      <c r="IK60" s="19">
        <v>61593</v>
      </c>
      <c r="IL60" s="19">
        <v>34241</v>
      </c>
      <c r="IM60" s="19">
        <v>324927</v>
      </c>
      <c r="IN60" s="19">
        <v>96481</v>
      </c>
      <c r="IO60" s="19">
        <v>375432</v>
      </c>
      <c r="IP60" s="19">
        <v>17310</v>
      </c>
      <c r="IQ60" s="19">
        <v>1081301</v>
      </c>
      <c r="IR60" s="19">
        <v>6067138</v>
      </c>
      <c r="IS60" s="19">
        <v>88098</v>
      </c>
      <c r="IT60" s="19">
        <v>508062</v>
      </c>
      <c r="IU60" s="45">
        <v>1756136</v>
      </c>
      <c r="IV60" s="45">
        <v>26025</v>
      </c>
      <c r="IW60" s="45">
        <v>45660</v>
      </c>
      <c r="IX60" s="45">
        <v>158039</v>
      </c>
      <c r="IY60" s="45">
        <v>32321</v>
      </c>
      <c r="IZ60" s="45">
        <v>254567</v>
      </c>
      <c r="JA60" s="45">
        <v>269168</v>
      </c>
      <c r="JB60" s="45">
        <v>54615</v>
      </c>
      <c r="JC60" s="45">
        <v>91665</v>
      </c>
      <c r="JD60" s="45">
        <v>418808</v>
      </c>
      <c r="JE60" s="45">
        <v>32374</v>
      </c>
      <c r="JF60" s="45">
        <v>82566</v>
      </c>
      <c r="JG60" s="45">
        <v>10061</v>
      </c>
      <c r="JH60" s="45">
        <v>9693</v>
      </c>
      <c r="JI60" s="45">
        <v>1984177</v>
      </c>
      <c r="JJ60" s="45">
        <v>22780</v>
      </c>
      <c r="JK60" s="45">
        <v>16484</v>
      </c>
      <c r="JL60" s="45">
        <v>12334</v>
      </c>
      <c r="JM60" s="45">
        <v>74633</v>
      </c>
      <c r="JN60" s="45">
        <v>3166019</v>
      </c>
      <c r="JO60" s="46">
        <v>19093</v>
      </c>
      <c r="JP60" s="46">
        <v>445711</v>
      </c>
      <c r="JQ60" s="63" t="s">
        <v>175</v>
      </c>
      <c r="JR60" s="46">
        <v>137509</v>
      </c>
      <c r="JS60" s="46">
        <v>43378</v>
      </c>
      <c r="JT60" s="46">
        <v>3374</v>
      </c>
      <c r="JU60" s="46">
        <v>98279</v>
      </c>
      <c r="JV60" s="46">
        <v>80616</v>
      </c>
      <c r="JW60" s="46">
        <v>229759</v>
      </c>
      <c r="JX60" s="46">
        <v>5330180</v>
      </c>
      <c r="JY60" s="46">
        <v>609120</v>
      </c>
      <c r="JZ60" s="46">
        <v>1261</v>
      </c>
      <c r="KA60" s="46">
        <v>2928</v>
      </c>
      <c r="KB60" s="46">
        <v>10794230</v>
      </c>
      <c r="KC60" s="46">
        <v>74535</v>
      </c>
      <c r="KD60" s="46">
        <v>196758</v>
      </c>
      <c r="KE60" s="46">
        <v>11717</v>
      </c>
      <c r="KF60" s="46">
        <v>4019687</v>
      </c>
      <c r="KG60" s="46">
        <v>96765</v>
      </c>
      <c r="KH60" s="46">
        <v>41319</v>
      </c>
    </row>
    <row r="61" spans="1:294">
      <c r="A61" s="9" t="s">
        <v>183</v>
      </c>
      <c r="B61" s="15" t="s">
        <v>62</v>
      </c>
      <c r="C61" s="19"/>
      <c r="D61" s="19"/>
      <c r="E61" s="19">
        <v>1818181</v>
      </c>
      <c r="F61" s="19">
        <v>17246902</v>
      </c>
      <c r="G61" s="47" t="s">
        <v>130</v>
      </c>
      <c r="H61" s="19"/>
      <c r="I61" s="19"/>
      <c r="J61" s="47" t="s">
        <v>4</v>
      </c>
      <c r="K61" s="19"/>
      <c r="L61" s="47" t="s">
        <v>96</v>
      </c>
      <c r="M61" s="47" t="s">
        <v>96</v>
      </c>
      <c r="N61" s="19"/>
      <c r="O61" s="19"/>
      <c r="P61" s="19"/>
      <c r="Q61" s="19"/>
      <c r="R61" s="19"/>
      <c r="S61" s="19"/>
      <c r="T61" s="47" t="s">
        <v>96</v>
      </c>
      <c r="U61" s="47" t="s">
        <v>172</v>
      </c>
      <c r="V61" s="47" t="s">
        <v>172</v>
      </c>
      <c r="W61" s="19"/>
      <c r="X61" s="19"/>
      <c r="Y61" s="19"/>
      <c r="Z61" s="19"/>
      <c r="AA61" s="19">
        <v>12907091</v>
      </c>
      <c r="AB61" s="19"/>
      <c r="AC61" s="19"/>
      <c r="AD61" s="19">
        <v>1263328</v>
      </c>
      <c r="AE61" s="19"/>
      <c r="AF61" s="47" t="s">
        <v>172</v>
      </c>
      <c r="AG61" s="19">
        <v>54538080</v>
      </c>
      <c r="AH61" s="19">
        <v>131702006</v>
      </c>
      <c r="AI61" s="19"/>
      <c r="AJ61" s="19"/>
      <c r="AK61" s="19"/>
      <c r="AL61" s="19"/>
      <c r="AM61" s="47" t="s">
        <v>4</v>
      </c>
      <c r="AN61" s="19"/>
      <c r="AO61" s="19">
        <v>2402363</v>
      </c>
      <c r="AP61" s="19"/>
      <c r="AQ61" s="47" t="s">
        <v>96</v>
      </c>
      <c r="AR61" s="19"/>
      <c r="AS61" s="19"/>
      <c r="AT61" s="47" t="s">
        <v>172</v>
      </c>
      <c r="AU61" s="19"/>
      <c r="AV61" s="19"/>
      <c r="AW61" s="19"/>
      <c r="AX61" s="47" t="s">
        <v>4</v>
      </c>
      <c r="AY61" s="19"/>
      <c r="AZ61" s="19"/>
      <c r="BA61" s="19"/>
      <c r="BB61" s="19"/>
      <c r="BC61" s="47" t="s">
        <v>4</v>
      </c>
      <c r="BD61" s="47" t="s">
        <v>130</v>
      </c>
      <c r="BE61" s="19"/>
      <c r="BF61" s="47" t="s">
        <v>96</v>
      </c>
      <c r="BG61" s="19"/>
      <c r="BH61" s="19"/>
      <c r="BI61" s="19"/>
      <c r="BJ61" s="19"/>
      <c r="BK61" s="19"/>
      <c r="BL61" s="19"/>
      <c r="BM61" s="19"/>
      <c r="BN61" s="19">
        <v>5908091</v>
      </c>
      <c r="BO61" s="19"/>
      <c r="BP61" s="47" t="s">
        <v>96</v>
      </c>
      <c r="BQ61" s="47" t="s">
        <v>4</v>
      </c>
      <c r="BR61" s="19">
        <v>271727</v>
      </c>
      <c r="BS61" s="19"/>
      <c r="BT61" s="47" t="s">
        <v>130</v>
      </c>
      <c r="BU61" s="19">
        <v>273923</v>
      </c>
      <c r="BV61" s="19"/>
      <c r="BW61" s="19"/>
      <c r="BX61" s="19"/>
      <c r="BY61" s="19">
        <v>2271728</v>
      </c>
      <c r="BZ61" s="19"/>
      <c r="CA61" s="19"/>
      <c r="CB61" s="19"/>
      <c r="CC61" s="19"/>
      <c r="CD61" s="19"/>
      <c r="CE61" s="19"/>
      <c r="CF61" s="19"/>
      <c r="CG61" s="19"/>
      <c r="CH61" s="19"/>
      <c r="CI61" s="47" t="s">
        <v>130</v>
      </c>
      <c r="CJ61" s="19"/>
      <c r="CK61" s="19"/>
      <c r="CL61" s="19"/>
      <c r="CM61" s="19"/>
      <c r="CN61" s="19"/>
      <c r="CO61" s="19"/>
      <c r="CP61" s="19"/>
      <c r="CQ61" s="47" t="s">
        <v>96</v>
      </c>
      <c r="CR61" s="19"/>
      <c r="CS61" s="47" t="s">
        <v>172</v>
      </c>
      <c r="CT61" s="19"/>
      <c r="CU61" s="19"/>
      <c r="CV61" s="19"/>
      <c r="CW61" s="19"/>
      <c r="CX61" s="19">
        <v>10146071</v>
      </c>
      <c r="CY61" s="47" t="s">
        <v>96</v>
      </c>
      <c r="CZ61" s="19">
        <v>4477838</v>
      </c>
      <c r="DA61" s="47" t="s">
        <v>89</v>
      </c>
      <c r="DB61" s="19"/>
      <c r="DC61" s="19">
        <v>7000000</v>
      </c>
      <c r="DD61" s="19"/>
      <c r="DE61" s="19"/>
      <c r="DF61" s="19"/>
      <c r="DG61" s="19"/>
      <c r="DH61" s="19"/>
      <c r="DI61" s="19"/>
      <c r="DJ61" s="19"/>
      <c r="DK61" s="19">
        <v>5021855</v>
      </c>
      <c r="DL61" s="19"/>
      <c r="DM61" s="19"/>
      <c r="DN61" s="19">
        <v>1190420</v>
      </c>
      <c r="DO61" s="19"/>
      <c r="DP61" s="19"/>
      <c r="DQ61" s="19"/>
      <c r="DR61" s="19"/>
      <c r="DS61" s="19">
        <v>567000</v>
      </c>
      <c r="DT61" s="19"/>
      <c r="DU61" s="19"/>
      <c r="DV61" s="19"/>
      <c r="DW61" s="19"/>
      <c r="DX61" s="19"/>
      <c r="DY61" s="19"/>
      <c r="DZ61" s="19">
        <v>3068152</v>
      </c>
      <c r="EA61" s="19"/>
      <c r="EB61" s="19"/>
      <c r="EC61" s="19"/>
      <c r="ED61" s="19"/>
      <c r="EE61" s="19"/>
      <c r="EF61" s="19"/>
      <c r="EG61" s="19">
        <v>172136674</v>
      </c>
      <c r="EH61" s="19">
        <v>194302921</v>
      </c>
      <c r="EI61" s="19"/>
      <c r="EJ61" s="19"/>
      <c r="EK61" s="19"/>
      <c r="EL61" s="19"/>
      <c r="EM61" s="19"/>
      <c r="EN61" s="19"/>
      <c r="EO61" s="19"/>
      <c r="EP61" s="19"/>
      <c r="EQ61" s="19"/>
      <c r="ER61" s="19"/>
      <c r="ES61" s="19">
        <v>189465486</v>
      </c>
      <c r="ET61" s="19"/>
      <c r="EU61" s="19"/>
      <c r="EV61" s="19"/>
      <c r="EW61" s="19"/>
      <c r="EX61" s="19"/>
      <c r="EY61" s="19"/>
      <c r="EZ61" s="19"/>
      <c r="FA61" s="47" t="s">
        <v>130</v>
      </c>
      <c r="FB61" s="19"/>
      <c r="FC61" s="19"/>
      <c r="FD61" s="19"/>
      <c r="FE61" s="19">
        <v>9821493</v>
      </c>
      <c r="FF61" s="19"/>
      <c r="FG61" s="19">
        <v>237415</v>
      </c>
      <c r="FH61" s="19"/>
      <c r="FI61" s="47" t="s">
        <v>96</v>
      </c>
      <c r="FJ61" s="19">
        <v>15726272</v>
      </c>
      <c r="FK61" s="19"/>
      <c r="FL61" s="47" t="s">
        <v>130</v>
      </c>
      <c r="FM61" s="19"/>
      <c r="FN61" s="19">
        <v>6198955</v>
      </c>
      <c r="FO61" s="47" t="s">
        <v>172</v>
      </c>
      <c r="FP61" s="19"/>
      <c r="FQ61" s="19"/>
      <c r="FR61" s="19"/>
      <c r="FS61" s="47" t="s">
        <v>130</v>
      </c>
      <c r="FT61" s="19"/>
      <c r="FU61" s="19"/>
      <c r="FV61" s="19"/>
      <c r="FW61" s="19"/>
      <c r="FX61" s="19"/>
      <c r="FY61" s="19"/>
      <c r="FZ61" s="47" t="s">
        <v>175</v>
      </c>
      <c r="GA61" s="19"/>
      <c r="GB61" s="19"/>
      <c r="GC61" s="19"/>
      <c r="GD61" s="48" t="s">
        <v>96</v>
      </c>
      <c r="GE61" s="48" t="s">
        <v>96</v>
      </c>
      <c r="GF61" s="19"/>
      <c r="GG61" s="19"/>
      <c r="GH61" s="47" t="s">
        <v>172</v>
      </c>
      <c r="GI61" s="19"/>
      <c r="GJ61" s="47" t="s">
        <v>96</v>
      </c>
      <c r="GK61" s="19"/>
      <c r="GL61" s="47" t="s">
        <v>96</v>
      </c>
      <c r="GM61" s="19"/>
      <c r="GN61" s="19"/>
      <c r="GO61" s="47" t="s">
        <v>96</v>
      </c>
      <c r="GP61" s="19">
        <v>4545454</v>
      </c>
      <c r="GQ61" s="19"/>
      <c r="GR61" s="19"/>
      <c r="GS61" s="19"/>
      <c r="GT61" s="19"/>
      <c r="GU61" s="19"/>
      <c r="GV61" s="19"/>
      <c r="GW61" s="19"/>
      <c r="GX61" s="19">
        <v>129965</v>
      </c>
      <c r="GY61" s="19"/>
      <c r="GZ61" s="19"/>
      <c r="HA61" s="19"/>
      <c r="HB61" s="19">
        <v>76921414</v>
      </c>
      <c r="HC61" s="19"/>
      <c r="HD61" s="19">
        <v>2893406</v>
      </c>
      <c r="HE61" s="19"/>
      <c r="HF61" s="19">
        <v>90639445</v>
      </c>
      <c r="HG61" s="19"/>
      <c r="HH61" s="47" t="s">
        <v>130</v>
      </c>
      <c r="HI61" s="19">
        <v>707702</v>
      </c>
      <c r="HJ61" s="19"/>
      <c r="HK61" s="19"/>
      <c r="HL61" s="19"/>
      <c r="HM61" s="19"/>
      <c r="HN61" s="19"/>
      <c r="HO61" s="19"/>
      <c r="HP61" s="19">
        <v>157750</v>
      </c>
      <c r="HQ61" s="19"/>
      <c r="HR61" s="19">
        <v>6879260</v>
      </c>
      <c r="HS61" s="19"/>
      <c r="HT61" s="19"/>
      <c r="HU61" s="19">
        <v>4581825</v>
      </c>
      <c r="HV61" s="19"/>
      <c r="HW61" s="47" t="s">
        <v>96</v>
      </c>
      <c r="HX61" s="19"/>
      <c r="HY61" s="19" t="s">
        <v>172</v>
      </c>
      <c r="HZ61" s="19"/>
      <c r="IA61" s="19"/>
      <c r="IB61" s="19">
        <v>16576908</v>
      </c>
      <c r="IC61" s="19"/>
      <c r="ID61" s="19"/>
      <c r="IE61" s="47" t="s">
        <v>96</v>
      </c>
      <c r="IF61" s="19"/>
      <c r="IG61" s="19"/>
      <c r="IH61" s="19"/>
      <c r="II61" s="19"/>
      <c r="IJ61" s="19"/>
      <c r="IK61" s="19"/>
      <c r="IL61" s="19"/>
      <c r="IM61" s="19"/>
      <c r="IN61" s="19"/>
      <c r="IO61" s="19"/>
      <c r="IP61" s="19"/>
      <c r="IQ61" s="19"/>
      <c r="IR61" s="19">
        <v>1056438</v>
      </c>
      <c r="IS61" s="19"/>
      <c r="IT61" s="19">
        <v>336112</v>
      </c>
      <c r="IU61" s="45"/>
      <c r="IV61" s="45"/>
      <c r="IW61" s="45"/>
      <c r="IX61" s="45"/>
      <c r="IY61" s="45"/>
      <c r="IZ61" s="45"/>
      <c r="JA61" s="45"/>
      <c r="JB61" s="45"/>
      <c r="JC61" s="45"/>
      <c r="JD61" s="45">
        <v>40000000</v>
      </c>
      <c r="JE61" s="45"/>
      <c r="JF61" s="45"/>
      <c r="JG61" s="45"/>
      <c r="JH61" s="45"/>
      <c r="JI61" s="45"/>
      <c r="JJ61" s="45"/>
      <c r="JK61" s="45"/>
      <c r="JL61" s="45"/>
      <c r="JM61" s="45"/>
      <c r="JN61" s="45">
        <v>265025</v>
      </c>
      <c r="JO61" s="46"/>
      <c r="JP61" s="46"/>
      <c r="JQ61" s="63" t="s">
        <v>175</v>
      </c>
      <c r="JR61" s="46"/>
      <c r="JS61" s="46"/>
      <c r="JT61" s="46"/>
      <c r="JU61" s="46"/>
      <c r="JV61" s="46"/>
      <c r="JW61" s="46"/>
      <c r="JX61" s="46"/>
      <c r="JY61" s="46"/>
      <c r="JZ61" s="46"/>
      <c r="KA61" s="46"/>
      <c r="KB61" s="46">
        <v>545564297</v>
      </c>
      <c r="KC61" s="46"/>
      <c r="KD61" s="46"/>
      <c r="KE61" s="46"/>
      <c r="KF61" s="46"/>
      <c r="KG61" s="46"/>
      <c r="KH61" s="46"/>
    </row>
    <row r="62" spans="1:294">
      <c r="A62" s="9" t="s">
        <v>183</v>
      </c>
      <c r="B62" s="15" t="s">
        <v>20</v>
      </c>
      <c r="C62" s="19">
        <v>379</v>
      </c>
      <c r="D62" s="19">
        <v>10776949</v>
      </c>
      <c r="E62" s="19">
        <v>20917357</v>
      </c>
      <c r="F62" s="19">
        <v>720941</v>
      </c>
      <c r="G62" s="47" t="s">
        <v>130</v>
      </c>
      <c r="H62" s="19">
        <v>7824212</v>
      </c>
      <c r="I62" s="19">
        <v>561315451</v>
      </c>
      <c r="J62" s="47" t="s">
        <v>4</v>
      </c>
      <c r="K62" s="19">
        <v>233965</v>
      </c>
      <c r="L62" s="47" t="s">
        <v>96</v>
      </c>
      <c r="M62" s="47" t="s">
        <v>96</v>
      </c>
      <c r="N62" s="19">
        <v>1811387</v>
      </c>
      <c r="O62" s="19">
        <v>11923864</v>
      </c>
      <c r="P62" s="19">
        <v>18155804</v>
      </c>
      <c r="Q62" s="19">
        <v>25659</v>
      </c>
      <c r="R62" s="19">
        <v>1098566</v>
      </c>
      <c r="S62" s="19">
        <v>69554634</v>
      </c>
      <c r="T62" s="47" t="s">
        <v>96</v>
      </c>
      <c r="U62" s="47" t="s">
        <v>172</v>
      </c>
      <c r="V62" s="47" t="s">
        <v>172</v>
      </c>
      <c r="W62" s="19">
        <v>10452056</v>
      </c>
      <c r="X62" s="19">
        <v>2464107</v>
      </c>
      <c r="Y62" s="19">
        <v>7254244</v>
      </c>
      <c r="Z62" s="19">
        <v>31114</v>
      </c>
      <c r="AA62" s="19">
        <v>66156821</v>
      </c>
      <c r="AB62" s="19">
        <v>303573</v>
      </c>
      <c r="AC62" s="19">
        <v>63502956</v>
      </c>
      <c r="AD62" s="19">
        <v>282074203</v>
      </c>
      <c r="AE62" s="19"/>
      <c r="AF62" s="47" t="s">
        <v>172</v>
      </c>
      <c r="AG62" s="19"/>
      <c r="AH62" s="19">
        <v>1130448</v>
      </c>
      <c r="AI62" s="19">
        <v>26496590</v>
      </c>
      <c r="AJ62" s="19">
        <v>933042</v>
      </c>
      <c r="AK62" s="19">
        <v>508256</v>
      </c>
      <c r="AL62" s="19">
        <v>469667</v>
      </c>
      <c r="AM62" s="47" t="s">
        <v>4</v>
      </c>
      <c r="AN62" s="19">
        <v>396589</v>
      </c>
      <c r="AO62" s="19">
        <v>45597474</v>
      </c>
      <c r="AP62" s="19">
        <v>5995052</v>
      </c>
      <c r="AQ62" s="47" t="s">
        <v>96</v>
      </c>
      <c r="AR62" s="19">
        <v>19454200</v>
      </c>
      <c r="AS62" s="19">
        <v>2968</v>
      </c>
      <c r="AT62" s="47" t="s">
        <v>172</v>
      </c>
      <c r="AU62" s="19">
        <v>11360082</v>
      </c>
      <c r="AV62" s="19">
        <v>1938294</v>
      </c>
      <c r="AW62" s="19">
        <v>3058528</v>
      </c>
      <c r="AX62" s="47" t="s">
        <v>4</v>
      </c>
      <c r="AY62" s="19">
        <v>2148250</v>
      </c>
      <c r="AZ62" s="19">
        <v>17918636</v>
      </c>
      <c r="BA62" s="19">
        <v>6245285</v>
      </c>
      <c r="BB62" s="19">
        <v>84239146</v>
      </c>
      <c r="BC62" s="47" t="s">
        <v>4</v>
      </c>
      <c r="BD62" s="47" t="s">
        <v>130</v>
      </c>
      <c r="BE62" s="19">
        <v>26318727</v>
      </c>
      <c r="BF62" s="47" t="s">
        <v>96</v>
      </c>
      <c r="BG62" s="19">
        <v>23709335</v>
      </c>
      <c r="BH62" s="19">
        <v>33623312</v>
      </c>
      <c r="BI62" s="19">
        <v>418459</v>
      </c>
      <c r="BJ62" s="19">
        <v>610206</v>
      </c>
      <c r="BK62" s="19"/>
      <c r="BL62" s="19">
        <v>5657413</v>
      </c>
      <c r="BM62" s="19">
        <v>7028642</v>
      </c>
      <c r="BN62" s="19">
        <v>192338</v>
      </c>
      <c r="BO62" s="19">
        <v>7427514</v>
      </c>
      <c r="BP62" s="47" t="s">
        <v>96</v>
      </c>
      <c r="BQ62" s="47" t="s">
        <v>4</v>
      </c>
      <c r="BR62" s="19">
        <v>3105726</v>
      </c>
      <c r="BS62" s="19">
        <v>10029332</v>
      </c>
      <c r="BT62" s="47" t="s">
        <v>130</v>
      </c>
      <c r="BU62" s="19">
        <v>11517141</v>
      </c>
      <c r="BV62" s="19">
        <v>1292242</v>
      </c>
      <c r="BW62" s="19">
        <v>128050</v>
      </c>
      <c r="BX62" s="19">
        <v>4706288</v>
      </c>
      <c r="BY62" s="19">
        <v>241397933</v>
      </c>
      <c r="BZ62" s="19">
        <v>3484545</v>
      </c>
      <c r="CA62" s="19">
        <v>581523</v>
      </c>
      <c r="CB62" s="19">
        <v>305587</v>
      </c>
      <c r="CC62" s="19">
        <v>11050</v>
      </c>
      <c r="CD62" s="19">
        <v>2609031</v>
      </c>
      <c r="CE62" s="19">
        <v>124377</v>
      </c>
      <c r="CF62" s="19">
        <v>3437521</v>
      </c>
      <c r="CG62" s="19">
        <v>1627733</v>
      </c>
      <c r="CH62" s="19">
        <v>437847</v>
      </c>
      <c r="CI62" s="47" t="s">
        <v>130</v>
      </c>
      <c r="CJ62" s="19">
        <v>5111112</v>
      </c>
      <c r="CK62" s="19">
        <v>5814806</v>
      </c>
      <c r="CL62" s="19">
        <v>94092</v>
      </c>
      <c r="CM62" s="19">
        <v>6057306</v>
      </c>
      <c r="CN62" s="19">
        <v>59435</v>
      </c>
      <c r="CO62" s="19">
        <v>16185522</v>
      </c>
      <c r="CP62" s="19">
        <v>9854491</v>
      </c>
      <c r="CQ62" s="47" t="s">
        <v>96</v>
      </c>
      <c r="CR62" s="19">
        <v>18461372</v>
      </c>
      <c r="CS62" s="47" t="s">
        <v>172</v>
      </c>
      <c r="CT62" s="19">
        <v>283114838</v>
      </c>
      <c r="CU62" s="19"/>
      <c r="CV62" s="19">
        <v>643671</v>
      </c>
      <c r="CW62" s="19">
        <v>12715352</v>
      </c>
      <c r="CX62" s="19">
        <v>1427640</v>
      </c>
      <c r="CY62" s="47" t="s">
        <v>96</v>
      </c>
      <c r="CZ62" s="19">
        <v>1388839</v>
      </c>
      <c r="DA62" s="47" t="s">
        <v>89</v>
      </c>
      <c r="DB62" s="19">
        <v>84661971</v>
      </c>
      <c r="DC62" s="19">
        <v>1172420</v>
      </c>
      <c r="DD62" s="19">
        <v>19056161</v>
      </c>
      <c r="DE62" s="19">
        <v>52885105</v>
      </c>
      <c r="DF62" s="19">
        <v>1190998</v>
      </c>
      <c r="DG62" s="19">
        <v>1079636</v>
      </c>
      <c r="DH62" s="19">
        <v>2667433</v>
      </c>
      <c r="DI62" s="19">
        <v>71136169</v>
      </c>
      <c r="DJ62" s="19">
        <v>4823321</v>
      </c>
      <c r="DK62" s="19">
        <v>69489564</v>
      </c>
      <c r="DL62" s="19">
        <v>912061</v>
      </c>
      <c r="DM62" s="19">
        <v>129695455</v>
      </c>
      <c r="DN62" s="19">
        <v>10839900</v>
      </c>
      <c r="DO62" s="19">
        <v>13358472</v>
      </c>
      <c r="DP62" s="19">
        <v>174651</v>
      </c>
      <c r="DQ62" s="19">
        <v>2525046</v>
      </c>
      <c r="DR62" s="19">
        <v>9510415</v>
      </c>
      <c r="DS62" s="19">
        <v>102945000</v>
      </c>
      <c r="DT62" s="19">
        <v>368992</v>
      </c>
      <c r="DU62" s="19">
        <v>4200000</v>
      </c>
      <c r="DV62" s="19">
        <v>2554947</v>
      </c>
      <c r="DW62" s="19">
        <v>2088496</v>
      </c>
      <c r="DX62" s="19">
        <v>151715345</v>
      </c>
      <c r="DY62" s="19">
        <v>2099704</v>
      </c>
      <c r="DZ62" s="19">
        <v>760506</v>
      </c>
      <c r="EA62" s="19"/>
      <c r="EB62" s="19">
        <v>89460662</v>
      </c>
      <c r="EC62" s="19">
        <v>79</v>
      </c>
      <c r="ED62" s="19">
        <v>1201005</v>
      </c>
      <c r="EE62" s="19">
        <v>99072</v>
      </c>
      <c r="EF62" s="19">
        <v>1265300</v>
      </c>
      <c r="EG62" s="19">
        <v>81068276</v>
      </c>
      <c r="EH62" s="19">
        <v>1288215</v>
      </c>
      <c r="EI62" s="19">
        <v>142852720</v>
      </c>
      <c r="EJ62" s="19">
        <v>228219</v>
      </c>
      <c r="EK62" s="19">
        <v>513323</v>
      </c>
      <c r="EL62" s="19">
        <v>124312267</v>
      </c>
      <c r="EM62" s="19">
        <v>4526826</v>
      </c>
      <c r="EN62" s="19">
        <v>2219490</v>
      </c>
      <c r="EO62" s="19">
        <v>1269945</v>
      </c>
      <c r="EP62" s="19">
        <v>42940772</v>
      </c>
      <c r="EQ62" s="19">
        <v>29299801</v>
      </c>
      <c r="ER62" s="19">
        <v>4486926</v>
      </c>
      <c r="ES62" s="19">
        <v>12275784</v>
      </c>
      <c r="ET62" s="19">
        <v>280117929</v>
      </c>
      <c r="EU62" s="19">
        <v>1636176</v>
      </c>
      <c r="EV62" s="19">
        <v>287595</v>
      </c>
      <c r="EW62" s="19">
        <v>21400350</v>
      </c>
      <c r="EX62" s="19">
        <v>14045773</v>
      </c>
      <c r="EY62" s="19">
        <v>376726</v>
      </c>
      <c r="EZ62" s="19">
        <v>1701680</v>
      </c>
      <c r="FA62" s="47" t="s">
        <v>130</v>
      </c>
      <c r="FB62" s="19">
        <v>3008291</v>
      </c>
      <c r="FC62" s="19">
        <v>1604423</v>
      </c>
      <c r="FD62" s="19">
        <v>44388</v>
      </c>
      <c r="FE62" s="19">
        <v>17387811</v>
      </c>
      <c r="FF62" s="19">
        <v>4342450</v>
      </c>
      <c r="FG62" s="19">
        <v>3252159</v>
      </c>
      <c r="FH62" s="19">
        <v>44573903</v>
      </c>
      <c r="FI62" s="47" t="s">
        <v>96</v>
      </c>
      <c r="FJ62" s="19">
        <v>2772614</v>
      </c>
      <c r="FK62" s="19">
        <v>53241147</v>
      </c>
      <c r="FL62" s="47" t="s">
        <v>130</v>
      </c>
      <c r="FM62" s="19">
        <v>18227</v>
      </c>
      <c r="FN62" s="19">
        <v>85986529</v>
      </c>
      <c r="FO62" s="47" t="s">
        <v>172</v>
      </c>
      <c r="FP62" s="19">
        <v>166464</v>
      </c>
      <c r="FQ62" s="19">
        <v>9381234</v>
      </c>
      <c r="FR62" s="19">
        <v>13862498</v>
      </c>
      <c r="FS62" s="47" t="s">
        <v>130</v>
      </c>
      <c r="FT62" s="19">
        <v>1046475</v>
      </c>
      <c r="FU62" s="19">
        <v>5016508</v>
      </c>
      <c r="FV62" s="19">
        <v>15281940</v>
      </c>
      <c r="FW62" s="19">
        <v>2189676</v>
      </c>
      <c r="FX62" s="19">
        <v>1466</v>
      </c>
      <c r="FY62" s="19">
        <v>139030991</v>
      </c>
      <c r="FZ62" s="47" t="s">
        <v>175</v>
      </c>
      <c r="GA62" s="19">
        <v>7891861</v>
      </c>
      <c r="GB62" s="19">
        <v>363298</v>
      </c>
      <c r="GC62" s="19">
        <v>19250057</v>
      </c>
      <c r="GD62" s="48" t="s">
        <v>96</v>
      </c>
      <c r="GE62" s="48" t="s">
        <v>96</v>
      </c>
      <c r="GF62" s="19">
        <v>12539708</v>
      </c>
      <c r="GG62" s="19">
        <v>2249002</v>
      </c>
      <c r="GH62" s="47" t="s">
        <v>172</v>
      </c>
      <c r="GI62" s="19">
        <v>2124706</v>
      </c>
      <c r="GJ62" s="47" t="s">
        <v>96</v>
      </c>
      <c r="GK62" s="19">
        <v>3750052</v>
      </c>
      <c r="GL62" s="47" t="s">
        <v>96</v>
      </c>
      <c r="GM62" s="19">
        <v>38321500</v>
      </c>
      <c r="GN62" s="19">
        <v>42105380</v>
      </c>
      <c r="GO62" s="47" t="s">
        <v>96</v>
      </c>
      <c r="GP62" s="19">
        <v>20106016</v>
      </c>
      <c r="GQ62" s="19">
        <v>17310</v>
      </c>
      <c r="GR62" s="19">
        <v>15870903</v>
      </c>
      <c r="GS62" s="19">
        <v>1299</v>
      </c>
      <c r="GT62" s="19">
        <v>74893750</v>
      </c>
      <c r="GU62" s="19">
        <v>53628</v>
      </c>
      <c r="GV62" s="19">
        <v>195429393</v>
      </c>
      <c r="GW62" s="19">
        <v>308331615</v>
      </c>
      <c r="GX62" s="19">
        <v>1136735</v>
      </c>
      <c r="GY62" s="19"/>
      <c r="GZ62" s="19">
        <v>15220944</v>
      </c>
      <c r="HA62" s="19">
        <v>149107171</v>
      </c>
      <c r="HB62" s="19">
        <v>1210</v>
      </c>
      <c r="HC62" s="19">
        <v>1023286</v>
      </c>
      <c r="HD62" s="19">
        <v>44172842</v>
      </c>
      <c r="HE62" s="19">
        <v>266732</v>
      </c>
      <c r="HF62" s="19">
        <v>1217931</v>
      </c>
      <c r="HG62" s="19">
        <v>6412656</v>
      </c>
      <c r="HH62" s="47" t="s">
        <v>130</v>
      </c>
      <c r="HI62" s="19">
        <v>104248</v>
      </c>
      <c r="HJ62" s="19">
        <v>22365</v>
      </c>
      <c r="HK62" s="19">
        <v>1910837</v>
      </c>
      <c r="HL62" s="19">
        <v>259728788</v>
      </c>
      <c r="HM62" s="19">
        <v>5455024</v>
      </c>
      <c r="HN62" s="19">
        <v>27074</v>
      </c>
      <c r="HO62" s="19">
        <v>46029937</v>
      </c>
      <c r="HP62" s="19">
        <v>277153</v>
      </c>
      <c r="HQ62" s="19">
        <v>7170461</v>
      </c>
      <c r="HR62" s="19">
        <v>9103106</v>
      </c>
      <c r="HS62" s="19">
        <v>266391</v>
      </c>
      <c r="HT62" s="19"/>
      <c r="HU62" s="19">
        <v>9690087</v>
      </c>
      <c r="HV62" s="19">
        <v>34225768</v>
      </c>
      <c r="HW62" s="47" t="s">
        <v>96</v>
      </c>
      <c r="HX62" s="19">
        <v>1090503</v>
      </c>
      <c r="HY62" s="19" t="s">
        <v>172</v>
      </c>
      <c r="HZ62" s="19">
        <v>22410132</v>
      </c>
      <c r="IA62" s="19">
        <v>701830</v>
      </c>
      <c r="IB62" s="19">
        <v>57659794</v>
      </c>
      <c r="IC62" s="19">
        <v>277257</v>
      </c>
      <c r="ID62" s="19">
        <v>38798314</v>
      </c>
      <c r="IE62" s="47" t="s">
        <v>96</v>
      </c>
      <c r="IF62" s="19">
        <v>1415900</v>
      </c>
      <c r="IG62" s="19">
        <v>2791211</v>
      </c>
      <c r="IH62" s="19">
        <v>3308837</v>
      </c>
      <c r="II62" s="19">
        <v>8080099</v>
      </c>
      <c r="IJ62" s="19">
        <v>14177219</v>
      </c>
      <c r="IK62" s="19">
        <v>3486326</v>
      </c>
      <c r="IL62" s="19">
        <v>9382970</v>
      </c>
      <c r="IM62" s="19">
        <v>33880903</v>
      </c>
      <c r="IN62" s="19">
        <v>37597578</v>
      </c>
      <c r="IO62" s="19">
        <v>233448</v>
      </c>
      <c r="IP62" s="19">
        <v>5650558</v>
      </c>
      <c r="IQ62" s="19">
        <v>7757667</v>
      </c>
      <c r="IR62" s="19">
        <v>14437299</v>
      </c>
      <c r="IS62" s="19">
        <v>116755958</v>
      </c>
      <c r="IT62" s="19">
        <v>7027631</v>
      </c>
      <c r="IU62" s="45">
        <v>1939139</v>
      </c>
      <c r="IV62" s="45">
        <v>42162654</v>
      </c>
      <c r="IW62" s="45">
        <v>1323</v>
      </c>
      <c r="IX62" s="45">
        <v>22906845</v>
      </c>
      <c r="IY62" s="45">
        <v>1006619</v>
      </c>
      <c r="IZ62" s="45">
        <v>5809740</v>
      </c>
      <c r="JA62" s="45">
        <v>1906113</v>
      </c>
      <c r="JB62" s="45">
        <v>96825759</v>
      </c>
      <c r="JC62" s="45">
        <v>2037146</v>
      </c>
      <c r="JD62" s="45">
        <v>366165</v>
      </c>
      <c r="JE62" s="45">
        <v>2184515</v>
      </c>
      <c r="JF62" s="45">
        <v>176329937</v>
      </c>
      <c r="JG62" s="45">
        <v>18212624</v>
      </c>
      <c r="JH62" s="45">
        <v>16332610</v>
      </c>
      <c r="JI62" s="45">
        <v>14948423</v>
      </c>
      <c r="JJ62" s="45">
        <v>21998110</v>
      </c>
      <c r="JK62" s="45">
        <v>11461918</v>
      </c>
      <c r="JL62" s="45">
        <v>32509735</v>
      </c>
      <c r="JM62" s="45">
        <v>11397625</v>
      </c>
      <c r="JN62" s="45">
        <v>6942148</v>
      </c>
      <c r="JO62" s="46">
        <v>70</v>
      </c>
      <c r="JP62" s="46">
        <v>1303208</v>
      </c>
      <c r="JQ62" s="63" t="s">
        <v>175</v>
      </c>
      <c r="JR62" s="46">
        <v>397433388</v>
      </c>
      <c r="JS62" s="46">
        <v>4977417</v>
      </c>
      <c r="JT62" s="46">
        <v>31316295</v>
      </c>
      <c r="JU62" s="46">
        <v>27560028</v>
      </c>
      <c r="JV62" s="46">
        <v>14425953</v>
      </c>
      <c r="JW62" s="46">
        <v>75226171</v>
      </c>
      <c r="JX62" s="46">
        <v>45308170</v>
      </c>
      <c r="JY62" s="46">
        <v>14239487</v>
      </c>
      <c r="JZ62" s="46">
        <v>5000006</v>
      </c>
      <c r="KA62" s="46">
        <v>94980</v>
      </c>
      <c r="KB62" s="46">
        <v>426121</v>
      </c>
      <c r="KC62" s="46">
        <v>3979469</v>
      </c>
      <c r="KD62" s="46">
        <v>3074741</v>
      </c>
      <c r="KE62" s="46">
        <v>42053377</v>
      </c>
      <c r="KF62" s="46">
        <v>13525618</v>
      </c>
      <c r="KG62" s="46">
        <v>6500765</v>
      </c>
      <c r="KH62" s="46">
        <v>1059578</v>
      </c>
    </row>
    <row r="63" spans="1:294">
      <c r="A63" s="9" t="s">
        <v>183</v>
      </c>
      <c r="B63" s="15" t="s">
        <v>145</v>
      </c>
      <c r="C63" s="19"/>
      <c r="D63" s="19"/>
      <c r="E63" s="19"/>
      <c r="F63" s="19"/>
      <c r="G63" s="47" t="s">
        <v>130</v>
      </c>
      <c r="H63" s="19"/>
      <c r="I63" s="19"/>
      <c r="J63" s="47" t="s">
        <v>4</v>
      </c>
      <c r="K63" s="19"/>
      <c r="L63" s="47" t="s">
        <v>96</v>
      </c>
      <c r="M63" s="47" t="s">
        <v>96</v>
      </c>
      <c r="N63" s="19"/>
      <c r="O63" s="19">
        <v>624903</v>
      </c>
      <c r="P63" s="19"/>
      <c r="Q63" s="19"/>
      <c r="R63" s="19"/>
      <c r="S63" s="19">
        <v>517238</v>
      </c>
      <c r="T63" s="47" t="s">
        <v>96</v>
      </c>
      <c r="U63" s="47" t="s">
        <v>172</v>
      </c>
      <c r="V63" s="47" t="s">
        <v>172</v>
      </c>
      <c r="W63" s="19"/>
      <c r="X63" s="19"/>
      <c r="Y63" s="19"/>
      <c r="Z63" s="19"/>
      <c r="AA63" s="19"/>
      <c r="AB63" s="19"/>
      <c r="AC63" s="19"/>
      <c r="AD63" s="19">
        <v>1573935</v>
      </c>
      <c r="AE63" s="19"/>
      <c r="AF63" s="47" t="s">
        <v>172</v>
      </c>
      <c r="AG63" s="19"/>
      <c r="AH63" s="19">
        <v>1067273</v>
      </c>
      <c r="AI63" s="19"/>
      <c r="AJ63" s="19"/>
      <c r="AK63" s="19"/>
      <c r="AL63" s="19"/>
      <c r="AM63" s="47" t="s">
        <v>4</v>
      </c>
      <c r="AN63" s="19"/>
      <c r="AO63" s="19"/>
      <c r="AP63" s="19"/>
      <c r="AQ63" s="47" t="s">
        <v>96</v>
      </c>
      <c r="AR63" s="19"/>
      <c r="AS63" s="19"/>
      <c r="AT63" s="47" t="s">
        <v>172</v>
      </c>
      <c r="AU63" s="19"/>
      <c r="AV63" s="19"/>
      <c r="AW63" s="19"/>
      <c r="AX63" s="47" t="s">
        <v>4</v>
      </c>
      <c r="AY63" s="19"/>
      <c r="AZ63" s="19"/>
      <c r="BA63" s="19"/>
      <c r="BB63" s="19"/>
      <c r="BC63" s="47" t="s">
        <v>4</v>
      </c>
      <c r="BD63" s="47" t="s">
        <v>130</v>
      </c>
      <c r="BE63" s="19"/>
      <c r="BF63" s="47" t="s">
        <v>96</v>
      </c>
      <c r="BG63" s="19"/>
      <c r="BH63" s="19"/>
      <c r="BI63" s="19"/>
      <c r="BJ63" s="19"/>
      <c r="BK63" s="19">
        <v>810000</v>
      </c>
      <c r="BL63" s="19"/>
      <c r="BM63" s="19"/>
      <c r="BN63" s="19"/>
      <c r="BO63" s="19"/>
      <c r="BP63" s="47" t="s">
        <v>96</v>
      </c>
      <c r="BQ63" s="47" t="s">
        <v>4</v>
      </c>
      <c r="BR63" s="19"/>
      <c r="BS63" s="19"/>
      <c r="BT63" s="47" t="s">
        <v>130</v>
      </c>
      <c r="BU63" s="19"/>
      <c r="BV63" s="19"/>
      <c r="BW63" s="19"/>
      <c r="BX63" s="19"/>
      <c r="BY63" s="19"/>
      <c r="BZ63" s="19"/>
      <c r="CA63" s="19"/>
      <c r="CB63" s="19"/>
      <c r="CC63" s="19"/>
      <c r="CD63" s="19"/>
      <c r="CE63" s="19"/>
      <c r="CF63" s="19"/>
      <c r="CG63" s="19"/>
      <c r="CH63" s="19"/>
      <c r="CI63" s="47" t="s">
        <v>130</v>
      </c>
      <c r="CJ63" s="19"/>
      <c r="CK63" s="19"/>
      <c r="CL63" s="19"/>
      <c r="CM63" s="19"/>
      <c r="CN63" s="19"/>
      <c r="CO63" s="19"/>
      <c r="CP63" s="19"/>
      <c r="CQ63" s="47" t="s">
        <v>96</v>
      </c>
      <c r="CR63" s="19"/>
      <c r="CS63" s="47" t="s">
        <v>172</v>
      </c>
      <c r="CT63" s="19"/>
      <c r="CU63" s="19"/>
      <c r="CV63" s="19"/>
      <c r="CW63" s="19"/>
      <c r="CX63" s="19"/>
      <c r="CY63" s="47" t="s">
        <v>96</v>
      </c>
      <c r="CZ63" s="19" t="s">
        <v>118</v>
      </c>
      <c r="DA63" s="47" t="s">
        <v>89</v>
      </c>
      <c r="DB63" s="19"/>
      <c r="DC63" s="19"/>
      <c r="DD63" s="19"/>
      <c r="DE63" s="19"/>
      <c r="DF63" s="19"/>
      <c r="DG63" s="19"/>
      <c r="DH63" s="19"/>
      <c r="DI63" s="19"/>
      <c r="DJ63" s="19"/>
      <c r="DK63" s="19"/>
      <c r="DL63" s="19"/>
      <c r="DM63" s="19"/>
      <c r="DN63" s="19"/>
      <c r="DO63" s="19"/>
      <c r="DP63" s="19"/>
      <c r="DQ63" s="19"/>
      <c r="DR63" s="19"/>
      <c r="DS63" s="19"/>
      <c r="DT63" s="19"/>
      <c r="DU63" s="19"/>
      <c r="DV63" s="19"/>
      <c r="DW63" s="19"/>
      <c r="DX63" s="19"/>
      <c r="DY63" s="19"/>
      <c r="DZ63" s="19"/>
      <c r="EA63" s="19"/>
      <c r="EB63" s="19"/>
      <c r="EC63" s="19"/>
      <c r="ED63" s="19"/>
      <c r="EE63" s="19"/>
      <c r="EF63" s="19"/>
      <c r="EG63" s="19"/>
      <c r="EH63" s="19"/>
      <c r="EI63" s="19"/>
      <c r="EJ63" s="19"/>
      <c r="EK63" s="19"/>
      <c r="EL63" s="19"/>
      <c r="EM63" s="19"/>
      <c r="EN63" s="19"/>
      <c r="EO63" s="19"/>
      <c r="EP63" s="19"/>
      <c r="EQ63" s="19"/>
      <c r="ER63" s="19"/>
      <c r="ES63" s="19"/>
      <c r="ET63" s="19"/>
      <c r="EU63" s="19">
        <v>373270</v>
      </c>
      <c r="EV63" s="19"/>
      <c r="EW63" s="19"/>
      <c r="EX63" s="19"/>
      <c r="EY63" s="19"/>
      <c r="EZ63" s="19"/>
      <c r="FA63" s="47" t="s">
        <v>130</v>
      </c>
      <c r="FB63" s="19"/>
      <c r="FC63" s="19"/>
      <c r="FD63" s="19"/>
      <c r="FE63" s="19"/>
      <c r="FF63" s="19"/>
      <c r="FG63" s="19"/>
      <c r="FH63" s="19"/>
      <c r="FI63" s="47" t="s">
        <v>96</v>
      </c>
      <c r="FJ63" s="19"/>
      <c r="FK63" s="19"/>
      <c r="FL63" s="47" t="s">
        <v>130</v>
      </c>
      <c r="FM63" s="19"/>
      <c r="FN63" s="19"/>
      <c r="FO63" s="47" t="s">
        <v>172</v>
      </c>
      <c r="FP63" s="19"/>
      <c r="FQ63" s="19"/>
      <c r="FR63" s="19"/>
      <c r="FS63" s="47" t="s">
        <v>130</v>
      </c>
      <c r="FT63" s="19"/>
      <c r="FU63" s="19"/>
      <c r="FV63" s="19"/>
      <c r="FW63" s="19"/>
      <c r="FX63" s="19"/>
      <c r="FY63" s="19"/>
      <c r="FZ63" s="47" t="s">
        <v>175</v>
      </c>
      <c r="GA63" s="19"/>
      <c r="GB63" s="19"/>
      <c r="GC63" s="19"/>
      <c r="GD63" s="48" t="s">
        <v>96</v>
      </c>
      <c r="GE63" s="48" t="s">
        <v>96</v>
      </c>
      <c r="GF63" s="19"/>
      <c r="GG63" s="19"/>
      <c r="GH63" s="47" t="s">
        <v>172</v>
      </c>
      <c r="GI63" s="19"/>
      <c r="GJ63" s="47" t="s">
        <v>96</v>
      </c>
      <c r="GK63" s="19"/>
      <c r="GL63" s="47" t="s">
        <v>96</v>
      </c>
      <c r="GM63" s="19"/>
      <c r="GN63" s="19"/>
      <c r="GO63" s="47" t="s">
        <v>96</v>
      </c>
      <c r="GP63" s="19"/>
      <c r="GQ63" s="19"/>
      <c r="GR63" s="19"/>
      <c r="GS63" s="19"/>
      <c r="GT63" s="19"/>
      <c r="GU63" s="19"/>
      <c r="GV63" s="19"/>
      <c r="GW63" s="19"/>
      <c r="GX63" s="19"/>
      <c r="GY63" s="19"/>
      <c r="GZ63" s="19"/>
      <c r="HA63" s="19"/>
      <c r="HB63" s="19"/>
      <c r="HC63" s="19"/>
      <c r="HD63" s="19"/>
      <c r="HE63" s="19"/>
      <c r="HF63" s="19"/>
      <c r="HG63" s="19"/>
      <c r="HH63" s="47" t="s">
        <v>130</v>
      </c>
      <c r="HI63" s="19"/>
      <c r="HJ63" s="19"/>
      <c r="HK63" s="19"/>
      <c r="HL63" s="19"/>
      <c r="HM63" s="19"/>
      <c r="HN63" s="19"/>
      <c r="HO63" s="19"/>
      <c r="HP63" s="19"/>
      <c r="HQ63" s="19"/>
      <c r="HR63" s="19"/>
      <c r="HS63" s="19"/>
      <c r="HT63" s="19"/>
      <c r="HU63" s="19"/>
      <c r="HV63" s="19"/>
      <c r="HW63" s="47" t="s">
        <v>96</v>
      </c>
      <c r="HX63" s="19"/>
      <c r="HY63" s="19" t="s">
        <v>172</v>
      </c>
      <c r="HZ63" s="19"/>
      <c r="IA63" s="19"/>
      <c r="IB63" s="19"/>
      <c r="IC63" s="19"/>
      <c r="ID63" s="19"/>
      <c r="IE63" s="47" t="s">
        <v>96</v>
      </c>
      <c r="IF63" s="19"/>
      <c r="IG63" s="19"/>
      <c r="IH63" s="19"/>
      <c r="II63" s="19"/>
      <c r="IJ63" s="19"/>
      <c r="IK63" s="19"/>
      <c r="IL63" s="19"/>
      <c r="IM63" s="19"/>
      <c r="IN63" s="19"/>
      <c r="IO63" s="19"/>
      <c r="IP63" s="19"/>
      <c r="IQ63" s="19"/>
      <c r="IR63" s="19"/>
      <c r="IS63" s="19"/>
      <c r="IT63" s="19">
        <v>55934</v>
      </c>
      <c r="IU63" s="45"/>
      <c r="IV63" s="45"/>
      <c r="IW63" s="45"/>
      <c r="IX63" s="45"/>
      <c r="IY63" s="45"/>
      <c r="IZ63" s="45"/>
      <c r="JA63" s="45"/>
      <c r="JB63" s="45"/>
      <c r="JC63" s="45"/>
      <c r="JD63" s="45"/>
      <c r="JE63" s="45"/>
      <c r="JF63" s="45"/>
      <c r="JG63" s="45"/>
      <c r="JH63" s="45"/>
      <c r="JI63" s="45"/>
      <c r="JJ63" s="45"/>
      <c r="JK63" s="45"/>
      <c r="JL63" s="45"/>
      <c r="JM63" s="45"/>
      <c r="JN63" s="45"/>
      <c r="JO63" s="46"/>
      <c r="JP63" s="46"/>
      <c r="JQ63" s="63" t="s">
        <v>175</v>
      </c>
      <c r="JR63" s="46"/>
      <c r="JS63" s="46"/>
      <c r="JT63" s="46"/>
      <c r="JU63" s="46"/>
      <c r="JV63" s="46"/>
      <c r="JW63" s="46"/>
      <c r="JX63" s="46"/>
      <c r="JY63" s="46"/>
      <c r="JZ63" s="46"/>
      <c r="KA63" s="46"/>
      <c r="KB63" s="46"/>
      <c r="KC63" s="46"/>
      <c r="KD63" s="46"/>
      <c r="KE63" s="46"/>
      <c r="KF63" s="46"/>
      <c r="KG63" s="46"/>
      <c r="KH63" s="46"/>
    </row>
    <row r="64" spans="1:294">
      <c r="A64" s="9" t="s">
        <v>183</v>
      </c>
      <c r="B64" s="16" t="s">
        <v>78</v>
      </c>
      <c r="C64" s="19">
        <v>165846387</v>
      </c>
      <c r="D64" s="19">
        <v>518391503</v>
      </c>
      <c r="E64" s="19">
        <v>105184888</v>
      </c>
      <c r="F64" s="19">
        <v>255461283</v>
      </c>
      <c r="G64" s="47" t="s">
        <v>130</v>
      </c>
      <c r="H64" s="19">
        <v>411980000</v>
      </c>
      <c r="I64" s="19">
        <v>0</v>
      </c>
      <c r="J64" s="47" t="s">
        <v>4</v>
      </c>
      <c r="K64" s="19">
        <v>938270873</v>
      </c>
      <c r="L64" s="47" t="s">
        <v>96</v>
      </c>
      <c r="M64" s="47" t="s">
        <v>96</v>
      </c>
      <c r="N64" s="19">
        <v>399388013</v>
      </c>
      <c r="O64" s="19">
        <v>606805714</v>
      </c>
      <c r="P64" s="19">
        <v>35766990</v>
      </c>
      <c r="Q64" s="19">
        <v>12850000</v>
      </c>
      <c r="R64" s="19">
        <v>8500000</v>
      </c>
      <c r="S64" s="19">
        <v>45454546</v>
      </c>
      <c r="T64" s="47" t="s">
        <v>96</v>
      </c>
      <c r="U64" s="47" t="s">
        <v>172</v>
      </c>
      <c r="V64" s="47" t="s">
        <v>172</v>
      </c>
      <c r="W64" s="19">
        <v>21250000</v>
      </c>
      <c r="X64" s="19">
        <v>125800000</v>
      </c>
      <c r="Y64" s="19">
        <v>5000000</v>
      </c>
      <c r="Z64" s="19">
        <v>49573480</v>
      </c>
      <c r="AA64" s="19">
        <v>72494018</v>
      </c>
      <c r="AB64" s="19">
        <v>129126530</v>
      </c>
      <c r="AC64" s="19">
        <v>0</v>
      </c>
      <c r="AD64" s="19">
        <v>0</v>
      </c>
      <c r="AE64" s="19">
        <v>240819027</v>
      </c>
      <c r="AF64" s="47" t="s">
        <v>172</v>
      </c>
      <c r="AG64" s="19">
        <v>126136353</v>
      </c>
      <c r="AH64" s="19">
        <v>1432684991</v>
      </c>
      <c r="AI64" s="19">
        <v>11689669</v>
      </c>
      <c r="AJ64" s="19">
        <v>14300000</v>
      </c>
      <c r="AK64" s="19">
        <v>105107573</v>
      </c>
      <c r="AL64" s="19">
        <v>152018750</v>
      </c>
      <c r="AM64" s="47" t="s">
        <v>4</v>
      </c>
      <c r="AN64" s="19">
        <v>36083780</v>
      </c>
      <c r="AO64" s="19">
        <v>51892293</v>
      </c>
      <c r="AP64" s="19">
        <v>123811615</v>
      </c>
      <c r="AQ64" s="47" t="s">
        <v>96</v>
      </c>
      <c r="AR64" s="19">
        <v>9672756</v>
      </c>
      <c r="AS64" s="19">
        <v>571237420</v>
      </c>
      <c r="AT64" s="47" t="s">
        <v>172</v>
      </c>
      <c r="AU64" s="19">
        <v>0</v>
      </c>
      <c r="AV64" s="19">
        <v>18956308</v>
      </c>
      <c r="AW64" s="19">
        <v>7000000</v>
      </c>
      <c r="AX64" s="47" t="s">
        <v>4</v>
      </c>
      <c r="AY64" s="19">
        <v>52328400</v>
      </c>
      <c r="AZ64" s="19">
        <v>8001569</v>
      </c>
      <c r="BA64" s="19">
        <v>601053823</v>
      </c>
      <c r="BB64" s="19">
        <v>0</v>
      </c>
      <c r="BC64" s="47" t="s">
        <v>4</v>
      </c>
      <c r="BD64" s="47" t="s">
        <v>130</v>
      </c>
      <c r="BE64" s="19">
        <v>3157000</v>
      </c>
      <c r="BF64" s="47" t="s">
        <v>96</v>
      </c>
      <c r="BG64" s="19">
        <v>40315244</v>
      </c>
      <c r="BH64" s="19">
        <v>0</v>
      </c>
      <c r="BI64" s="19">
        <v>77964071</v>
      </c>
      <c r="BJ64" s="19">
        <v>0</v>
      </c>
      <c r="BK64" s="19">
        <v>484092953</v>
      </c>
      <c r="BL64" s="19">
        <v>0</v>
      </c>
      <c r="BM64" s="19">
        <v>145426938</v>
      </c>
      <c r="BN64" s="19">
        <v>10000000</v>
      </c>
      <c r="BO64" s="19">
        <v>0</v>
      </c>
      <c r="BP64" s="47" t="s">
        <v>96</v>
      </c>
      <c r="BQ64" s="47" t="s">
        <v>4</v>
      </c>
      <c r="BR64" s="19">
        <v>10212744</v>
      </c>
      <c r="BS64" s="19">
        <v>0</v>
      </c>
      <c r="BT64" s="47" t="s">
        <v>130</v>
      </c>
      <c r="BU64" s="19">
        <v>79069509</v>
      </c>
      <c r="BV64" s="19">
        <v>74817790</v>
      </c>
      <c r="BW64" s="19">
        <v>53533600</v>
      </c>
      <c r="BX64" s="19">
        <v>2470000</v>
      </c>
      <c r="BY64" s="19">
        <v>1702154863</v>
      </c>
      <c r="BZ64" s="19">
        <v>72877728</v>
      </c>
      <c r="CA64" s="19">
        <v>0</v>
      </c>
      <c r="CB64" s="19">
        <v>15349957</v>
      </c>
      <c r="CC64" s="19">
        <v>57115410</v>
      </c>
      <c r="CD64" s="19">
        <v>32217222</v>
      </c>
      <c r="CE64" s="19">
        <v>5097564</v>
      </c>
      <c r="CF64" s="19">
        <v>442624698</v>
      </c>
      <c r="CG64" s="19">
        <v>47024220</v>
      </c>
      <c r="CH64" s="19">
        <v>75150261</v>
      </c>
      <c r="CI64" s="47" t="s">
        <v>130</v>
      </c>
      <c r="CJ64" s="19">
        <v>0</v>
      </c>
      <c r="CK64" s="19">
        <v>7464053</v>
      </c>
      <c r="CL64" s="19">
        <v>26276670</v>
      </c>
      <c r="CM64" s="19">
        <v>230459829</v>
      </c>
      <c r="CN64" s="19">
        <v>0</v>
      </c>
      <c r="CO64" s="19">
        <v>7000000</v>
      </c>
      <c r="CP64" s="19">
        <v>244771137</v>
      </c>
      <c r="CQ64" s="47" t="s">
        <v>96</v>
      </c>
      <c r="CR64" s="19">
        <v>2325800</v>
      </c>
      <c r="CS64" s="47" t="s">
        <v>172</v>
      </c>
      <c r="CT64" s="19">
        <v>0</v>
      </c>
      <c r="CU64" s="19">
        <v>0</v>
      </c>
      <c r="CV64" s="19">
        <v>8739303</v>
      </c>
      <c r="CW64" s="19">
        <v>607618208</v>
      </c>
      <c r="CX64" s="19">
        <v>29871571</v>
      </c>
      <c r="CY64" s="47" t="s">
        <v>96</v>
      </c>
      <c r="CZ64" s="19">
        <v>165352504</v>
      </c>
      <c r="DA64" s="47" t="s">
        <v>89</v>
      </c>
      <c r="DB64" s="19">
        <v>0</v>
      </c>
      <c r="DC64" s="19">
        <v>0</v>
      </c>
      <c r="DD64" s="19">
        <v>5000000</v>
      </c>
      <c r="DE64" s="19">
        <v>0</v>
      </c>
      <c r="DF64" s="19">
        <v>10208524</v>
      </c>
      <c r="DG64" s="19">
        <v>42553220</v>
      </c>
      <c r="DH64" s="19">
        <v>85638260</v>
      </c>
      <c r="DI64" s="19">
        <v>73918783</v>
      </c>
      <c r="DJ64" s="19">
        <v>6500009</v>
      </c>
      <c r="DK64" s="19">
        <v>0</v>
      </c>
      <c r="DL64" s="19">
        <v>114823012</v>
      </c>
      <c r="DM64" s="19">
        <v>0</v>
      </c>
      <c r="DN64" s="19">
        <v>5000000</v>
      </c>
      <c r="DO64" s="19">
        <v>1895490</v>
      </c>
      <c r="DP64" s="19">
        <v>6414116</v>
      </c>
      <c r="DQ64" s="19">
        <v>0</v>
      </c>
      <c r="DR64" s="19">
        <v>140527261</v>
      </c>
      <c r="DS64" s="19">
        <v>1100000</v>
      </c>
      <c r="DT64" s="19">
        <v>353569011</v>
      </c>
      <c r="DU64" s="19">
        <v>0</v>
      </c>
      <c r="DV64" s="19">
        <v>408310096</v>
      </c>
      <c r="DW64" s="19">
        <v>143706121</v>
      </c>
      <c r="DX64" s="19">
        <v>0</v>
      </c>
      <c r="DY64" s="19">
        <v>64398249</v>
      </c>
      <c r="DZ64" s="19">
        <v>7050800</v>
      </c>
      <c r="EA64" s="19">
        <v>0</v>
      </c>
      <c r="EB64" s="19">
        <v>687472015</v>
      </c>
      <c r="EC64" s="19">
        <v>7862725</v>
      </c>
      <c r="ED64" s="19">
        <v>316831176</v>
      </c>
      <c r="EE64" s="19">
        <v>58997964</v>
      </c>
      <c r="EF64" s="19">
        <v>446460130</v>
      </c>
      <c r="EG64" s="19">
        <v>0</v>
      </c>
      <c r="EH64" s="19">
        <v>5000000</v>
      </c>
      <c r="EI64" s="19">
        <v>300000</v>
      </c>
      <c r="EJ64" s="19">
        <v>282267550</v>
      </c>
      <c r="EK64" s="19">
        <v>78037203</v>
      </c>
      <c r="EL64" s="19">
        <v>365162070</v>
      </c>
      <c r="EM64" s="19">
        <v>30024646</v>
      </c>
      <c r="EN64" s="19">
        <v>803514596</v>
      </c>
      <c r="EO64" s="19">
        <v>35441864</v>
      </c>
      <c r="EP64" s="19">
        <v>14947000</v>
      </c>
      <c r="EQ64" s="19">
        <v>0</v>
      </c>
      <c r="ER64" s="19">
        <v>568469209</v>
      </c>
      <c r="ES64" s="19">
        <v>0</v>
      </c>
      <c r="ET64" s="19">
        <v>0</v>
      </c>
      <c r="EU64" s="19">
        <v>59000000</v>
      </c>
      <c r="EV64" s="19">
        <v>10600000</v>
      </c>
      <c r="EW64" s="19">
        <v>0</v>
      </c>
      <c r="EX64" s="19">
        <v>15269164</v>
      </c>
      <c r="EY64" s="19">
        <v>251807492</v>
      </c>
      <c r="EZ64" s="19">
        <v>322284690</v>
      </c>
      <c r="FA64" s="47" t="s">
        <v>130</v>
      </c>
      <c r="FB64" s="19">
        <v>157437143</v>
      </c>
      <c r="FC64" s="19">
        <v>121079087</v>
      </c>
      <c r="FD64" s="19">
        <v>118400560</v>
      </c>
      <c r="FE64" s="19">
        <v>344614020</v>
      </c>
      <c r="FF64" s="19">
        <v>0</v>
      </c>
      <c r="FG64" s="19">
        <v>112833872</v>
      </c>
      <c r="FH64" s="19">
        <v>0</v>
      </c>
      <c r="FI64" s="47" t="s">
        <v>96</v>
      </c>
      <c r="FJ64" s="19">
        <v>8864565</v>
      </c>
      <c r="FK64" s="19">
        <v>1049031044</v>
      </c>
      <c r="FL64" s="47" t="s">
        <v>130</v>
      </c>
      <c r="FM64" s="19">
        <v>362095123</v>
      </c>
      <c r="FN64" s="19">
        <v>0</v>
      </c>
      <c r="FO64" s="47" t="s">
        <v>172</v>
      </c>
      <c r="FP64" s="19">
        <v>13891930</v>
      </c>
      <c r="FQ64" s="19">
        <v>0</v>
      </c>
      <c r="FR64" s="19">
        <v>371233713</v>
      </c>
      <c r="FS64" s="47" t="s">
        <v>130</v>
      </c>
      <c r="FT64" s="19">
        <v>0</v>
      </c>
      <c r="FU64" s="19">
        <v>0</v>
      </c>
      <c r="FV64" s="19">
        <v>189015797</v>
      </c>
      <c r="FW64" s="19">
        <v>10560000</v>
      </c>
      <c r="FX64" s="19">
        <v>238568530</v>
      </c>
      <c r="FY64" s="19">
        <v>0</v>
      </c>
      <c r="FZ64" s="47" t="s">
        <v>175</v>
      </c>
      <c r="GA64" s="19">
        <v>38000000</v>
      </c>
      <c r="GB64" s="19">
        <v>69673801</v>
      </c>
      <c r="GC64" s="19">
        <v>5510000</v>
      </c>
      <c r="GD64" s="48" t="s">
        <v>96</v>
      </c>
      <c r="GE64" s="48" t="s">
        <v>96</v>
      </c>
      <c r="GF64" s="19">
        <v>35889860</v>
      </c>
      <c r="GG64" s="19">
        <v>329539389</v>
      </c>
      <c r="GH64" s="47" t="s">
        <v>172</v>
      </c>
      <c r="GI64" s="19">
        <v>0</v>
      </c>
      <c r="GJ64" s="47" t="s">
        <v>96</v>
      </c>
      <c r="GK64" s="19">
        <v>104664854</v>
      </c>
      <c r="GL64" s="47" t="s">
        <v>96</v>
      </c>
      <c r="GM64" s="19">
        <v>218428700</v>
      </c>
      <c r="GN64" s="19">
        <v>0</v>
      </c>
      <c r="GO64" s="47" t="s">
        <v>96</v>
      </c>
      <c r="GP64" s="19">
        <v>13155740</v>
      </c>
      <c r="GQ64" s="19">
        <v>61168160</v>
      </c>
      <c r="GR64" s="19">
        <v>548400045</v>
      </c>
      <c r="GS64" s="19">
        <v>148286763</v>
      </c>
      <c r="GT64" s="19">
        <v>0</v>
      </c>
      <c r="GU64" s="19">
        <v>0</v>
      </c>
      <c r="GV64" s="19">
        <v>0</v>
      </c>
      <c r="GW64" s="19">
        <v>0</v>
      </c>
      <c r="GX64" s="19">
        <v>43265300</v>
      </c>
      <c r="GY64" s="19">
        <v>0</v>
      </c>
      <c r="GZ64" s="19">
        <v>0</v>
      </c>
      <c r="HA64" s="19">
        <v>0</v>
      </c>
      <c r="HB64" s="19">
        <v>531781213</v>
      </c>
      <c r="HC64" s="19">
        <v>147224676</v>
      </c>
      <c r="HD64" s="19">
        <v>857897128</v>
      </c>
      <c r="HE64" s="19">
        <v>22383320</v>
      </c>
      <c r="HF64" s="19">
        <v>291108694</v>
      </c>
      <c r="HG64" s="19">
        <v>150898061</v>
      </c>
      <c r="HH64" s="47" t="s">
        <v>130</v>
      </c>
      <c r="HI64" s="19">
        <v>353769495</v>
      </c>
      <c r="HJ64" s="19">
        <v>12170000</v>
      </c>
      <c r="HK64" s="19">
        <v>118317087</v>
      </c>
      <c r="HL64" s="19">
        <v>0</v>
      </c>
      <c r="HM64" s="19">
        <v>0</v>
      </c>
      <c r="HN64" s="19">
        <v>50432542</v>
      </c>
      <c r="HO64" s="19">
        <v>150313050</v>
      </c>
      <c r="HP64" s="19">
        <v>2519180474</v>
      </c>
      <c r="HQ64" s="19">
        <v>2056740</v>
      </c>
      <c r="HR64" s="19">
        <v>283603130</v>
      </c>
      <c r="HS64" s="19">
        <v>62176155</v>
      </c>
      <c r="HT64" s="19">
        <v>0</v>
      </c>
      <c r="HU64" s="19">
        <v>248223833</v>
      </c>
      <c r="HV64" s="19">
        <v>0</v>
      </c>
      <c r="HW64" s="47" t="s">
        <v>96</v>
      </c>
      <c r="HX64" s="19">
        <v>0</v>
      </c>
      <c r="HY64" s="19" t="s">
        <v>172</v>
      </c>
      <c r="HZ64" s="19">
        <v>175873282</v>
      </c>
      <c r="IA64" s="19">
        <v>60000</v>
      </c>
      <c r="IB64" s="19">
        <v>137799158</v>
      </c>
      <c r="IC64" s="19">
        <v>861270</v>
      </c>
      <c r="ID64" s="19">
        <v>0</v>
      </c>
      <c r="IE64" s="47" t="s">
        <v>96</v>
      </c>
      <c r="IF64" s="19">
        <v>14937540</v>
      </c>
      <c r="IG64" s="19">
        <v>0</v>
      </c>
      <c r="IH64" s="19">
        <v>93853700</v>
      </c>
      <c r="II64" s="19">
        <v>0</v>
      </c>
      <c r="IJ64" s="19">
        <v>25537961</v>
      </c>
      <c r="IK64" s="19">
        <v>42478591</v>
      </c>
      <c r="IL64" s="19">
        <v>0</v>
      </c>
      <c r="IM64" s="19">
        <v>5000000</v>
      </c>
      <c r="IN64" s="19">
        <v>0</v>
      </c>
      <c r="IO64" s="19">
        <v>0</v>
      </c>
      <c r="IP64" s="19">
        <v>245218890</v>
      </c>
      <c r="IQ64" s="19">
        <v>0</v>
      </c>
      <c r="IR64" s="19">
        <v>24000000</v>
      </c>
      <c r="IS64" s="19">
        <v>0</v>
      </c>
      <c r="IT64" s="19">
        <v>0</v>
      </c>
      <c r="IU64" s="45">
        <v>68814974</v>
      </c>
      <c r="IV64" s="45">
        <v>4260000</v>
      </c>
      <c r="IW64" s="45">
        <v>499822201</v>
      </c>
      <c r="IX64" s="45">
        <v>8425066</v>
      </c>
      <c r="IY64" s="45">
        <v>137569080</v>
      </c>
      <c r="IZ64" s="45">
        <v>22543360</v>
      </c>
      <c r="JA64" s="45">
        <v>221322602</v>
      </c>
      <c r="JB64" s="45">
        <v>0</v>
      </c>
      <c r="JC64" s="45">
        <v>0</v>
      </c>
      <c r="JD64" s="45">
        <v>20540800</v>
      </c>
      <c r="JE64" s="45">
        <v>6631500</v>
      </c>
      <c r="JF64" s="45">
        <v>0</v>
      </c>
      <c r="JG64" s="45">
        <v>0</v>
      </c>
      <c r="JH64" s="45">
        <v>0</v>
      </c>
      <c r="JI64" s="45">
        <v>0</v>
      </c>
      <c r="JJ64" s="45">
        <v>0</v>
      </c>
      <c r="JK64" s="45">
        <v>800000</v>
      </c>
      <c r="JL64" s="45">
        <v>82460556</v>
      </c>
      <c r="JM64" s="45">
        <v>0</v>
      </c>
      <c r="JN64" s="45">
        <v>0</v>
      </c>
      <c r="JO64" s="46">
        <v>0</v>
      </c>
      <c r="JP64" s="46">
        <v>17982650</v>
      </c>
      <c r="JQ64" s="63" t="s">
        <v>175</v>
      </c>
      <c r="JR64" s="46">
        <v>0</v>
      </c>
      <c r="JS64" s="46">
        <v>19694200</v>
      </c>
      <c r="JT64" s="46">
        <v>0</v>
      </c>
      <c r="JU64" s="46">
        <v>0</v>
      </c>
      <c r="JV64" s="46">
        <v>69586000</v>
      </c>
      <c r="JW64" s="46">
        <v>0</v>
      </c>
      <c r="JX64" s="46">
        <v>0</v>
      </c>
      <c r="JY64" s="46">
        <v>0</v>
      </c>
      <c r="JZ64" s="46">
        <v>0</v>
      </c>
      <c r="KA64" s="46">
        <v>0</v>
      </c>
      <c r="KB64" s="46">
        <v>0</v>
      </c>
      <c r="KC64" s="46">
        <v>197225034</v>
      </c>
      <c r="KD64" s="46">
        <v>315000</v>
      </c>
      <c r="KE64" s="46">
        <v>0</v>
      </c>
      <c r="KF64" s="46">
        <v>108703210</v>
      </c>
      <c r="KG64" s="46">
        <v>0</v>
      </c>
      <c r="KH64" s="46">
        <v>15481150</v>
      </c>
    </row>
    <row r="65" spans="1:294">
      <c r="A65" s="9" t="s">
        <v>183</v>
      </c>
      <c r="B65" s="17" t="s">
        <v>80</v>
      </c>
      <c r="C65" s="19">
        <v>122883460</v>
      </c>
      <c r="D65" s="19"/>
      <c r="E65" s="19"/>
      <c r="F65" s="19"/>
      <c r="G65" s="47" t="s">
        <v>130</v>
      </c>
      <c r="H65" s="19"/>
      <c r="I65" s="19"/>
      <c r="J65" s="47" t="s">
        <v>4</v>
      </c>
      <c r="K65" s="19"/>
      <c r="L65" s="47" t="s">
        <v>96</v>
      </c>
      <c r="M65" s="47" t="s">
        <v>96</v>
      </c>
      <c r="N65" s="19"/>
      <c r="O65" s="19"/>
      <c r="P65" s="19"/>
      <c r="Q65" s="19">
        <v>7850000</v>
      </c>
      <c r="R65" s="19">
        <v>3500000</v>
      </c>
      <c r="S65" s="19">
        <v>45454546</v>
      </c>
      <c r="T65" s="47" t="s">
        <v>96</v>
      </c>
      <c r="U65" s="47" t="s">
        <v>172</v>
      </c>
      <c r="V65" s="47" t="s">
        <v>172</v>
      </c>
      <c r="W65" s="19"/>
      <c r="X65" s="19"/>
      <c r="Y65" s="19"/>
      <c r="Z65" s="19"/>
      <c r="AA65" s="19">
        <v>44080000</v>
      </c>
      <c r="AB65" s="19"/>
      <c r="AC65" s="19"/>
      <c r="AD65" s="19"/>
      <c r="AE65" s="19"/>
      <c r="AF65" s="47" t="s">
        <v>172</v>
      </c>
      <c r="AG65" s="19"/>
      <c r="AH65" s="19"/>
      <c r="AI65" s="19"/>
      <c r="AJ65" s="19"/>
      <c r="AK65" s="19"/>
      <c r="AL65" s="19"/>
      <c r="AM65" s="47" t="s">
        <v>4</v>
      </c>
      <c r="AN65" s="19"/>
      <c r="AO65" s="19"/>
      <c r="AP65" s="19">
        <v>60751131</v>
      </c>
      <c r="AQ65" s="47" t="s">
        <v>96</v>
      </c>
      <c r="AR65" s="19"/>
      <c r="AS65" s="19"/>
      <c r="AT65" s="47" t="s">
        <v>172</v>
      </c>
      <c r="AU65" s="19"/>
      <c r="AV65" s="19"/>
      <c r="AW65" s="19"/>
      <c r="AX65" s="47" t="s">
        <v>4</v>
      </c>
      <c r="AY65" s="19"/>
      <c r="AZ65" s="19"/>
      <c r="BA65" s="19">
        <v>581711528</v>
      </c>
      <c r="BB65" s="19"/>
      <c r="BC65" s="47" t="s">
        <v>4</v>
      </c>
      <c r="BD65" s="47" t="s">
        <v>130</v>
      </c>
      <c r="BE65" s="19"/>
      <c r="BF65" s="47" t="s">
        <v>96</v>
      </c>
      <c r="BG65" s="19"/>
      <c r="BH65" s="19"/>
      <c r="BI65" s="19"/>
      <c r="BJ65" s="19"/>
      <c r="BK65" s="19"/>
      <c r="BL65" s="19"/>
      <c r="BM65" s="19"/>
      <c r="BN65" s="19"/>
      <c r="BO65" s="19"/>
      <c r="BP65" s="47" t="s">
        <v>96</v>
      </c>
      <c r="BQ65" s="47" t="s">
        <v>4</v>
      </c>
      <c r="BR65" s="19"/>
      <c r="BS65" s="19"/>
      <c r="BT65" s="47" t="s">
        <v>130</v>
      </c>
      <c r="BU65" s="19"/>
      <c r="BV65" s="19"/>
      <c r="BW65" s="19"/>
      <c r="BX65" s="19"/>
      <c r="BY65" s="19">
        <v>1702154863</v>
      </c>
      <c r="BZ65" s="19"/>
      <c r="CA65" s="19"/>
      <c r="CB65" s="19"/>
      <c r="CC65" s="19"/>
      <c r="CD65" s="19"/>
      <c r="CE65" s="19"/>
      <c r="CF65" s="19">
        <v>7200000</v>
      </c>
      <c r="CG65" s="19"/>
      <c r="CH65" s="19"/>
      <c r="CI65" s="47" t="s">
        <v>130</v>
      </c>
      <c r="CJ65" s="19"/>
      <c r="CK65" s="19">
        <v>1000000</v>
      </c>
      <c r="CL65" s="19"/>
      <c r="CM65" s="19"/>
      <c r="CN65" s="19"/>
      <c r="CO65" s="19"/>
      <c r="CP65" s="19"/>
      <c r="CQ65" s="47" t="s">
        <v>96</v>
      </c>
      <c r="CR65" s="19"/>
      <c r="CS65" s="47" t="s">
        <v>172</v>
      </c>
      <c r="CT65" s="19"/>
      <c r="CU65" s="19"/>
      <c r="CV65" s="19"/>
      <c r="CW65" s="19"/>
      <c r="CX65" s="19"/>
      <c r="CY65" s="47" t="s">
        <v>96</v>
      </c>
      <c r="CZ65" s="19"/>
      <c r="DA65" s="47" t="s">
        <v>89</v>
      </c>
      <c r="DB65" s="19"/>
      <c r="DC65" s="19"/>
      <c r="DD65" s="19"/>
      <c r="DE65" s="19"/>
      <c r="DF65" s="19"/>
      <c r="DG65" s="19"/>
      <c r="DH65" s="19"/>
      <c r="DI65" s="19">
        <v>73918783</v>
      </c>
      <c r="DJ65" s="19">
        <v>1500009</v>
      </c>
      <c r="DK65" s="19"/>
      <c r="DL65" s="19"/>
      <c r="DM65" s="19"/>
      <c r="DN65" s="19"/>
      <c r="DO65" s="19"/>
      <c r="DP65" s="19"/>
      <c r="DQ65" s="19"/>
      <c r="DR65" s="19"/>
      <c r="DS65" s="19"/>
      <c r="DT65" s="19">
        <v>353569011</v>
      </c>
      <c r="DU65" s="19"/>
      <c r="DV65" s="19"/>
      <c r="DW65" s="19">
        <v>143706121</v>
      </c>
      <c r="DX65" s="19"/>
      <c r="DY65" s="19"/>
      <c r="DZ65" s="19"/>
      <c r="EA65" s="19"/>
      <c r="EB65" s="19"/>
      <c r="EC65" s="19"/>
      <c r="ED65" s="19">
        <v>247294920</v>
      </c>
      <c r="EE65" s="19"/>
      <c r="EF65" s="19"/>
      <c r="EG65" s="19"/>
      <c r="EH65" s="19"/>
      <c r="EI65" s="19"/>
      <c r="EJ65" s="19">
        <v>118808320</v>
      </c>
      <c r="EK65" s="19"/>
      <c r="EL65" s="19"/>
      <c r="EM65" s="19"/>
      <c r="EN65" s="19">
        <v>600652363</v>
      </c>
      <c r="EO65" s="19"/>
      <c r="EP65" s="19"/>
      <c r="EQ65" s="19"/>
      <c r="ER65" s="19"/>
      <c r="ES65" s="19"/>
      <c r="ET65" s="19"/>
      <c r="EU65" s="19"/>
      <c r="EV65" s="19"/>
      <c r="EW65" s="19"/>
      <c r="EX65" s="19"/>
      <c r="EY65" s="19"/>
      <c r="EZ65" s="19"/>
      <c r="FA65" s="47" t="s">
        <v>130</v>
      </c>
      <c r="FB65" s="19"/>
      <c r="FC65" s="19"/>
      <c r="FD65" s="19"/>
      <c r="FE65" s="19"/>
      <c r="FF65" s="19"/>
      <c r="FG65" s="19"/>
      <c r="FH65" s="19"/>
      <c r="FI65" s="47" t="s">
        <v>96</v>
      </c>
      <c r="FJ65" s="19"/>
      <c r="FK65" s="19">
        <v>193841510</v>
      </c>
      <c r="FL65" s="47" t="s">
        <v>130</v>
      </c>
      <c r="FM65" s="19"/>
      <c r="FN65" s="19"/>
      <c r="FO65" s="47" t="s">
        <v>172</v>
      </c>
      <c r="FP65" s="19"/>
      <c r="FQ65" s="19"/>
      <c r="FR65" s="19"/>
      <c r="FS65" s="47" t="s">
        <v>130</v>
      </c>
      <c r="FT65" s="19"/>
      <c r="FU65" s="19"/>
      <c r="FV65" s="19"/>
      <c r="FW65" s="19"/>
      <c r="FX65" s="19"/>
      <c r="FY65" s="19"/>
      <c r="FZ65" s="47" t="s">
        <v>175</v>
      </c>
      <c r="GA65" s="19">
        <v>38000000</v>
      </c>
      <c r="GB65" s="19"/>
      <c r="GC65" s="19"/>
      <c r="GD65" s="48" t="s">
        <v>96</v>
      </c>
      <c r="GE65" s="48" t="s">
        <v>96</v>
      </c>
      <c r="GF65" s="19"/>
      <c r="GG65" s="19"/>
      <c r="GH65" s="47" t="s">
        <v>172</v>
      </c>
      <c r="GI65" s="19"/>
      <c r="GJ65" s="47" t="s">
        <v>96</v>
      </c>
      <c r="GK65" s="19"/>
      <c r="GL65" s="47" t="s">
        <v>96</v>
      </c>
      <c r="GM65" s="19">
        <v>218428700</v>
      </c>
      <c r="GN65" s="19"/>
      <c r="GO65" s="47" t="s">
        <v>96</v>
      </c>
      <c r="GP65" s="19"/>
      <c r="GQ65" s="19"/>
      <c r="GR65" s="19">
        <v>548400045</v>
      </c>
      <c r="GS65" s="19"/>
      <c r="GT65" s="19"/>
      <c r="GU65" s="19"/>
      <c r="GV65" s="19"/>
      <c r="GW65" s="19"/>
      <c r="GX65" s="19"/>
      <c r="GY65" s="19"/>
      <c r="GZ65" s="19"/>
      <c r="HA65" s="19"/>
      <c r="HB65" s="19"/>
      <c r="HC65" s="19"/>
      <c r="HD65" s="19">
        <v>857897128</v>
      </c>
      <c r="HE65" s="19"/>
      <c r="HF65" s="19">
        <v>45322670</v>
      </c>
      <c r="HG65" s="19">
        <v>35802530</v>
      </c>
      <c r="HH65" s="47" t="s">
        <v>130</v>
      </c>
      <c r="HI65" s="19">
        <v>205163674</v>
      </c>
      <c r="HJ65" s="19"/>
      <c r="HK65" s="19">
        <v>12150500</v>
      </c>
      <c r="HL65" s="19"/>
      <c r="HM65" s="19"/>
      <c r="HN65" s="19"/>
      <c r="HO65" s="19">
        <v>146440000</v>
      </c>
      <c r="HP65" s="19"/>
      <c r="HQ65" s="19"/>
      <c r="HR65" s="19"/>
      <c r="HS65" s="19"/>
      <c r="HT65" s="19"/>
      <c r="HU65" s="19">
        <v>248223833</v>
      </c>
      <c r="HV65" s="19"/>
      <c r="HW65" s="47" t="s">
        <v>96</v>
      </c>
      <c r="HX65" s="19"/>
      <c r="HY65" s="19" t="s">
        <v>172</v>
      </c>
      <c r="HZ65" s="19"/>
      <c r="IA65" s="19"/>
      <c r="IB65" s="19"/>
      <c r="IC65" s="19"/>
      <c r="ID65" s="19"/>
      <c r="IE65" s="47" t="s">
        <v>96</v>
      </c>
      <c r="IF65" s="19"/>
      <c r="IG65" s="19"/>
      <c r="IH65" s="19"/>
      <c r="II65" s="19"/>
      <c r="IJ65" s="19"/>
      <c r="IK65" s="19"/>
      <c r="IL65" s="19"/>
      <c r="IM65" s="19"/>
      <c r="IN65" s="19"/>
      <c r="IO65" s="19"/>
      <c r="IP65" s="19">
        <v>176883920</v>
      </c>
      <c r="IQ65" s="19"/>
      <c r="IR65" s="19">
        <v>24000000</v>
      </c>
      <c r="IS65" s="19"/>
      <c r="IT65" s="19"/>
      <c r="IU65" s="45"/>
      <c r="IV65" s="45"/>
      <c r="IW65" s="45"/>
      <c r="IX65" s="45"/>
      <c r="IY65" s="45">
        <v>137569080</v>
      </c>
      <c r="IZ65" s="45"/>
      <c r="JA65" s="45"/>
      <c r="JB65" s="45"/>
      <c r="JC65" s="45"/>
      <c r="JD65" s="45"/>
      <c r="JE65" s="45"/>
      <c r="JF65" s="45"/>
      <c r="JG65" s="45"/>
      <c r="JH65" s="45"/>
      <c r="JI65" s="45"/>
      <c r="JJ65" s="45"/>
      <c r="JK65" s="45">
        <v>800000</v>
      </c>
      <c r="JL65" s="45"/>
      <c r="JM65" s="45"/>
      <c r="JN65" s="45"/>
      <c r="JO65" s="46"/>
      <c r="JP65" s="46"/>
      <c r="JQ65" s="63" t="s">
        <v>175</v>
      </c>
      <c r="JR65" s="46"/>
      <c r="JS65" s="46"/>
      <c r="JT65" s="46"/>
      <c r="JU65" s="46"/>
      <c r="JV65" s="46"/>
      <c r="JW65" s="46"/>
      <c r="JX65" s="46"/>
      <c r="JY65" s="46"/>
      <c r="JZ65" s="46"/>
      <c r="KA65" s="46"/>
      <c r="KB65" s="46"/>
      <c r="KC65" s="46"/>
      <c r="KD65" s="46">
        <v>315000</v>
      </c>
      <c r="KE65" s="46"/>
      <c r="KF65" s="46">
        <v>107699990</v>
      </c>
      <c r="KG65" s="46"/>
      <c r="KH65" s="46">
        <v>15481150</v>
      </c>
    </row>
    <row r="66" spans="1:294">
      <c r="A66" s="9" t="s">
        <v>183</v>
      </c>
      <c r="B66" s="17" t="s">
        <v>7</v>
      </c>
      <c r="C66" s="19"/>
      <c r="D66" s="19">
        <v>475966503</v>
      </c>
      <c r="E66" s="19"/>
      <c r="F66" s="19">
        <v>660000</v>
      </c>
      <c r="G66" s="47" t="s">
        <v>130</v>
      </c>
      <c r="H66" s="19">
        <v>411980000</v>
      </c>
      <c r="I66" s="19"/>
      <c r="J66" s="47" t="s">
        <v>4</v>
      </c>
      <c r="K66" s="19"/>
      <c r="L66" s="47" t="s">
        <v>96</v>
      </c>
      <c r="M66" s="47" t="s">
        <v>96</v>
      </c>
      <c r="N66" s="19"/>
      <c r="O66" s="19"/>
      <c r="P66" s="19"/>
      <c r="Q66" s="19"/>
      <c r="R66" s="19">
        <v>5000000</v>
      </c>
      <c r="S66" s="19"/>
      <c r="T66" s="47" t="s">
        <v>96</v>
      </c>
      <c r="U66" s="47" t="s">
        <v>172</v>
      </c>
      <c r="V66" s="47" t="s">
        <v>172</v>
      </c>
      <c r="W66" s="19"/>
      <c r="X66" s="19">
        <v>125800000</v>
      </c>
      <c r="Y66" s="19"/>
      <c r="Z66" s="19"/>
      <c r="AA66" s="19">
        <v>9234200</v>
      </c>
      <c r="AB66" s="19">
        <v>106110000</v>
      </c>
      <c r="AC66" s="19"/>
      <c r="AD66" s="19"/>
      <c r="AE66" s="19">
        <v>240819027</v>
      </c>
      <c r="AF66" s="47" t="s">
        <v>172</v>
      </c>
      <c r="AG66" s="19">
        <v>126136353</v>
      </c>
      <c r="AH66" s="19"/>
      <c r="AI66" s="19"/>
      <c r="AJ66" s="19">
        <v>14300000</v>
      </c>
      <c r="AK66" s="19">
        <v>105107573</v>
      </c>
      <c r="AL66" s="19"/>
      <c r="AM66" s="47" t="s">
        <v>4</v>
      </c>
      <c r="AN66" s="19"/>
      <c r="AO66" s="19"/>
      <c r="AP66" s="19"/>
      <c r="AQ66" s="47" t="s">
        <v>96</v>
      </c>
      <c r="AR66" s="19"/>
      <c r="AS66" s="19">
        <v>561072106</v>
      </c>
      <c r="AT66" s="47" t="s">
        <v>172</v>
      </c>
      <c r="AU66" s="19"/>
      <c r="AV66" s="19"/>
      <c r="AW66" s="19"/>
      <c r="AX66" s="47" t="s">
        <v>4</v>
      </c>
      <c r="AY66" s="19">
        <v>47328400</v>
      </c>
      <c r="AZ66" s="19"/>
      <c r="BA66" s="19"/>
      <c r="BB66" s="19"/>
      <c r="BC66" s="47" t="s">
        <v>4</v>
      </c>
      <c r="BD66" s="47" t="s">
        <v>130</v>
      </c>
      <c r="BE66" s="19">
        <v>3157000</v>
      </c>
      <c r="BF66" s="47" t="s">
        <v>96</v>
      </c>
      <c r="BG66" s="19"/>
      <c r="BH66" s="19"/>
      <c r="BI66" s="19">
        <v>77964071</v>
      </c>
      <c r="BJ66" s="19"/>
      <c r="BK66" s="19">
        <v>484092953</v>
      </c>
      <c r="BL66" s="19"/>
      <c r="BM66" s="19">
        <v>113926938</v>
      </c>
      <c r="BN66" s="19"/>
      <c r="BO66" s="19"/>
      <c r="BP66" s="47" t="s">
        <v>96</v>
      </c>
      <c r="BQ66" s="47" t="s">
        <v>4</v>
      </c>
      <c r="BR66" s="19"/>
      <c r="BS66" s="19"/>
      <c r="BT66" s="47" t="s">
        <v>130</v>
      </c>
      <c r="BU66" s="19"/>
      <c r="BV66" s="19">
        <v>69817790</v>
      </c>
      <c r="BW66" s="19"/>
      <c r="BX66" s="19"/>
      <c r="BY66" s="19"/>
      <c r="BZ66" s="19"/>
      <c r="CA66" s="19"/>
      <c r="CB66" s="19">
        <v>11849957</v>
      </c>
      <c r="CC66" s="19"/>
      <c r="CD66" s="19">
        <v>32217222</v>
      </c>
      <c r="CE66" s="19"/>
      <c r="CF66" s="19">
        <v>435424698</v>
      </c>
      <c r="CG66" s="19"/>
      <c r="CH66" s="19">
        <v>75150261</v>
      </c>
      <c r="CI66" s="47" t="s">
        <v>130</v>
      </c>
      <c r="CJ66" s="19"/>
      <c r="CK66" s="19"/>
      <c r="CL66" s="19"/>
      <c r="CM66" s="19"/>
      <c r="CN66" s="19"/>
      <c r="CO66" s="19">
        <v>7000000</v>
      </c>
      <c r="CP66" s="19"/>
      <c r="CQ66" s="47" t="s">
        <v>96</v>
      </c>
      <c r="CR66" s="19">
        <v>2325800</v>
      </c>
      <c r="CS66" s="47" t="s">
        <v>172</v>
      </c>
      <c r="CT66" s="19"/>
      <c r="CU66" s="19"/>
      <c r="CV66" s="19"/>
      <c r="CW66" s="19"/>
      <c r="CX66" s="19">
        <v>29871571</v>
      </c>
      <c r="CY66" s="47" t="s">
        <v>96</v>
      </c>
      <c r="CZ66" s="19"/>
      <c r="DA66" s="47" t="s">
        <v>89</v>
      </c>
      <c r="DB66" s="19"/>
      <c r="DC66" s="19"/>
      <c r="DD66" s="19"/>
      <c r="DE66" s="19"/>
      <c r="DF66" s="19"/>
      <c r="DG66" s="19"/>
      <c r="DH66" s="19"/>
      <c r="DI66" s="19"/>
      <c r="DJ66" s="19"/>
      <c r="DK66" s="19"/>
      <c r="DL66" s="19"/>
      <c r="DM66" s="19"/>
      <c r="DN66" s="19"/>
      <c r="DO66" s="19"/>
      <c r="DP66" s="19"/>
      <c r="DQ66" s="19"/>
      <c r="DR66" s="19">
        <v>140527261</v>
      </c>
      <c r="DS66" s="19"/>
      <c r="DT66" s="19"/>
      <c r="DU66" s="19"/>
      <c r="DV66" s="19"/>
      <c r="DW66" s="19"/>
      <c r="DX66" s="19"/>
      <c r="DY66" s="19">
        <v>64398249</v>
      </c>
      <c r="DZ66" s="19"/>
      <c r="EA66" s="19"/>
      <c r="EB66" s="19">
        <v>220771830</v>
      </c>
      <c r="EC66" s="19">
        <v>2862725</v>
      </c>
      <c r="ED66" s="19">
        <v>35680000</v>
      </c>
      <c r="EE66" s="19">
        <v>58997964</v>
      </c>
      <c r="EF66" s="19">
        <v>2288090</v>
      </c>
      <c r="EG66" s="19"/>
      <c r="EH66" s="19"/>
      <c r="EI66" s="19">
        <v>300000</v>
      </c>
      <c r="EJ66" s="19"/>
      <c r="EK66" s="19"/>
      <c r="EL66" s="19">
        <v>365162070</v>
      </c>
      <c r="EM66" s="19">
        <v>30024646</v>
      </c>
      <c r="EN66" s="19">
        <v>41723430</v>
      </c>
      <c r="EO66" s="19">
        <v>13775880</v>
      </c>
      <c r="EP66" s="19"/>
      <c r="EQ66" s="19"/>
      <c r="ER66" s="19">
        <v>274804043</v>
      </c>
      <c r="ES66" s="19"/>
      <c r="ET66" s="19"/>
      <c r="EU66" s="19">
        <v>59000000</v>
      </c>
      <c r="EV66" s="19"/>
      <c r="EW66" s="19"/>
      <c r="EX66" s="19"/>
      <c r="EY66" s="19"/>
      <c r="EZ66" s="19"/>
      <c r="FA66" s="47" t="s">
        <v>130</v>
      </c>
      <c r="FB66" s="19">
        <v>670000</v>
      </c>
      <c r="FC66" s="19">
        <v>121079087</v>
      </c>
      <c r="FD66" s="19">
        <v>118400560</v>
      </c>
      <c r="FE66" s="19"/>
      <c r="FF66" s="19"/>
      <c r="FG66" s="19"/>
      <c r="FH66" s="19"/>
      <c r="FI66" s="47" t="s">
        <v>96</v>
      </c>
      <c r="FJ66" s="19"/>
      <c r="FK66" s="19"/>
      <c r="FL66" s="47" t="s">
        <v>130</v>
      </c>
      <c r="FM66" s="19">
        <v>362095123</v>
      </c>
      <c r="FN66" s="19"/>
      <c r="FO66" s="47" t="s">
        <v>172</v>
      </c>
      <c r="FP66" s="19">
        <v>50000</v>
      </c>
      <c r="FQ66" s="19"/>
      <c r="FR66" s="19">
        <v>371233713</v>
      </c>
      <c r="FS66" s="47" t="s">
        <v>130</v>
      </c>
      <c r="FT66" s="19"/>
      <c r="FU66" s="19"/>
      <c r="FV66" s="19">
        <v>189015797</v>
      </c>
      <c r="FW66" s="19"/>
      <c r="FX66" s="19"/>
      <c r="FY66" s="19"/>
      <c r="FZ66" s="47" t="s">
        <v>175</v>
      </c>
      <c r="GA66" s="19"/>
      <c r="GB66" s="19">
        <v>69673801</v>
      </c>
      <c r="GC66" s="19">
        <v>510000</v>
      </c>
      <c r="GD66" s="48" t="s">
        <v>96</v>
      </c>
      <c r="GE66" s="48" t="s">
        <v>96</v>
      </c>
      <c r="GF66" s="19"/>
      <c r="GG66" s="19"/>
      <c r="GH66" s="47" t="s">
        <v>172</v>
      </c>
      <c r="GI66" s="19"/>
      <c r="GJ66" s="47" t="s">
        <v>96</v>
      </c>
      <c r="GK66" s="19">
        <v>104664854</v>
      </c>
      <c r="GL66" s="47" t="s">
        <v>96</v>
      </c>
      <c r="GM66" s="19"/>
      <c r="GN66" s="19"/>
      <c r="GO66" s="47" t="s">
        <v>96</v>
      </c>
      <c r="GP66" s="19"/>
      <c r="GQ66" s="19">
        <v>61168160</v>
      </c>
      <c r="GR66" s="19"/>
      <c r="GS66" s="19"/>
      <c r="GT66" s="19"/>
      <c r="GU66" s="19"/>
      <c r="GV66" s="19"/>
      <c r="GW66" s="19"/>
      <c r="GX66" s="19"/>
      <c r="GY66" s="19"/>
      <c r="GZ66" s="19"/>
      <c r="HA66" s="19"/>
      <c r="HB66" s="19">
        <v>450752658</v>
      </c>
      <c r="HC66" s="19">
        <v>131993930</v>
      </c>
      <c r="HD66" s="19"/>
      <c r="HE66" s="19">
        <v>22383320</v>
      </c>
      <c r="HF66" s="19"/>
      <c r="HG66" s="19">
        <v>6133197</v>
      </c>
      <c r="HH66" s="47" t="s">
        <v>130</v>
      </c>
      <c r="HI66" s="19"/>
      <c r="HJ66" s="19"/>
      <c r="HK66" s="19">
        <v>1000000</v>
      </c>
      <c r="HL66" s="19"/>
      <c r="HM66" s="19"/>
      <c r="HN66" s="19"/>
      <c r="HO66" s="19"/>
      <c r="HP66" s="19"/>
      <c r="HQ66" s="19"/>
      <c r="HR66" s="19"/>
      <c r="HS66" s="19">
        <v>62176155</v>
      </c>
      <c r="HT66" s="19"/>
      <c r="HU66" s="19"/>
      <c r="HV66" s="19"/>
      <c r="HW66" s="47" t="s">
        <v>96</v>
      </c>
      <c r="HX66" s="19"/>
      <c r="HY66" s="19" t="s">
        <v>172</v>
      </c>
      <c r="HZ66" s="19">
        <v>175873282</v>
      </c>
      <c r="IA66" s="19">
        <v>60000</v>
      </c>
      <c r="IB66" s="19">
        <v>137799158</v>
      </c>
      <c r="IC66" s="19">
        <v>861270</v>
      </c>
      <c r="ID66" s="19"/>
      <c r="IE66" s="47" t="s">
        <v>96</v>
      </c>
      <c r="IF66" s="19"/>
      <c r="IG66" s="19"/>
      <c r="IH66" s="19">
        <v>88853700</v>
      </c>
      <c r="II66" s="19"/>
      <c r="IJ66" s="19"/>
      <c r="IK66" s="19">
        <v>42478591</v>
      </c>
      <c r="IL66" s="19"/>
      <c r="IM66" s="19"/>
      <c r="IN66" s="19"/>
      <c r="IO66" s="19"/>
      <c r="IP66" s="19"/>
      <c r="IQ66" s="19"/>
      <c r="IR66" s="19"/>
      <c r="IS66" s="19"/>
      <c r="IT66" s="19"/>
      <c r="IU66" s="45">
        <v>57590640</v>
      </c>
      <c r="IV66" s="45"/>
      <c r="IW66" s="45">
        <v>499822201</v>
      </c>
      <c r="IX66" s="45">
        <v>3749590</v>
      </c>
      <c r="IY66" s="45"/>
      <c r="IZ66" s="45">
        <v>22543360</v>
      </c>
      <c r="JA66" s="45"/>
      <c r="JB66" s="45"/>
      <c r="JC66" s="45"/>
      <c r="JD66" s="45">
        <v>20540800</v>
      </c>
      <c r="JE66" s="45">
        <v>6631500</v>
      </c>
      <c r="JF66" s="45"/>
      <c r="JG66" s="45"/>
      <c r="JH66" s="45"/>
      <c r="JI66" s="45"/>
      <c r="JJ66" s="45"/>
      <c r="JK66" s="45"/>
      <c r="JL66" s="45">
        <v>30797890</v>
      </c>
      <c r="JM66" s="45"/>
      <c r="JN66" s="45"/>
      <c r="JO66" s="46"/>
      <c r="JP66" s="46"/>
      <c r="JQ66" s="63" t="s">
        <v>175</v>
      </c>
      <c r="JR66" s="46"/>
      <c r="JS66" s="46"/>
      <c r="JT66" s="46"/>
      <c r="JU66" s="46"/>
      <c r="JV66" s="46"/>
      <c r="JW66" s="46"/>
      <c r="JX66" s="46"/>
      <c r="JY66" s="46"/>
      <c r="JZ66" s="46"/>
      <c r="KA66" s="46"/>
      <c r="KB66" s="46"/>
      <c r="KC66" s="46"/>
      <c r="KD66" s="46"/>
      <c r="KE66" s="46"/>
      <c r="KF66" s="46">
        <v>1003220</v>
      </c>
      <c r="KG66" s="46"/>
      <c r="KH66" s="46"/>
    </row>
    <row r="67" spans="1:294">
      <c r="A67" s="9" t="s">
        <v>183</v>
      </c>
      <c r="B67" s="17" t="s">
        <v>25</v>
      </c>
      <c r="C67" s="19">
        <v>42962927</v>
      </c>
      <c r="D67" s="19">
        <v>42425000</v>
      </c>
      <c r="E67" s="19"/>
      <c r="F67" s="19">
        <v>246017603</v>
      </c>
      <c r="G67" s="47" t="s">
        <v>130</v>
      </c>
      <c r="H67" s="19"/>
      <c r="I67" s="19"/>
      <c r="J67" s="47" t="s">
        <v>4</v>
      </c>
      <c r="K67" s="19">
        <v>938270873</v>
      </c>
      <c r="L67" s="47" t="s">
        <v>96</v>
      </c>
      <c r="M67" s="47" t="s">
        <v>96</v>
      </c>
      <c r="N67" s="19">
        <v>324410666</v>
      </c>
      <c r="O67" s="19">
        <v>606805714</v>
      </c>
      <c r="P67" s="19"/>
      <c r="Q67" s="19"/>
      <c r="R67" s="19"/>
      <c r="S67" s="19"/>
      <c r="T67" s="47" t="s">
        <v>96</v>
      </c>
      <c r="U67" s="47" t="s">
        <v>172</v>
      </c>
      <c r="V67" s="47" t="s">
        <v>172</v>
      </c>
      <c r="W67" s="19">
        <v>5000000</v>
      </c>
      <c r="X67" s="19"/>
      <c r="Y67" s="19"/>
      <c r="Z67" s="19"/>
      <c r="AA67" s="19">
        <v>19179818</v>
      </c>
      <c r="AB67" s="19"/>
      <c r="AC67" s="19"/>
      <c r="AD67" s="19"/>
      <c r="AE67" s="19"/>
      <c r="AF67" s="47" t="s">
        <v>172</v>
      </c>
      <c r="AG67" s="19"/>
      <c r="AH67" s="19"/>
      <c r="AI67" s="19">
        <v>11689669</v>
      </c>
      <c r="AJ67" s="19"/>
      <c r="AK67" s="19"/>
      <c r="AL67" s="19">
        <v>5000000</v>
      </c>
      <c r="AM67" s="47" t="s">
        <v>4</v>
      </c>
      <c r="AN67" s="19"/>
      <c r="AO67" s="19"/>
      <c r="AP67" s="19">
        <v>63060484</v>
      </c>
      <c r="AQ67" s="47" t="s">
        <v>96</v>
      </c>
      <c r="AR67" s="19">
        <v>9672756</v>
      </c>
      <c r="AS67" s="19">
        <v>10165314</v>
      </c>
      <c r="AT67" s="47" t="s">
        <v>172</v>
      </c>
      <c r="AU67" s="19"/>
      <c r="AV67" s="19"/>
      <c r="AW67" s="19"/>
      <c r="AX67" s="47" t="s">
        <v>4</v>
      </c>
      <c r="AY67" s="19">
        <v>5000000</v>
      </c>
      <c r="AZ67" s="19">
        <v>8001569</v>
      </c>
      <c r="BA67" s="19"/>
      <c r="BB67" s="19"/>
      <c r="BC67" s="47" t="s">
        <v>4</v>
      </c>
      <c r="BD67" s="47" t="s">
        <v>130</v>
      </c>
      <c r="BE67" s="19"/>
      <c r="BF67" s="47" t="s">
        <v>96</v>
      </c>
      <c r="BG67" s="19">
        <v>40315244</v>
      </c>
      <c r="BH67" s="19"/>
      <c r="BI67" s="19"/>
      <c r="BJ67" s="19"/>
      <c r="BK67" s="19"/>
      <c r="BL67" s="19"/>
      <c r="BM67" s="19"/>
      <c r="BN67" s="19">
        <v>10000000</v>
      </c>
      <c r="BO67" s="19"/>
      <c r="BP67" s="47" t="s">
        <v>96</v>
      </c>
      <c r="BQ67" s="47" t="s">
        <v>4</v>
      </c>
      <c r="BR67" s="19">
        <v>10212744</v>
      </c>
      <c r="BS67" s="19"/>
      <c r="BT67" s="47" t="s">
        <v>130</v>
      </c>
      <c r="BU67" s="19"/>
      <c r="BV67" s="19">
        <v>5000000</v>
      </c>
      <c r="BW67" s="19">
        <v>53533600</v>
      </c>
      <c r="BX67" s="19"/>
      <c r="BY67" s="19"/>
      <c r="BZ67" s="19">
        <v>72877728</v>
      </c>
      <c r="CA67" s="19"/>
      <c r="CB67" s="19"/>
      <c r="CC67" s="19">
        <v>57115410</v>
      </c>
      <c r="CD67" s="19"/>
      <c r="CE67" s="19"/>
      <c r="CF67" s="19"/>
      <c r="CG67" s="19">
        <v>20638270</v>
      </c>
      <c r="CH67" s="19"/>
      <c r="CI67" s="47" t="s">
        <v>130</v>
      </c>
      <c r="CJ67" s="19"/>
      <c r="CK67" s="19"/>
      <c r="CL67" s="19"/>
      <c r="CM67" s="19">
        <v>169378829</v>
      </c>
      <c r="CN67" s="19"/>
      <c r="CO67" s="19"/>
      <c r="CP67" s="19">
        <v>244771137</v>
      </c>
      <c r="CQ67" s="47" t="s">
        <v>96</v>
      </c>
      <c r="CR67" s="19"/>
      <c r="CS67" s="47" t="s">
        <v>172</v>
      </c>
      <c r="CT67" s="19"/>
      <c r="CU67" s="19"/>
      <c r="CV67" s="19"/>
      <c r="CW67" s="19">
        <v>228081780</v>
      </c>
      <c r="CX67" s="19"/>
      <c r="CY67" s="47" t="s">
        <v>96</v>
      </c>
      <c r="CZ67" s="19">
        <v>114979264</v>
      </c>
      <c r="DA67" s="47" t="s">
        <v>89</v>
      </c>
      <c r="DB67" s="19"/>
      <c r="DC67" s="19"/>
      <c r="DD67" s="19">
        <v>5000000</v>
      </c>
      <c r="DE67" s="19"/>
      <c r="DF67" s="19"/>
      <c r="DG67" s="19">
        <v>1448000</v>
      </c>
      <c r="DH67" s="19">
        <v>85638260</v>
      </c>
      <c r="DI67" s="19"/>
      <c r="DJ67" s="19"/>
      <c r="DK67" s="19"/>
      <c r="DL67" s="19"/>
      <c r="DM67" s="19"/>
      <c r="DN67" s="19">
        <v>5000000</v>
      </c>
      <c r="DO67" s="19"/>
      <c r="DP67" s="19"/>
      <c r="DQ67" s="19"/>
      <c r="DR67" s="19"/>
      <c r="DS67" s="19"/>
      <c r="DT67" s="19"/>
      <c r="DU67" s="19"/>
      <c r="DV67" s="19"/>
      <c r="DW67" s="19"/>
      <c r="DX67" s="19"/>
      <c r="DY67" s="19"/>
      <c r="DZ67" s="19">
        <v>5000000</v>
      </c>
      <c r="EA67" s="19"/>
      <c r="EB67" s="19">
        <v>466700185</v>
      </c>
      <c r="EC67" s="19">
        <v>5000000</v>
      </c>
      <c r="ED67" s="19">
        <v>33856256</v>
      </c>
      <c r="EE67" s="19"/>
      <c r="EF67" s="19">
        <v>415808720</v>
      </c>
      <c r="EG67" s="19"/>
      <c r="EH67" s="19">
        <v>5000000</v>
      </c>
      <c r="EI67" s="19"/>
      <c r="EJ67" s="19">
        <v>163459230</v>
      </c>
      <c r="EK67" s="19"/>
      <c r="EL67" s="19"/>
      <c r="EM67" s="19"/>
      <c r="EN67" s="19"/>
      <c r="EO67" s="19">
        <v>4200290</v>
      </c>
      <c r="EP67" s="19">
        <v>14947000</v>
      </c>
      <c r="EQ67" s="19"/>
      <c r="ER67" s="19">
        <v>15164860</v>
      </c>
      <c r="ES67" s="19"/>
      <c r="ET67" s="19"/>
      <c r="EU67" s="19"/>
      <c r="EV67" s="19"/>
      <c r="EW67" s="19"/>
      <c r="EX67" s="19"/>
      <c r="EY67" s="19"/>
      <c r="EZ67" s="19"/>
      <c r="FA67" s="47" t="s">
        <v>130</v>
      </c>
      <c r="FB67" s="19">
        <v>156767143</v>
      </c>
      <c r="FC67" s="19"/>
      <c r="FD67" s="19"/>
      <c r="FE67" s="19">
        <v>301415190</v>
      </c>
      <c r="FF67" s="19"/>
      <c r="FG67" s="19"/>
      <c r="FH67" s="19"/>
      <c r="FI67" s="47" t="s">
        <v>96</v>
      </c>
      <c r="FJ67" s="19">
        <v>8864565</v>
      </c>
      <c r="FK67" s="19"/>
      <c r="FL67" s="47" t="s">
        <v>130</v>
      </c>
      <c r="FM67" s="19"/>
      <c r="FN67" s="19"/>
      <c r="FO67" s="47" t="s">
        <v>172</v>
      </c>
      <c r="FP67" s="19"/>
      <c r="FQ67" s="19"/>
      <c r="FR67" s="19"/>
      <c r="FS67" s="47" t="s">
        <v>130</v>
      </c>
      <c r="FT67" s="19"/>
      <c r="FU67" s="19"/>
      <c r="FV67" s="19"/>
      <c r="FW67" s="19"/>
      <c r="FX67" s="19"/>
      <c r="FY67" s="19"/>
      <c r="FZ67" s="47" t="s">
        <v>175</v>
      </c>
      <c r="GA67" s="19"/>
      <c r="GB67" s="19"/>
      <c r="GC67" s="19"/>
      <c r="GD67" s="48" t="s">
        <v>96</v>
      </c>
      <c r="GE67" s="48" t="s">
        <v>96</v>
      </c>
      <c r="GF67" s="19"/>
      <c r="GG67" s="19">
        <v>135526103</v>
      </c>
      <c r="GH67" s="47" t="s">
        <v>172</v>
      </c>
      <c r="GI67" s="19"/>
      <c r="GJ67" s="47" t="s">
        <v>96</v>
      </c>
      <c r="GK67" s="19"/>
      <c r="GL67" s="47" t="s">
        <v>96</v>
      </c>
      <c r="GM67" s="19"/>
      <c r="GN67" s="19"/>
      <c r="GO67" s="47" t="s">
        <v>96</v>
      </c>
      <c r="GP67" s="19"/>
      <c r="GQ67" s="19"/>
      <c r="GR67" s="19"/>
      <c r="GS67" s="19"/>
      <c r="GT67" s="19"/>
      <c r="GU67" s="19"/>
      <c r="GV67" s="19"/>
      <c r="GW67" s="19"/>
      <c r="GX67" s="19">
        <v>6910200</v>
      </c>
      <c r="GY67" s="19"/>
      <c r="GZ67" s="19"/>
      <c r="HA67" s="19"/>
      <c r="HB67" s="19">
        <v>81028555</v>
      </c>
      <c r="HC67" s="19"/>
      <c r="HD67" s="19"/>
      <c r="HE67" s="19"/>
      <c r="HF67" s="19"/>
      <c r="HG67" s="19">
        <v>77944669</v>
      </c>
      <c r="HH67" s="47" t="s">
        <v>130</v>
      </c>
      <c r="HI67" s="19"/>
      <c r="HJ67" s="19"/>
      <c r="HK67" s="19"/>
      <c r="HL67" s="19"/>
      <c r="HM67" s="19"/>
      <c r="HN67" s="19"/>
      <c r="HO67" s="19"/>
      <c r="HP67" s="19">
        <v>2397059534</v>
      </c>
      <c r="HQ67" s="19"/>
      <c r="HR67" s="19">
        <v>186933130</v>
      </c>
      <c r="HS67" s="19"/>
      <c r="HT67" s="19"/>
      <c r="HU67" s="19"/>
      <c r="HV67" s="19"/>
      <c r="HW67" s="47" t="s">
        <v>96</v>
      </c>
      <c r="HX67" s="19"/>
      <c r="HY67" s="19" t="s">
        <v>172</v>
      </c>
      <c r="HZ67" s="19"/>
      <c r="IA67" s="19"/>
      <c r="IB67" s="19"/>
      <c r="IC67" s="19"/>
      <c r="ID67" s="19"/>
      <c r="IE67" s="47" t="s">
        <v>96</v>
      </c>
      <c r="IF67" s="19"/>
      <c r="IG67" s="19"/>
      <c r="IH67" s="19">
        <v>5000000</v>
      </c>
      <c r="II67" s="19"/>
      <c r="IJ67" s="19">
        <v>25537961</v>
      </c>
      <c r="IK67" s="19"/>
      <c r="IL67" s="19"/>
      <c r="IM67" s="19">
        <v>5000000</v>
      </c>
      <c r="IN67" s="19"/>
      <c r="IO67" s="19"/>
      <c r="IP67" s="19"/>
      <c r="IQ67" s="19"/>
      <c r="IR67" s="19"/>
      <c r="IS67" s="19"/>
      <c r="IT67" s="19"/>
      <c r="IU67" s="45">
        <v>7633334</v>
      </c>
      <c r="IV67" s="45">
        <v>4260000</v>
      </c>
      <c r="IW67" s="45"/>
      <c r="IX67" s="45">
        <v>4675476</v>
      </c>
      <c r="IY67" s="45"/>
      <c r="IZ67" s="45"/>
      <c r="JA67" s="45"/>
      <c r="JB67" s="45"/>
      <c r="JC67" s="45"/>
      <c r="JD67" s="45"/>
      <c r="JE67" s="45"/>
      <c r="JF67" s="45"/>
      <c r="JG67" s="45"/>
      <c r="JH67" s="45"/>
      <c r="JI67" s="45"/>
      <c r="JJ67" s="45"/>
      <c r="JK67" s="45"/>
      <c r="JL67" s="45">
        <v>51662666</v>
      </c>
      <c r="JM67" s="45"/>
      <c r="JN67" s="45"/>
      <c r="JO67" s="46"/>
      <c r="JP67" s="46"/>
      <c r="JQ67" s="63" t="s">
        <v>175</v>
      </c>
      <c r="JR67" s="46"/>
      <c r="JS67" s="46">
        <v>19694200</v>
      </c>
      <c r="JT67" s="46"/>
      <c r="JU67" s="46"/>
      <c r="JV67" s="46">
        <v>69586000</v>
      </c>
      <c r="JW67" s="46"/>
      <c r="JX67" s="46"/>
      <c r="JY67" s="46"/>
      <c r="JZ67" s="46"/>
      <c r="KA67" s="46"/>
      <c r="KB67" s="46"/>
      <c r="KC67" s="46"/>
      <c r="KD67" s="46"/>
      <c r="KE67" s="46"/>
      <c r="KF67" s="46"/>
      <c r="KG67" s="46"/>
      <c r="KH67" s="46"/>
    </row>
    <row r="68" spans="1:294">
      <c r="A68" s="9" t="s">
        <v>183</v>
      </c>
      <c r="B68" s="17" t="s">
        <v>17</v>
      </c>
      <c r="C68" s="19"/>
      <c r="D68" s="19"/>
      <c r="E68" s="19">
        <v>105184888</v>
      </c>
      <c r="F68" s="19">
        <v>8783680</v>
      </c>
      <c r="G68" s="47" t="s">
        <v>130</v>
      </c>
      <c r="H68" s="19"/>
      <c r="I68" s="19"/>
      <c r="J68" s="47" t="s">
        <v>4</v>
      </c>
      <c r="K68" s="19"/>
      <c r="L68" s="47" t="s">
        <v>96</v>
      </c>
      <c r="M68" s="47" t="s">
        <v>96</v>
      </c>
      <c r="N68" s="19">
        <v>74977347</v>
      </c>
      <c r="O68" s="19"/>
      <c r="P68" s="19">
        <v>35766990</v>
      </c>
      <c r="Q68" s="19">
        <v>5000000</v>
      </c>
      <c r="R68" s="19"/>
      <c r="S68" s="19"/>
      <c r="T68" s="47" t="s">
        <v>96</v>
      </c>
      <c r="U68" s="47" t="s">
        <v>172</v>
      </c>
      <c r="V68" s="47" t="s">
        <v>172</v>
      </c>
      <c r="W68" s="19">
        <v>16250000</v>
      </c>
      <c r="X68" s="19"/>
      <c r="Y68" s="19">
        <v>5000000</v>
      </c>
      <c r="Z68" s="19">
        <v>49573480</v>
      </c>
      <c r="AA68" s="19"/>
      <c r="AB68" s="19">
        <v>23016530</v>
      </c>
      <c r="AC68" s="19"/>
      <c r="AD68" s="19"/>
      <c r="AE68" s="19"/>
      <c r="AF68" s="47" t="s">
        <v>172</v>
      </c>
      <c r="AG68" s="19"/>
      <c r="AH68" s="19">
        <v>1432684991</v>
      </c>
      <c r="AI68" s="19"/>
      <c r="AJ68" s="19"/>
      <c r="AK68" s="19"/>
      <c r="AL68" s="19">
        <v>147018750</v>
      </c>
      <c r="AM68" s="47" t="s">
        <v>4</v>
      </c>
      <c r="AN68" s="19">
        <v>36083780</v>
      </c>
      <c r="AO68" s="19">
        <v>51892293</v>
      </c>
      <c r="AP68" s="19"/>
      <c r="AQ68" s="47" t="s">
        <v>96</v>
      </c>
      <c r="AR68" s="19"/>
      <c r="AS68" s="19"/>
      <c r="AT68" s="47" t="s">
        <v>172</v>
      </c>
      <c r="AU68" s="19"/>
      <c r="AV68" s="19">
        <v>18956308</v>
      </c>
      <c r="AW68" s="19">
        <v>7000000</v>
      </c>
      <c r="AX68" s="47" t="s">
        <v>4</v>
      </c>
      <c r="AY68" s="19"/>
      <c r="AZ68" s="19"/>
      <c r="BA68" s="19">
        <v>19342295</v>
      </c>
      <c r="BB68" s="19"/>
      <c r="BC68" s="47" t="s">
        <v>4</v>
      </c>
      <c r="BD68" s="47" t="s">
        <v>130</v>
      </c>
      <c r="BE68" s="19"/>
      <c r="BF68" s="47" t="s">
        <v>96</v>
      </c>
      <c r="BG68" s="19"/>
      <c r="BH68" s="19"/>
      <c r="BI68" s="19"/>
      <c r="BJ68" s="19"/>
      <c r="BK68" s="19"/>
      <c r="BL68" s="19"/>
      <c r="BM68" s="19">
        <v>31500000</v>
      </c>
      <c r="BN68" s="19"/>
      <c r="BO68" s="19"/>
      <c r="BP68" s="47" t="s">
        <v>96</v>
      </c>
      <c r="BQ68" s="47" t="s">
        <v>4</v>
      </c>
      <c r="BR68" s="19"/>
      <c r="BS68" s="19"/>
      <c r="BT68" s="47" t="s">
        <v>130</v>
      </c>
      <c r="BU68" s="19">
        <v>79069509</v>
      </c>
      <c r="BV68" s="19"/>
      <c r="BW68" s="19"/>
      <c r="BX68" s="19">
        <v>2470000</v>
      </c>
      <c r="BY68" s="19"/>
      <c r="BZ68" s="19"/>
      <c r="CA68" s="19"/>
      <c r="CB68" s="19">
        <v>3500000</v>
      </c>
      <c r="CC68" s="19"/>
      <c r="CD68" s="19"/>
      <c r="CE68" s="19">
        <v>5097564</v>
      </c>
      <c r="CF68" s="19"/>
      <c r="CG68" s="19">
        <v>26385950</v>
      </c>
      <c r="CH68" s="19"/>
      <c r="CI68" s="47" t="s">
        <v>130</v>
      </c>
      <c r="CJ68" s="19"/>
      <c r="CK68" s="19">
        <v>6464053</v>
      </c>
      <c r="CL68" s="19">
        <v>26276670</v>
      </c>
      <c r="CM68" s="19">
        <v>61081000</v>
      </c>
      <c r="CN68" s="19"/>
      <c r="CO68" s="19"/>
      <c r="CP68" s="19"/>
      <c r="CQ68" s="47" t="s">
        <v>96</v>
      </c>
      <c r="CR68" s="19"/>
      <c r="CS68" s="47" t="s">
        <v>172</v>
      </c>
      <c r="CT68" s="19"/>
      <c r="CU68" s="19"/>
      <c r="CV68" s="19">
        <v>8739303</v>
      </c>
      <c r="CW68" s="19">
        <v>379536428</v>
      </c>
      <c r="CX68" s="19"/>
      <c r="CY68" s="47" t="s">
        <v>96</v>
      </c>
      <c r="CZ68" s="19">
        <v>50373240</v>
      </c>
      <c r="DA68" s="47" t="s">
        <v>89</v>
      </c>
      <c r="DB68" s="19"/>
      <c r="DC68" s="19"/>
      <c r="DD68" s="19"/>
      <c r="DE68" s="19"/>
      <c r="DF68" s="19">
        <v>10208524</v>
      </c>
      <c r="DG68" s="19">
        <v>41105220</v>
      </c>
      <c r="DH68" s="19"/>
      <c r="DI68" s="19"/>
      <c r="DJ68" s="19">
        <v>5000000</v>
      </c>
      <c r="DK68" s="19"/>
      <c r="DL68" s="19">
        <v>114823012</v>
      </c>
      <c r="DM68" s="19"/>
      <c r="DN68" s="19"/>
      <c r="DO68" s="19">
        <v>1895490</v>
      </c>
      <c r="DP68" s="19">
        <v>6414116</v>
      </c>
      <c r="DQ68" s="19"/>
      <c r="DR68" s="19"/>
      <c r="DS68" s="19">
        <v>1100000</v>
      </c>
      <c r="DT68" s="19"/>
      <c r="DU68" s="19"/>
      <c r="DV68" s="19">
        <v>408310096</v>
      </c>
      <c r="DW68" s="19"/>
      <c r="DX68" s="19"/>
      <c r="DY68" s="19"/>
      <c r="DZ68" s="19">
        <v>2050800</v>
      </c>
      <c r="EA68" s="19"/>
      <c r="EB68" s="19"/>
      <c r="EC68" s="19"/>
      <c r="ED68" s="19"/>
      <c r="EE68" s="19"/>
      <c r="EF68" s="19">
        <v>28363320</v>
      </c>
      <c r="EG68" s="19"/>
      <c r="EH68" s="19"/>
      <c r="EI68" s="19"/>
      <c r="EJ68" s="19"/>
      <c r="EK68" s="19">
        <v>78037203</v>
      </c>
      <c r="EL68" s="19"/>
      <c r="EM68" s="19"/>
      <c r="EN68" s="19">
        <v>161138803</v>
      </c>
      <c r="EO68" s="19">
        <v>17465694</v>
      </c>
      <c r="EP68" s="19"/>
      <c r="EQ68" s="19"/>
      <c r="ER68" s="19">
        <v>278500306</v>
      </c>
      <c r="ES68" s="19"/>
      <c r="ET68" s="19"/>
      <c r="EU68" s="19"/>
      <c r="EV68" s="19">
        <v>10600000</v>
      </c>
      <c r="EW68" s="19"/>
      <c r="EX68" s="19">
        <v>15269164</v>
      </c>
      <c r="EY68" s="19">
        <v>251807492</v>
      </c>
      <c r="EZ68" s="19">
        <v>322284690</v>
      </c>
      <c r="FA68" s="47" t="s">
        <v>130</v>
      </c>
      <c r="FB68" s="19"/>
      <c r="FC68" s="19"/>
      <c r="FD68" s="19"/>
      <c r="FE68" s="19">
        <v>43198830</v>
      </c>
      <c r="FF68" s="19"/>
      <c r="FG68" s="19">
        <v>112833872</v>
      </c>
      <c r="FH68" s="19"/>
      <c r="FI68" s="47" t="s">
        <v>96</v>
      </c>
      <c r="FJ68" s="19"/>
      <c r="FK68" s="19">
        <v>855189534</v>
      </c>
      <c r="FL68" s="47" t="s">
        <v>130</v>
      </c>
      <c r="FM68" s="19"/>
      <c r="FN68" s="19"/>
      <c r="FO68" s="47" t="s">
        <v>172</v>
      </c>
      <c r="FP68" s="19">
        <v>13841930</v>
      </c>
      <c r="FQ68" s="19"/>
      <c r="FR68" s="19"/>
      <c r="FS68" s="47" t="s">
        <v>130</v>
      </c>
      <c r="FT68" s="19"/>
      <c r="FU68" s="19"/>
      <c r="FV68" s="19"/>
      <c r="FW68" s="19">
        <v>10560000</v>
      </c>
      <c r="FX68" s="19">
        <v>238568530</v>
      </c>
      <c r="FY68" s="19"/>
      <c r="FZ68" s="47" t="s">
        <v>175</v>
      </c>
      <c r="GA68" s="19"/>
      <c r="GB68" s="19"/>
      <c r="GC68" s="19">
        <v>5000000</v>
      </c>
      <c r="GD68" s="48" t="s">
        <v>96</v>
      </c>
      <c r="GE68" s="48" t="s">
        <v>96</v>
      </c>
      <c r="GF68" s="19">
        <v>35889860</v>
      </c>
      <c r="GG68" s="19">
        <v>194013286</v>
      </c>
      <c r="GH68" s="47" t="s">
        <v>172</v>
      </c>
      <c r="GI68" s="19"/>
      <c r="GJ68" s="47" t="s">
        <v>96</v>
      </c>
      <c r="GK68" s="19"/>
      <c r="GL68" s="47" t="s">
        <v>96</v>
      </c>
      <c r="GM68" s="19"/>
      <c r="GN68" s="19"/>
      <c r="GO68" s="47" t="s">
        <v>96</v>
      </c>
      <c r="GP68" s="19">
        <v>13155740</v>
      </c>
      <c r="GQ68" s="19"/>
      <c r="GR68" s="19"/>
      <c r="GS68" s="19">
        <v>148286763</v>
      </c>
      <c r="GT68" s="19"/>
      <c r="GU68" s="19"/>
      <c r="GV68" s="19"/>
      <c r="GW68" s="19"/>
      <c r="GX68" s="19">
        <v>36355100</v>
      </c>
      <c r="GY68" s="19"/>
      <c r="GZ68" s="19"/>
      <c r="HA68" s="19"/>
      <c r="HB68" s="19"/>
      <c r="HC68" s="19">
        <v>15230746</v>
      </c>
      <c r="HD68" s="19"/>
      <c r="HE68" s="19"/>
      <c r="HF68" s="19">
        <v>245786024</v>
      </c>
      <c r="HG68" s="19">
        <v>31017665</v>
      </c>
      <c r="HH68" s="47" t="s">
        <v>130</v>
      </c>
      <c r="HI68" s="19">
        <v>148605821</v>
      </c>
      <c r="HJ68" s="19">
        <v>12170000</v>
      </c>
      <c r="HK68" s="19">
        <v>105166587</v>
      </c>
      <c r="HL68" s="19"/>
      <c r="HM68" s="19"/>
      <c r="HN68" s="19">
        <v>50432542</v>
      </c>
      <c r="HO68" s="19">
        <v>3873050</v>
      </c>
      <c r="HP68" s="19">
        <v>122120940</v>
      </c>
      <c r="HQ68" s="19">
        <v>2056740</v>
      </c>
      <c r="HR68" s="19">
        <v>96670000</v>
      </c>
      <c r="HS68" s="19"/>
      <c r="HT68" s="19"/>
      <c r="HU68" s="19"/>
      <c r="HV68" s="19"/>
      <c r="HW68" s="47" t="s">
        <v>96</v>
      </c>
      <c r="HX68" s="19"/>
      <c r="HY68" s="19" t="s">
        <v>172</v>
      </c>
      <c r="HZ68" s="19"/>
      <c r="IA68" s="19"/>
      <c r="IB68" s="19"/>
      <c r="IC68" s="19"/>
      <c r="ID68" s="19"/>
      <c r="IE68" s="47" t="s">
        <v>96</v>
      </c>
      <c r="IF68" s="19">
        <v>14937540</v>
      </c>
      <c r="IG68" s="19"/>
      <c r="IH68" s="19"/>
      <c r="II68" s="19"/>
      <c r="IJ68" s="19"/>
      <c r="IK68" s="19"/>
      <c r="IL68" s="19"/>
      <c r="IM68" s="19"/>
      <c r="IN68" s="19"/>
      <c r="IO68" s="19"/>
      <c r="IP68" s="19">
        <v>68334970</v>
      </c>
      <c r="IQ68" s="19"/>
      <c r="IR68" s="19"/>
      <c r="IS68" s="19"/>
      <c r="IT68" s="19"/>
      <c r="IU68" s="45">
        <v>3591000</v>
      </c>
      <c r="IV68" s="45"/>
      <c r="IW68" s="45"/>
      <c r="IX68" s="45"/>
      <c r="IY68" s="45"/>
      <c r="IZ68" s="45"/>
      <c r="JA68" s="45">
        <v>221322602</v>
      </c>
      <c r="JB68" s="45"/>
      <c r="JC68" s="45"/>
      <c r="JD68" s="45">
        <v>0</v>
      </c>
      <c r="JE68" s="45"/>
      <c r="JF68" s="45"/>
      <c r="JG68" s="45"/>
      <c r="JH68" s="45"/>
      <c r="JI68" s="45"/>
      <c r="JJ68" s="45"/>
      <c r="JK68" s="45"/>
      <c r="JL68" s="45"/>
      <c r="JM68" s="45"/>
      <c r="JN68" s="45"/>
      <c r="JO68" s="46"/>
      <c r="JP68" s="46">
        <v>17982650</v>
      </c>
      <c r="JQ68" s="63" t="s">
        <v>175</v>
      </c>
      <c r="JR68" s="46"/>
      <c r="JS68" s="46"/>
      <c r="JT68" s="46"/>
      <c r="JU68" s="46"/>
      <c r="JV68" s="46"/>
      <c r="JW68" s="46"/>
      <c r="JX68" s="46"/>
      <c r="JY68" s="46"/>
      <c r="JZ68" s="46"/>
      <c r="KA68" s="46"/>
      <c r="KB68" s="46"/>
      <c r="KC68" s="46">
        <v>197225034</v>
      </c>
      <c r="KD68" s="46"/>
      <c r="KE68" s="46"/>
      <c r="KF68" s="46"/>
      <c r="KG68" s="46"/>
      <c r="KH68" s="46"/>
    </row>
    <row r="69" spans="1:294">
      <c r="A69" s="9" t="s">
        <v>183</v>
      </c>
      <c r="B69" s="18" t="s">
        <v>41</v>
      </c>
      <c r="C69" s="19"/>
      <c r="D69" s="19">
        <v>41692318</v>
      </c>
      <c r="E69" s="19"/>
      <c r="F69" s="19">
        <v>810000</v>
      </c>
      <c r="G69" s="47" t="s">
        <v>130</v>
      </c>
      <c r="H69" s="19">
        <v>396145047</v>
      </c>
      <c r="I69" s="19"/>
      <c r="J69" s="47" t="s">
        <v>4</v>
      </c>
      <c r="K69" s="19">
        <v>1019000</v>
      </c>
      <c r="L69" s="47" t="s">
        <v>96</v>
      </c>
      <c r="M69" s="47" t="s">
        <v>96</v>
      </c>
      <c r="N69" s="19">
        <v>4810000</v>
      </c>
      <c r="O69" s="19">
        <v>104946</v>
      </c>
      <c r="P69" s="19"/>
      <c r="Q69" s="19"/>
      <c r="R69" s="19"/>
      <c r="S69" s="19">
        <v>19434006</v>
      </c>
      <c r="T69" s="47" t="s">
        <v>96</v>
      </c>
      <c r="U69" s="47" t="s">
        <v>172</v>
      </c>
      <c r="V69" s="47" t="s">
        <v>172</v>
      </c>
      <c r="W69" s="19"/>
      <c r="X69" s="19">
        <v>102886800</v>
      </c>
      <c r="Y69" s="19"/>
      <c r="Z69" s="19"/>
      <c r="AA69" s="19"/>
      <c r="AB69" s="19"/>
      <c r="AC69" s="19">
        <v>9090909</v>
      </c>
      <c r="AD69" s="19"/>
      <c r="AE69" s="19">
        <v>44165976</v>
      </c>
      <c r="AF69" s="47" t="s">
        <v>172</v>
      </c>
      <c r="AG69" s="19"/>
      <c r="AH69" s="19">
        <v>2927669</v>
      </c>
      <c r="AI69" s="19"/>
      <c r="AJ69" s="19">
        <v>8485677</v>
      </c>
      <c r="AK69" s="19"/>
      <c r="AL69" s="19"/>
      <c r="AM69" s="47" t="s">
        <v>4</v>
      </c>
      <c r="AN69" s="19"/>
      <c r="AO69" s="19"/>
      <c r="AP69" s="19"/>
      <c r="AQ69" s="47" t="s">
        <v>96</v>
      </c>
      <c r="AR69" s="19"/>
      <c r="AS69" s="19"/>
      <c r="AT69" s="47" t="s">
        <v>172</v>
      </c>
      <c r="AU69" s="19"/>
      <c r="AV69" s="19">
        <v>351308</v>
      </c>
      <c r="AW69" s="19"/>
      <c r="AX69" s="47" t="s">
        <v>4</v>
      </c>
      <c r="AY69" s="19"/>
      <c r="AZ69" s="19"/>
      <c r="BA69" s="19">
        <v>17089990</v>
      </c>
      <c r="BB69" s="19"/>
      <c r="BC69" s="47" t="s">
        <v>4</v>
      </c>
      <c r="BD69" s="47" t="s">
        <v>130</v>
      </c>
      <c r="BE69" s="19"/>
      <c r="BF69" s="47" t="s">
        <v>96</v>
      </c>
      <c r="BG69" s="19">
        <v>6870606</v>
      </c>
      <c r="BH69" s="19"/>
      <c r="BI69" s="19">
        <v>1466305</v>
      </c>
      <c r="BJ69" s="19">
        <v>4325640</v>
      </c>
      <c r="BK69" s="19">
        <v>8022947</v>
      </c>
      <c r="BL69" s="19"/>
      <c r="BM69" s="19"/>
      <c r="BN69" s="19">
        <v>6229000</v>
      </c>
      <c r="BO69" s="19">
        <v>47528</v>
      </c>
      <c r="BP69" s="47" t="s">
        <v>96</v>
      </c>
      <c r="BQ69" s="47" t="s">
        <v>4</v>
      </c>
      <c r="BR69" s="19"/>
      <c r="BS69" s="19"/>
      <c r="BT69" s="47" t="s">
        <v>130</v>
      </c>
      <c r="BU69" s="19">
        <v>550705</v>
      </c>
      <c r="BV69" s="19"/>
      <c r="BW69" s="19"/>
      <c r="BX69" s="19"/>
      <c r="BY69" s="19">
        <v>216093019</v>
      </c>
      <c r="BZ69" s="19"/>
      <c r="CA69" s="19">
        <v>2764930</v>
      </c>
      <c r="CB69" s="19"/>
      <c r="CC69" s="19"/>
      <c r="CD69" s="19"/>
      <c r="CE69" s="19" t="s">
        <v>118</v>
      </c>
      <c r="CF69" s="19">
        <v>3054877</v>
      </c>
      <c r="CG69" s="19">
        <v>11680000</v>
      </c>
      <c r="CH69" s="19"/>
      <c r="CI69" s="47" t="s">
        <v>130</v>
      </c>
      <c r="CJ69" s="19">
        <v>237237</v>
      </c>
      <c r="CK69" s="19"/>
      <c r="CL69" s="19"/>
      <c r="CM69" s="19"/>
      <c r="CN69" s="19"/>
      <c r="CO69" s="19"/>
      <c r="CP69" s="19"/>
      <c r="CQ69" s="47" t="s">
        <v>96</v>
      </c>
      <c r="CR69" s="19">
        <v>2459080</v>
      </c>
      <c r="CS69" s="47" t="s">
        <v>172</v>
      </c>
      <c r="CT69" s="19">
        <v>17956527</v>
      </c>
      <c r="CU69" s="19">
        <v>84715678</v>
      </c>
      <c r="CV69" s="19"/>
      <c r="CW69" s="19">
        <v>9657853</v>
      </c>
      <c r="CX69" s="19"/>
      <c r="CY69" s="47" t="s">
        <v>96</v>
      </c>
      <c r="CZ69" s="19">
        <v>48684</v>
      </c>
      <c r="DA69" s="47" t="s">
        <v>89</v>
      </c>
      <c r="DB69" s="19"/>
      <c r="DC69" s="19"/>
      <c r="DD69" s="19">
        <v>67000000</v>
      </c>
      <c r="DE69" s="19"/>
      <c r="DF69" s="19"/>
      <c r="DG69" s="19">
        <v>137250016</v>
      </c>
      <c r="DH69" s="19"/>
      <c r="DI69" s="19"/>
      <c r="DJ69" s="19"/>
      <c r="DK69" s="19"/>
      <c r="DL69" s="19"/>
      <c r="DM69" s="19"/>
      <c r="DN69" s="19">
        <v>3000000</v>
      </c>
      <c r="DO69" s="19"/>
      <c r="DP69" s="19">
        <v>33591931</v>
      </c>
      <c r="DQ69" s="19"/>
      <c r="DR69" s="19"/>
      <c r="DS69" s="19"/>
      <c r="DT69" s="19"/>
      <c r="DU69" s="19"/>
      <c r="DV69" s="19"/>
      <c r="DW69" s="19"/>
      <c r="DX69" s="19"/>
      <c r="DY69" s="19"/>
      <c r="DZ69" s="19">
        <v>840000</v>
      </c>
      <c r="EA69" s="19">
        <v>8747877</v>
      </c>
      <c r="EB69" s="19">
        <v>1001421</v>
      </c>
      <c r="EC69" s="19"/>
      <c r="ED69" s="19"/>
      <c r="EE69" s="19"/>
      <c r="EF69" s="19"/>
      <c r="EG69" s="19">
        <v>679408</v>
      </c>
      <c r="EH69" s="19"/>
      <c r="EI69" s="19"/>
      <c r="EJ69" s="19">
        <v>162887634</v>
      </c>
      <c r="EK69" s="19"/>
      <c r="EL69" s="19">
        <v>184093097</v>
      </c>
      <c r="EM69" s="19">
        <v>453</v>
      </c>
      <c r="EN69" s="19">
        <v>14040000</v>
      </c>
      <c r="EO69" s="19">
        <v>6736376</v>
      </c>
      <c r="EP69" s="19"/>
      <c r="EQ69" s="19"/>
      <c r="ER69" s="19">
        <v>59800578</v>
      </c>
      <c r="ES69" s="19"/>
      <c r="ET69" s="19">
        <v>10000480</v>
      </c>
      <c r="EU69" s="19">
        <v>39265545</v>
      </c>
      <c r="EV69" s="19">
        <v>2084745</v>
      </c>
      <c r="EW69" s="19"/>
      <c r="EX69" s="19"/>
      <c r="EY69" s="19"/>
      <c r="EZ69" s="19"/>
      <c r="FA69" s="47" t="s">
        <v>130</v>
      </c>
      <c r="FB69" s="19"/>
      <c r="FC69" s="19"/>
      <c r="FD69" s="19"/>
      <c r="FE69" s="19">
        <v>2058052</v>
      </c>
      <c r="FF69" s="19"/>
      <c r="FG69" s="19">
        <v>403567</v>
      </c>
      <c r="FH69" s="19"/>
      <c r="FI69" s="47" t="s">
        <v>96</v>
      </c>
      <c r="FJ69" s="19"/>
      <c r="FK69" s="19"/>
      <c r="FL69" s="47" t="s">
        <v>130</v>
      </c>
      <c r="FM69" s="19"/>
      <c r="FN69" s="19">
        <v>202505</v>
      </c>
      <c r="FO69" s="47" t="s">
        <v>172</v>
      </c>
      <c r="FP69" s="19"/>
      <c r="FQ69" s="19"/>
      <c r="FR69" s="19"/>
      <c r="FS69" s="47" t="s">
        <v>130</v>
      </c>
      <c r="FT69" s="19">
        <v>550174671</v>
      </c>
      <c r="FU69" s="19"/>
      <c r="FV69" s="19">
        <v>8594795</v>
      </c>
      <c r="FW69" s="19">
        <v>1348553</v>
      </c>
      <c r="FX69" s="19"/>
      <c r="FY69" s="19"/>
      <c r="FZ69" s="47" t="s">
        <v>175</v>
      </c>
      <c r="GA69" s="19">
        <v>224</v>
      </c>
      <c r="GB69" s="19"/>
      <c r="GC69" s="19"/>
      <c r="GD69" s="48" t="s">
        <v>96</v>
      </c>
      <c r="GE69" s="48" t="s">
        <v>96</v>
      </c>
      <c r="GF69" s="19"/>
      <c r="GG69" s="19">
        <v>238265</v>
      </c>
      <c r="GH69" s="47" t="s">
        <v>172</v>
      </c>
      <c r="GI69" s="19">
        <v>99009</v>
      </c>
      <c r="GJ69" s="47" t="s">
        <v>96</v>
      </c>
      <c r="GK69" s="19"/>
      <c r="GL69" s="47" t="s">
        <v>96</v>
      </c>
      <c r="GM69" s="19"/>
      <c r="GN69" s="19"/>
      <c r="GO69" s="47" t="s">
        <v>96</v>
      </c>
      <c r="GP69" s="19">
        <v>22843470</v>
      </c>
      <c r="GQ69" s="19">
        <v>11938</v>
      </c>
      <c r="GR69" s="19"/>
      <c r="GS69" s="19">
        <v>630771</v>
      </c>
      <c r="GT69" s="19"/>
      <c r="GU69" s="19"/>
      <c r="GV69" s="19"/>
      <c r="GW69" s="19">
        <v>638182</v>
      </c>
      <c r="GX69" s="19">
        <v>4205047</v>
      </c>
      <c r="GY69" s="19">
        <v>1789982746</v>
      </c>
      <c r="GZ69" s="19"/>
      <c r="HA69" s="19"/>
      <c r="HB69" s="19">
        <v>13040706</v>
      </c>
      <c r="HC69" s="19"/>
      <c r="HD69" s="19"/>
      <c r="HE69" s="19"/>
      <c r="HF69" s="19"/>
      <c r="HG69" s="19">
        <v>41000000</v>
      </c>
      <c r="HH69" s="47" t="s">
        <v>130</v>
      </c>
      <c r="HI69" s="19">
        <v>210000000</v>
      </c>
      <c r="HJ69" s="19"/>
      <c r="HK69" s="19">
        <v>274244</v>
      </c>
      <c r="HL69" s="19"/>
      <c r="HM69" s="19"/>
      <c r="HN69" s="19">
        <v>280</v>
      </c>
      <c r="HO69" s="19">
        <v>35458201</v>
      </c>
      <c r="HP69" s="19">
        <v>101579</v>
      </c>
      <c r="HQ69" s="19"/>
      <c r="HR69" s="19">
        <v>506152117</v>
      </c>
      <c r="HS69" s="19"/>
      <c r="HT69" s="19">
        <v>133464803</v>
      </c>
      <c r="HU69" s="19"/>
      <c r="HV69" s="19">
        <v>6676</v>
      </c>
      <c r="HW69" s="47" t="s">
        <v>96</v>
      </c>
      <c r="HX69" s="19">
        <v>848409</v>
      </c>
      <c r="HY69" s="19" t="s">
        <v>172</v>
      </c>
      <c r="HZ69" s="19">
        <v>63095936</v>
      </c>
      <c r="IA69" s="19">
        <v>1282400</v>
      </c>
      <c r="IB69" s="19">
        <v>7163810</v>
      </c>
      <c r="IC69" s="19">
        <v>40000000</v>
      </c>
      <c r="ID69" s="19"/>
      <c r="IE69" s="47" t="s">
        <v>96</v>
      </c>
      <c r="IF69" s="19">
        <v>85671497</v>
      </c>
      <c r="IG69" s="19">
        <v>1473</v>
      </c>
      <c r="IH69" s="19"/>
      <c r="II69" s="19"/>
      <c r="IJ69" s="19"/>
      <c r="IK69" s="19">
        <v>5000000</v>
      </c>
      <c r="IL69" s="19"/>
      <c r="IM69" s="19"/>
      <c r="IN69" s="19"/>
      <c r="IO69" s="19"/>
      <c r="IP69" s="19"/>
      <c r="IQ69" s="19"/>
      <c r="IR69" s="19"/>
      <c r="IS69" s="19"/>
      <c r="IT69" s="19"/>
      <c r="IU69" s="45">
        <v>15860000</v>
      </c>
      <c r="IV69" s="45">
        <v>26835740</v>
      </c>
      <c r="IW69" s="45"/>
      <c r="IX69" s="45"/>
      <c r="IY69" s="45"/>
      <c r="IZ69" s="45"/>
      <c r="JA69" s="45">
        <v>11096735</v>
      </c>
      <c r="JB69" s="45"/>
      <c r="JC69" s="45"/>
      <c r="JD69" s="45"/>
      <c r="JE69" s="45"/>
      <c r="JF69" s="45"/>
      <c r="JG69" s="45"/>
      <c r="JH69" s="45"/>
      <c r="JI69" s="45"/>
      <c r="JJ69" s="45"/>
      <c r="JK69" s="45"/>
      <c r="JL69" s="45"/>
      <c r="JM69" s="45"/>
      <c r="JN69" s="45">
        <v>2512046</v>
      </c>
      <c r="JO69" s="46"/>
      <c r="JP69" s="46"/>
      <c r="JQ69" s="63" t="s">
        <v>175</v>
      </c>
      <c r="JR69" s="46"/>
      <c r="JS69" s="46">
        <v>157710558</v>
      </c>
      <c r="JT69" s="46"/>
      <c r="JU69" s="46"/>
      <c r="JV69" s="46"/>
      <c r="JW69" s="46"/>
      <c r="JX69" s="46"/>
      <c r="JY69" s="46">
        <v>1209607</v>
      </c>
      <c r="JZ69" s="46"/>
      <c r="KA69" s="46"/>
      <c r="KB69" s="46">
        <v>716252</v>
      </c>
      <c r="KC69" s="46"/>
      <c r="KD69" s="46"/>
      <c r="KE69" s="46"/>
      <c r="KF69" s="46"/>
      <c r="KG69" s="46"/>
      <c r="KH69" s="46"/>
    </row>
    <row r="70" spans="1:294">
      <c r="A70" s="9" t="s">
        <v>183</v>
      </c>
      <c r="B70" s="10" t="s">
        <v>10</v>
      </c>
      <c r="C70" s="19">
        <v>1000030</v>
      </c>
      <c r="D70" s="19">
        <v>11993491</v>
      </c>
      <c r="E70" s="19">
        <v>29473167</v>
      </c>
      <c r="F70" s="19">
        <v>74203840</v>
      </c>
      <c r="G70" s="47" t="s">
        <v>130</v>
      </c>
      <c r="H70" s="19">
        <v>516284154</v>
      </c>
      <c r="I70" s="19">
        <v>196510705</v>
      </c>
      <c r="J70" s="47" t="s">
        <v>4</v>
      </c>
      <c r="K70" s="19">
        <v>1250696</v>
      </c>
      <c r="L70" s="47" t="s">
        <v>96</v>
      </c>
      <c r="M70" s="47" t="s">
        <v>96</v>
      </c>
      <c r="N70" s="19">
        <v>186832861</v>
      </c>
      <c r="O70" s="19">
        <v>171574430</v>
      </c>
      <c r="P70" s="19">
        <v>198868117</v>
      </c>
      <c r="Q70" s="19">
        <v>39532849</v>
      </c>
      <c r="R70" s="19">
        <v>6947594</v>
      </c>
      <c r="S70" s="19">
        <v>282716033</v>
      </c>
      <c r="T70" s="47" t="s">
        <v>96</v>
      </c>
      <c r="U70" s="47" t="s">
        <v>172</v>
      </c>
      <c r="V70" s="47" t="s">
        <v>172</v>
      </c>
      <c r="W70" s="19">
        <v>26274275</v>
      </c>
      <c r="X70" s="19">
        <v>126035664</v>
      </c>
      <c r="Y70" s="19">
        <v>1004851</v>
      </c>
      <c r="Z70" s="19">
        <v>78030323</v>
      </c>
      <c r="AA70" s="19">
        <v>99803197</v>
      </c>
      <c r="AB70" s="19">
        <v>111129</v>
      </c>
      <c r="AC70" s="19">
        <v>8832810</v>
      </c>
      <c r="AD70" s="19">
        <v>430818599</v>
      </c>
      <c r="AE70" s="19">
        <v>94007169</v>
      </c>
      <c r="AF70" s="47" t="s">
        <v>172</v>
      </c>
      <c r="AG70" s="19">
        <v>25319563</v>
      </c>
      <c r="AH70" s="19">
        <v>7393391</v>
      </c>
      <c r="AI70" s="19">
        <v>17103606</v>
      </c>
      <c r="AJ70" s="19">
        <v>9654915</v>
      </c>
      <c r="AK70" s="19">
        <v>11366482</v>
      </c>
      <c r="AL70" s="19">
        <v>81179093</v>
      </c>
      <c r="AM70" s="47" t="s">
        <v>4</v>
      </c>
      <c r="AN70" s="19">
        <v>26740200</v>
      </c>
      <c r="AO70" s="19">
        <v>20912802</v>
      </c>
      <c r="AP70" s="19">
        <v>435847</v>
      </c>
      <c r="AQ70" s="47" t="s">
        <v>96</v>
      </c>
      <c r="AR70" s="19">
        <v>45570305</v>
      </c>
      <c r="AS70" s="19">
        <v>29139854</v>
      </c>
      <c r="AT70" s="47" t="s">
        <v>172</v>
      </c>
      <c r="AU70" s="19">
        <v>141224099</v>
      </c>
      <c r="AV70" s="19">
        <v>1585900</v>
      </c>
      <c r="AW70" s="19">
        <v>9383560</v>
      </c>
      <c r="AX70" s="47" t="s">
        <v>4</v>
      </c>
      <c r="AY70" s="19">
        <v>23236601</v>
      </c>
      <c r="AZ70" s="19">
        <v>2598675</v>
      </c>
      <c r="BA70" s="19">
        <v>70616315</v>
      </c>
      <c r="BB70" s="19">
        <v>544640</v>
      </c>
      <c r="BC70" s="47" t="s">
        <v>4</v>
      </c>
      <c r="BD70" s="47" t="s">
        <v>130</v>
      </c>
      <c r="BE70" s="19">
        <v>22694937</v>
      </c>
      <c r="BF70" s="47" t="s">
        <v>96</v>
      </c>
      <c r="BG70" s="19">
        <v>35452013</v>
      </c>
      <c r="BH70" s="19">
        <v>33017131</v>
      </c>
      <c r="BI70" s="19">
        <v>2949593</v>
      </c>
      <c r="BJ70" s="19">
        <v>10792598</v>
      </c>
      <c r="BK70" s="19">
        <v>71674356</v>
      </c>
      <c r="BL70" s="19">
        <v>808190</v>
      </c>
      <c r="BM70" s="19">
        <v>44489181</v>
      </c>
      <c r="BN70" s="19">
        <v>200180</v>
      </c>
      <c r="BO70" s="19">
        <v>4965826</v>
      </c>
      <c r="BP70" s="47" t="s">
        <v>96</v>
      </c>
      <c r="BQ70" s="47" t="s">
        <v>4</v>
      </c>
      <c r="BR70" s="19">
        <v>247128151</v>
      </c>
      <c r="BS70" s="19">
        <v>321268</v>
      </c>
      <c r="BT70" s="47" t="s">
        <v>130</v>
      </c>
      <c r="BU70" s="19">
        <v>17553116</v>
      </c>
      <c r="BV70" s="19">
        <v>1816678</v>
      </c>
      <c r="BW70" s="19">
        <v>0</v>
      </c>
      <c r="BX70" s="19">
        <v>1751360</v>
      </c>
      <c r="BY70" s="19">
        <v>81343128</v>
      </c>
      <c r="BZ70" s="19">
        <v>245741790</v>
      </c>
      <c r="CA70" s="19">
        <v>37317724</v>
      </c>
      <c r="CB70" s="19">
        <v>51929038</v>
      </c>
      <c r="CC70" s="19">
        <v>16600</v>
      </c>
      <c r="CD70" s="19">
        <v>12231137</v>
      </c>
      <c r="CE70" s="19">
        <v>0</v>
      </c>
      <c r="CF70" s="19">
        <v>41189790</v>
      </c>
      <c r="CG70" s="19">
        <v>18126005</v>
      </c>
      <c r="CH70" s="19">
        <v>40025473</v>
      </c>
      <c r="CI70" s="47" t="s">
        <v>130</v>
      </c>
      <c r="CJ70" s="19">
        <v>6844684</v>
      </c>
      <c r="CK70" s="19">
        <v>122428140</v>
      </c>
      <c r="CL70" s="19">
        <v>14239911</v>
      </c>
      <c r="CM70" s="19">
        <v>92173941</v>
      </c>
      <c r="CN70" s="19">
        <v>310448</v>
      </c>
      <c r="CO70" s="19">
        <v>88500</v>
      </c>
      <c r="CP70" s="19">
        <v>36457756</v>
      </c>
      <c r="CQ70" s="47" t="s">
        <v>96</v>
      </c>
      <c r="CR70" s="19">
        <v>24997300</v>
      </c>
      <c r="CS70" s="47" t="s">
        <v>172</v>
      </c>
      <c r="CT70" s="19">
        <v>23450260</v>
      </c>
      <c r="CU70" s="19">
        <v>2667669</v>
      </c>
      <c r="CV70" s="19">
        <v>2700811</v>
      </c>
      <c r="CW70" s="19">
        <v>72734992</v>
      </c>
      <c r="CX70" s="19">
        <v>6353364</v>
      </c>
      <c r="CY70" s="47" t="s">
        <v>96</v>
      </c>
      <c r="CZ70" s="19">
        <v>25349287</v>
      </c>
      <c r="DA70" s="47" t="s">
        <v>89</v>
      </c>
      <c r="DB70" s="19">
        <v>122017</v>
      </c>
      <c r="DC70" s="19">
        <v>253515</v>
      </c>
      <c r="DD70" s="19">
        <v>84021074</v>
      </c>
      <c r="DE70" s="19">
        <v>77497493</v>
      </c>
      <c r="DF70" s="19">
        <v>119128</v>
      </c>
      <c r="DG70" s="19">
        <v>16839124</v>
      </c>
      <c r="DH70" s="19">
        <v>5888477</v>
      </c>
      <c r="DI70" s="19">
        <v>153210646</v>
      </c>
      <c r="DJ70" s="19">
        <v>30004</v>
      </c>
      <c r="DK70" s="19">
        <v>166445740</v>
      </c>
      <c r="DL70" s="19">
        <v>35114665</v>
      </c>
      <c r="DM70" s="19">
        <v>34042819</v>
      </c>
      <c r="DN70" s="19">
        <v>23895249</v>
      </c>
      <c r="DO70" s="19">
        <v>2074120</v>
      </c>
      <c r="DP70" s="19">
        <v>36550686</v>
      </c>
      <c r="DQ70" s="19">
        <v>10086198</v>
      </c>
      <c r="DR70" s="19">
        <v>218619223</v>
      </c>
      <c r="DS70" s="19">
        <v>10875931</v>
      </c>
      <c r="DT70" s="19">
        <v>22082714</v>
      </c>
      <c r="DU70" s="19">
        <v>702081</v>
      </c>
      <c r="DV70" s="19">
        <v>2034231</v>
      </c>
      <c r="DW70" s="19">
        <v>38736719</v>
      </c>
      <c r="DX70" s="19">
        <v>62581635</v>
      </c>
      <c r="DY70" s="19">
        <v>16793996</v>
      </c>
      <c r="DZ70" s="19">
        <v>11758848</v>
      </c>
      <c r="EA70" s="19">
        <v>2220000</v>
      </c>
      <c r="EB70" s="19">
        <v>889916149</v>
      </c>
      <c r="EC70" s="19">
        <v>20219053</v>
      </c>
      <c r="ED70" s="19">
        <v>789016</v>
      </c>
      <c r="EE70" s="19">
        <v>8001761</v>
      </c>
      <c r="EF70" s="19">
        <v>545204127</v>
      </c>
      <c r="EG70" s="19">
        <v>70826180</v>
      </c>
      <c r="EH70" s="19">
        <v>132956037</v>
      </c>
      <c r="EI70" s="19">
        <v>440137780</v>
      </c>
      <c r="EJ70" s="19">
        <v>136415</v>
      </c>
      <c r="EK70" s="19">
        <v>1980335</v>
      </c>
      <c r="EL70" s="19">
        <v>11009151</v>
      </c>
      <c r="EM70" s="19">
        <v>7318027</v>
      </c>
      <c r="EN70" s="19">
        <v>570671657</v>
      </c>
      <c r="EO70" s="19">
        <v>58174359</v>
      </c>
      <c r="EP70" s="19">
        <v>0</v>
      </c>
      <c r="EQ70" s="19">
        <v>6555808</v>
      </c>
      <c r="ER70" s="19">
        <v>96301215</v>
      </c>
      <c r="ES70" s="19">
        <v>108270080</v>
      </c>
      <c r="ET70" s="19">
        <v>3042760</v>
      </c>
      <c r="EU70" s="19">
        <v>3613783</v>
      </c>
      <c r="EV70" s="19">
        <v>37378345</v>
      </c>
      <c r="EW70" s="19">
        <v>22259831</v>
      </c>
      <c r="EX70" s="19">
        <v>30036033</v>
      </c>
      <c r="EY70" s="19">
        <v>68679300</v>
      </c>
      <c r="EZ70" s="19">
        <v>6836012</v>
      </c>
      <c r="FA70" s="47" t="s">
        <v>130</v>
      </c>
      <c r="FB70" s="19">
        <v>6815278</v>
      </c>
      <c r="FC70" s="19">
        <v>19485254</v>
      </c>
      <c r="FD70" s="19">
        <v>28809942</v>
      </c>
      <c r="FE70" s="19">
        <v>121566015</v>
      </c>
      <c r="FF70" s="19">
        <v>3801622</v>
      </c>
      <c r="FG70" s="19">
        <v>49763420</v>
      </c>
      <c r="FH70" s="19">
        <v>6274435</v>
      </c>
      <c r="FI70" s="47" t="s">
        <v>96</v>
      </c>
      <c r="FJ70" s="19">
        <v>364999</v>
      </c>
      <c r="FK70" s="19">
        <v>555048329</v>
      </c>
      <c r="FL70" s="47" t="s">
        <v>130</v>
      </c>
      <c r="FM70" s="19">
        <v>10719328</v>
      </c>
      <c r="FN70" s="19">
        <v>29455284</v>
      </c>
      <c r="FO70" s="47" t="s">
        <v>172</v>
      </c>
      <c r="FP70" s="19">
        <v>14427553</v>
      </c>
      <c r="FQ70" s="19">
        <v>12398587</v>
      </c>
      <c r="FR70" s="19">
        <v>33855926</v>
      </c>
      <c r="FS70" s="47" t="s">
        <v>130</v>
      </c>
      <c r="FT70" s="19">
        <v>58370849</v>
      </c>
      <c r="FU70" s="19">
        <v>15635</v>
      </c>
      <c r="FV70" s="19">
        <v>63775780</v>
      </c>
      <c r="FW70" s="19">
        <v>4590346</v>
      </c>
      <c r="FX70" s="19">
        <v>6629165</v>
      </c>
      <c r="FY70" s="19">
        <v>39856925</v>
      </c>
      <c r="FZ70" s="47" t="s">
        <v>175</v>
      </c>
      <c r="GA70" s="19">
        <v>13144391</v>
      </c>
      <c r="GB70" s="19">
        <v>8093655</v>
      </c>
      <c r="GC70" s="19">
        <v>20394199</v>
      </c>
      <c r="GD70" s="48" t="s">
        <v>96</v>
      </c>
      <c r="GE70" s="48" t="s">
        <v>96</v>
      </c>
      <c r="GF70" s="19">
        <v>13339410</v>
      </c>
      <c r="GG70" s="19">
        <v>41860264</v>
      </c>
      <c r="GH70" s="47" t="s">
        <v>172</v>
      </c>
      <c r="GI70" s="19">
        <v>4290458</v>
      </c>
      <c r="GJ70" s="47" t="s">
        <v>96</v>
      </c>
      <c r="GK70" s="19">
        <v>1426416</v>
      </c>
      <c r="GL70" s="47" t="s">
        <v>96</v>
      </c>
      <c r="GM70" s="19">
        <v>2062287</v>
      </c>
      <c r="GN70" s="19">
        <v>217221227</v>
      </c>
      <c r="GO70" s="47" t="s">
        <v>96</v>
      </c>
      <c r="GP70" s="19">
        <v>98380825</v>
      </c>
      <c r="GQ70" s="19">
        <v>29990</v>
      </c>
      <c r="GR70" s="19">
        <v>41346657</v>
      </c>
      <c r="GS70" s="19">
        <v>7418636</v>
      </c>
      <c r="GT70" s="19">
        <v>13883347</v>
      </c>
      <c r="GU70" s="19">
        <v>1582458</v>
      </c>
      <c r="GV70" s="19">
        <v>12834150</v>
      </c>
      <c r="GW70" s="19">
        <v>602998909</v>
      </c>
      <c r="GX70" s="19">
        <v>30112758</v>
      </c>
      <c r="GY70" s="19">
        <v>11855040</v>
      </c>
      <c r="GZ70" s="19">
        <v>119344280</v>
      </c>
      <c r="HA70" s="19">
        <v>177628761</v>
      </c>
      <c r="HB70" s="19">
        <v>959</v>
      </c>
      <c r="HC70" s="19">
        <v>73937895</v>
      </c>
      <c r="HD70" s="19">
        <v>33059270</v>
      </c>
      <c r="HE70" s="19">
        <v>14411505</v>
      </c>
      <c r="HF70" s="19">
        <v>27115783</v>
      </c>
      <c r="HG70" s="19">
        <v>106895541</v>
      </c>
      <c r="HH70" s="47" t="s">
        <v>130</v>
      </c>
      <c r="HI70" s="19">
        <v>21444921</v>
      </c>
      <c r="HJ70" s="19">
        <v>165987686</v>
      </c>
      <c r="HK70" s="19">
        <v>24141379</v>
      </c>
      <c r="HL70" s="19">
        <v>13222307</v>
      </c>
      <c r="HM70" s="19">
        <v>10809455</v>
      </c>
      <c r="HN70" s="19">
        <v>7552662</v>
      </c>
      <c r="HO70" s="19">
        <v>37630123</v>
      </c>
      <c r="HP70" s="19">
        <v>1762310752</v>
      </c>
      <c r="HQ70" s="19">
        <v>0</v>
      </c>
      <c r="HR70" s="19">
        <v>115084599</v>
      </c>
      <c r="HS70" s="19">
        <v>12343451</v>
      </c>
      <c r="HT70" s="19">
        <v>1708111</v>
      </c>
      <c r="HU70" s="19">
        <v>23569913</v>
      </c>
      <c r="HV70" s="19">
        <v>2585732</v>
      </c>
      <c r="HW70" s="47" t="s">
        <v>96</v>
      </c>
      <c r="HX70" s="19">
        <v>109216835</v>
      </c>
      <c r="HY70" s="19" t="s">
        <v>172</v>
      </c>
      <c r="HZ70" s="19">
        <v>229394405</v>
      </c>
      <c r="IA70" s="19">
        <v>1166009</v>
      </c>
      <c r="IB70" s="19">
        <v>445658041</v>
      </c>
      <c r="IC70" s="19">
        <v>17724683</v>
      </c>
      <c r="ID70" s="19">
        <v>427258</v>
      </c>
      <c r="IE70" s="47" t="s">
        <v>96</v>
      </c>
      <c r="IF70" s="19">
        <v>3232965</v>
      </c>
      <c r="IG70" s="19">
        <v>5509879</v>
      </c>
      <c r="IH70" s="19">
        <v>25876240</v>
      </c>
      <c r="II70" s="19">
        <v>43117096</v>
      </c>
      <c r="IJ70" s="19">
        <v>5181699</v>
      </c>
      <c r="IK70" s="19">
        <v>15158913</v>
      </c>
      <c r="IL70" s="19">
        <v>4576235</v>
      </c>
      <c r="IM70" s="19">
        <v>10786112</v>
      </c>
      <c r="IN70" s="19">
        <v>5181344</v>
      </c>
      <c r="IO70" s="19">
        <v>18362114</v>
      </c>
      <c r="IP70" s="19">
        <v>12642534</v>
      </c>
      <c r="IQ70" s="19">
        <v>5245371</v>
      </c>
      <c r="IR70" s="19">
        <v>8843887</v>
      </c>
      <c r="IS70" s="19">
        <v>91950377</v>
      </c>
      <c r="IT70" s="19">
        <v>21284377</v>
      </c>
      <c r="IU70" s="45">
        <v>23227704</v>
      </c>
      <c r="IV70" s="45">
        <v>15598763</v>
      </c>
      <c r="IW70" s="45">
        <v>10155094</v>
      </c>
      <c r="IX70" s="45">
        <v>34397943</v>
      </c>
      <c r="IY70" s="45">
        <v>2213647</v>
      </c>
      <c r="IZ70" s="45">
        <v>11447402</v>
      </c>
      <c r="JA70" s="45">
        <v>32571711</v>
      </c>
      <c r="JB70" s="45">
        <v>13851025</v>
      </c>
      <c r="JC70" s="45">
        <v>6003031</v>
      </c>
      <c r="JD70" s="45">
        <v>1311847</v>
      </c>
      <c r="JE70" s="45">
        <v>2100018</v>
      </c>
      <c r="JF70" s="45">
        <v>20664476</v>
      </c>
      <c r="JG70" s="45">
        <v>2493577</v>
      </c>
      <c r="JH70" s="45">
        <v>3362385</v>
      </c>
      <c r="JI70" s="45">
        <v>2347615</v>
      </c>
      <c r="JJ70" s="45">
        <v>13793386</v>
      </c>
      <c r="JK70" s="45">
        <v>2849480</v>
      </c>
      <c r="JL70" s="45">
        <v>69248911</v>
      </c>
      <c r="JM70" s="45">
        <v>7037969</v>
      </c>
      <c r="JN70" s="45">
        <v>55987208</v>
      </c>
      <c r="JO70" s="46">
        <v>240</v>
      </c>
      <c r="JP70" s="46">
        <v>515501</v>
      </c>
      <c r="JQ70" s="63" t="s">
        <v>175</v>
      </c>
      <c r="JR70" s="46">
        <v>3739154</v>
      </c>
      <c r="JS70" s="46">
        <v>132365986</v>
      </c>
      <c r="JT70" s="46">
        <v>2335832</v>
      </c>
      <c r="JU70" s="46">
        <v>1468543</v>
      </c>
      <c r="JV70" s="46">
        <v>9146489</v>
      </c>
      <c r="JW70" s="46">
        <v>2200000</v>
      </c>
      <c r="JX70" s="46">
        <v>4500130</v>
      </c>
      <c r="JY70" s="46">
        <v>53370373</v>
      </c>
      <c r="JZ70" s="46">
        <v>441088</v>
      </c>
      <c r="KA70" s="46">
        <v>0</v>
      </c>
      <c r="KB70" s="46">
        <v>217531359</v>
      </c>
      <c r="KC70" s="46">
        <v>16765366</v>
      </c>
      <c r="KD70" s="46">
        <v>13792530</v>
      </c>
      <c r="KE70" s="46">
        <v>4375</v>
      </c>
      <c r="KF70" s="46">
        <v>133570133</v>
      </c>
      <c r="KG70" s="46">
        <v>291156</v>
      </c>
      <c r="KH70" s="46">
        <v>6578304</v>
      </c>
    </row>
    <row r="71" spans="1:294">
      <c r="A71" s="9" t="s">
        <v>183</v>
      </c>
      <c r="B71" s="15" t="s">
        <v>60</v>
      </c>
      <c r="C71" s="19"/>
      <c r="D71" s="19">
        <v>3935639</v>
      </c>
      <c r="E71" s="19">
        <v>4497204</v>
      </c>
      <c r="F71" s="19">
        <v>12456706</v>
      </c>
      <c r="G71" s="47" t="s">
        <v>130</v>
      </c>
      <c r="H71" s="19">
        <v>67099574</v>
      </c>
      <c r="I71" s="19">
        <v>60215871</v>
      </c>
      <c r="J71" s="47" t="s">
        <v>4</v>
      </c>
      <c r="K71" s="19">
        <v>316174</v>
      </c>
      <c r="L71" s="47" t="s">
        <v>96</v>
      </c>
      <c r="M71" s="47" t="s">
        <v>96</v>
      </c>
      <c r="N71" s="19">
        <v>5561274</v>
      </c>
      <c r="O71" s="19">
        <v>123946341</v>
      </c>
      <c r="P71" s="19">
        <v>32222874</v>
      </c>
      <c r="Q71" s="19">
        <v>408355</v>
      </c>
      <c r="R71" s="19">
        <v>4467636</v>
      </c>
      <c r="S71" s="19">
        <v>277056231</v>
      </c>
      <c r="T71" s="47" t="s">
        <v>96</v>
      </c>
      <c r="U71" s="47" t="s">
        <v>172</v>
      </c>
      <c r="V71" s="47" t="s">
        <v>172</v>
      </c>
      <c r="W71" s="19">
        <v>20471690</v>
      </c>
      <c r="X71" s="19">
        <v>77577254</v>
      </c>
      <c r="Y71" s="19">
        <v>994850</v>
      </c>
      <c r="Z71" s="19">
        <v>77871904</v>
      </c>
      <c r="AA71" s="19">
        <v>71815915</v>
      </c>
      <c r="AB71" s="19"/>
      <c r="AC71" s="19">
        <v>5188443</v>
      </c>
      <c r="AD71" s="19">
        <v>79128782</v>
      </c>
      <c r="AE71" s="19">
        <v>71785432</v>
      </c>
      <c r="AF71" s="47" t="s">
        <v>172</v>
      </c>
      <c r="AG71" s="19">
        <v>23881489</v>
      </c>
      <c r="AH71" s="19"/>
      <c r="AI71" s="19">
        <v>15846948</v>
      </c>
      <c r="AJ71" s="19">
        <v>4261687</v>
      </c>
      <c r="AK71" s="19">
        <v>10705980</v>
      </c>
      <c r="AL71" s="19">
        <v>7151238</v>
      </c>
      <c r="AM71" s="47" t="s">
        <v>4</v>
      </c>
      <c r="AN71" s="19">
        <v>24749046</v>
      </c>
      <c r="AO71" s="19">
        <v>20886209</v>
      </c>
      <c r="AP71" s="19"/>
      <c r="AQ71" s="47" t="s">
        <v>96</v>
      </c>
      <c r="AR71" s="19">
        <v>12771063</v>
      </c>
      <c r="AS71" s="19">
        <v>28944022</v>
      </c>
      <c r="AT71" s="47" t="s">
        <v>172</v>
      </c>
      <c r="AU71" s="19">
        <v>98920449</v>
      </c>
      <c r="AV71" s="19"/>
      <c r="AW71" s="19">
        <v>6786786</v>
      </c>
      <c r="AX71" s="47" t="s">
        <v>4</v>
      </c>
      <c r="AY71" s="19">
        <v>9451663</v>
      </c>
      <c r="AZ71" s="19">
        <v>2434396</v>
      </c>
      <c r="BA71" s="19">
        <v>52842888</v>
      </c>
      <c r="BB71" s="19">
        <v>544640</v>
      </c>
      <c r="BC71" s="47" t="s">
        <v>4</v>
      </c>
      <c r="BD71" s="47" t="s">
        <v>130</v>
      </c>
      <c r="BE71" s="19">
        <v>22357658</v>
      </c>
      <c r="BF71" s="47" t="s">
        <v>96</v>
      </c>
      <c r="BG71" s="19">
        <v>14106558</v>
      </c>
      <c r="BH71" s="19">
        <v>23113584</v>
      </c>
      <c r="BI71" s="19"/>
      <c r="BJ71" s="19">
        <v>8433174</v>
      </c>
      <c r="BK71" s="19">
        <v>68034884</v>
      </c>
      <c r="BL71" s="19"/>
      <c r="BM71" s="19">
        <v>11447609</v>
      </c>
      <c r="BN71" s="19"/>
      <c r="BO71" s="19">
        <v>4365803</v>
      </c>
      <c r="BP71" s="47" t="s">
        <v>96</v>
      </c>
      <c r="BQ71" s="47" t="s">
        <v>4</v>
      </c>
      <c r="BR71" s="19">
        <v>45530603</v>
      </c>
      <c r="BS71" s="19"/>
      <c r="BT71" s="47" t="s">
        <v>130</v>
      </c>
      <c r="BU71" s="19">
        <v>16052075</v>
      </c>
      <c r="BV71" s="19">
        <v>1816651</v>
      </c>
      <c r="BW71" s="19"/>
      <c r="BX71" s="19">
        <v>1749699</v>
      </c>
      <c r="BY71" s="19">
        <v>26706548</v>
      </c>
      <c r="BZ71" s="19"/>
      <c r="CA71" s="19">
        <v>26680711</v>
      </c>
      <c r="CB71" s="19">
        <v>42774856</v>
      </c>
      <c r="CC71" s="19"/>
      <c r="CD71" s="19"/>
      <c r="CE71" s="19"/>
      <c r="CF71" s="19">
        <v>40815306</v>
      </c>
      <c r="CG71" s="19"/>
      <c r="CH71" s="19"/>
      <c r="CI71" s="47" t="s">
        <v>130</v>
      </c>
      <c r="CJ71" s="19">
        <v>6532083</v>
      </c>
      <c r="CK71" s="19">
        <v>112823923</v>
      </c>
      <c r="CL71" s="19">
        <v>14198780</v>
      </c>
      <c r="CM71" s="19">
        <v>12126519</v>
      </c>
      <c r="CN71" s="19"/>
      <c r="CO71" s="19"/>
      <c r="CP71" s="19">
        <v>35282858</v>
      </c>
      <c r="CQ71" s="47" t="s">
        <v>96</v>
      </c>
      <c r="CR71" s="19"/>
      <c r="CS71" s="47" t="s">
        <v>172</v>
      </c>
      <c r="CT71" s="19">
        <v>23436647</v>
      </c>
      <c r="CU71" s="19"/>
      <c r="CV71" s="19">
        <v>2700810</v>
      </c>
      <c r="CW71" s="19">
        <v>27790576</v>
      </c>
      <c r="CX71" s="19">
        <v>5689145</v>
      </c>
      <c r="CY71" s="47" t="s">
        <v>96</v>
      </c>
      <c r="CZ71" s="19">
        <v>8909036</v>
      </c>
      <c r="DA71" s="47" t="s">
        <v>89</v>
      </c>
      <c r="DB71" s="19">
        <v>122015</v>
      </c>
      <c r="DC71" s="19">
        <v>245934</v>
      </c>
      <c r="DD71" s="19">
        <v>5417686</v>
      </c>
      <c r="DE71" s="19">
        <v>8532093</v>
      </c>
      <c r="DF71" s="19">
        <v>119057</v>
      </c>
      <c r="DG71" s="19">
        <v>15287839</v>
      </c>
      <c r="DH71" s="19">
        <v>4401462</v>
      </c>
      <c r="DI71" s="19">
        <v>150182460</v>
      </c>
      <c r="DJ71" s="19"/>
      <c r="DK71" s="19">
        <v>106746400</v>
      </c>
      <c r="DL71" s="19">
        <v>11595191</v>
      </c>
      <c r="DM71" s="19">
        <v>34032127</v>
      </c>
      <c r="DN71" s="19">
        <v>23626781</v>
      </c>
      <c r="DO71" s="19">
        <v>1648406</v>
      </c>
      <c r="DP71" s="19">
        <v>36550657</v>
      </c>
      <c r="DQ71" s="19">
        <v>10086198</v>
      </c>
      <c r="DR71" s="19">
        <v>77969730</v>
      </c>
      <c r="DS71" s="19">
        <v>46051</v>
      </c>
      <c r="DT71" s="19">
        <v>17758635</v>
      </c>
      <c r="DU71" s="19">
        <v>702081</v>
      </c>
      <c r="DV71" s="19">
        <v>914231</v>
      </c>
      <c r="DW71" s="19">
        <v>4725647</v>
      </c>
      <c r="DX71" s="19">
        <v>2190635</v>
      </c>
      <c r="DY71" s="19">
        <v>15678139</v>
      </c>
      <c r="DZ71" s="19">
        <v>6119216</v>
      </c>
      <c r="EA71" s="19"/>
      <c r="EB71" s="19">
        <v>61689893</v>
      </c>
      <c r="EC71" s="19">
        <v>8102683</v>
      </c>
      <c r="ED71" s="19"/>
      <c r="EE71" s="19">
        <v>1301759</v>
      </c>
      <c r="EF71" s="19">
        <v>43416766</v>
      </c>
      <c r="EG71" s="19">
        <v>47441168</v>
      </c>
      <c r="EH71" s="19">
        <v>131172185</v>
      </c>
      <c r="EI71" s="19">
        <v>47510248</v>
      </c>
      <c r="EJ71" s="19"/>
      <c r="EK71" s="19">
        <v>1394482</v>
      </c>
      <c r="EL71" s="19"/>
      <c r="EM71" s="19"/>
      <c r="EN71" s="19"/>
      <c r="EO71" s="19">
        <v>5530965</v>
      </c>
      <c r="EP71" s="19"/>
      <c r="EQ71" s="19">
        <v>6555808</v>
      </c>
      <c r="ER71" s="19">
        <v>19576047</v>
      </c>
      <c r="ES71" s="19">
        <v>63165439</v>
      </c>
      <c r="ET71" s="19">
        <v>2670954</v>
      </c>
      <c r="EU71" s="19"/>
      <c r="EV71" s="19">
        <v>1228990</v>
      </c>
      <c r="EW71" s="19">
        <v>6168337</v>
      </c>
      <c r="EX71" s="19">
        <v>28754628</v>
      </c>
      <c r="EY71" s="19">
        <v>58422778</v>
      </c>
      <c r="EZ71" s="19">
        <v>5077542</v>
      </c>
      <c r="FA71" s="47" t="s">
        <v>130</v>
      </c>
      <c r="FB71" s="19">
        <v>6714991</v>
      </c>
      <c r="FC71" s="19">
        <v>17372401</v>
      </c>
      <c r="FD71" s="19">
        <v>28248741</v>
      </c>
      <c r="FE71" s="19">
        <v>43025854</v>
      </c>
      <c r="FF71" s="19">
        <v>3774000</v>
      </c>
      <c r="FG71" s="19">
        <v>33574266</v>
      </c>
      <c r="FH71" s="19">
        <v>3688039</v>
      </c>
      <c r="FI71" s="47" t="s">
        <v>96</v>
      </c>
      <c r="FJ71" s="19">
        <v>364999</v>
      </c>
      <c r="FK71" s="19">
        <v>10622268</v>
      </c>
      <c r="FL71" s="47" t="s">
        <v>130</v>
      </c>
      <c r="FM71" s="19">
        <v>10716328</v>
      </c>
      <c r="FN71" s="19">
        <v>23970166</v>
      </c>
      <c r="FO71" s="47" t="s">
        <v>172</v>
      </c>
      <c r="FP71" s="19">
        <v>12360147</v>
      </c>
      <c r="FQ71" s="19">
        <v>11267959</v>
      </c>
      <c r="FR71" s="19">
        <v>2754292</v>
      </c>
      <c r="FS71" s="47" t="s">
        <v>130</v>
      </c>
      <c r="FT71" s="19">
        <v>34087113</v>
      </c>
      <c r="FU71" s="19"/>
      <c r="FV71" s="19">
        <v>63775777</v>
      </c>
      <c r="FW71" s="19">
        <v>4590134</v>
      </c>
      <c r="FX71" s="19">
        <v>6526523</v>
      </c>
      <c r="FY71" s="19">
        <v>32507703</v>
      </c>
      <c r="FZ71" s="47" t="s">
        <v>175</v>
      </c>
      <c r="GA71" s="19">
        <v>11087565</v>
      </c>
      <c r="GB71" s="19">
        <v>8047750</v>
      </c>
      <c r="GC71" s="19"/>
      <c r="GD71" s="48" t="s">
        <v>96</v>
      </c>
      <c r="GE71" s="48" t="s">
        <v>96</v>
      </c>
      <c r="GF71" s="19">
        <v>12241586</v>
      </c>
      <c r="GG71" s="19">
        <v>28041247</v>
      </c>
      <c r="GH71" s="47" t="s">
        <v>172</v>
      </c>
      <c r="GI71" s="19">
        <v>2541719</v>
      </c>
      <c r="GJ71" s="47" t="s">
        <v>96</v>
      </c>
      <c r="GK71" s="19">
        <v>1023524</v>
      </c>
      <c r="GL71" s="47" t="s">
        <v>96</v>
      </c>
      <c r="GM71" s="19">
        <v>2061864</v>
      </c>
      <c r="GN71" s="19">
        <v>35846693</v>
      </c>
      <c r="GO71" s="47" t="s">
        <v>96</v>
      </c>
      <c r="GP71" s="19">
        <v>83703069</v>
      </c>
      <c r="GQ71" s="19"/>
      <c r="GR71" s="19">
        <v>18187013</v>
      </c>
      <c r="GS71" s="19">
        <v>3399833</v>
      </c>
      <c r="GT71" s="19">
        <v>12098703</v>
      </c>
      <c r="GU71" s="19">
        <v>1482453</v>
      </c>
      <c r="GV71" s="19">
        <v>10553363</v>
      </c>
      <c r="GW71" s="19">
        <v>45846606</v>
      </c>
      <c r="GX71" s="19">
        <v>22125151</v>
      </c>
      <c r="GY71" s="19">
        <v>1354766</v>
      </c>
      <c r="GZ71" s="19">
        <v>60888555</v>
      </c>
      <c r="HA71" s="19">
        <v>15770759</v>
      </c>
      <c r="HB71" s="19"/>
      <c r="HC71" s="19">
        <v>31014980</v>
      </c>
      <c r="HD71" s="19"/>
      <c r="HE71" s="19">
        <v>14311124</v>
      </c>
      <c r="HF71" s="19">
        <v>6153712</v>
      </c>
      <c r="HG71" s="19"/>
      <c r="HH71" s="47" t="s">
        <v>130</v>
      </c>
      <c r="HI71" s="19">
        <v>11087828</v>
      </c>
      <c r="HJ71" s="19">
        <v>4021405</v>
      </c>
      <c r="HK71" s="19">
        <v>19772027</v>
      </c>
      <c r="HL71" s="19"/>
      <c r="HM71" s="19">
        <v>10804519</v>
      </c>
      <c r="HN71" s="19"/>
      <c r="HO71" s="19">
        <v>1128315</v>
      </c>
      <c r="HP71" s="19">
        <v>6471405</v>
      </c>
      <c r="HQ71" s="19"/>
      <c r="HR71" s="19">
        <v>104451546</v>
      </c>
      <c r="HS71" s="19">
        <v>6224794</v>
      </c>
      <c r="HT71" s="19">
        <v>1708111</v>
      </c>
      <c r="HU71" s="19">
        <v>10589325</v>
      </c>
      <c r="HV71" s="19">
        <v>923951</v>
      </c>
      <c r="HW71" s="47" t="s">
        <v>96</v>
      </c>
      <c r="HX71" s="19">
        <v>50806569</v>
      </c>
      <c r="HY71" s="19" t="s">
        <v>172</v>
      </c>
      <c r="HZ71" s="19">
        <v>85580326</v>
      </c>
      <c r="IA71" s="19"/>
      <c r="IB71" s="19">
        <v>308471704</v>
      </c>
      <c r="IC71" s="19">
        <v>15253784</v>
      </c>
      <c r="ID71" s="19"/>
      <c r="IE71" s="47" t="s">
        <v>96</v>
      </c>
      <c r="IF71" s="19"/>
      <c r="IG71" s="19">
        <v>294840</v>
      </c>
      <c r="IH71" s="19">
        <v>5051563</v>
      </c>
      <c r="II71" s="19">
        <v>2878019</v>
      </c>
      <c r="IJ71" s="19">
        <v>978607</v>
      </c>
      <c r="IK71" s="19">
        <v>4764766</v>
      </c>
      <c r="IL71" s="19">
        <v>2892452</v>
      </c>
      <c r="IM71" s="19">
        <v>9627773</v>
      </c>
      <c r="IN71" s="19">
        <v>4888760</v>
      </c>
      <c r="IO71" s="19">
        <v>11940785</v>
      </c>
      <c r="IP71" s="19">
        <v>12642534</v>
      </c>
      <c r="IQ71" s="19">
        <v>5063508</v>
      </c>
      <c r="IR71" s="19">
        <v>8047938</v>
      </c>
      <c r="IS71" s="19">
        <v>76374618</v>
      </c>
      <c r="IT71" s="19">
        <v>18285896</v>
      </c>
      <c r="IU71" s="45"/>
      <c r="IV71" s="45">
        <v>2827673</v>
      </c>
      <c r="IW71" s="45">
        <v>8841758</v>
      </c>
      <c r="IX71" s="45">
        <v>17925410</v>
      </c>
      <c r="IY71" s="45">
        <v>2207426</v>
      </c>
      <c r="IZ71" s="45">
        <v>5672106</v>
      </c>
      <c r="JA71" s="45">
        <v>17105196</v>
      </c>
      <c r="JB71" s="45">
        <v>6682656</v>
      </c>
      <c r="JC71" s="45"/>
      <c r="JD71" s="45"/>
      <c r="JE71" s="45"/>
      <c r="JF71" s="45">
        <v>12600859</v>
      </c>
      <c r="JG71" s="45">
        <v>2120024</v>
      </c>
      <c r="JH71" s="45">
        <v>2817130</v>
      </c>
      <c r="JI71" s="45">
        <v>1444198</v>
      </c>
      <c r="JJ71" s="45">
        <v>2370756</v>
      </c>
      <c r="JK71" s="45">
        <v>2848797</v>
      </c>
      <c r="JL71" s="45">
        <v>20207337</v>
      </c>
      <c r="JM71" s="45">
        <v>7019900</v>
      </c>
      <c r="JN71" s="45">
        <v>47509157</v>
      </c>
      <c r="JO71" s="46"/>
      <c r="JP71" s="46"/>
      <c r="JQ71" s="63" t="s">
        <v>175</v>
      </c>
      <c r="JR71" s="46">
        <v>3739146</v>
      </c>
      <c r="JS71" s="46">
        <v>1201050</v>
      </c>
      <c r="JT71" s="46">
        <v>549505</v>
      </c>
      <c r="JU71" s="46">
        <v>585592</v>
      </c>
      <c r="JV71" s="46">
        <v>4593840</v>
      </c>
      <c r="JW71" s="46">
        <v>2200000</v>
      </c>
      <c r="JX71" s="46"/>
      <c r="JY71" s="46">
        <v>2157804</v>
      </c>
      <c r="JZ71" s="46"/>
      <c r="KA71" s="46"/>
      <c r="KB71" s="46">
        <v>141509654</v>
      </c>
      <c r="KC71" s="46">
        <v>10844608</v>
      </c>
      <c r="KD71" s="46"/>
      <c r="KE71" s="46"/>
      <c r="KF71" s="46">
        <v>3393006</v>
      </c>
      <c r="KG71" s="46"/>
      <c r="KH71" s="46">
        <v>6578299</v>
      </c>
    </row>
    <row r="72" spans="1:294">
      <c r="A72" s="9" t="s">
        <v>183</v>
      </c>
      <c r="B72" s="15" t="s">
        <v>29</v>
      </c>
      <c r="C72" s="19">
        <v>1000000</v>
      </c>
      <c r="D72" s="19"/>
      <c r="E72" s="19">
        <v>19625000</v>
      </c>
      <c r="F72" s="19">
        <v>61650000</v>
      </c>
      <c r="G72" s="47" t="s">
        <v>130</v>
      </c>
      <c r="H72" s="19">
        <v>47589604</v>
      </c>
      <c r="I72" s="19">
        <v>53500000</v>
      </c>
      <c r="J72" s="47" t="s">
        <v>4</v>
      </c>
      <c r="K72" s="19"/>
      <c r="L72" s="47" t="s">
        <v>96</v>
      </c>
      <c r="M72" s="47" t="s">
        <v>96</v>
      </c>
      <c r="N72" s="19">
        <v>180895850</v>
      </c>
      <c r="O72" s="19"/>
      <c r="P72" s="19"/>
      <c r="Q72" s="19">
        <v>39057487</v>
      </c>
      <c r="R72" s="19">
        <v>625000</v>
      </c>
      <c r="S72" s="19">
        <v>3860000</v>
      </c>
      <c r="T72" s="47" t="s">
        <v>96</v>
      </c>
      <c r="U72" s="47" t="s">
        <v>172</v>
      </c>
      <c r="V72" s="47" t="s">
        <v>172</v>
      </c>
      <c r="W72" s="19">
        <v>3425000</v>
      </c>
      <c r="X72" s="19">
        <v>48400000</v>
      </c>
      <c r="Y72" s="19"/>
      <c r="Z72" s="19"/>
      <c r="AA72" s="19">
        <v>3271000</v>
      </c>
      <c r="AB72" s="19">
        <v>100000</v>
      </c>
      <c r="AC72" s="19">
        <v>1894400</v>
      </c>
      <c r="AD72" s="19">
        <v>11115000</v>
      </c>
      <c r="AE72" s="19">
        <v>19323000</v>
      </c>
      <c r="AF72" s="47" t="s">
        <v>172</v>
      </c>
      <c r="AG72" s="19"/>
      <c r="AH72" s="19">
        <v>913343</v>
      </c>
      <c r="AI72" s="19">
        <v>1100000</v>
      </c>
      <c r="AJ72" s="19">
        <v>2761000</v>
      </c>
      <c r="AK72" s="19"/>
      <c r="AL72" s="19">
        <v>44200000</v>
      </c>
      <c r="AM72" s="47" t="s">
        <v>4</v>
      </c>
      <c r="AN72" s="19">
        <v>1980000</v>
      </c>
      <c r="AO72" s="19"/>
      <c r="AP72" s="19"/>
      <c r="AQ72" s="47" t="s">
        <v>96</v>
      </c>
      <c r="AR72" s="19">
        <v>31040000</v>
      </c>
      <c r="AS72" s="19"/>
      <c r="AT72" s="47" t="s">
        <v>172</v>
      </c>
      <c r="AU72" s="19">
        <v>1300000</v>
      </c>
      <c r="AV72" s="19">
        <v>1500000</v>
      </c>
      <c r="AW72" s="19"/>
      <c r="AX72" s="47" t="s">
        <v>4</v>
      </c>
      <c r="AY72" s="19">
        <v>1100000</v>
      </c>
      <c r="AZ72" s="19"/>
      <c r="BA72" s="19">
        <v>120000</v>
      </c>
      <c r="BB72" s="19"/>
      <c r="BC72" s="47" t="s">
        <v>4</v>
      </c>
      <c r="BD72" s="47" t="s">
        <v>130</v>
      </c>
      <c r="BE72" s="19"/>
      <c r="BF72" s="47" t="s">
        <v>96</v>
      </c>
      <c r="BG72" s="19">
        <v>10178855</v>
      </c>
      <c r="BH72" s="19">
        <v>9883438</v>
      </c>
      <c r="BI72" s="19">
        <v>2000000</v>
      </c>
      <c r="BJ72" s="19">
        <v>120000</v>
      </c>
      <c r="BK72" s="19"/>
      <c r="BL72" s="19"/>
      <c r="BM72" s="19">
        <v>7290000</v>
      </c>
      <c r="BN72" s="19">
        <v>200000</v>
      </c>
      <c r="BO72" s="19">
        <v>600000</v>
      </c>
      <c r="BP72" s="47" t="s">
        <v>96</v>
      </c>
      <c r="BQ72" s="47" t="s">
        <v>4</v>
      </c>
      <c r="BR72" s="19">
        <v>199853300</v>
      </c>
      <c r="BS72" s="19"/>
      <c r="BT72" s="47" t="s">
        <v>130</v>
      </c>
      <c r="BU72" s="19"/>
      <c r="BV72" s="19"/>
      <c r="BW72" s="19"/>
      <c r="BX72" s="19"/>
      <c r="BY72" s="19">
        <v>54041520</v>
      </c>
      <c r="BZ72" s="19">
        <v>245451400</v>
      </c>
      <c r="CA72" s="19">
        <v>8000000</v>
      </c>
      <c r="CB72" s="19">
        <v>9058000</v>
      </c>
      <c r="CC72" s="19"/>
      <c r="CD72" s="19">
        <v>11500000</v>
      </c>
      <c r="CE72" s="19"/>
      <c r="CF72" s="19"/>
      <c r="CG72" s="19">
        <v>840000</v>
      </c>
      <c r="CH72" s="19">
        <v>34486709</v>
      </c>
      <c r="CI72" s="47" t="s">
        <v>130</v>
      </c>
      <c r="CJ72" s="19"/>
      <c r="CK72" s="19">
        <v>2650000</v>
      </c>
      <c r="CL72" s="19"/>
      <c r="CM72" s="19">
        <v>9970000</v>
      </c>
      <c r="CN72" s="19">
        <v>200000</v>
      </c>
      <c r="CO72" s="19"/>
      <c r="CP72" s="19">
        <v>311000</v>
      </c>
      <c r="CQ72" s="47" t="s">
        <v>96</v>
      </c>
      <c r="CR72" s="19">
        <v>23182800</v>
      </c>
      <c r="CS72" s="47" t="s">
        <v>172</v>
      </c>
      <c r="CT72" s="19"/>
      <c r="CU72" s="19"/>
      <c r="CV72" s="19"/>
      <c r="CW72" s="19">
        <v>1000000</v>
      </c>
      <c r="CX72" s="19"/>
      <c r="CY72" s="47" t="s">
        <v>96</v>
      </c>
      <c r="CZ72" s="19">
        <v>12264000</v>
      </c>
      <c r="DA72" s="47" t="s">
        <v>89</v>
      </c>
      <c r="DB72" s="19"/>
      <c r="DC72" s="19"/>
      <c r="DD72" s="19"/>
      <c r="DE72" s="19"/>
      <c r="DF72" s="19"/>
      <c r="DG72" s="19"/>
      <c r="DH72" s="19"/>
      <c r="DI72" s="19">
        <v>1070000</v>
      </c>
      <c r="DJ72" s="19"/>
      <c r="DK72" s="19">
        <v>600000</v>
      </c>
      <c r="DL72" s="19">
        <v>23298400</v>
      </c>
      <c r="DM72" s="19"/>
      <c r="DN72" s="19">
        <v>200000</v>
      </c>
      <c r="DO72" s="19">
        <v>420000</v>
      </c>
      <c r="DP72" s="19"/>
      <c r="DQ72" s="19"/>
      <c r="DR72" s="19">
        <v>137261770</v>
      </c>
      <c r="DS72" s="19">
        <v>10000000</v>
      </c>
      <c r="DT72" s="19">
        <v>1220000</v>
      </c>
      <c r="DU72" s="19"/>
      <c r="DV72" s="19"/>
      <c r="DW72" s="19">
        <v>1487000</v>
      </c>
      <c r="DX72" s="19">
        <v>1000000</v>
      </c>
      <c r="DY72" s="19"/>
      <c r="DZ72" s="19"/>
      <c r="EA72" s="19">
        <v>2220000</v>
      </c>
      <c r="EB72" s="19">
        <v>7000000</v>
      </c>
      <c r="EC72" s="19">
        <v>12116370</v>
      </c>
      <c r="ED72" s="19"/>
      <c r="EE72" s="19">
        <v>6700000</v>
      </c>
      <c r="EF72" s="19">
        <v>501510469</v>
      </c>
      <c r="EG72" s="19">
        <v>5198000</v>
      </c>
      <c r="EH72" s="19"/>
      <c r="EI72" s="19">
        <v>41147481</v>
      </c>
      <c r="EJ72" s="19">
        <v>100000</v>
      </c>
      <c r="EK72" s="19"/>
      <c r="EL72" s="19">
        <v>600000</v>
      </c>
      <c r="EM72" s="19">
        <v>7305060</v>
      </c>
      <c r="EN72" s="19">
        <v>4200000</v>
      </c>
      <c r="EO72" s="19">
        <v>35098000</v>
      </c>
      <c r="EP72" s="19"/>
      <c r="EQ72" s="19"/>
      <c r="ER72" s="19">
        <v>5430520</v>
      </c>
      <c r="ES72" s="19">
        <v>28001440</v>
      </c>
      <c r="ET72" s="19"/>
      <c r="EU72" s="19"/>
      <c r="EV72" s="19">
        <v>34542378</v>
      </c>
      <c r="EW72" s="19">
        <v>15970000</v>
      </c>
      <c r="EX72" s="19">
        <v>1000000</v>
      </c>
      <c r="EY72" s="19">
        <v>8800000</v>
      </c>
      <c r="EZ72" s="19"/>
      <c r="FA72" s="47" t="s">
        <v>130</v>
      </c>
      <c r="FB72" s="19"/>
      <c r="FC72" s="19">
        <v>2000000</v>
      </c>
      <c r="FD72" s="19"/>
      <c r="FE72" s="19">
        <v>78320000</v>
      </c>
      <c r="FF72" s="19">
        <v>27622</v>
      </c>
      <c r="FG72" s="19"/>
      <c r="FH72" s="19">
        <v>1985000</v>
      </c>
      <c r="FI72" s="47" t="s">
        <v>96</v>
      </c>
      <c r="FJ72" s="19"/>
      <c r="FK72" s="19">
        <v>5211130</v>
      </c>
      <c r="FL72" s="47" t="s">
        <v>130</v>
      </c>
      <c r="FM72" s="19"/>
      <c r="FN72" s="19"/>
      <c r="FO72" s="47" t="s">
        <v>172</v>
      </c>
      <c r="FP72" s="19"/>
      <c r="FQ72" s="19"/>
      <c r="FR72" s="19">
        <v>31050000</v>
      </c>
      <c r="FS72" s="47" t="s">
        <v>130</v>
      </c>
      <c r="FT72" s="19"/>
      <c r="FU72" s="19"/>
      <c r="FV72" s="19"/>
      <c r="FW72" s="19"/>
      <c r="FX72" s="19"/>
      <c r="FY72" s="19">
        <v>500000</v>
      </c>
      <c r="FZ72" s="47" t="s">
        <v>175</v>
      </c>
      <c r="GA72" s="19">
        <v>1872000</v>
      </c>
      <c r="GB72" s="19"/>
      <c r="GC72" s="19"/>
      <c r="GD72" s="48" t="s">
        <v>96</v>
      </c>
      <c r="GE72" s="48" t="s">
        <v>96</v>
      </c>
      <c r="GF72" s="19">
        <v>288000</v>
      </c>
      <c r="GG72" s="19">
        <v>3626000</v>
      </c>
      <c r="GH72" s="47" t="s">
        <v>172</v>
      </c>
      <c r="GI72" s="19">
        <v>491000</v>
      </c>
      <c r="GJ72" s="47" t="s">
        <v>96</v>
      </c>
      <c r="GK72" s="19"/>
      <c r="GL72" s="47" t="s">
        <v>96</v>
      </c>
      <c r="GM72" s="19"/>
      <c r="GN72" s="19"/>
      <c r="GO72" s="47" t="s">
        <v>96</v>
      </c>
      <c r="GP72" s="19">
        <v>2900000</v>
      </c>
      <c r="GQ72" s="19"/>
      <c r="GR72" s="19"/>
      <c r="GS72" s="19"/>
      <c r="GT72" s="19"/>
      <c r="GU72" s="19">
        <v>100000</v>
      </c>
      <c r="GV72" s="19">
        <v>2270000</v>
      </c>
      <c r="GW72" s="19">
        <v>1000000</v>
      </c>
      <c r="GX72" s="19">
        <v>7977600</v>
      </c>
      <c r="GY72" s="19">
        <v>6000000</v>
      </c>
      <c r="GZ72" s="19">
        <v>57891910</v>
      </c>
      <c r="HA72" s="19"/>
      <c r="HB72" s="19"/>
      <c r="HC72" s="19">
        <v>27534000</v>
      </c>
      <c r="HD72" s="19"/>
      <c r="HE72" s="19"/>
      <c r="HF72" s="19">
        <v>19200000</v>
      </c>
      <c r="HG72" s="19">
        <v>120000</v>
      </c>
      <c r="HH72" s="47" t="s">
        <v>130</v>
      </c>
      <c r="HI72" s="19">
        <v>10000000</v>
      </c>
      <c r="HJ72" s="19">
        <v>2339940</v>
      </c>
      <c r="HK72" s="19"/>
      <c r="HL72" s="19">
        <v>10000000</v>
      </c>
      <c r="HM72" s="19"/>
      <c r="HN72" s="19"/>
      <c r="HO72" s="19">
        <v>1900000</v>
      </c>
      <c r="HP72" s="19">
        <v>300000</v>
      </c>
      <c r="HQ72" s="19"/>
      <c r="HR72" s="19"/>
      <c r="HS72" s="19">
        <v>2200000</v>
      </c>
      <c r="HT72" s="19"/>
      <c r="HU72" s="19"/>
      <c r="HV72" s="19">
        <v>1500000</v>
      </c>
      <c r="HW72" s="47" t="s">
        <v>96</v>
      </c>
      <c r="HX72" s="19">
        <v>36636500</v>
      </c>
      <c r="HY72" s="19" t="s">
        <v>172</v>
      </c>
      <c r="HZ72" s="19"/>
      <c r="IA72" s="19">
        <v>1140000</v>
      </c>
      <c r="IB72" s="19">
        <v>2072000</v>
      </c>
      <c r="IC72" s="19">
        <v>1000000</v>
      </c>
      <c r="ID72" s="19">
        <v>110000</v>
      </c>
      <c r="IE72" s="47" t="s">
        <v>96</v>
      </c>
      <c r="IF72" s="19"/>
      <c r="IG72" s="19">
        <v>5215000</v>
      </c>
      <c r="IH72" s="19"/>
      <c r="II72" s="19">
        <v>30769336</v>
      </c>
      <c r="IJ72" s="19">
        <v>3908600</v>
      </c>
      <c r="IK72" s="19">
        <v>10000000</v>
      </c>
      <c r="IL72" s="19"/>
      <c r="IM72" s="19">
        <v>500000</v>
      </c>
      <c r="IN72" s="19"/>
      <c r="IO72" s="19">
        <v>5095300</v>
      </c>
      <c r="IP72" s="19"/>
      <c r="IQ72" s="19"/>
      <c r="IR72" s="19">
        <v>300000</v>
      </c>
      <c r="IS72" s="19">
        <v>11000000</v>
      </c>
      <c r="IT72" s="19">
        <v>1904650</v>
      </c>
      <c r="IU72" s="45"/>
      <c r="IV72" s="45"/>
      <c r="IW72" s="45">
        <v>1000000</v>
      </c>
      <c r="IX72" s="45">
        <v>300000</v>
      </c>
      <c r="IY72" s="45"/>
      <c r="IZ72" s="45">
        <v>5060000</v>
      </c>
      <c r="JA72" s="45">
        <v>11700000</v>
      </c>
      <c r="JB72" s="45"/>
      <c r="JC72" s="45">
        <v>6000000</v>
      </c>
      <c r="JD72" s="45">
        <v>150000</v>
      </c>
      <c r="JE72" s="45">
        <v>2100000</v>
      </c>
      <c r="JF72" s="45">
        <v>1000000</v>
      </c>
      <c r="JG72" s="45">
        <v>362400</v>
      </c>
      <c r="JH72" s="45"/>
      <c r="JI72" s="45"/>
      <c r="JJ72" s="45"/>
      <c r="JK72" s="45"/>
      <c r="JL72" s="45"/>
      <c r="JM72" s="45"/>
      <c r="JN72" s="45">
        <v>5700000</v>
      </c>
      <c r="JO72" s="46"/>
      <c r="JP72" s="46"/>
      <c r="JQ72" s="63" t="s">
        <v>175</v>
      </c>
      <c r="JR72" s="46"/>
      <c r="JS72" s="46"/>
      <c r="JT72" s="46">
        <v>1620000</v>
      </c>
      <c r="JU72" s="46">
        <v>869000</v>
      </c>
      <c r="JV72" s="46"/>
      <c r="JW72" s="46"/>
      <c r="JX72" s="46">
        <v>4499200</v>
      </c>
      <c r="JY72" s="46">
        <v>3000000</v>
      </c>
      <c r="JZ72" s="46">
        <v>360000</v>
      </c>
      <c r="KA72" s="46"/>
      <c r="KB72" s="46"/>
      <c r="KC72" s="46">
        <v>5915000</v>
      </c>
      <c r="KD72" s="46">
        <v>6500000</v>
      </c>
      <c r="KE72" s="46"/>
      <c r="KF72" s="46"/>
      <c r="KG72" s="46"/>
      <c r="KH72" s="46"/>
    </row>
    <row r="73" spans="1:294">
      <c r="A73" s="9" t="s">
        <v>183</v>
      </c>
      <c r="B73" s="15" t="s">
        <v>57</v>
      </c>
      <c r="C73" s="19"/>
      <c r="D73" s="19"/>
      <c r="E73" s="19"/>
      <c r="F73" s="19">
        <v>97134</v>
      </c>
      <c r="G73" s="47" t="s">
        <v>130</v>
      </c>
      <c r="H73" s="19"/>
      <c r="I73" s="19"/>
      <c r="J73" s="47" t="s">
        <v>4</v>
      </c>
      <c r="K73" s="19">
        <v>1000</v>
      </c>
      <c r="L73" s="47" t="s">
        <v>96</v>
      </c>
      <c r="M73" s="47" t="s">
        <v>96</v>
      </c>
      <c r="N73" s="19"/>
      <c r="O73" s="19"/>
      <c r="P73" s="19">
        <v>1368735</v>
      </c>
      <c r="Q73" s="19"/>
      <c r="R73" s="19"/>
      <c r="S73" s="19"/>
      <c r="T73" s="47" t="s">
        <v>96</v>
      </c>
      <c r="U73" s="47" t="s">
        <v>172</v>
      </c>
      <c r="V73" s="47" t="s">
        <v>172</v>
      </c>
      <c r="W73" s="19">
        <v>2232220</v>
      </c>
      <c r="X73" s="19"/>
      <c r="Y73" s="19"/>
      <c r="Z73" s="19"/>
      <c r="AA73" s="19">
        <v>24686726</v>
      </c>
      <c r="AB73" s="19"/>
      <c r="AC73" s="19"/>
      <c r="AD73" s="19">
        <v>163960631</v>
      </c>
      <c r="AE73" s="19"/>
      <c r="AF73" s="47" t="s">
        <v>172</v>
      </c>
      <c r="AG73" s="19"/>
      <c r="AH73" s="19">
        <v>5518767</v>
      </c>
      <c r="AI73" s="19"/>
      <c r="AJ73" s="19">
        <v>12000</v>
      </c>
      <c r="AK73" s="19"/>
      <c r="AL73" s="19"/>
      <c r="AM73" s="47" t="s">
        <v>4</v>
      </c>
      <c r="AN73" s="19"/>
      <c r="AO73" s="19"/>
      <c r="AP73" s="19">
        <v>385386</v>
      </c>
      <c r="AQ73" s="47" t="s">
        <v>96</v>
      </c>
      <c r="AR73" s="19"/>
      <c r="AS73" s="19"/>
      <c r="AT73" s="47" t="s">
        <v>172</v>
      </c>
      <c r="AU73" s="19"/>
      <c r="AV73" s="19"/>
      <c r="AW73" s="19"/>
      <c r="AX73" s="47" t="s">
        <v>4</v>
      </c>
      <c r="AY73" s="19">
        <v>246012</v>
      </c>
      <c r="AZ73" s="19"/>
      <c r="BA73" s="19">
        <v>13982186</v>
      </c>
      <c r="BB73" s="19"/>
      <c r="BC73" s="47" t="s">
        <v>4</v>
      </c>
      <c r="BD73" s="47" t="s">
        <v>130</v>
      </c>
      <c r="BE73" s="19"/>
      <c r="BF73" s="47" t="s">
        <v>96</v>
      </c>
      <c r="BG73" s="19"/>
      <c r="BH73" s="19"/>
      <c r="BI73" s="19"/>
      <c r="BJ73" s="19"/>
      <c r="BK73" s="19"/>
      <c r="BL73" s="19"/>
      <c r="BM73" s="19"/>
      <c r="BN73" s="19"/>
      <c r="BO73" s="19"/>
      <c r="BP73" s="47" t="s">
        <v>96</v>
      </c>
      <c r="BQ73" s="47" t="s">
        <v>4</v>
      </c>
      <c r="BR73" s="19"/>
      <c r="BS73" s="19"/>
      <c r="BT73" s="47" t="s">
        <v>130</v>
      </c>
      <c r="BU73" s="19"/>
      <c r="BV73" s="19"/>
      <c r="BW73" s="19"/>
      <c r="BX73" s="19"/>
      <c r="BY73" s="19">
        <v>15184</v>
      </c>
      <c r="BZ73" s="19"/>
      <c r="CA73" s="19"/>
      <c r="CB73" s="19"/>
      <c r="CC73" s="19"/>
      <c r="CD73" s="19"/>
      <c r="CE73" s="19"/>
      <c r="CF73" s="19">
        <v>78648</v>
      </c>
      <c r="CG73" s="19">
        <v>8391505</v>
      </c>
      <c r="CH73" s="19">
        <v>5538712</v>
      </c>
      <c r="CI73" s="47" t="s">
        <v>130</v>
      </c>
      <c r="CJ73" s="19"/>
      <c r="CK73" s="19"/>
      <c r="CL73" s="19"/>
      <c r="CM73" s="19"/>
      <c r="CN73" s="19">
        <v>13916</v>
      </c>
      <c r="CO73" s="19"/>
      <c r="CP73" s="19"/>
      <c r="CQ73" s="47" t="s">
        <v>96</v>
      </c>
      <c r="CR73" s="19"/>
      <c r="CS73" s="47" t="s">
        <v>172</v>
      </c>
      <c r="CT73" s="19"/>
      <c r="CU73" s="19"/>
      <c r="CV73" s="19"/>
      <c r="CW73" s="19">
        <v>46550</v>
      </c>
      <c r="CX73" s="19"/>
      <c r="CY73" s="47" t="s">
        <v>96</v>
      </c>
      <c r="CZ73" s="19"/>
      <c r="DA73" s="47" t="s">
        <v>89</v>
      </c>
      <c r="DB73" s="19"/>
      <c r="DC73" s="19"/>
      <c r="DD73" s="19">
        <v>78603379</v>
      </c>
      <c r="DE73" s="19"/>
      <c r="DF73" s="19"/>
      <c r="DG73" s="19"/>
      <c r="DH73" s="19"/>
      <c r="DI73" s="19">
        <v>348709</v>
      </c>
      <c r="DJ73" s="19"/>
      <c r="DK73" s="19">
        <v>13297581</v>
      </c>
      <c r="DL73" s="19"/>
      <c r="DM73" s="19"/>
      <c r="DN73" s="19"/>
      <c r="DO73" s="19"/>
      <c r="DP73" s="19"/>
      <c r="DQ73" s="19"/>
      <c r="DR73" s="19">
        <v>3075989</v>
      </c>
      <c r="DS73" s="19"/>
      <c r="DT73" s="19"/>
      <c r="DU73" s="19"/>
      <c r="DV73" s="19">
        <v>1120000</v>
      </c>
      <c r="DW73" s="19">
        <v>22728</v>
      </c>
      <c r="DX73" s="19"/>
      <c r="DY73" s="19"/>
      <c r="DZ73" s="19">
        <v>1000</v>
      </c>
      <c r="EA73" s="19"/>
      <c r="EB73" s="19">
        <v>27086818</v>
      </c>
      <c r="EC73" s="19"/>
      <c r="ED73" s="19"/>
      <c r="EE73" s="19"/>
      <c r="EF73" s="19"/>
      <c r="EG73" s="19">
        <v>5169896</v>
      </c>
      <c r="EH73" s="19"/>
      <c r="EI73" s="19">
        <v>2596706</v>
      </c>
      <c r="EJ73" s="19"/>
      <c r="EK73" s="19"/>
      <c r="EL73" s="19"/>
      <c r="EM73" s="19"/>
      <c r="EN73" s="19"/>
      <c r="EO73" s="19"/>
      <c r="EP73" s="19"/>
      <c r="EQ73" s="19"/>
      <c r="ER73" s="19"/>
      <c r="ES73" s="19"/>
      <c r="ET73" s="19"/>
      <c r="EU73" s="19"/>
      <c r="EV73" s="19"/>
      <c r="EW73" s="19">
        <v>85343</v>
      </c>
      <c r="EX73" s="19"/>
      <c r="EY73" s="19"/>
      <c r="EZ73" s="19"/>
      <c r="FA73" s="47" t="s">
        <v>130</v>
      </c>
      <c r="FB73" s="19"/>
      <c r="FC73" s="19"/>
      <c r="FD73" s="19"/>
      <c r="FE73" s="19"/>
      <c r="FF73" s="19"/>
      <c r="FG73" s="19">
        <v>15433473</v>
      </c>
      <c r="FH73" s="19"/>
      <c r="FI73" s="47" t="s">
        <v>96</v>
      </c>
      <c r="FJ73" s="19"/>
      <c r="FK73" s="19">
        <v>4900116</v>
      </c>
      <c r="FL73" s="47" t="s">
        <v>130</v>
      </c>
      <c r="FM73" s="19"/>
      <c r="FN73" s="19"/>
      <c r="FO73" s="47" t="s">
        <v>172</v>
      </c>
      <c r="FP73" s="19"/>
      <c r="FQ73" s="19"/>
      <c r="FR73" s="19"/>
      <c r="FS73" s="47" t="s">
        <v>130</v>
      </c>
      <c r="FT73" s="19">
        <v>2842183</v>
      </c>
      <c r="FU73" s="19"/>
      <c r="FV73" s="19"/>
      <c r="FW73" s="19"/>
      <c r="FX73" s="19"/>
      <c r="FY73" s="19"/>
      <c r="FZ73" s="47" t="s">
        <v>175</v>
      </c>
      <c r="GA73" s="19">
        <v>114979</v>
      </c>
      <c r="GB73" s="19"/>
      <c r="GC73" s="19">
        <v>20204009</v>
      </c>
      <c r="GD73" s="48" t="s">
        <v>96</v>
      </c>
      <c r="GE73" s="48" t="s">
        <v>96</v>
      </c>
      <c r="GF73" s="19"/>
      <c r="GG73" s="19">
        <v>3347891</v>
      </c>
      <c r="GH73" s="47" t="s">
        <v>172</v>
      </c>
      <c r="GI73" s="19"/>
      <c r="GJ73" s="47" t="s">
        <v>96</v>
      </c>
      <c r="GK73" s="19"/>
      <c r="GL73" s="47" t="s">
        <v>96</v>
      </c>
      <c r="GM73" s="19"/>
      <c r="GN73" s="19">
        <v>175285075</v>
      </c>
      <c r="GO73" s="47" t="s">
        <v>96</v>
      </c>
      <c r="GP73" s="19"/>
      <c r="GQ73" s="19"/>
      <c r="GR73" s="19"/>
      <c r="GS73" s="19"/>
      <c r="GT73" s="19"/>
      <c r="GU73" s="19"/>
      <c r="GV73" s="19"/>
      <c r="GW73" s="19">
        <v>48720285</v>
      </c>
      <c r="GX73" s="19"/>
      <c r="GY73" s="19"/>
      <c r="GZ73" s="19"/>
      <c r="HA73" s="19">
        <v>161857933</v>
      </c>
      <c r="HB73" s="19"/>
      <c r="HC73" s="19"/>
      <c r="HD73" s="19">
        <v>424521</v>
      </c>
      <c r="HE73" s="19"/>
      <c r="HF73" s="19">
        <v>1719780</v>
      </c>
      <c r="HG73" s="19"/>
      <c r="HH73" s="47" t="s">
        <v>130</v>
      </c>
      <c r="HI73" s="19">
        <v>40032</v>
      </c>
      <c r="HJ73" s="19"/>
      <c r="HK73" s="19"/>
      <c r="HL73" s="19"/>
      <c r="HM73" s="19"/>
      <c r="HN73" s="19"/>
      <c r="HO73" s="19"/>
      <c r="HP73" s="19">
        <v>1753586166</v>
      </c>
      <c r="HQ73" s="19"/>
      <c r="HR73" s="19"/>
      <c r="HS73" s="19"/>
      <c r="HT73" s="19"/>
      <c r="HU73" s="19">
        <v>11500000</v>
      </c>
      <c r="HV73" s="19"/>
      <c r="HW73" s="47" t="s">
        <v>96</v>
      </c>
      <c r="HX73" s="19">
        <v>21773766</v>
      </c>
      <c r="HY73" s="19" t="s">
        <v>172</v>
      </c>
      <c r="HZ73" s="19">
        <v>568897</v>
      </c>
      <c r="IA73" s="19"/>
      <c r="IB73" s="19">
        <v>108354765</v>
      </c>
      <c r="IC73" s="19"/>
      <c r="ID73" s="19"/>
      <c r="IE73" s="47" t="s">
        <v>96</v>
      </c>
      <c r="IF73" s="19"/>
      <c r="IG73" s="19"/>
      <c r="IH73" s="19">
        <v>20824677</v>
      </c>
      <c r="II73" s="19"/>
      <c r="IJ73" s="19"/>
      <c r="IK73" s="19"/>
      <c r="IL73" s="19"/>
      <c r="IM73" s="19"/>
      <c r="IN73" s="19">
        <v>222334</v>
      </c>
      <c r="IO73" s="19">
        <v>1326029</v>
      </c>
      <c r="IP73" s="19"/>
      <c r="IQ73" s="19"/>
      <c r="IR73" s="19"/>
      <c r="IS73" s="19"/>
      <c r="IT73" s="19"/>
      <c r="IU73" s="45">
        <v>1450369</v>
      </c>
      <c r="IV73" s="45"/>
      <c r="IW73" s="45"/>
      <c r="IX73" s="45"/>
      <c r="IY73" s="45"/>
      <c r="IZ73" s="45"/>
      <c r="JA73" s="45"/>
      <c r="JB73" s="45"/>
      <c r="JC73" s="45"/>
      <c r="JD73" s="45"/>
      <c r="JE73" s="45"/>
      <c r="JF73" s="45"/>
      <c r="JG73" s="45"/>
      <c r="JH73" s="45"/>
      <c r="JI73" s="45"/>
      <c r="JJ73" s="45"/>
      <c r="JK73" s="45"/>
      <c r="JL73" s="45">
        <v>1995</v>
      </c>
      <c r="JM73" s="45"/>
      <c r="JN73" s="45"/>
      <c r="JO73" s="46"/>
      <c r="JP73" s="46"/>
      <c r="JQ73" s="63" t="s">
        <v>175</v>
      </c>
      <c r="JR73" s="46"/>
      <c r="JS73" s="46"/>
      <c r="JT73" s="46"/>
      <c r="JU73" s="46"/>
      <c r="JV73" s="46"/>
      <c r="JW73" s="46"/>
      <c r="JX73" s="46"/>
      <c r="JY73" s="46"/>
      <c r="JZ73" s="46"/>
      <c r="KA73" s="46"/>
      <c r="KB73" s="46">
        <v>23922770</v>
      </c>
      <c r="KC73" s="46"/>
      <c r="KD73" s="46"/>
      <c r="KE73" s="46"/>
      <c r="KF73" s="46">
        <v>3681818</v>
      </c>
      <c r="KG73" s="46"/>
      <c r="KH73" s="46"/>
    </row>
    <row r="74" spans="1:294">
      <c r="A74" s="9" t="s">
        <v>183</v>
      </c>
      <c r="B74" s="15" t="s">
        <v>9</v>
      </c>
      <c r="C74" s="19">
        <v>30</v>
      </c>
      <c r="D74" s="19"/>
      <c r="E74" s="19">
        <v>5350963</v>
      </c>
      <c r="F74" s="19"/>
      <c r="G74" s="47" t="s">
        <v>130</v>
      </c>
      <c r="H74" s="19">
        <v>5822210</v>
      </c>
      <c r="I74" s="19">
        <v>82794834</v>
      </c>
      <c r="J74" s="47" t="s">
        <v>4</v>
      </c>
      <c r="K74" s="19">
        <v>933522</v>
      </c>
      <c r="L74" s="47" t="s">
        <v>96</v>
      </c>
      <c r="M74" s="47" t="s">
        <v>96</v>
      </c>
      <c r="N74" s="19">
        <v>375737</v>
      </c>
      <c r="O74" s="19">
        <v>12800876</v>
      </c>
      <c r="P74" s="19">
        <v>165276508</v>
      </c>
      <c r="Q74" s="19">
        <v>10400</v>
      </c>
      <c r="R74" s="19">
        <v>1854958</v>
      </c>
      <c r="S74" s="19">
        <v>2867</v>
      </c>
      <c r="T74" s="47" t="s">
        <v>96</v>
      </c>
      <c r="U74" s="47" t="s">
        <v>172</v>
      </c>
      <c r="V74" s="47" t="s">
        <v>172</v>
      </c>
      <c r="W74" s="19">
        <v>145365</v>
      </c>
      <c r="X74" s="19">
        <v>58410</v>
      </c>
      <c r="Y74" s="19">
        <v>10001</v>
      </c>
      <c r="Z74" s="19">
        <v>158419</v>
      </c>
      <c r="AA74" s="19">
        <v>29556</v>
      </c>
      <c r="AB74" s="19">
        <v>5569</v>
      </c>
      <c r="AC74" s="19">
        <v>1749967</v>
      </c>
      <c r="AD74" s="19">
        <v>176614186</v>
      </c>
      <c r="AE74" s="19"/>
      <c r="AF74" s="47" t="s">
        <v>172</v>
      </c>
      <c r="AG74" s="19">
        <v>1438074</v>
      </c>
      <c r="AH74" s="19">
        <v>690250</v>
      </c>
      <c r="AI74" s="19">
        <v>156658</v>
      </c>
      <c r="AJ74" s="19">
        <v>2620228</v>
      </c>
      <c r="AK74" s="19">
        <v>660502</v>
      </c>
      <c r="AL74" s="19">
        <v>1086855</v>
      </c>
      <c r="AM74" s="47" t="s">
        <v>4</v>
      </c>
      <c r="AN74" s="19">
        <v>11154</v>
      </c>
      <c r="AO74" s="19">
        <v>952</v>
      </c>
      <c r="AP74" s="19">
        <v>50461</v>
      </c>
      <c r="AQ74" s="47" t="s">
        <v>96</v>
      </c>
      <c r="AR74" s="19">
        <v>1759242</v>
      </c>
      <c r="AS74" s="19">
        <v>195832</v>
      </c>
      <c r="AT74" s="47" t="s">
        <v>172</v>
      </c>
      <c r="AU74" s="19">
        <v>41003650</v>
      </c>
      <c r="AV74" s="19">
        <v>85900</v>
      </c>
      <c r="AW74" s="19">
        <v>435134</v>
      </c>
      <c r="AX74" s="47" t="s">
        <v>4</v>
      </c>
      <c r="AY74" s="19">
        <v>438926</v>
      </c>
      <c r="AZ74" s="19">
        <v>164279</v>
      </c>
      <c r="BA74" s="19">
        <v>3671241</v>
      </c>
      <c r="BB74" s="19"/>
      <c r="BC74" s="47" t="s">
        <v>4</v>
      </c>
      <c r="BD74" s="47" t="s">
        <v>130</v>
      </c>
      <c r="BE74" s="19">
        <v>337279</v>
      </c>
      <c r="BF74" s="47" t="s">
        <v>96</v>
      </c>
      <c r="BG74" s="19">
        <v>10968834</v>
      </c>
      <c r="BH74" s="19">
        <v>20109</v>
      </c>
      <c r="BI74" s="19">
        <v>949593</v>
      </c>
      <c r="BJ74" s="19">
        <v>2239424</v>
      </c>
      <c r="BK74" s="19"/>
      <c r="BL74" s="19">
        <v>808190</v>
      </c>
      <c r="BM74" s="19">
        <v>25751572</v>
      </c>
      <c r="BN74" s="19">
        <v>180</v>
      </c>
      <c r="BO74" s="19">
        <v>23</v>
      </c>
      <c r="BP74" s="47" t="s">
        <v>96</v>
      </c>
      <c r="BQ74" s="47" t="s">
        <v>4</v>
      </c>
      <c r="BR74" s="19">
        <v>1739506</v>
      </c>
      <c r="BS74" s="19">
        <v>321268</v>
      </c>
      <c r="BT74" s="47" t="s">
        <v>130</v>
      </c>
      <c r="BU74" s="19">
        <v>1462938</v>
      </c>
      <c r="BV74" s="19">
        <v>27</v>
      </c>
      <c r="BW74" s="19"/>
      <c r="BX74" s="19">
        <v>1661</v>
      </c>
      <c r="BY74" s="19">
        <v>579876</v>
      </c>
      <c r="BZ74" s="19">
        <v>290390</v>
      </c>
      <c r="CA74" s="19">
        <v>1665986</v>
      </c>
      <c r="CB74" s="19">
        <v>96182</v>
      </c>
      <c r="CC74" s="19">
        <v>6300</v>
      </c>
      <c r="CD74" s="19">
        <v>731137</v>
      </c>
      <c r="CE74" s="19"/>
      <c r="CF74" s="19">
        <v>164532</v>
      </c>
      <c r="CG74" s="19">
        <v>283040</v>
      </c>
      <c r="CH74" s="19">
        <v>52</v>
      </c>
      <c r="CI74" s="47" t="s">
        <v>130</v>
      </c>
      <c r="CJ74" s="19">
        <v>312601</v>
      </c>
      <c r="CK74" s="19">
        <v>6954217</v>
      </c>
      <c r="CL74" s="19">
        <v>41131</v>
      </c>
      <c r="CM74" s="19">
        <v>168422</v>
      </c>
      <c r="CN74" s="19">
        <v>96532</v>
      </c>
      <c r="CO74" s="19">
        <v>88500</v>
      </c>
      <c r="CP74" s="19">
        <v>863898</v>
      </c>
      <c r="CQ74" s="47" t="s">
        <v>96</v>
      </c>
      <c r="CR74" s="19">
        <v>1814500</v>
      </c>
      <c r="CS74" s="47" t="s">
        <v>172</v>
      </c>
      <c r="CT74" s="19">
        <v>13613</v>
      </c>
      <c r="CU74" s="19"/>
      <c r="CV74" s="19">
        <v>1</v>
      </c>
      <c r="CW74" s="19">
        <v>897866</v>
      </c>
      <c r="CX74" s="19">
        <v>574255</v>
      </c>
      <c r="CY74" s="47" t="s">
        <v>96</v>
      </c>
      <c r="CZ74" s="19">
        <v>2447630</v>
      </c>
      <c r="DA74" s="47" t="s">
        <v>89</v>
      </c>
      <c r="DB74" s="19">
        <v>2</v>
      </c>
      <c r="DC74" s="19">
        <v>7581</v>
      </c>
      <c r="DD74" s="19">
        <v>9</v>
      </c>
      <c r="DE74" s="19"/>
      <c r="DF74" s="19">
        <v>71</v>
      </c>
      <c r="DG74" s="19">
        <v>1551285</v>
      </c>
      <c r="DH74" s="19">
        <v>1487015</v>
      </c>
      <c r="DI74" s="19">
        <v>1438556</v>
      </c>
      <c r="DJ74" s="19">
        <v>30004</v>
      </c>
      <c r="DK74" s="19">
        <v>2442893</v>
      </c>
      <c r="DL74" s="19">
        <v>221074</v>
      </c>
      <c r="DM74" s="19">
        <v>10692</v>
      </c>
      <c r="DN74" s="19">
        <v>68468</v>
      </c>
      <c r="DO74" s="19">
        <v>5714</v>
      </c>
      <c r="DP74" s="19">
        <v>29</v>
      </c>
      <c r="DQ74" s="19"/>
      <c r="DR74" s="19">
        <v>133208</v>
      </c>
      <c r="DS74" s="19">
        <v>829880</v>
      </c>
      <c r="DT74" s="19">
        <v>3104079</v>
      </c>
      <c r="DU74" s="19"/>
      <c r="DV74" s="19"/>
      <c r="DW74" s="19">
        <v>32501344</v>
      </c>
      <c r="DX74" s="19">
        <v>6796830</v>
      </c>
      <c r="DY74" s="19">
        <v>1115857</v>
      </c>
      <c r="DZ74" s="19">
        <v>5638632</v>
      </c>
      <c r="EA74" s="19"/>
      <c r="EB74" s="19">
        <v>617419</v>
      </c>
      <c r="EC74" s="19"/>
      <c r="ED74" s="19">
        <v>789016</v>
      </c>
      <c r="EE74" s="19">
        <v>2</v>
      </c>
      <c r="EF74" s="19">
        <v>276892</v>
      </c>
      <c r="EG74" s="19">
        <v>4351636</v>
      </c>
      <c r="EH74" s="19">
        <v>1783852</v>
      </c>
      <c r="EI74" s="19">
        <v>15920</v>
      </c>
      <c r="EJ74" s="19">
        <v>36415</v>
      </c>
      <c r="EK74" s="19">
        <v>585853</v>
      </c>
      <c r="EL74" s="19">
        <v>10409151</v>
      </c>
      <c r="EM74" s="19">
        <v>12967</v>
      </c>
      <c r="EN74" s="19">
        <v>543217</v>
      </c>
      <c r="EO74" s="19">
        <v>4364160</v>
      </c>
      <c r="EP74" s="19"/>
      <c r="EQ74" s="19"/>
      <c r="ER74" s="19">
        <v>50084298</v>
      </c>
      <c r="ES74" s="19">
        <v>7141053</v>
      </c>
      <c r="ET74" s="19">
        <v>291428</v>
      </c>
      <c r="EU74" s="19">
        <v>3613783</v>
      </c>
      <c r="EV74" s="19">
        <v>493539</v>
      </c>
      <c r="EW74" s="19">
        <v>36151</v>
      </c>
      <c r="EX74" s="19">
        <v>281405</v>
      </c>
      <c r="EY74" s="19">
        <v>1456522</v>
      </c>
      <c r="EZ74" s="19">
        <v>1758470</v>
      </c>
      <c r="FA74" s="47" t="s">
        <v>130</v>
      </c>
      <c r="FB74" s="19">
        <v>100287</v>
      </c>
      <c r="FC74" s="19">
        <v>112853</v>
      </c>
      <c r="FD74" s="19">
        <v>561201</v>
      </c>
      <c r="FE74" s="19">
        <v>220161</v>
      </c>
      <c r="FF74" s="19"/>
      <c r="FG74" s="19">
        <v>755681</v>
      </c>
      <c r="FH74" s="19">
        <v>601396</v>
      </c>
      <c r="FI74" s="47" t="s">
        <v>96</v>
      </c>
      <c r="FJ74" s="19"/>
      <c r="FK74" s="19">
        <v>600400</v>
      </c>
      <c r="FL74" s="47" t="s">
        <v>130</v>
      </c>
      <c r="FM74" s="19">
        <v>3000</v>
      </c>
      <c r="FN74" s="19">
        <v>11</v>
      </c>
      <c r="FO74" s="47" t="s">
        <v>172</v>
      </c>
      <c r="FP74" s="19">
        <v>105646</v>
      </c>
      <c r="FQ74" s="19">
        <v>1130628</v>
      </c>
      <c r="FR74" s="19">
        <v>51634</v>
      </c>
      <c r="FS74" s="47" t="s">
        <v>130</v>
      </c>
      <c r="FT74" s="19">
        <v>5338843</v>
      </c>
      <c r="FU74" s="19">
        <v>15635</v>
      </c>
      <c r="FV74" s="19">
        <v>3</v>
      </c>
      <c r="FW74" s="19">
        <v>212</v>
      </c>
      <c r="FX74" s="19">
        <v>102642</v>
      </c>
      <c r="FY74" s="19">
        <v>6849222</v>
      </c>
      <c r="FZ74" s="47" t="s">
        <v>175</v>
      </c>
      <c r="GA74" s="19">
        <v>29710</v>
      </c>
      <c r="GB74" s="19">
        <v>45905</v>
      </c>
      <c r="GC74" s="19">
        <v>190190</v>
      </c>
      <c r="GD74" s="48" t="s">
        <v>96</v>
      </c>
      <c r="GE74" s="48" t="s">
        <v>96</v>
      </c>
      <c r="GF74" s="19">
        <v>331211</v>
      </c>
      <c r="GG74" s="19">
        <v>2062927</v>
      </c>
      <c r="GH74" s="47" t="s">
        <v>172</v>
      </c>
      <c r="GI74" s="19">
        <v>248785</v>
      </c>
      <c r="GJ74" s="47" t="s">
        <v>96</v>
      </c>
      <c r="GK74" s="19">
        <v>402892</v>
      </c>
      <c r="GL74" s="47" t="s">
        <v>96</v>
      </c>
      <c r="GM74" s="19">
        <v>423</v>
      </c>
      <c r="GN74" s="19">
        <v>6089459</v>
      </c>
      <c r="GO74" s="47" t="s">
        <v>96</v>
      </c>
      <c r="GP74" s="19">
        <v>2816390</v>
      </c>
      <c r="GQ74" s="19">
        <v>29990</v>
      </c>
      <c r="GR74" s="19">
        <v>20867834</v>
      </c>
      <c r="GS74" s="19">
        <v>4018803</v>
      </c>
      <c r="GT74" s="19">
        <v>1784644</v>
      </c>
      <c r="GU74" s="19">
        <v>5</v>
      </c>
      <c r="GV74" s="19">
        <v>10787</v>
      </c>
      <c r="GW74" s="19">
        <v>10920601</v>
      </c>
      <c r="GX74" s="19">
        <v>10007</v>
      </c>
      <c r="GY74" s="19">
        <v>322670</v>
      </c>
      <c r="GZ74" s="19">
        <v>563815</v>
      </c>
      <c r="HA74" s="19">
        <v>69</v>
      </c>
      <c r="HB74" s="19">
        <v>959</v>
      </c>
      <c r="HC74" s="19">
        <v>15388915</v>
      </c>
      <c r="HD74" s="19">
        <v>142533</v>
      </c>
      <c r="HE74" s="19">
        <v>100381</v>
      </c>
      <c r="HF74" s="19">
        <v>42291</v>
      </c>
      <c r="HG74" s="19">
        <v>2466308</v>
      </c>
      <c r="HH74" s="47" t="s">
        <v>130</v>
      </c>
      <c r="HI74" s="19">
        <v>317061</v>
      </c>
      <c r="HJ74" s="19">
        <v>21</v>
      </c>
      <c r="HK74" s="19">
        <v>124846</v>
      </c>
      <c r="HL74" s="19">
        <v>3222307</v>
      </c>
      <c r="HM74" s="19">
        <v>4936</v>
      </c>
      <c r="HN74" s="19">
        <v>43923</v>
      </c>
      <c r="HO74" s="19">
        <v>421180</v>
      </c>
      <c r="HP74" s="19">
        <v>235197</v>
      </c>
      <c r="HQ74" s="19"/>
      <c r="HR74" s="19">
        <v>10633053</v>
      </c>
      <c r="HS74" s="19">
        <v>3918657</v>
      </c>
      <c r="HT74" s="19"/>
      <c r="HU74" s="19">
        <v>1480588</v>
      </c>
      <c r="HV74" s="19">
        <v>161781</v>
      </c>
      <c r="HW74" s="47" t="s">
        <v>96</v>
      </c>
      <c r="HX74" s="19"/>
      <c r="HY74" s="19" t="s">
        <v>172</v>
      </c>
      <c r="HZ74" s="19">
        <v>978636</v>
      </c>
      <c r="IA74" s="19"/>
      <c r="IB74" s="19">
        <v>26759572</v>
      </c>
      <c r="IC74" s="19">
        <v>1470899</v>
      </c>
      <c r="ID74" s="19">
        <v>317258</v>
      </c>
      <c r="IE74" s="47" t="s">
        <v>96</v>
      </c>
      <c r="IF74" s="19">
        <v>419865</v>
      </c>
      <c r="IG74" s="19">
        <v>39</v>
      </c>
      <c r="IH74" s="19"/>
      <c r="II74" s="19">
        <v>9469741</v>
      </c>
      <c r="IJ74" s="19">
        <v>294492</v>
      </c>
      <c r="IK74" s="19">
        <v>394147</v>
      </c>
      <c r="IL74" s="19">
        <v>1683783</v>
      </c>
      <c r="IM74" s="19">
        <v>658339</v>
      </c>
      <c r="IN74" s="19">
        <v>70250</v>
      </c>
      <c r="IO74" s="19"/>
      <c r="IP74" s="19"/>
      <c r="IQ74" s="19">
        <v>181863</v>
      </c>
      <c r="IR74" s="19">
        <v>495949</v>
      </c>
      <c r="IS74" s="19">
        <v>4575759</v>
      </c>
      <c r="IT74" s="19">
        <v>1093831</v>
      </c>
      <c r="IU74" s="45">
        <v>1982600</v>
      </c>
      <c r="IV74" s="45">
        <v>1124120</v>
      </c>
      <c r="IW74" s="45">
        <v>313336</v>
      </c>
      <c r="IX74" s="45">
        <v>3445533</v>
      </c>
      <c r="IY74" s="45">
        <v>6221</v>
      </c>
      <c r="IZ74" s="45">
        <v>387253</v>
      </c>
      <c r="JA74" s="45">
        <v>336801</v>
      </c>
      <c r="JB74" s="45">
        <v>7168369</v>
      </c>
      <c r="JC74" s="45">
        <v>3031</v>
      </c>
      <c r="JD74" s="45">
        <v>1161847</v>
      </c>
      <c r="JE74" s="45">
        <v>18</v>
      </c>
      <c r="JF74" s="45">
        <v>7063617</v>
      </c>
      <c r="JG74" s="45">
        <v>11153</v>
      </c>
      <c r="JH74" s="45">
        <v>545255</v>
      </c>
      <c r="JI74" s="45">
        <v>903417</v>
      </c>
      <c r="JJ74" s="45">
        <v>11422630</v>
      </c>
      <c r="JK74" s="45">
        <v>683</v>
      </c>
      <c r="JL74" s="45"/>
      <c r="JM74" s="45">
        <v>18069</v>
      </c>
      <c r="JN74" s="45"/>
      <c r="JO74" s="46">
        <v>240</v>
      </c>
      <c r="JP74" s="46">
        <v>69790</v>
      </c>
      <c r="JQ74" s="63" t="s">
        <v>175</v>
      </c>
      <c r="JR74" s="46">
        <v>8</v>
      </c>
      <c r="JS74" s="46">
        <v>524378</v>
      </c>
      <c r="JT74" s="46">
        <v>166327</v>
      </c>
      <c r="JU74" s="46">
        <v>13951</v>
      </c>
      <c r="JV74" s="46">
        <v>670594</v>
      </c>
      <c r="JW74" s="46"/>
      <c r="JX74" s="46">
        <v>930</v>
      </c>
      <c r="JY74" s="46">
        <v>48212569</v>
      </c>
      <c r="JZ74" s="46">
        <v>81088</v>
      </c>
      <c r="KA74" s="46"/>
      <c r="KB74" s="46">
        <v>1512354</v>
      </c>
      <c r="KC74" s="46">
        <v>5758</v>
      </c>
      <c r="KD74" s="46">
        <v>7292530</v>
      </c>
      <c r="KE74" s="46">
        <v>4375</v>
      </c>
      <c r="KF74" s="46">
        <v>22582</v>
      </c>
      <c r="KG74" s="46">
        <v>291156</v>
      </c>
      <c r="KH74" s="46">
        <v>5</v>
      </c>
    </row>
    <row r="75" spans="1:294">
      <c r="A75" s="9" t="s">
        <v>183</v>
      </c>
      <c r="B75" s="15" t="s">
        <v>43</v>
      </c>
      <c r="C75" s="19"/>
      <c r="D75" s="19">
        <v>8057852</v>
      </c>
      <c r="E75" s="19"/>
      <c r="F75" s="19"/>
      <c r="G75" s="47" t="s">
        <v>130</v>
      </c>
      <c r="H75" s="19">
        <v>395772766</v>
      </c>
      <c r="I75" s="19"/>
      <c r="J75" s="47" t="s">
        <v>4</v>
      </c>
      <c r="K75" s="19"/>
      <c r="L75" s="47" t="s">
        <v>96</v>
      </c>
      <c r="M75" s="47" t="s">
        <v>96</v>
      </c>
      <c r="N75" s="19"/>
      <c r="O75" s="19">
        <v>34827213</v>
      </c>
      <c r="P75" s="19"/>
      <c r="Q75" s="19">
        <v>56607</v>
      </c>
      <c r="R75" s="19"/>
      <c r="S75" s="19">
        <v>1796935</v>
      </c>
      <c r="T75" s="47" t="s">
        <v>96</v>
      </c>
      <c r="U75" s="47" t="s">
        <v>172</v>
      </c>
      <c r="V75" s="47" t="s">
        <v>172</v>
      </c>
      <c r="W75" s="19"/>
      <c r="X75" s="19"/>
      <c r="Y75" s="19"/>
      <c r="Z75" s="19"/>
      <c r="AA75" s="19"/>
      <c r="AB75" s="19">
        <v>5560</v>
      </c>
      <c r="AC75" s="19"/>
      <c r="AD75" s="19"/>
      <c r="AE75" s="19">
        <v>2898737</v>
      </c>
      <c r="AF75" s="47" t="s">
        <v>172</v>
      </c>
      <c r="AG75" s="19"/>
      <c r="AH75" s="19">
        <v>271031</v>
      </c>
      <c r="AI75" s="19"/>
      <c r="AJ75" s="19"/>
      <c r="AK75" s="19"/>
      <c r="AL75" s="19">
        <v>28741000</v>
      </c>
      <c r="AM75" s="47" t="s">
        <v>4</v>
      </c>
      <c r="AN75" s="19"/>
      <c r="AO75" s="19">
        <v>25641</v>
      </c>
      <c r="AP75" s="19"/>
      <c r="AQ75" s="47" t="s">
        <v>96</v>
      </c>
      <c r="AR75" s="19"/>
      <c r="AS75" s="19"/>
      <c r="AT75" s="47" t="s">
        <v>172</v>
      </c>
      <c r="AU75" s="19"/>
      <c r="AV75" s="19"/>
      <c r="AW75" s="19">
        <v>2161640</v>
      </c>
      <c r="AX75" s="47" t="s">
        <v>4</v>
      </c>
      <c r="AY75" s="19">
        <v>12000000</v>
      </c>
      <c r="AZ75" s="19"/>
      <c r="BA75" s="19"/>
      <c r="BB75" s="19"/>
      <c r="BC75" s="47" t="s">
        <v>4</v>
      </c>
      <c r="BD75" s="47" t="s">
        <v>130</v>
      </c>
      <c r="BE75" s="19"/>
      <c r="BF75" s="47" t="s">
        <v>96</v>
      </c>
      <c r="BG75" s="19">
        <v>197766</v>
      </c>
      <c r="BH75" s="19"/>
      <c r="BI75" s="19"/>
      <c r="BJ75" s="19"/>
      <c r="BK75" s="19">
        <v>3639472</v>
      </c>
      <c r="BL75" s="19"/>
      <c r="BM75" s="19"/>
      <c r="BN75" s="19"/>
      <c r="BO75" s="19"/>
      <c r="BP75" s="47" t="s">
        <v>96</v>
      </c>
      <c r="BQ75" s="47" t="s">
        <v>4</v>
      </c>
      <c r="BR75" s="19">
        <v>4742</v>
      </c>
      <c r="BS75" s="19"/>
      <c r="BT75" s="47" t="s">
        <v>130</v>
      </c>
      <c r="BU75" s="19">
        <v>38103</v>
      </c>
      <c r="BV75" s="19"/>
      <c r="BW75" s="19"/>
      <c r="BX75" s="19"/>
      <c r="BY75" s="19"/>
      <c r="BZ75" s="19"/>
      <c r="CA75" s="19">
        <v>971027</v>
      </c>
      <c r="CB75" s="19"/>
      <c r="CC75" s="19">
        <v>10300</v>
      </c>
      <c r="CD75" s="19"/>
      <c r="CE75" s="19"/>
      <c r="CF75" s="19">
        <v>131304</v>
      </c>
      <c r="CG75" s="19">
        <v>8611460</v>
      </c>
      <c r="CH75" s="19"/>
      <c r="CI75" s="47" t="s">
        <v>130</v>
      </c>
      <c r="CJ75" s="19"/>
      <c r="CK75" s="19"/>
      <c r="CL75" s="19"/>
      <c r="CM75" s="19">
        <v>69909000</v>
      </c>
      <c r="CN75" s="19"/>
      <c r="CO75" s="19"/>
      <c r="CP75" s="19"/>
      <c r="CQ75" s="47" t="s">
        <v>96</v>
      </c>
      <c r="CR75" s="19"/>
      <c r="CS75" s="47" t="s">
        <v>172</v>
      </c>
      <c r="CT75" s="19"/>
      <c r="CU75" s="19">
        <v>2667669</v>
      </c>
      <c r="CV75" s="19"/>
      <c r="CW75" s="19">
        <v>43000000</v>
      </c>
      <c r="CX75" s="19">
        <v>89964</v>
      </c>
      <c r="CY75" s="47" t="s">
        <v>96</v>
      </c>
      <c r="CZ75" s="19">
        <v>1728621</v>
      </c>
      <c r="DA75" s="47" t="s">
        <v>89</v>
      </c>
      <c r="DB75" s="19"/>
      <c r="DC75" s="19"/>
      <c r="DD75" s="19"/>
      <c r="DE75" s="19">
        <v>68965400</v>
      </c>
      <c r="DF75" s="19"/>
      <c r="DG75" s="19"/>
      <c r="DH75" s="19"/>
      <c r="DI75" s="19">
        <v>170921</v>
      </c>
      <c r="DJ75" s="19"/>
      <c r="DK75" s="19">
        <v>43358866</v>
      </c>
      <c r="DL75" s="19"/>
      <c r="DM75" s="19"/>
      <c r="DN75" s="19"/>
      <c r="DO75" s="19"/>
      <c r="DP75" s="19"/>
      <c r="DQ75" s="19"/>
      <c r="DR75" s="19">
        <v>178526</v>
      </c>
      <c r="DS75" s="19"/>
      <c r="DT75" s="19"/>
      <c r="DU75" s="19"/>
      <c r="DV75" s="19"/>
      <c r="DW75" s="19"/>
      <c r="DX75" s="19">
        <v>52594170</v>
      </c>
      <c r="DY75" s="19"/>
      <c r="DZ75" s="19"/>
      <c r="EA75" s="19"/>
      <c r="EB75" s="19">
        <v>793522019</v>
      </c>
      <c r="EC75" s="19"/>
      <c r="ED75" s="19"/>
      <c r="EE75" s="19"/>
      <c r="EF75" s="19"/>
      <c r="EG75" s="19">
        <v>8665480</v>
      </c>
      <c r="EH75" s="19"/>
      <c r="EI75" s="19">
        <v>348867425</v>
      </c>
      <c r="EJ75" s="19"/>
      <c r="EK75" s="19"/>
      <c r="EL75" s="19"/>
      <c r="EM75" s="19"/>
      <c r="EN75" s="19">
        <v>565928440</v>
      </c>
      <c r="EO75" s="19">
        <v>13181234</v>
      </c>
      <c r="EP75" s="19"/>
      <c r="EQ75" s="19"/>
      <c r="ER75" s="19">
        <v>21210350</v>
      </c>
      <c r="ES75" s="19">
        <v>9962148</v>
      </c>
      <c r="ET75" s="19">
        <v>80378</v>
      </c>
      <c r="EU75" s="19"/>
      <c r="EV75" s="19">
        <v>1113438</v>
      </c>
      <c r="EW75" s="19"/>
      <c r="EX75" s="19"/>
      <c r="EY75" s="19"/>
      <c r="EZ75" s="19"/>
      <c r="FA75" s="47" t="s">
        <v>130</v>
      </c>
      <c r="FB75" s="19"/>
      <c r="FC75" s="19"/>
      <c r="FD75" s="19"/>
      <c r="FE75" s="19"/>
      <c r="FF75" s="19"/>
      <c r="FG75" s="19"/>
      <c r="FH75" s="19"/>
      <c r="FI75" s="47" t="s">
        <v>96</v>
      </c>
      <c r="FJ75" s="19"/>
      <c r="FK75" s="19">
        <v>533714415</v>
      </c>
      <c r="FL75" s="47" t="s">
        <v>130</v>
      </c>
      <c r="FM75" s="19"/>
      <c r="FN75" s="19">
        <v>5485107</v>
      </c>
      <c r="FO75" s="47" t="s">
        <v>172</v>
      </c>
      <c r="FP75" s="19">
        <v>1961760</v>
      </c>
      <c r="FQ75" s="19"/>
      <c r="FR75" s="19"/>
      <c r="FS75" s="47" t="s">
        <v>130</v>
      </c>
      <c r="FT75" s="19">
        <v>16102710</v>
      </c>
      <c r="FU75" s="19"/>
      <c r="FV75" s="19"/>
      <c r="FW75" s="19"/>
      <c r="FX75" s="19"/>
      <c r="FY75" s="19"/>
      <c r="FZ75" s="47" t="s">
        <v>175</v>
      </c>
      <c r="GA75" s="19">
        <v>40137</v>
      </c>
      <c r="GB75" s="19"/>
      <c r="GC75" s="19"/>
      <c r="GD75" s="48" t="s">
        <v>96</v>
      </c>
      <c r="GE75" s="48" t="s">
        <v>96</v>
      </c>
      <c r="GF75" s="19">
        <v>478613</v>
      </c>
      <c r="GG75" s="19">
        <v>4782199</v>
      </c>
      <c r="GH75" s="47" t="s">
        <v>172</v>
      </c>
      <c r="GI75" s="19">
        <v>1008954</v>
      </c>
      <c r="GJ75" s="47" t="s">
        <v>96</v>
      </c>
      <c r="GK75" s="19"/>
      <c r="GL75" s="47" t="s">
        <v>96</v>
      </c>
      <c r="GM75" s="19"/>
      <c r="GN75" s="19"/>
      <c r="GO75" s="47" t="s">
        <v>96</v>
      </c>
      <c r="GP75" s="19">
        <v>8961366</v>
      </c>
      <c r="GQ75" s="19"/>
      <c r="GR75" s="19">
        <v>2291810</v>
      </c>
      <c r="GS75" s="19"/>
      <c r="GT75" s="19"/>
      <c r="GU75" s="19"/>
      <c r="GV75" s="19"/>
      <c r="GW75" s="19">
        <v>496511417</v>
      </c>
      <c r="GX75" s="19"/>
      <c r="GY75" s="19">
        <v>4177604</v>
      </c>
      <c r="GZ75" s="19"/>
      <c r="HA75" s="19"/>
      <c r="HB75" s="19"/>
      <c r="HC75" s="19"/>
      <c r="HD75" s="19">
        <v>32492216</v>
      </c>
      <c r="HE75" s="19"/>
      <c r="HF75" s="19"/>
      <c r="HG75" s="19">
        <v>104309233</v>
      </c>
      <c r="HH75" s="47" t="s">
        <v>130</v>
      </c>
      <c r="HI75" s="19"/>
      <c r="HJ75" s="19">
        <v>159626320</v>
      </c>
      <c r="HK75" s="19">
        <v>4244506</v>
      </c>
      <c r="HL75" s="19"/>
      <c r="HM75" s="19"/>
      <c r="HN75" s="19">
        <v>7508739</v>
      </c>
      <c r="HO75" s="19">
        <v>34180628</v>
      </c>
      <c r="HP75" s="19">
        <v>1717984</v>
      </c>
      <c r="HQ75" s="19"/>
      <c r="HR75" s="19"/>
      <c r="HS75" s="19"/>
      <c r="HT75" s="19"/>
      <c r="HU75" s="19"/>
      <c r="HV75" s="19"/>
      <c r="HW75" s="47" t="s">
        <v>96</v>
      </c>
      <c r="HX75" s="19"/>
      <c r="HY75" s="19" t="s">
        <v>172</v>
      </c>
      <c r="HZ75" s="19">
        <v>142266546</v>
      </c>
      <c r="IA75" s="19">
        <v>26009</v>
      </c>
      <c r="IB75" s="19"/>
      <c r="IC75" s="19"/>
      <c r="ID75" s="19"/>
      <c r="IE75" s="47" t="s">
        <v>96</v>
      </c>
      <c r="IF75" s="19">
        <v>2813100</v>
      </c>
      <c r="IG75" s="19"/>
      <c r="IH75" s="19"/>
      <c r="II75" s="19"/>
      <c r="IJ75" s="19"/>
      <c r="IK75" s="19"/>
      <c r="IL75" s="19"/>
      <c r="IM75" s="19"/>
      <c r="IN75" s="19"/>
      <c r="IO75" s="19"/>
      <c r="IP75" s="19"/>
      <c r="IQ75" s="19"/>
      <c r="IR75" s="19"/>
      <c r="IS75" s="19"/>
      <c r="IT75" s="19"/>
      <c r="IU75" s="45">
        <v>19794735</v>
      </c>
      <c r="IV75" s="45">
        <v>11646970</v>
      </c>
      <c r="IW75" s="45"/>
      <c r="IX75" s="45">
        <v>12727000</v>
      </c>
      <c r="IY75" s="45"/>
      <c r="IZ75" s="45">
        <v>328043</v>
      </c>
      <c r="JA75" s="45">
        <v>3429714</v>
      </c>
      <c r="JB75" s="45"/>
      <c r="JC75" s="45"/>
      <c r="JD75" s="45"/>
      <c r="JE75" s="45"/>
      <c r="JF75" s="45"/>
      <c r="JG75" s="45"/>
      <c r="JH75" s="45"/>
      <c r="JI75" s="45"/>
      <c r="JJ75" s="45"/>
      <c r="JK75" s="45"/>
      <c r="JL75" s="45">
        <v>49039579</v>
      </c>
      <c r="JM75" s="45"/>
      <c r="JN75" s="45">
        <v>2778051</v>
      </c>
      <c r="JO75" s="46"/>
      <c r="JP75" s="46">
        <v>445711</v>
      </c>
      <c r="JQ75" s="63" t="s">
        <v>175</v>
      </c>
      <c r="JR75" s="46"/>
      <c r="JS75" s="46">
        <v>130640558</v>
      </c>
      <c r="JT75" s="46"/>
      <c r="JU75" s="46"/>
      <c r="JV75" s="46">
        <v>3882055</v>
      </c>
      <c r="JW75" s="46"/>
      <c r="JX75" s="46"/>
      <c r="JY75" s="46"/>
      <c r="JZ75" s="46"/>
      <c r="KA75" s="46"/>
      <c r="KB75" s="46">
        <v>50586581</v>
      </c>
      <c r="KC75" s="46"/>
      <c r="KD75" s="46"/>
      <c r="KE75" s="46"/>
      <c r="KF75" s="46">
        <v>126472727</v>
      </c>
      <c r="KG75" s="46"/>
      <c r="KH75" s="46"/>
    </row>
    <row r="76" spans="1:294">
      <c r="A76" s="9" t="s">
        <v>183</v>
      </c>
      <c r="B76" s="10" t="s">
        <v>65</v>
      </c>
      <c r="C76" s="19">
        <v>-49004211</v>
      </c>
      <c r="D76" s="19">
        <v>168364617</v>
      </c>
      <c r="E76" s="19">
        <v>58465353</v>
      </c>
      <c r="F76" s="19">
        <v>286967964</v>
      </c>
      <c r="G76" s="47" t="s">
        <v>130</v>
      </c>
      <c r="H76" s="19">
        <v>94464703</v>
      </c>
      <c r="I76" s="19">
        <v>374356875</v>
      </c>
      <c r="J76" s="47" t="s">
        <v>4</v>
      </c>
      <c r="K76" s="19">
        <v>164897380</v>
      </c>
      <c r="L76" s="47" t="s">
        <v>96</v>
      </c>
      <c r="M76" s="47" t="s">
        <v>96</v>
      </c>
      <c r="N76" s="19">
        <v>-156138822</v>
      </c>
      <c r="O76" s="19">
        <v>164399668</v>
      </c>
      <c r="P76" s="19">
        <v>-315498936</v>
      </c>
      <c r="Q76" s="19">
        <v>62791510</v>
      </c>
      <c r="R76" s="19">
        <v>77830505</v>
      </c>
      <c r="S76" s="19">
        <v>305177539</v>
      </c>
      <c r="T76" s="47" t="s">
        <v>96</v>
      </c>
      <c r="U76" s="47" t="s">
        <v>172</v>
      </c>
      <c r="V76" s="47" t="s">
        <v>172</v>
      </c>
      <c r="W76" s="19">
        <v>18807566</v>
      </c>
      <c r="X76" s="19">
        <v>686672261</v>
      </c>
      <c r="Y76" s="19">
        <v>-88680955</v>
      </c>
      <c r="Z76" s="19">
        <v>-202961597</v>
      </c>
      <c r="AA76" s="19">
        <v>357126284</v>
      </c>
      <c r="AB76" s="19">
        <v>-28783075</v>
      </c>
      <c r="AC76" s="19">
        <v>73497303</v>
      </c>
      <c r="AD76" s="19">
        <v>233617129</v>
      </c>
      <c r="AE76" s="19">
        <v>7933556</v>
      </c>
      <c r="AF76" s="47" t="s">
        <v>172</v>
      </c>
      <c r="AG76" s="19">
        <v>-186643879</v>
      </c>
      <c r="AH76" s="19">
        <v>923996674</v>
      </c>
      <c r="AI76" s="19">
        <v>-67963439</v>
      </c>
      <c r="AJ76" s="19">
        <v>11863076</v>
      </c>
      <c r="AK76" s="19">
        <v>70643205</v>
      </c>
      <c r="AL76" s="19">
        <v>61710027</v>
      </c>
      <c r="AM76" s="47" t="s">
        <v>4</v>
      </c>
      <c r="AN76" s="19">
        <v>31853815</v>
      </c>
      <c r="AO76" s="19">
        <v>-191534260</v>
      </c>
      <c r="AP76" s="19">
        <v>-89506537</v>
      </c>
      <c r="AQ76" s="47" t="s">
        <v>96</v>
      </c>
      <c r="AR76" s="19">
        <v>-835785475</v>
      </c>
      <c r="AS76" s="19">
        <v>51585052</v>
      </c>
      <c r="AT76" s="47" t="s">
        <v>172</v>
      </c>
      <c r="AU76" s="19">
        <v>-84580662</v>
      </c>
      <c r="AV76" s="19">
        <v>53427802</v>
      </c>
      <c r="AW76" s="19">
        <v>-3524512</v>
      </c>
      <c r="AX76" s="47" t="s">
        <v>4</v>
      </c>
      <c r="AY76" s="19">
        <v>-2830431</v>
      </c>
      <c r="AZ76" s="19">
        <v>20741868</v>
      </c>
      <c r="BA76" s="19">
        <v>-177424125</v>
      </c>
      <c r="BB76" s="19">
        <v>-3645693</v>
      </c>
      <c r="BC76" s="47" t="s">
        <v>4</v>
      </c>
      <c r="BD76" s="47" t="s">
        <v>130</v>
      </c>
      <c r="BE76" s="19">
        <v>46864939</v>
      </c>
      <c r="BF76" s="47" t="s">
        <v>96</v>
      </c>
      <c r="BG76" s="19">
        <v>-107672520</v>
      </c>
      <c r="BH76" s="19">
        <v>22694310</v>
      </c>
      <c r="BI76" s="19">
        <v>-27860039</v>
      </c>
      <c r="BJ76" s="19">
        <v>13965412</v>
      </c>
      <c r="BK76" s="19">
        <v>-383351939</v>
      </c>
      <c r="BL76" s="19">
        <v>823177091</v>
      </c>
      <c r="BM76" s="19">
        <v>574118</v>
      </c>
      <c r="BN76" s="19">
        <v>-66149918</v>
      </c>
      <c r="BO76" s="19">
        <v>-23640550</v>
      </c>
      <c r="BP76" s="47" t="s">
        <v>96</v>
      </c>
      <c r="BQ76" s="47" t="s">
        <v>4</v>
      </c>
      <c r="BR76" s="19">
        <v>2796785655</v>
      </c>
      <c r="BS76" s="19">
        <v>-29716844</v>
      </c>
      <c r="BT76" s="47" t="s">
        <v>130</v>
      </c>
      <c r="BU76" s="19">
        <v>11624646</v>
      </c>
      <c r="BV76" s="19">
        <v>-82531003</v>
      </c>
      <c r="BW76" s="19">
        <v>9440305</v>
      </c>
      <c r="BX76" s="19">
        <v>-107347690</v>
      </c>
      <c r="BY76" s="19">
        <v>327102256</v>
      </c>
      <c r="BZ76" s="19">
        <v>670847805</v>
      </c>
      <c r="CA76" s="19">
        <v>-76151091</v>
      </c>
      <c r="CB76" s="19">
        <v>-37080661</v>
      </c>
      <c r="CC76" s="19">
        <v>49436250</v>
      </c>
      <c r="CD76" s="19">
        <v>14548599</v>
      </c>
      <c r="CE76" s="19">
        <v>-33270483</v>
      </c>
      <c r="CF76" s="19">
        <v>200186420</v>
      </c>
      <c r="CG76" s="19">
        <v>-16957186</v>
      </c>
      <c r="CH76" s="19">
        <v>37638827</v>
      </c>
      <c r="CI76" s="47" t="s">
        <v>130</v>
      </c>
      <c r="CJ76" s="19">
        <v>1241525</v>
      </c>
      <c r="CK76" s="19">
        <v>-553702370</v>
      </c>
      <c r="CL76" s="19">
        <v>-24517170</v>
      </c>
      <c r="CM76" s="19">
        <v>322745629</v>
      </c>
      <c r="CN76" s="19">
        <v>16201226</v>
      </c>
      <c r="CO76" s="19">
        <v>-65400036</v>
      </c>
      <c r="CP76" s="19">
        <v>241811452</v>
      </c>
      <c r="CQ76" s="47" t="s">
        <v>96</v>
      </c>
      <c r="CR76" s="19">
        <v>140641261</v>
      </c>
      <c r="CS76" s="47" t="s">
        <v>172</v>
      </c>
      <c r="CT76" s="19">
        <v>-10052020606</v>
      </c>
      <c r="CU76" s="19">
        <v>219965023</v>
      </c>
      <c r="CV76" s="19">
        <v>-12328850</v>
      </c>
      <c r="CW76" s="19">
        <v>97591498</v>
      </c>
      <c r="CX76" s="19">
        <v>-777301462</v>
      </c>
      <c r="CY76" s="47" t="s">
        <v>96</v>
      </c>
      <c r="CZ76" s="19">
        <v>467281100</v>
      </c>
      <c r="DA76" s="47" t="s">
        <v>89</v>
      </c>
      <c r="DB76" s="19">
        <v>60662104</v>
      </c>
      <c r="DC76" s="19">
        <v>-3509930</v>
      </c>
      <c r="DD76" s="19">
        <v>-90344306</v>
      </c>
      <c r="DE76" s="19">
        <v>0</v>
      </c>
      <c r="DF76" s="19">
        <v>-17289598</v>
      </c>
      <c r="DG76" s="19">
        <v>88706855</v>
      </c>
      <c r="DH76" s="19">
        <v>39286370</v>
      </c>
      <c r="DI76" s="19">
        <v>138321874</v>
      </c>
      <c r="DJ76" s="19">
        <v>536276</v>
      </c>
      <c r="DK76" s="19">
        <v>-146036274</v>
      </c>
      <c r="DL76" s="19">
        <v>-1913259</v>
      </c>
      <c r="DM76" s="19">
        <v>243770471</v>
      </c>
      <c r="DN76" s="19">
        <v>-50787335</v>
      </c>
      <c r="DO76" s="19">
        <v>-21696073</v>
      </c>
      <c r="DP76" s="19">
        <v>91088994</v>
      </c>
      <c r="DQ76" s="19">
        <v>697260</v>
      </c>
      <c r="DR76" s="19">
        <v>-129179667</v>
      </c>
      <c r="DS76" s="19">
        <v>56784548</v>
      </c>
      <c r="DT76" s="19">
        <v>447837632</v>
      </c>
      <c r="DU76" s="19">
        <v>1761048</v>
      </c>
      <c r="DV76" s="19">
        <v>2303182346</v>
      </c>
      <c r="DW76" s="19">
        <v>134031052</v>
      </c>
      <c r="DX76" s="19">
        <v>-1816582236</v>
      </c>
      <c r="DY76" s="19">
        <v>69948367</v>
      </c>
      <c r="DZ76" s="19">
        <v>54764927</v>
      </c>
      <c r="EA76" s="19">
        <v>-31760938</v>
      </c>
      <c r="EB76" s="19">
        <v>352909424</v>
      </c>
      <c r="EC76" s="19">
        <v>17095706</v>
      </c>
      <c r="ED76" s="19">
        <v>46193838</v>
      </c>
      <c r="EE76" s="19">
        <v>387702114</v>
      </c>
      <c r="EF76" s="19">
        <v>499727471</v>
      </c>
      <c r="EG76" s="19">
        <v>-2321940658</v>
      </c>
      <c r="EH76" s="19">
        <v>10400736</v>
      </c>
      <c r="EI76" s="19">
        <v>-6697949450</v>
      </c>
      <c r="EJ76" s="19">
        <v>36362720</v>
      </c>
      <c r="EK76" s="19">
        <v>-1107034934</v>
      </c>
      <c r="EL76" s="19">
        <v>-370314949</v>
      </c>
      <c r="EM76" s="19">
        <v>112513652</v>
      </c>
      <c r="EN76" s="19">
        <v>390873511</v>
      </c>
      <c r="EO76" s="19">
        <v>-26344393</v>
      </c>
      <c r="EP76" s="19">
        <v>14983795</v>
      </c>
      <c r="EQ76" s="19">
        <v>557672456</v>
      </c>
      <c r="ER76" s="19">
        <v>161356108</v>
      </c>
      <c r="ES76" s="19">
        <v>-214374181</v>
      </c>
      <c r="ET76" s="19">
        <v>-1980022517</v>
      </c>
      <c r="EU76" s="19">
        <v>621559844</v>
      </c>
      <c r="EV76" s="19">
        <v>10755799</v>
      </c>
      <c r="EW76" s="19">
        <v>4570772</v>
      </c>
      <c r="EX76" s="19">
        <v>54125782</v>
      </c>
      <c r="EY76" s="19">
        <v>165020200</v>
      </c>
      <c r="EZ76" s="19">
        <v>14772703</v>
      </c>
      <c r="FA76" s="47" t="s">
        <v>130</v>
      </c>
      <c r="FB76" s="19">
        <v>27582572</v>
      </c>
      <c r="FC76" s="19">
        <v>4504151</v>
      </c>
      <c r="FD76" s="19">
        <v>100951360</v>
      </c>
      <c r="FE76" s="19">
        <v>418958791</v>
      </c>
      <c r="FF76" s="19">
        <v>-37392057</v>
      </c>
      <c r="FG76" s="19">
        <v>1098443191</v>
      </c>
      <c r="FH76" s="19">
        <v>54630873</v>
      </c>
      <c r="FI76" s="47" t="s">
        <v>96</v>
      </c>
      <c r="FJ76" s="19">
        <v>49267419</v>
      </c>
      <c r="FK76" s="19">
        <v>150543497</v>
      </c>
      <c r="FL76" s="47" t="s">
        <v>130</v>
      </c>
      <c r="FM76" s="19">
        <v>-343268120</v>
      </c>
      <c r="FN76" s="19">
        <v>-1527422493</v>
      </c>
      <c r="FO76" s="47" t="s">
        <v>172</v>
      </c>
      <c r="FP76" s="19">
        <v>-70824960</v>
      </c>
      <c r="FQ76" s="19">
        <v>-22092855</v>
      </c>
      <c r="FR76" s="19">
        <v>210251755</v>
      </c>
      <c r="FS76" s="47" t="s">
        <v>130</v>
      </c>
      <c r="FT76" s="19">
        <v>552498539</v>
      </c>
      <c r="FU76" s="19">
        <v>6310882</v>
      </c>
      <c r="FV76" s="19">
        <v>411137810</v>
      </c>
      <c r="FW76" s="19">
        <v>-43648452</v>
      </c>
      <c r="FX76" s="19">
        <v>16553456</v>
      </c>
      <c r="FY76" s="19">
        <v>-1014599259</v>
      </c>
      <c r="FZ76" s="47" t="s">
        <v>175</v>
      </c>
      <c r="GA76" s="19">
        <v>-238055262</v>
      </c>
      <c r="GB76" s="19">
        <v>-177451977</v>
      </c>
      <c r="GC76" s="19">
        <v>48971994</v>
      </c>
      <c r="GD76" s="48" t="s">
        <v>96</v>
      </c>
      <c r="GE76" s="48" t="s">
        <v>96</v>
      </c>
      <c r="GF76" s="19">
        <v>-273454688</v>
      </c>
      <c r="GG76" s="19">
        <v>-1633193826</v>
      </c>
      <c r="GH76" s="47" t="s">
        <v>172</v>
      </c>
      <c r="GI76" s="19">
        <v>6783363</v>
      </c>
      <c r="GJ76" s="47" t="s">
        <v>96</v>
      </c>
      <c r="GK76" s="19">
        <v>1339182</v>
      </c>
      <c r="GL76" s="47" t="s">
        <v>96</v>
      </c>
      <c r="GM76" s="19">
        <v>9558858</v>
      </c>
      <c r="GN76" s="19">
        <v>-281752585</v>
      </c>
      <c r="GO76" s="47" t="s">
        <v>96</v>
      </c>
      <c r="GP76" s="19">
        <v>315784639</v>
      </c>
      <c r="GQ76" s="19">
        <v>79156054</v>
      </c>
      <c r="GR76" s="19">
        <v>171980063</v>
      </c>
      <c r="GS76" s="19">
        <v>-208640549</v>
      </c>
      <c r="GT76" s="19">
        <v>-92473199</v>
      </c>
      <c r="GU76" s="19">
        <v>19623558</v>
      </c>
      <c r="GV76" s="19">
        <v>210269410</v>
      </c>
      <c r="GW76" s="19">
        <v>-3163528624</v>
      </c>
      <c r="GX76" s="19">
        <v>-9562036</v>
      </c>
      <c r="GY76" s="19">
        <v>-522738453</v>
      </c>
      <c r="GZ76" s="19">
        <v>-40158969</v>
      </c>
      <c r="HA76" s="19">
        <v>-455489127</v>
      </c>
      <c r="HB76" s="19">
        <v>408691308</v>
      </c>
      <c r="HC76" s="19">
        <v>-66876549</v>
      </c>
      <c r="HD76" s="19">
        <v>258117269</v>
      </c>
      <c r="HE76" s="19">
        <v>-125555366</v>
      </c>
      <c r="HF76" s="19">
        <v>255817478</v>
      </c>
      <c r="HG76" s="19">
        <v>57778446</v>
      </c>
      <c r="HH76" s="47" t="s">
        <v>130</v>
      </c>
      <c r="HI76" s="19">
        <v>-634968339</v>
      </c>
      <c r="HJ76" s="19">
        <v>331790930</v>
      </c>
      <c r="HK76" s="19">
        <v>-874546493</v>
      </c>
      <c r="HL76" s="19">
        <v>633994364</v>
      </c>
      <c r="HM76" s="19">
        <v>-263265511</v>
      </c>
      <c r="HN76" s="19">
        <v>-22883825</v>
      </c>
      <c r="HO76" s="19">
        <v>217789725</v>
      </c>
      <c r="HP76" s="19">
        <v>246714425</v>
      </c>
      <c r="HQ76" s="19">
        <v>141372220</v>
      </c>
      <c r="HR76" s="19">
        <v>-256420295</v>
      </c>
      <c r="HS76" s="19">
        <v>30541807</v>
      </c>
      <c r="HT76" s="19">
        <v>138841121</v>
      </c>
      <c r="HU76" s="19">
        <v>-2313804598</v>
      </c>
      <c r="HV76" s="19">
        <v>15564112</v>
      </c>
      <c r="HW76" s="47" t="s">
        <v>96</v>
      </c>
      <c r="HX76" s="19">
        <v>56144389</v>
      </c>
      <c r="HY76" s="19" t="s">
        <v>172</v>
      </c>
      <c r="HZ76" s="19">
        <v>529791067</v>
      </c>
      <c r="IA76" s="19">
        <v>-16456360</v>
      </c>
      <c r="IB76" s="19">
        <v>4906228</v>
      </c>
      <c r="IC76" s="19">
        <v>420757684</v>
      </c>
      <c r="ID76" s="19">
        <v>-37033</v>
      </c>
      <c r="IE76" s="47" t="s">
        <v>96</v>
      </c>
      <c r="IF76" s="19">
        <v>-10666686</v>
      </c>
      <c r="IG76" s="19">
        <v>2070974</v>
      </c>
      <c r="IH76" s="19">
        <v>147650686</v>
      </c>
      <c r="II76" s="19">
        <v>22035000</v>
      </c>
      <c r="IJ76" s="19">
        <v>-58214996</v>
      </c>
      <c r="IK76" s="19">
        <v>8736783</v>
      </c>
      <c r="IL76" s="19">
        <v>51124149</v>
      </c>
      <c r="IM76" s="19">
        <v>-635092643</v>
      </c>
      <c r="IN76" s="19">
        <v>-286603745</v>
      </c>
      <c r="IO76" s="19">
        <v>76051180</v>
      </c>
      <c r="IP76" s="19">
        <v>-2915145</v>
      </c>
      <c r="IQ76" s="19">
        <v>-315527517</v>
      </c>
      <c r="IR76" s="19">
        <v>52959443</v>
      </c>
      <c r="IS76" s="19">
        <v>125185470</v>
      </c>
      <c r="IT76" s="19">
        <v>165209170</v>
      </c>
      <c r="IU76" s="45">
        <v>98218566</v>
      </c>
      <c r="IV76" s="45">
        <v>77341195</v>
      </c>
      <c r="IW76" s="45">
        <v>-175434471</v>
      </c>
      <c r="IX76" s="45">
        <v>16568899</v>
      </c>
      <c r="IY76" s="45">
        <v>156256220</v>
      </c>
      <c r="IZ76" s="45">
        <v>16340258</v>
      </c>
      <c r="JA76" s="45">
        <v>791944513</v>
      </c>
      <c r="JB76" s="45">
        <v>-39228915</v>
      </c>
      <c r="JC76" s="45">
        <v>27777110</v>
      </c>
      <c r="JD76" s="45">
        <v>237558567</v>
      </c>
      <c r="JE76" s="45">
        <v>74520074</v>
      </c>
      <c r="JF76" s="45">
        <v>84048672</v>
      </c>
      <c r="JG76" s="45">
        <v>-37017929</v>
      </c>
      <c r="JH76" s="45">
        <v>-14492454</v>
      </c>
      <c r="JI76" s="45">
        <v>30729010</v>
      </c>
      <c r="JJ76" s="45">
        <v>27779884</v>
      </c>
      <c r="JK76" s="45">
        <v>-23004631</v>
      </c>
      <c r="JL76" s="45">
        <v>-31076907</v>
      </c>
      <c r="JM76" s="45">
        <v>27752127</v>
      </c>
      <c r="JN76" s="45">
        <v>323026482</v>
      </c>
      <c r="JO76" s="46">
        <v>-2775536</v>
      </c>
      <c r="JP76" s="46">
        <v>-100295822</v>
      </c>
      <c r="JQ76" s="63" t="s">
        <v>175</v>
      </c>
      <c r="JR76" s="46">
        <v>-155577218</v>
      </c>
      <c r="JS76" s="46">
        <v>-147913377</v>
      </c>
      <c r="JT76" s="46">
        <v>-51168082</v>
      </c>
      <c r="JU76" s="46">
        <v>119029544</v>
      </c>
      <c r="JV76" s="46">
        <v>101445784</v>
      </c>
      <c r="JW76" s="46">
        <v>-29451812</v>
      </c>
      <c r="JX76" s="46">
        <v>-15578634</v>
      </c>
      <c r="JY76" s="46">
        <v>77512607</v>
      </c>
      <c r="JZ76" s="46">
        <v>-3635219</v>
      </c>
      <c r="KA76" s="46">
        <v>9215628</v>
      </c>
      <c r="KB76" s="46">
        <v>587492773</v>
      </c>
      <c r="KC76" s="46">
        <v>-115671638</v>
      </c>
      <c r="KD76" s="46">
        <v>2073685</v>
      </c>
      <c r="KE76" s="46">
        <v>-32884581</v>
      </c>
      <c r="KF76" s="46">
        <v>-438626346</v>
      </c>
      <c r="KG76" s="46">
        <v>-119642302</v>
      </c>
      <c r="KH76" s="46">
        <v>27908850</v>
      </c>
    </row>
    <row r="77" spans="1:294">
      <c r="A77" s="9" t="s">
        <v>183</v>
      </c>
      <c r="B77" s="10" t="s">
        <v>101</v>
      </c>
      <c r="C77" s="19">
        <v>3980860</v>
      </c>
      <c r="D77" s="19"/>
      <c r="E77" s="19">
        <v>5605734</v>
      </c>
      <c r="F77" s="19">
        <v>8849990</v>
      </c>
      <c r="G77" s="47" t="s">
        <v>130</v>
      </c>
      <c r="H77" s="19">
        <v>15924720</v>
      </c>
      <c r="I77" s="19"/>
      <c r="J77" s="47" t="s">
        <v>4</v>
      </c>
      <c r="K77" s="19"/>
      <c r="L77" s="47" t="s">
        <v>96</v>
      </c>
      <c r="M77" s="47" t="s">
        <v>96</v>
      </c>
      <c r="N77" s="19"/>
      <c r="O77" s="19">
        <v>19919394</v>
      </c>
      <c r="P77" s="19">
        <v>72143270</v>
      </c>
      <c r="Q77" s="19">
        <v>0</v>
      </c>
      <c r="R77" s="19">
        <v>0</v>
      </c>
      <c r="S77" s="19"/>
      <c r="T77" s="47" t="s">
        <v>96</v>
      </c>
      <c r="U77" s="47" t="s">
        <v>172</v>
      </c>
      <c r="V77" s="47" t="s">
        <v>172</v>
      </c>
      <c r="W77" s="19"/>
      <c r="X77" s="19">
        <v>2702140</v>
      </c>
      <c r="Y77" s="19"/>
      <c r="Z77" s="19">
        <v>0</v>
      </c>
      <c r="AA77" s="19">
        <v>103519980</v>
      </c>
      <c r="AB77" s="19">
        <v>0</v>
      </c>
      <c r="AC77" s="19"/>
      <c r="AD77" s="19"/>
      <c r="AE77" s="19">
        <v>2910952</v>
      </c>
      <c r="AF77" s="47" t="s">
        <v>172</v>
      </c>
      <c r="AG77" s="19"/>
      <c r="AH77" s="19">
        <v>209327746</v>
      </c>
      <c r="AI77" s="19"/>
      <c r="AJ77" s="19">
        <v>0</v>
      </c>
      <c r="AK77" s="19">
        <v>24786150</v>
      </c>
      <c r="AL77" s="19">
        <v>10509264</v>
      </c>
      <c r="AM77" s="47" t="s">
        <v>4</v>
      </c>
      <c r="AN77" s="19">
        <v>5568146</v>
      </c>
      <c r="AO77" s="19"/>
      <c r="AP77" s="19">
        <v>0</v>
      </c>
      <c r="AQ77" s="47" t="s">
        <v>96</v>
      </c>
      <c r="AR77" s="19"/>
      <c r="AS77" s="19"/>
      <c r="AT77" s="47" t="s">
        <v>172</v>
      </c>
      <c r="AU77" s="19"/>
      <c r="AV77" s="19">
        <v>5877058</v>
      </c>
      <c r="AW77" s="19"/>
      <c r="AX77" s="47" t="s">
        <v>4</v>
      </c>
      <c r="AY77" s="19">
        <v>4257</v>
      </c>
      <c r="AZ77" s="19">
        <v>2299424</v>
      </c>
      <c r="BA77" s="19"/>
      <c r="BB77" s="19"/>
      <c r="BC77" s="47" t="s">
        <v>4</v>
      </c>
      <c r="BD77" s="47" t="s">
        <v>130</v>
      </c>
      <c r="BE77" s="19">
        <v>3500000</v>
      </c>
      <c r="BF77" s="47" t="s">
        <v>96</v>
      </c>
      <c r="BG77" s="19">
        <v>1391987</v>
      </c>
      <c r="BH77" s="19">
        <v>1606080</v>
      </c>
      <c r="BI77" s="19">
        <v>1190000</v>
      </c>
      <c r="BJ77" s="19">
        <v>792530</v>
      </c>
      <c r="BK77" s="19"/>
      <c r="BL77" s="19">
        <v>148101123</v>
      </c>
      <c r="BM77" s="19"/>
      <c r="BN77" s="19">
        <v>0</v>
      </c>
      <c r="BO77" s="19">
        <v>0</v>
      </c>
      <c r="BP77" s="47" t="s">
        <v>96</v>
      </c>
      <c r="BQ77" s="47" t="s">
        <v>4</v>
      </c>
      <c r="BR77" s="19">
        <v>362626155</v>
      </c>
      <c r="BS77" s="19"/>
      <c r="BT77" s="47" t="s">
        <v>130</v>
      </c>
      <c r="BU77" s="19"/>
      <c r="BV77" s="19"/>
      <c r="BW77" s="19"/>
      <c r="BX77" s="19">
        <v>0</v>
      </c>
      <c r="BY77" s="19">
        <v>0</v>
      </c>
      <c r="BZ77" s="19">
        <v>76050420</v>
      </c>
      <c r="CA77" s="19"/>
      <c r="CB77" s="19"/>
      <c r="CC77" s="19"/>
      <c r="CD77" s="19"/>
      <c r="CE77" s="19"/>
      <c r="CF77" s="19"/>
      <c r="CG77" s="19"/>
      <c r="CH77" s="19">
        <v>2018621</v>
      </c>
      <c r="CI77" s="47" t="s">
        <v>130</v>
      </c>
      <c r="CJ77" s="19">
        <v>0</v>
      </c>
      <c r="CK77" s="19"/>
      <c r="CL77" s="19"/>
      <c r="CM77" s="19">
        <v>29601223</v>
      </c>
      <c r="CN77" s="19"/>
      <c r="CO77" s="19"/>
      <c r="CP77" s="19">
        <v>4310740</v>
      </c>
      <c r="CQ77" s="47" t="s">
        <v>96</v>
      </c>
      <c r="CR77" s="19">
        <v>11235456</v>
      </c>
      <c r="CS77" s="47" t="s">
        <v>172</v>
      </c>
      <c r="CT77" s="19"/>
      <c r="CU77" s="19"/>
      <c r="CV77" s="19"/>
      <c r="CW77" s="19">
        <v>2333533</v>
      </c>
      <c r="CX77" s="19"/>
      <c r="CY77" s="47" t="s">
        <v>96</v>
      </c>
      <c r="CZ77" s="19">
        <v>18531851</v>
      </c>
      <c r="DA77" s="47" t="s">
        <v>89</v>
      </c>
      <c r="DB77" s="19">
        <v>10675470</v>
      </c>
      <c r="DC77" s="19"/>
      <c r="DD77" s="19"/>
      <c r="DE77" s="19"/>
      <c r="DF77" s="19"/>
      <c r="DG77" s="19"/>
      <c r="DH77" s="19"/>
      <c r="DI77" s="19">
        <v>3409300</v>
      </c>
      <c r="DJ77" s="19">
        <v>44909</v>
      </c>
      <c r="DK77" s="19">
        <v>56194030</v>
      </c>
      <c r="DL77" s="19"/>
      <c r="DM77" s="19">
        <v>18106456</v>
      </c>
      <c r="DN77" s="19"/>
      <c r="DO77" s="19"/>
      <c r="DP77" s="19">
        <v>8668050</v>
      </c>
      <c r="DQ77" s="19"/>
      <c r="DR77" s="19">
        <v>1651744</v>
      </c>
      <c r="DS77" s="19"/>
      <c r="DT77" s="19">
        <v>16798173</v>
      </c>
      <c r="DU77" s="19"/>
      <c r="DV77" s="19">
        <v>0</v>
      </c>
      <c r="DW77" s="19">
        <v>1082440</v>
      </c>
      <c r="DX77" s="19"/>
      <c r="DY77" s="19">
        <v>710640</v>
      </c>
      <c r="DZ77" s="19">
        <v>6020947</v>
      </c>
      <c r="EA77" s="19"/>
      <c r="EB77" s="19"/>
      <c r="EC77" s="19"/>
      <c r="ED77" s="19">
        <v>2213030</v>
      </c>
      <c r="EE77" s="19">
        <v>8530310</v>
      </c>
      <c r="EF77" s="19">
        <v>34143574</v>
      </c>
      <c r="EG77" s="19"/>
      <c r="EH77" s="19"/>
      <c r="EI77" s="19"/>
      <c r="EJ77" s="19"/>
      <c r="EK77" s="19"/>
      <c r="EL77" s="19"/>
      <c r="EM77" s="19">
        <v>8711040</v>
      </c>
      <c r="EN77" s="19">
        <v>50080720</v>
      </c>
      <c r="EO77" s="19"/>
      <c r="EP77" s="19"/>
      <c r="EQ77" s="19"/>
      <c r="ER77" s="19"/>
      <c r="ES77" s="19"/>
      <c r="ET77" s="19"/>
      <c r="EU77" s="19">
        <v>30138979</v>
      </c>
      <c r="EV77" s="19">
        <v>3116513</v>
      </c>
      <c r="EW77" s="19"/>
      <c r="EX77" s="19">
        <v>3020579</v>
      </c>
      <c r="EY77" s="19">
        <v>54461678</v>
      </c>
      <c r="EZ77" s="19"/>
      <c r="FA77" s="47" t="s">
        <v>130</v>
      </c>
      <c r="FB77" s="19"/>
      <c r="FC77" s="19"/>
      <c r="FD77" s="19">
        <v>11482044</v>
      </c>
      <c r="FE77" s="19">
        <v>29835600</v>
      </c>
      <c r="FF77" s="19">
        <v>6360210</v>
      </c>
      <c r="FG77" s="19">
        <v>158495640</v>
      </c>
      <c r="FH77" s="19"/>
      <c r="FI77" s="47" t="s">
        <v>96</v>
      </c>
      <c r="FJ77" s="19">
        <v>4099400</v>
      </c>
      <c r="FK77" s="19"/>
      <c r="FL77" s="47" t="s">
        <v>130</v>
      </c>
      <c r="FM77" s="19"/>
      <c r="FN77" s="19"/>
      <c r="FO77" s="47" t="s">
        <v>172</v>
      </c>
      <c r="FP77" s="19"/>
      <c r="FQ77" s="19"/>
      <c r="FR77" s="19">
        <v>19555911</v>
      </c>
      <c r="FS77" s="47" t="s">
        <v>130</v>
      </c>
      <c r="FT77" s="19"/>
      <c r="FU77" s="19"/>
      <c r="FV77" s="19">
        <v>11888431</v>
      </c>
      <c r="FW77" s="19"/>
      <c r="FX77" s="19"/>
      <c r="FY77" s="19"/>
      <c r="FZ77" s="47" t="s">
        <v>175</v>
      </c>
      <c r="GA77" s="19"/>
      <c r="GB77" s="19"/>
      <c r="GC77" s="19"/>
      <c r="GD77" s="48" t="s">
        <v>96</v>
      </c>
      <c r="GE77" s="48" t="s">
        <v>96</v>
      </c>
      <c r="GF77" s="19"/>
      <c r="GG77" s="19"/>
      <c r="GH77" s="47" t="s">
        <v>172</v>
      </c>
      <c r="GI77" s="19">
        <v>564260</v>
      </c>
      <c r="GJ77" s="47" t="s">
        <v>96</v>
      </c>
      <c r="GK77" s="19"/>
      <c r="GL77" s="47" t="s">
        <v>96</v>
      </c>
      <c r="GM77" s="19"/>
      <c r="GN77" s="19"/>
      <c r="GO77" s="47" t="s">
        <v>96</v>
      </c>
      <c r="GP77" s="19">
        <v>34502192</v>
      </c>
      <c r="GQ77" s="19"/>
      <c r="GR77" s="19"/>
      <c r="GS77" s="19"/>
      <c r="GT77" s="19"/>
      <c r="GU77" s="19"/>
      <c r="GV77" s="19"/>
      <c r="GW77" s="19"/>
      <c r="GX77" s="19">
        <v>890</v>
      </c>
      <c r="GY77" s="19"/>
      <c r="GZ77" s="19">
        <v>7296050</v>
      </c>
      <c r="HA77" s="19"/>
      <c r="HB77" s="19"/>
      <c r="HC77" s="19"/>
      <c r="HD77" s="19">
        <v>611447</v>
      </c>
      <c r="HE77" s="19"/>
      <c r="HF77" s="19">
        <v>21237017</v>
      </c>
      <c r="HG77" s="19"/>
      <c r="HH77" s="47" t="s">
        <v>130</v>
      </c>
      <c r="HI77" s="19"/>
      <c r="HJ77" s="19">
        <v>4685140</v>
      </c>
      <c r="HK77" s="19"/>
      <c r="HL77" s="19">
        <v>258320</v>
      </c>
      <c r="HM77" s="19"/>
      <c r="HN77" s="19"/>
      <c r="HO77" s="19">
        <v>20584270</v>
      </c>
      <c r="HP77" s="19"/>
      <c r="HQ77" s="19">
        <v>14141140</v>
      </c>
      <c r="HR77" s="19"/>
      <c r="HS77" s="19">
        <v>1012231</v>
      </c>
      <c r="HT77" s="19"/>
      <c r="HU77" s="19"/>
      <c r="HV77" s="19"/>
      <c r="HW77" s="47" t="s">
        <v>96</v>
      </c>
      <c r="HX77" s="19">
        <v>6860611</v>
      </c>
      <c r="HY77" s="19" t="s">
        <v>172</v>
      </c>
      <c r="HZ77" s="19">
        <v>32926246</v>
      </c>
      <c r="IA77" s="19"/>
      <c r="IB77" s="19">
        <v>3098212</v>
      </c>
      <c r="IC77" s="19"/>
      <c r="ID77" s="19"/>
      <c r="IE77" s="47" t="s">
        <v>96</v>
      </c>
      <c r="IF77" s="19"/>
      <c r="IG77" s="19"/>
      <c r="IH77" s="19">
        <v>30181965</v>
      </c>
      <c r="II77" s="19"/>
      <c r="IJ77" s="19"/>
      <c r="IK77" s="19">
        <v>2321025</v>
      </c>
      <c r="IL77" s="19"/>
      <c r="IM77" s="19"/>
      <c r="IN77" s="19"/>
      <c r="IO77" s="19">
        <v>7097160</v>
      </c>
      <c r="IP77" s="19"/>
      <c r="IQ77" s="19"/>
      <c r="IR77" s="19">
        <v>14822487</v>
      </c>
      <c r="IS77" s="19">
        <v>21438165</v>
      </c>
      <c r="IT77" s="19">
        <v>7857382</v>
      </c>
      <c r="IU77" s="45"/>
      <c r="IV77" s="45">
        <v>2169030</v>
      </c>
      <c r="IW77" s="45"/>
      <c r="IX77" s="45">
        <v>583150</v>
      </c>
      <c r="IY77" s="45"/>
      <c r="IZ77" s="45"/>
      <c r="JA77" s="45">
        <v>96162130</v>
      </c>
      <c r="JB77" s="45"/>
      <c r="JC77" s="45">
        <v>132070</v>
      </c>
      <c r="JD77" s="45">
        <v>8259753</v>
      </c>
      <c r="JE77" s="45">
        <v>2943472</v>
      </c>
      <c r="JF77" s="45">
        <v>2528959</v>
      </c>
      <c r="JG77" s="45"/>
      <c r="JH77" s="45"/>
      <c r="JI77" s="45">
        <v>1312470</v>
      </c>
      <c r="JJ77" s="45"/>
      <c r="JK77" s="45">
        <v>262510</v>
      </c>
      <c r="JL77" s="45"/>
      <c r="JM77" s="45">
        <v>1243250</v>
      </c>
      <c r="JN77" s="45">
        <v>32525417</v>
      </c>
      <c r="JO77" s="46"/>
      <c r="JP77" s="46"/>
      <c r="JQ77" s="63" t="s">
        <v>175</v>
      </c>
      <c r="JR77" s="46"/>
      <c r="JS77" s="46"/>
      <c r="JT77" s="46"/>
      <c r="JU77" s="46"/>
      <c r="JV77" s="46"/>
      <c r="JW77" s="46"/>
      <c r="JX77" s="46"/>
      <c r="JY77" s="46">
        <v>1042764</v>
      </c>
      <c r="JZ77" s="46"/>
      <c r="KA77" s="46"/>
      <c r="KB77" s="46">
        <v>133725075</v>
      </c>
      <c r="KC77" s="46"/>
      <c r="KD77" s="46">
        <v>476490</v>
      </c>
      <c r="KE77" s="46"/>
      <c r="KF77" s="46"/>
      <c r="KG77" s="46"/>
      <c r="KH77" s="46">
        <v>2992450</v>
      </c>
    </row>
    <row r="78" spans="1:294">
      <c r="A78" s="9" t="s">
        <v>183</v>
      </c>
      <c r="B78" s="10" t="s">
        <v>149</v>
      </c>
      <c r="C78" s="19"/>
      <c r="D78" s="19"/>
      <c r="E78" s="19"/>
      <c r="F78" s="19">
        <v>278117974</v>
      </c>
      <c r="G78" s="47" t="s">
        <v>130</v>
      </c>
      <c r="H78" s="19">
        <v>78539983</v>
      </c>
      <c r="I78" s="19">
        <v>374356875</v>
      </c>
      <c r="J78" s="47" t="s">
        <v>4</v>
      </c>
      <c r="K78" s="19">
        <v>164897380</v>
      </c>
      <c r="L78" s="47" t="s">
        <v>96</v>
      </c>
      <c r="M78" s="47" t="s">
        <v>96</v>
      </c>
      <c r="N78" s="19"/>
      <c r="O78" s="19"/>
      <c r="P78" s="19">
        <v>-387642206</v>
      </c>
      <c r="Q78" s="19">
        <v>62791510</v>
      </c>
      <c r="R78" s="19">
        <v>77830505</v>
      </c>
      <c r="S78" s="19">
        <v>305177539</v>
      </c>
      <c r="T78" s="47" t="s">
        <v>96</v>
      </c>
      <c r="U78" s="47" t="s">
        <v>172</v>
      </c>
      <c r="V78" s="47" t="s">
        <v>172</v>
      </c>
      <c r="W78" s="19"/>
      <c r="X78" s="19"/>
      <c r="Y78" s="19"/>
      <c r="Z78" s="19">
        <v>-202961597</v>
      </c>
      <c r="AA78" s="19">
        <v>253606304</v>
      </c>
      <c r="AB78" s="19">
        <v>-28783075</v>
      </c>
      <c r="AC78" s="19">
        <v>73497303</v>
      </c>
      <c r="AD78" s="19">
        <v>233617129</v>
      </c>
      <c r="AE78" s="19">
        <v>5022604</v>
      </c>
      <c r="AF78" s="19"/>
      <c r="AG78" s="19">
        <v>-186643879</v>
      </c>
      <c r="AH78" s="19"/>
      <c r="AI78" s="19"/>
      <c r="AJ78" s="19">
        <v>11863076</v>
      </c>
      <c r="AK78" s="19">
        <v>45857055</v>
      </c>
      <c r="AL78" s="19">
        <v>51200763</v>
      </c>
      <c r="AM78" s="47" t="s">
        <v>4</v>
      </c>
      <c r="AN78" s="19">
        <v>26285669</v>
      </c>
      <c r="AO78" s="19">
        <v>-191534260</v>
      </c>
      <c r="AP78" s="19">
        <v>-89506537</v>
      </c>
      <c r="AQ78" s="47" t="s">
        <v>96</v>
      </c>
      <c r="AR78" s="19"/>
      <c r="AS78" s="19"/>
      <c r="AT78" s="47" t="s">
        <v>172</v>
      </c>
      <c r="AU78" s="19">
        <v>-84580662</v>
      </c>
      <c r="AV78" s="19">
        <v>47550744</v>
      </c>
      <c r="AW78" s="19">
        <v>-3524512</v>
      </c>
      <c r="AX78" s="47" t="s">
        <v>4</v>
      </c>
      <c r="AY78" s="19">
        <v>-2834688</v>
      </c>
      <c r="AZ78" s="19">
        <v>18442444</v>
      </c>
      <c r="BA78" s="19"/>
      <c r="BB78" s="19"/>
      <c r="BC78" s="47" t="s">
        <v>4</v>
      </c>
      <c r="BD78" s="47" t="s">
        <v>130</v>
      </c>
      <c r="BE78" s="19">
        <v>43364939</v>
      </c>
      <c r="BF78" s="47" t="s">
        <v>96</v>
      </c>
      <c r="BG78" s="19">
        <v>-109064507</v>
      </c>
      <c r="BH78" s="19">
        <v>21088230</v>
      </c>
      <c r="BI78" s="19">
        <v>-29050039</v>
      </c>
      <c r="BJ78" s="19">
        <v>13172882</v>
      </c>
      <c r="BK78" s="19"/>
      <c r="BL78" s="19"/>
      <c r="BM78" s="19"/>
      <c r="BN78" s="19">
        <v>-66149918</v>
      </c>
      <c r="BO78" s="19">
        <v>-23640550</v>
      </c>
      <c r="BP78" s="47" t="s">
        <v>96</v>
      </c>
      <c r="BQ78" s="47" t="s">
        <v>4</v>
      </c>
      <c r="BR78" s="19">
        <v>2434159500</v>
      </c>
      <c r="BS78" s="19">
        <v>-29716844</v>
      </c>
      <c r="BT78" s="47" t="s">
        <v>130</v>
      </c>
      <c r="BU78" s="19"/>
      <c r="BV78" s="19"/>
      <c r="BW78" s="19"/>
      <c r="BX78" s="19">
        <v>-107347690</v>
      </c>
      <c r="BY78" s="19">
        <v>327102256</v>
      </c>
      <c r="BZ78" s="19">
        <v>594797385</v>
      </c>
      <c r="CA78" s="19">
        <v>-76151091</v>
      </c>
      <c r="CB78" s="19">
        <v>-37080661</v>
      </c>
      <c r="CC78" s="19">
        <v>49436250</v>
      </c>
      <c r="CD78" s="19">
        <v>14548599</v>
      </c>
      <c r="CE78" s="19"/>
      <c r="CF78" s="19"/>
      <c r="CG78" s="19"/>
      <c r="CH78" s="19">
        <v>35620206</v>
      </c>
      <c r="CI78" s="47" t="s">
        <v>130</v>
      </c>
      <c r="CJ78" s="19">
        <v>1241525</v>
      </c>
      <c r="CK78" s="19">
        <v>-553702370</v>
      </c>
      <c r="CL78" s="19">
        <v>-24517170</v>
      </c>
      <c r="CM78" s="19">
        <v>293144406</v>
      </c>
      <c r="CN78" s="19">
        <v>16201226</v>
      </c>
      <c r="CO78" s="19"/>
      <c r="CP78" s="19"/>
      <c r="CQ78" s="47" t="s">
        <v>96</v>
      </c>
      <c r="CR78" s="19">
        <v>129405805</v>
      </c>
      <c r="CS78" s="47" t="s">
        <v>172</v>
      </c>
      <c r="CT78" s="19">
        <v>-10052020606</v>
      </c>
      <c r="CU78" s="19">
        <v>219965023</v>
      </c>
      <c r="CV78" s="19">
        <v>-12328850</v>
      </c>
      <c r="CW78" s="19">
        <v>95257965</v>
      </c>
      <c r="CX78" s="19">
        <v>-777301462</v>
      </c>
      <c r="CY78" s="47" t="s">
        <v>96</v>
      </c>
      <c r="CZ78" s="19"/>
      <c r="DA78" s="47" t="s">
        <v>89</v>
      </c>
      <c r="DB78" s="19">
        <v>49986634</v>
      </c>
      <c r="DC78" s="19">
        <v>-3509930</v>
      </c>
      <c r="DD78" s="19">
        <v>-90344306</v>
      </c>
      <c r="DE78" s="19">
        <v>0</v>
      </c>
      <c r="DF78" s="19">
        <v>-17289598</v>
      </c>
      <c r="DG78" s="19">
        <v>88706855</v>
      </c>
      <c r="DH78" s="19"/>
      <c r="DI78" s="19"/>
      <c r="DJ78" s="19"/>
      <c r="DK78" s="19"/>
      <c r="DL78" s="19">
        <v>-1913259</v>
      </c>
      <c r="DM78" s="19">
        <v>225664015</v>
      </c>
      <c r="DN78" s="19">
        <v>-50787335</v>
      </c>
      <c r="DO78" s="19">
        <v>-21696073</v>
      </c>
      <c r="DP78" s="19">
        <v>82420944</v>
      </c>
      <c r="DQ78" s="19">
        <v>697260</v>
      </c>
      <c r="DR78" s="19"/>
      <c r="DS78" s="19"/>
      <c r="DT78" s="19"/>
      <c r="DU78" s="19"/>
      <c r="DV78" s="19">
        <v>2303182346</v>
      </c>
      <c r="DW78" s="19">
        <v>132948612</v>
      </c>
      <c r="DX78" s="19">
        <v>-1816582236</v>
      </c>
      <c r="DY78" s="19">
        <v>69237727</v>
      </c>
      <c r="DZ78" s="19">
        <v>48743980</v>
      </c>
      <c r="EA78" s="19">
        <v>-31760938</v>
      </c>
      <c r="EB78" s="19"/>
      <c r="EC78" s="19"/>
      <c r="ED78" s="19"/>
      <c r="EE78" s="19"/>
      <c r="EF78" s="19">
        <v>465583897</v>
      </c>
      <c r="EG78" s="19">
        <v>-2321940658</v>
      </c>
      <c r="EH78" s="19">
        <v>10400736</v>
      </c>
      <c r="EI78" s="19">
        <v>-6697949450</v>
      </c>
      <c r="EJ78" s="19">
        <v>36362720</v>
      </c>
      <c r="EK78" s="19">
        <v>-1107034934</v>
      </c>
      <c r="EL78" s="19">
        <v>-370314949</v>
      </c>
      <c r="EM78" s="19"/>
      <c r="EN78" s="19"/>
      <c r="EO78" s="19"/>
      <c r="EP78" s="19">
        <v>14983795</v>
      </c>
      <c r="EQ78" s="19">
        <v>557672456</v>
      </c>
      <c r="ER78" s="19">
        <v>161356108</v>
      </c>
      <c r="ES78" s="19">
        <v>-214374181</v>
      </c>
      <c r="ET78" s="19">
        <v>-1980022517</v>
      </c>
      <c r="EU78" s="19">
        <v>591420865</v>
      </c>
      <c r="EV78" s="19">
        <v>7639286</v>
      </c>
      <c r="EW78" s="19">
        <v>4570772</v>
      </c>
      <c r="EX78" s="19"/>
      <c r="EY78" s="19"/>
      <c r="EZ78" s="19">
        <v>14772703</v>
      </c>
      <c r="FA78" s="47" t="s">
        <v>130</v>
      </c>
      <c r="FB78" s="19">
        <v>27582572</v>
      </c>
      <c r="FC78" s="19">
        <v>4504151</v>
      </c>
      <c r="FD78" s="19">
        <v>89469316</v>
      </c>
      <c r="FE78" s="19">
        <v>389123191</v>
      </c>
      <c r="FF78" s="19">
        <v>-43752267</v>
      </c>
      <c r="FG78" s="19"/>
      <c r="FH78" s="19">
        <v>54630873</v>
      </c>
      <c r="FI78" s="47" t="s">
        <v>96</v>
      </c>
      <c r="FJ78" s="19">
        <v>45168019</v>
      </c>
      <c r="FK78" s="19">
        <v>150543497</v>
      </c>
      <c r="FL78" s="47" t="s">
        <v>130</v>
      </c>
      <c r="FM78" s="19">
        <v>-343268120</v>
      </c>
      <c r="FN78" s="19">
        <v>-1527422493</v>
      </c>
      <c r="FO78" s="47" t="s">
        <v>172</v>
      </c>
      <c r="FP78" s="19">
        <v>-70824960</v>
      </c>
      <c r="FQ78" s="19"/>
      <c r="FR78" s="19"/>
      <c r="FS78" s="47" t="s">
        <v>130</v>
      </c>
      <c r="FT78" s="19">
        <v>552498539</v>
      </c>
      <c r="FU78" s="19">
        <v>6310882</v>
      </c>
      <c r="FV78" s="19">
        <v>399249379</v>
      </c>
      <c r="FW78" s="19">
        <v>-43648452</v>
      </c>
      <c r="FX78" s="19">
        <v>16553456</v>
      </c>
      <c r="FY78" s="19">
        <v>-1014599259</v>
      </c>
      <c r="FZ78" s="47" t="s">
        <v>175</v>
      </c>
      <c r="GA78" s="19"/>
      <c r="GB78" s="19"/>
      <c r="GC78" s="19"/>
      <c r="GD78" s="48" t="s">
        <v>96</v>
      </c>
      <c r="GE78" s="48" t="s">
        <v>96</v>
      </c>
      <c r="GF78" s="19">
        <v>-273454688</v>
      </c>
      <c r="GG78" s="19">
        <v>-1633193826</v>
      </c>
      <c r="GH78" s="47" t="s">
        <v>172</v>
      </c>
      <c r="GI78" s="19">
        <v>6219103</v>
      </c>
      <c r="GJ78" s="47" t="s">
        <v>96</v>
      </c>
      <c r="GK78" s="19"/>
      <c r="GL78" s="47" t="s">
        <v>96</v>
      </c>
      <c r="GM78" s="19"/>
      <c r="GN78" s="19">
        <v>-281752585</v>
      </c>
      <c r="GO78" s="47" t="s">
        <v>96</v>
      </c>
      <c r="GP78" s="19">
        <v>281282447</v>
      </c>
      <c r="GQ78" s="19">
        <v>79156054</v>
      </c>
      <c r="GR78" s="19">
        <v>171980063</v>
      </c>
      <c r="GS78" s="19">
        <v>-208640549</v>
      </c>
      <c r="GT78" s="19">
        <v>-92473199</v>
      </c>
      <c r="GU78" s="19"/>
      <c r="GV78" s="19"/>
      <c r="GW78" s="19"/>
      <c r="GX78" s="19">
        <v>-9562926</v>
      </c>
      <c r="GY78" s="19">
        <v>-522738453</v>
      </c>
      <c r="GZ78" s="19">
        <v>-47455019</v>
      </c>
      <c r="HA78" s="19">
        <v>-455489127</v>
      </c>
      <c r="HB78" s="19">
        <v>408691308</v>
      </c>
      <c r="HC78" s="19">
        <v>-66876549</v>
      </c>
      <c r="HD78" s="19"/>
      <c r="HE78" s="19"/>
      <c r="HF78" s="19"/>
      <c r="HG78" s="19"/>
      <c r="HH78" s="47" t="s">
        <v>130</v>
      </c>
      <c r="HI78" s="19">
        <v>-634968339</v>
      </c>
      <c r="HJ78" s="19">
        <v>327105790</v>
      </c>
      <c r="HK78" s="19">
        <v>-874546493</v>
      </c>
      <c r="HL78" s="19">
        <v>633736044</v>
      </c>
      <c r="HM78" s="19">
        <v>-263265511</v>
      </c>
      <c r="HN78" s="19"/>
      <c r="HO78" s="19"/>
      <c r="HP78" s="19"/>
      <c r="HQ78" s="19"/>
      <c r="HR78" s="19">
        <v>-256420295</v>
      </c>
      <c r="HS78" s="19">
        <v>29529576</v>
      </c>
      <c r="HT78" s="19">
        <v>138841121</v>
      </c>
      <c r="HU78" s="19">
        <v>-2313804598</v>
      </c>
      <c r="HV78" s="19">
        <v>15564112</v>
      </c>
      <c r="HW78" s="47" t="s">
        <v>96</v>
      </c>
      <c r="HX78" s="19"/>
      <c r="HY78" s="19" t="s">
        <v>172</v>
      </c>
      <c r="HZ78" s="19"/>
      <c r="IA78" s="19"/>
      <c r="IB78" s="19">
        <v>1808016</v>
      </c>
      <c r="IC78" s="19">
        <v>420757684</v>
      </c>
      <c r="ID78" s="19">
        <v>-37033</v>
      </c>
      <c r="IE78" s="47" t="s">
        <v>96</v>
      </c>
      <c r="IF78" s="19">
        <v>-10666686</v>
      </c>
      <c r="IG78" s="19">
        <v>2070974</v>
      </c>
      <c r="IH78" s="19">
        <v>117468721</v>
      </c>
      <c r="II78" s="19"/>
      <c r="IJ78" s="19"/>
      <c r="IK78" s="19"/>
      <c r="IL78" s="19">
        <v>51124149</v>
      </c>
      <c r="IM78" s="19">
        <v>-635092643</v>
      </c>
      <c r="IN78" s="19">
        <v>-286603745</v>
      </c>
      <c r="IO78" s="19">
        <v>68954020</v>
      </c>
      <c r="IP78" s="19">
        <v>-2915145</v>
      </c>
      <c r="IQ78" s="19">
        <v>-315527517</v>
      </c>
      <c r="IR78" s="19">
        <v>38136956</v>
      </c>
      <c r="IS78" s="19"/>
      <c r="IT78" s="19"/>
      <c r="IU78" s="45">
        <v>98218566</v>
      </c>
      <c r="IV78" s="45">
        <v>75172165</v>
      </c>
      <c r="IW78" s="45"/>
      <c r="IX78" s="45"/>
      <c r="IY78" s="45"/>
      <c r="IZ78" s="45">
        <v>16340258</v>
      </c>
      <c r="JA78" s="45">
        <v>695782383</v>
      </c>
      <c r="JB78" s="45">
        <v>-39228915</v>
      </c>
      <c r="JC78" s="45">
        <v>27645040</v>
      </c>
      <c r="JD78" s="45">
        <v>229298814</v>
      </c>
      <c r="JE78" s="45">
        <v>71576602</v>
      </c>
      <c r="JF78" s="45">
        <v>81519713</v>
      </c>
      <c r="JG78" s="45"/>
      <c r="JH78" s="45"/>
      <c r="JI78" s="45"/>
      <c r="JJ78" s="45">
        <v>27779884</v>
      </c>
      <c r="JK78" s="45">
        <v>-23267141</v>
      </c>
      <c r="JL78" s="45">
        <v>-31076907</v>
      </c>
      <c r="JM78" s="45">
        <v>26508877</v>
      </c>
      <c r="JN78" s="45">
        <v>290501065</v>
      </c>
      <c r="JO78" s="46">
        <v>-2775536</v>
      </c>
      <c r="JP78" s="46">
        <v>-100295822</v>
      </c>
      <c r="JQ78" s="63" t="s">
        <v>175</v>
      </c>
      <c r="JR78" s="46">
        <v>-155577218</v>
      </c>
      <c r="JS78" s="46">
        <v>-147913377</v>
      </c>
      <c r="JT78" s="46">
        <v>-51168082</v>
      </c>
      <c r="JU78" s="46">
        <v>119029544</v>
      </c>
      <c r="JV78" s="46">
        <v>101445784</v>
      </c>
      <c r="JW78" s="46">
        <v>-29451812</v>
      </c>
      <c r="JX78" s="46">
        <v>-15578634</v>
      </c>
      <c r="JY78" s="46">
        <v>76469843</v>
      </c>
      <c r="JZ78" s="46">
        <v>-3635219</v>
      </c>
      <c r="KA78" s="46">
        <v>9215628</v>
      </c>
      <c r="KB78" s="46">
        <v>453767698</v>
      </c>
      <c r="KC78" s="46">
        <v>-115671638</v>
      </c>
      <c r="KD78" s="46">
        <v>1597195</v>
      </c>
      <c r="KE78" s="46">
        <v>-32884581</v>
      </c>
      <c r="KF78" s="46">
        <v>-438626346</v>
      </c>
      <c r="KG78" s="46">
        <v>-119642302</v>
      </c>
      <c r="KH78" s="46">
        <v>24916400</v>
      </c>
    </row>
    <row r="79" spans="1:294">
      <c r="AN79" s="43"/>
    </row>
  </sheetData>
  <phoneticPr fontId="14" type="noConversion"/>
  <pageMargins left="0.69972223043441772" right="0.69972223043441772" top="0.75" bottom="0.75" header="0.30000001192092896" footer="0.30000001192092896"/>
  <pageSetup paperSize="9" orientation="portrait"/>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Sheet11"/>
  <dimension ref="A1:LB79"/>
  <sheetViews>
    <sheetView zoomScale="70" zoomScaleNormal="70" zoomScaleSheetLayoutView="70" workbookViewId="0">
      <pane xSplit="2" ySplit="1" topLeftCell="KT2" activePane="bottomRight" state="frozen"/>
      <selection pane="topRight"/>
      <selection pane="bottomLeft"/>
      <selection pane="bottomRight" activeCell="LD28" sqref="LD28"/>
    </sheetView>
  </sheetViews>
  <sheetFormatPr defaultColWidth="8.796875" defaultRowHeight="17.399999999999999"/>
  <cols>
    <col min="2" max="2" width="27.796875" customWidth="1"/>
    <col min="3" max="246" width="15.69921875" customWidth="1"/>
    <col min="247" max="247" width="15.69921875" style="60" customWidth="1"/>
    <col min="248" max="294" width="15.69921875" customWidth="1"/>
    <col min="295" max="314" width="15.796875" style="34" customWidth="1"/>
  </cols>
  <sheetData>
    <row r="1" spans="1:314">
      <c r="A1" s="35"/>
      <c r="B1" s="6" t="s">
        <v>111</v>
      </c>
      <c r="C1" s="39">
        <v>1510001</v>
      </c>
      <c r="D1" s="39">
        <v>1510002</v>
      </c>
      <c r="E1" s="39">
        <v>1510003</v>
      </c>
      <c r="F1" s="39">
        <v>1510004</v>
      </c>
      <c r="G1" s="39">
        <v>1510005</v>
      </c>
      <c r="H1" s="39">
        <v>1510006</v>
      </c>
      <c r="I1" s="39">
        <v>1510007</v>
      </c>
      <c r="J1" s="39">
        <v>1510008</v>
      </c>
      <c r="K1" s="39">
        <v>1510009</v>
      </c>
      <c r="L1" s="39">
        <v>1510010</v>
      </c>
      <c r="M1" s="39">
        <v>1510011</v>
      </c>
      <c r="N1" s="39">
        <v>1510012</v>
      </c>
      <c r="O1" s="39">
        <v>1510013</v>
      </c>
      <c r="P1" s="39">
        <v>1510014</v>
      </c>
      <c r="Q1" s="39">
        <v>1510015</v>
      </c>
      <c r="R1" s="39">
        <v>1510016</v>
      </c>
      <c r="S1" s="39">
        <v>1510017</v>
      </c>
      <c r="T1" s="39">
        <v>1510018</v>
      </c>
      <c r="U1" s="39">
        <v>1510019</v>
      </c>
      <c r="V1" s="39">
        <v>1510020</v>
      </c>
      <c r="W1" s="39">
        <v>1510021</v>
      </c>
      <c r="X1" s="39">
        <v>1510022</v>
      </c>
      <c r="Y1" s="39">
        <v>1510023</v>
      </c>
      <c r="Z1" s="39">
        <v>1510024</v>
      </c>
      <c r="AA1" s="39">
        <v>1510025</v>
      </c>
      <c r="AB1" s="39">
        <v>1510026</v>
      </c>
      <c r="AC1" s="39">
        <v>1510027</v>
      </c>
      <c r="AD1" s="39">
        <v>1510028</v>
      </c>
      <c r="AE1" s="39">
        <v>1510029</v>
      </c>
      <c r="AF1" s="39">
        <v>1510030</v>
      </c>
      <c r="AG1" s="39">
        <v>1510031</v>
      </c>
      <c r="AH1" s="39">
        <v>1510032</v>
      </c>
      <c r="AI1" s="39">
        <v>1510033</v>
      </c>
      <c r="AJ1" s="39">
        <v>1510034</v>
      </c>
      <c r="AK1" s="39">
        <v>1510035</v>
      </c>
      <c r="AL1" s="39">
        <v>1510036</v>
      </c>
      <c r="AM1" s="39">
        <v>1510037</v>
      </c>
      <c r="AN1" s="39">
        <v>1510038</v>
      </c>
      <c r="AO1" s="39">
        <v>1510039</v>
      </c>
      <c r="AP1" s="39">
        <v>1510040</v>
      </c>
      <c r="AQ1" s="39">
        <v>1510041</v>
      </c>
      <c r="AR1" s="39">
        <v>1510042</v>
      </c>
      <c r="AS1" s="39">
        <v>1510043</v>
      </c>
      <c r="AT1" s="39">
        <v>1510044</v>
      </c>
      <c r="AU1" s="39">
        <v>1510045</v>
      </c>
      <c r="AV1" s="39">
        <v>1510046</v>
      </c>
      <c r="AW1" s="39">
        <v>1510047</v>
      </c>
      <c r="AX1" s="39">
        <v>1510048</v>
      </c>
      <c r="AY1" s="39">
        <v>1510049</v>
      </c>
      <c r="AZ1" s="39">
        <v>1510050</v>
      </c>
      <c r="BA1" s="39">
        <v>1510051</v>
      </c>
      <c r="BB1" s="39">
        <v>1510052</v>
      </c>
      <c r="BC1" s="39">
        <v>1604053</v>
      </c>
      <c r="BD1" s="39">
        <v>1604054</v>
      </c>
      <c r="BE1" s="39">
        <v>1604055</v>
      </c>
      <c r="BF1" s="39">
        <v>1604056</v>
      </c>
      <c r="BG1" s="39">
        <v>1604057</v>
      </c>
      <c r="BH1" s="39">
        <v>1604058</v>
      </c>
      <c r="BI1" s="39">
        <v>1604059</v>
      </c>
      <c r="BJ1" s="39">
        <v>1604060</v>
      </c>
      <c r="BK1" s="39">
        <v>1604061</v>
      </c>
      <c r="BL1" s="39">
        <v>1608062</v>
      </c>
      <c r="BM1" s="39">
        <v>1608063</v>
      </c>
      <c r="BN1" s="39">
        <v>1608064</v>
      </c>
      <c r="BO1" s="39">
        <v>1608065</v>
      </c>
      <c r="BP1" s="39">
        <v>1608066</v>
      </c>
      <c r="BQ1" s="39">
        <v>1608067</v>
      </c>
      <c r="BR1" s="39">
        <v>1608068</v>
      </c>
      <c r="BS1" s="39">
        <v>1608069</v>
      </c>
      <c r="BT1" s="39">
        <v>1608070</v>
      </c>
      <c r="BU1" s="39">
        <v>1608071</v>
      </c>
      <c r="BV1" s="39">
        <v>1608072</v>
      </c>
      <c r="BW1" s="39">
        <v>1608073</v>
      </c>
      <c r="BX1" s="39">
        <v>1608074</v>
      </c>
      <c r="BY1" s="39">
        <v>1608075</v>
      </c>
      <c r="BZ1" s="39">
        <v>1608076</v>
      </c>
      <c r="CA1" s="39">
        <v>1608077</v>
      </c>
      <c r="CB1" s="39">
        <v>1608078</v>
      </c>
      <c r="CC1" s="39">
        <v>1608079</v>
      </c>
      <c r="CD1" s="39">
        <v>1608080</v>
      </c>
      <c r="CE1" s="39">
        <v>1608081</v>
      </c>
      <c r="CF1" s="39">
        <v>1608082</v>
      </c>
      <c r="CG1" s="39">
        <v>1608083</v>
      </c>
      <c r="CH1" s="39">
        <v>1608084</v>
      </c>
      <c r="CI1" s="39">
        <v>1608085</v>
      </c>
      <c r="CJ1" s="39">
        <v>1608086</v>
      </c>
      <c r="CK1" s="39">
        <v>1608087</v>
      </c>
      <c r="CL1" s="39">
        <v>1608088</v>
      </c>
      <c r="CM1" s="39">
        <v>1608089</v>
      </c>
      <c r="CN1" s="39">
        <v>1608090</v>
      </c>
      <c r="CO1" s="39">
        <v>1608091</v>
      </c>
      <c r="CP1" s="39">
        <v>1608092</v>
      </c>
      <c r="CQ1" s="39">
        <v>1608093</v>
      </c>
      <c r="CR1" s="39">
        <v>1608094</v>
      </c>
      <c r="CS1" s="39">
        <v>1612095</v>
      </c>
      <c r="CT1" s="39">
        <v>1612096</v>
      </c>
      <c r="CU1" s="39">
        <v>1612097</v>
      </c>
      <c r="CV1" s="39">
        <v>1612098</v>
      </c>
      <c r="CW1" s="39">
        <v>1612099</v>
      </c>
      <c r="CX1" s="39">
        <v>1612100</v>
      </c>
      <c r="CY1" s="39">
        <v>1612101</v>
      </c>
      <c r="CZ1" s="39">
        <v>1708102</v>
      </c>
      <c r="DA1" s="39">
        <v>1708103</v>
      </c>
      <c r="DB1" s="39">
        <v>1708104</v>
      </c>
      <c r="DC1" s="39">
        <v>1708105</v>
      </c>
      <c r="DD1" s="39">
        <v>1708106</v>
      </c>
      <c r="DE1" s="39">
        <v>1708107</v>
      </c>
      <c r="DF1" s="39">
        <v>1708108</v>
      </c>
      <c r="DG1" s="39">
        <v>1708109</v>
      </c>
      <c r="DH1" s="39">
        <v>1708110</v>
      </c>
      <c r="DI1" s="39">
        <v>1708111</v>
      </c>
      <c r="DJ1" s="39">
        <v>1708112</v>
      </c>
      <c r="DK1" s="39">
        <v>1708113</v>
      </c>
      <c r="DL1" s="39">
        <v>1708114</v>
      </c>
      <c r="DM1" s="39">
        <v>1708115</v>
      </c>
      <c r="DN1" s="39">
        <v>1708116</v>
      </c>
      <c r="DO1" s="39">
        <v>1708117</v>
      </c>
      <c r="DP1" s="39">
        <v>1708118</v>
      </c>
      <c r="DQ1" s="39">
        <v>1708119</v>
      </c>
      <c r="DR1" s="39">
        <v>1708120</v>
      </c>
      <c r="DS1" s="39">
        <v>1708121</v>
      </c>
      <c r="DT1" s="39">
        <v>1708122</v>
      </c>
      <c r="DU1" s="39">
        <v>1708123</v>
      </c>
      <c r="DV1" s="39">
        <v>1708124</v>
      </c>
      <c r="DW1" s="39">
        <v>1708125</v>
      </c>
      <c r="DX1" s="39">
        <v>1708126</v>
      </c>
      <c r="DY1" s="39">
        <v>1708127</v>
      </c>
      <c r="DZ1" s="39">
        <v>1708128</v>
      </c>
      <c r="EA1" s="39">
        <v>1708129</v>
      </c>
      <c r="EB1" s="39">
        <v>1708130</v>
      </c>
      <c r="EC1" s="39">
        <v>1808131</v>
      </c>
      <c r="ED1" s="39">
        <v>1808132</v>
      </c>
      <c r="EE1" s="39">
        <v>1808133</v>
      </c>
      <c r="EF1" s="39">
        <v>1808134</v>
      </c>
      <c r="EG1" s="39">
        <v>1808135</v>
      </c>
      <c r="EH1" s="39">
        <v>1808136</v>
      </c>
      <c r="EI1" s="39">
        <v>1808137</v>
      </c>
      <c r="EJ1" s="39">
        <v>1808138</v>
      </c>
      <c r="EK1" s="39">
        <v>1808139</v>
      </c>
      <c r="EL1" s="39">
        <v>1808140</v>
      </c>
      <c r="EM1" s="39">
        <v>1808141</v>
      </c>
      <c r="EN1" s="39">
        <v>1808142</v>
      </c>
      <c r="EO1" s="39">
        <v>1808143</v>
      </c>
      <c r="EP1" s="39">
        <v>1808144</v>
      </c>
      <c r="EQ1" s="39">
        <v>1808145</v>
      </c>
      <c r="ER1" s="39">
        <v>1808146</v>
      </c>
      <c r="ES1" s="39">
        <v>1808147</v>
      </c>
      <c r="ET1" s="39">
        <v>1808148</v>
      </c>
      <c r="EU1" s="39">
        <v>1808149</v>
      </c>
      <c r="EV1" s="39">
        <v>1808150</v>
      </c>
      <c r="EW1" s="39">
        <v>1808151</v>
      </c>
      <c r="EX1" s="39">
        <v>1808152</v>
      </c>
      <c r="EY1" s="39">
        <v>1808153</v>
      </c>
      <c r="EZ1" s="39">
        <v>1808154</v>
      </c>
      <c r="FA1" s="39">
        <v>1808155</v>
      </c>
      <c r="FB1" s="39">
        <v>1808156</v>
      </c>
      <c r="FC1" s="39">
        <v>1808157</v>
      </c>
      <c r="FD1" s="39">
        <v>1808158</v>
      </c>
      <c r="FE1" s="39">
        <v>1808159</v>
      </c>
      <c r="FF1" s="39">
        <v>1808160</v>
      </c>
      <c r="FG1" s="39">
        <v>1808161</v>
      </c>
      <c r="FH1" s="39">
        <v>1808162</v>
      </c>
      <c r="FI1" s="39">
        <v>1808163</v>
      </c>
      <c r="FJ1" s="39">
        <v>1808164</v>
      </c>
      <c r="FK1" s="39">
        <v>1808165</v>
      </c>
      <c r="FL1" s="39">
        <v>1810166</v>
      </c>
      <c r="FM1" s="39">
        <v>1810167</v>
      </c>
      <c r="FN1" s="39">
        <v>1810168</v>
      </c>
      <c r="FO1" s="39">
        <v>1810169</v>
      </c>
      <c r="FP1" s="39">
        <v>1810170</v>
      </c>
      <c r="FQ1" s="39">
        <v>1810171</v>
      </c>
      <c r="FR1" s="39">
        <v>1810172</v>
      </c>
      <c r="FS1" s="39">
        <v>1810173</v>
      </c>
      <c r="FT1" s="39">
        <v>1810174</v>
      </c>
      <c r="FU1" s="39">
        <v>1810175</v>
      </c>
      <c r="FV1" s="39">
        <v>1810176</v>
      </c>
      <c r="FW1" s="39">
        <v>1810177</v>
      </c>
      <c r="FX1" s="39">
        <v>1810178</v>
      </c>
      <c r="FY1" s="39">
        <v>1810179</v>
      </c>
      <c r="FZ1" s="39">
        <v>1810180</v>
      </c>
      <c r="GA1" s="39">
        <v>1810181</v>
      </c>
      <c r="GB1" s="39">
        <v>1810182</v>
      </c>
      <c r="GC1" s="39">
        <v>1810183</v>
      </c>
      <c r="GD1" s="39">
        <v>1810184</v>
      </c>
      <c r="GE1" s="39">
        <v>1810185</v>
      </c>
      <c r="GF1" s="39">
        <v>1810186</v>
      </c>
      <c r="GG1" s="39">
        <v>1810187</v>
      </c>
      <c r="GH1" s="39">
        <v>1810188</v>
      </c>
      <c r="GI1" s="39">
        <v>1909189</v>
      </c>
      <c r="GJ1" s="39">
        <v>1909190</v>
      </c>
      <c r="GK1" s="39">
        <v>1909191</v>
      </c>
      <c r="GL1" s="39">
        <v>1909192</v>
      </c>
      <c r="GM1" s="39">
        <v>1909193</v>
      </c>
      <c r="GN1" s="39">
        <v>1909194</v>
      </c>
      <c r="GO1" s="39">
        <v>1909195</v>
      </c>
      <c r="GP1" s="39">
        <v>1909196</v>
      </c>
      <c r="GQ1" s="39">
        <v>1909197</v>
      </c>
      <c r="GR1" s="39">
        <v>1909198</v>
      </c>
      <c r="GS1" s="39">
        <v>1909199</v>
      </c>
      <c r="GT1" s="39">
        <v>1909200</v>
      </c>
      <c r="GU1" s="39">
        <v>1909201</v>
      </c>
      <c r="GV1" s="39">
        <v>1909202</v>
      </c>
      <c r="GW1" s="39">
        <v>1909203</v>
      </c>
      <c r="GX1" s="39">
        <v>1909204</v>
      </c>
      <c r="GY1" s="39">
        <v>1909205</v>
      </c>
      <c r="GZ1" s="39">
        <v>1909206</v>
      </c>
      <c r="HA1" s="39">
        <v>1909207</v>
      </c>
      <c r="HB1" s="39">
        <v>1909208</v>
      </c>
      <c r="HC1" s="39">
        <v>1909209</v>
      </c>
      <c r="HD1" s="39">
        <v>1909210</v>
      </c>
      <c r="HE1" s="39">
        <v>1909211</v>
      </c>
      <c r="HF1" s="39">
        <v>1909212</v>
      </c>
      <c r="HG1" s="39">
        <v>1909213</v>
      </c>
      <c r="HH1" s="39">
        <v>1909214</v>
      </c>
      <c r="HI1" s="39">
        <v>1909215</v>
      </c>
      <c r="HJ1" s="39">
        <v>1909216</v>
      </c>
      <c r="HK1" s="39">
        <v>1909217</v>
      </c>
      <c r="HL1" s="39">
        <v>1909218</v>
      </c>
      <c r="HM1" s="39">
        <v>1909219</v>
      </c>
      <c r="HN1" s="39">
        <v>1909220</v>
      </c>
      <c r="HO1" s="39">
        <v>1909221</v>
      </c>
      <c r="HP1" s="39">
        <v>1909222</v>
      </c>
      <c r="HQ1" s="39">
        <v>2010223</v>
      </c>
      <c r="HR1" s="39">
        <v>2010224</v>
      </c>
      <c r="HS1" s="39">
        <v>2010225</v>
      </c>
      <c r="HT1" s="39">
        <v>2010226</v>
      </c>
      <c r="HU1" s="39">
        <v>2010227</v>
      </c>
      <c r="HV1" s="39">
        <v>2010228</v>
      </c>
      <c r="HW1" s="39">
        <v>2010229</v>
      </c>
      <c r="HX1" s="39">
        <v>2010230</v>
      </c>
      <c r="HY1" s="39">
        <v>2010231</v>
      </c>
      <c r="HZ1" s="39">
        <v>2010232</v>
      </c>
      <c r="IA1" s="39">
        <v>2010233</v>
      </c>
      <c r="IB1" s="39">
        <v>2010234</v>
      </c>
      <c r="IC1" s="39">
        <v>2010235</v>
      </c>
      <c r="ID1" s="39">
        <v>2010236</v>
      </c>
      <c r="IE1" s="39">
        <v>2010237</v>
      </c>
      <c r="IF1" s="39">
        <v>2010238</v>
      </c>
      <c r="IG1" s="39">
        <v>2010239</v>
      </c>
      <c r="IH1" s="39">
        <v>2010240</v>
      </c>
      <c r="II1" s="39">
        <v>2010241</v>
      </c>
      <c r="IJ1" s="39">
        <v>2010242</v>
      </c>
      <c r="IK1" s="39">
        <v>2010243</v>
      </c>
      <c r="IL1" s="39">
        <v>2010244</v>
      </c>
      <c r="IM1" s="39">
        <v>2010245</v>
      </c>
      <c r="IN1" s="39">
        <v>2010246</v>
      </c>
      <c r="IO1" s="39">
        <v>2010247</v>
      </c>
      <c r="IP1" s="39">
        <v>2010248</v>
      </c>
      <c r="IQ1" s="39">
        <v>2010249</v>
      </c>
      <c r="IR1" s="39">
        <v>2010250</v>
      </c>
      <c r="IS1" s="39">
        <v>2010251</v>
      </c>
      <c r="IT1" s="39">
        <v>2010252</v>
      </c>
      <c r="IU1" s="39">
        <v>2110289</v>
      </c>
      <c r="IV1" s="39">
        <v>2110290</v>
      </c>
      <c r="IW1" s="39">
        <v>2110291</v>
      </c>
      <c r="IX1" s="39">
        <v>2110292</v>
      </c>
      <c r="IY1" s="39">
        <v>2110293</v>
      </c>
      <c r="IZ1" s="39">
        <v>2110294</v>
      </c>
      <c r="JA1" s="39">
        <v>2110295</v>
      </c>
      <c r="JB1" s="39">
        <v>2110296</v>
      </c>
      <c r="JC1" s="39">
        <v>2110297</v>
      </c>
      <c r="JD1" s="39">
        <v>2110298</v>
      </c>
      <c r="JE1" s="39">
        <v>2110299</v>
      </c>
      <c r="JF1" s="39">
        <v>2110300</v>
      </c>
      <c r="JG1" s="39">
        <v>2110301</v>
      </c>
      <c r="JH1" s="39">
        <v>2110302</v>
      </c>
      <c r="JI1" s="39">
        <v>2110303</v>
      </c>
      <c r="JJ1" s="39">
        <v>2110304</v>
      </c>
      <c r="JK1" s="39">
        <v>2110305</v>
      </c>
      <c r="JL1" s="39">
        <v>2110306</v>
      </c>
      <c r="JM1" s="39">
        <v>2110307</v>
      </c>
      <c r="JN1" s="39">
        <v>2110308</v>
      </c>
      <c r="JO1" s="55">
        <v>2210327</v>
      </c>
      <c r="JP1" s="55">
        <v>2210328</v>
      </c>
      <c r="JQ1" s="62">
        <v>2210329</v>
      </c>
      <c r="JR1" s="55">
        <v>2210330</v>
      </c>
      <c r="JS1" s="55">
        <v>2210331</v>
      </c>
      <c r="JT1" s="55">
        <v>2210332</v>
      </c>
      <c r="JU1" s="55">
        <v>2210333</v>
      </c>
      <c r="JV1" s="55">
        <v>2210334</v>
      </c>
      <c r="JW1" s="55">
        <v>2210335</v>
      </c>
      <c r="JX1" s="55">
        <v>2210336</v>
      </c>
      <c r="JY1" s="55">
        <v>2210337</v>
      </c>
      <c r="JZ1" s="55">
        <v>2210338</v>
      </c>
      <c r="KA1" s="55">
        <v>2210339</v>
      </c>
      <c r="KB1" s="55">
        <v>2210340</v>
      </c>
      <c r="KC1" s="55">
        <v>2210341</v>
      </c>
      <c r="KD1" s="55">
        <v>2210342</v>
      </c>
      <c r="KE1" s="55">
        <v>2210343</v>
      </c>
      <c r="KF1" s="55">
        <v>2210344</v>
      </c>
      <c r="KG1" s="55">
        <v>2210345</v>
      </c>
      <c r="KH1" s="55">
        <v>2210346</v>
      </c>
      <c r="KI1" s="64">
        <v>2310369</v>
      </c>
      <c r="KJ1" s="64">
        <v>2310370</v>
      </c>
      <c r="KK1" s="64">
        <v>2310371</v>
      </c>
      <c r="KL1" s="64">
        <v>2310372</v>
      </c>
      <c r="KM1" s="64">
        <v>2310373</v>
      </c>
      <c r="KN1" s="64">
        <v>2310374</v>
      </c>
      <c r="KO1" s="64">
        <v>2310375</v>
      </c>
      <c r="KP1" s="64">
        <v>2310376</v>
      </c>
      <c r="KQ1" s="64">
        <v>2310377</v>
      </c>
      <c r="KR1" s="64">
        <v>2310378</v>
      </c>
      <c r="KS1" s="64">
        <v>2310379</v>
      </c>
      <c r="KT1" s="64">
        <v>2310380</v>
      </c>
      <c r="KU1" s="64">
        <v>2310381</v>
      </c>
      <c r="KV1" s="64">
        <v>2310382</v>
      </c>
      <c r="KW1" s="64">
        <v>2310383</v>
      </c>
      <c r="KX1" s="64">
        <v>2310384</v>
      </c>
      <c r="KY1" s="64">
        <v>2310385</v>
      </c>
      <c r="KZ1" s="64">
        <v>2310386</v>
      </c>
      <c r="LA1" s="64">
        <v>2310387</v>
      </c>
      <c r="LB1" s="64">
        <v>2310388</v>
      </c>
    </row>
    <row r="2" spans="1:314" ht="17.55" customHeight="1">
      <c r="A2" s="7" t="s">
        <v>100</v>
      </c>
      <c r="B2" s="8" t="s">
        <v>112</v>
      </c>
      <c r="C2" s="19">
        <f>C3+C14</f>
        <v>491519214</v>
      </c>
      <c r="D2" s="19">
        <f>D3+D14</f>
        <v>2885854591</v>
      </c>
      <c r="E2" s="19">
        <f>E3+E14</f>
        <v>1068317206</v>
      </c>
      <c r="F2" s="19">
        <f>F3+F14</f>
        <v>2342440702</v>
      </c>
      <c r="G2" s="19" t="s">
        <v>130</v>
      </c>
      <c r="H2" s="19">
        <f>H3+H14</f>
        <v>4261297119</v>
      </c>
      <c r="I2" s="19">
        <f>I3+I14</f>
        <v>3838945069</v>
      </c>
      <c r="J2" s="19" t="s">
        <v>176</v>
      </c>
      <c r="K2" s="19">
        <f>K3+K14</f>
        <v>1038838363</v>
      </c>
      <c r="L2" s="19" t="s">
        <v>96</v>
      </c>
      <c r="M2" s="19" t="s">
        <v>96</v>
      </c>
      <c r="N2" s="19">
        <f t="shared" ref="N2:S2" si="0">N3+N14</f>
        <v>366852442</v>
      </c>
      <c r="O2" s="19">
        <f t="shared" si="0"/>
        <v>7715130331</v>
      </c>
      <c r="P2" s="19">
        <f t="shared" si="0"/>
        <v>6636519131</v>
      </c>
      <c r="Q2" s="19">
        <f t="shared" si="0"/>
        <v>204085711</v>
      </c>
      <c r="R2" s="19">
        <f t="shared" si="0"/>
        <v>309338111</v>
      </c>
      <c r="S2" s="19">
        <f t="shared" si="0"/>
        <v>15518183118</v>
      </c>
      <c r="T2" s="19" t="s">
        <v>96</v>
      </c>
      <c r="U2" s="19" t="s">
        <v>96</v>
      </c>
      <c r="V2" s="19" t="s">
        <v>172</v>
      </c>
      <c r="W2" s="19">
        <f t="shared" ref="W2:AE2" si="1">W3+W14</f>
        <v>1087757744</v>
      </c>
      <c r="X2" s="19">
        <f t="shared" si="1"/>
        <v>7664873737</v>
      </c>
      <c r="Y2" s="19">
        <f t="shared" si="1"/>
        <v>299603136</v>
      </c>
      <c r="Z2" s="19">
        <f t="shared" si="1"/>
        <v>10681075197</v>
      </c>
      <c r="AA2" s="19">
        <f t="shared" si="1"/>
        <v>5835478312</v>
      </c>
      <c r="AB2" s="19">
        <f t="shared" si="1"/>
        <v>173283481</v>
      </c>
      <c r="AC2" s="19">
        <f t="shared" si="1"/>
        <v>1920060450</v>
      </c>
      <c r="AD2" s="19">
        <f t="shared" si="1"/>
        <v>3738660940</v>
      </c>
      <c r="AE2" s="19">
        <f t="shared" si="1"/>
        <v>5601162407</v>
      </c>
      <c r="AF2" s="56" t="s">
        <v>172</v>
      </c>
      <c r="AG2" s="19">
        <f>AG3+AG14</f>
        <v>755667246</v>
      </c>
      <c r="AH2" s="19" t="s">
        <v>167</v>
      </c>
      <c r="AI2" s="19">
        <f>AI3+AI14</f>
        <v>434660913</v>
      </c>
      <c r="AJ2" s="19">
        <f>AJ3+AJ14</f>
        <v>984384015</v>
      </c>
      <c r="AK2" s="19">
        <f>AK3+AK14</f>
        <v>2188435128</v>
      </c>
      <c r="AL2" s="19">
        <f>AL3+AL14</f>
        <v>1586771102</v>
      </c>
      <c r="AM2" s="19" t="s">
        <v>4</v>
      </c>
      <c r="AN2" s="19">
        <f>AN3+AN14</f>
        <v>2020310975</v>
      </c>
      <c r="AO2" s="19">
        <f>AO3+AO14</f>
        <v>949530429</v>
      </c>
      <c r="AP2" s="19">
        <f>AP3+AP14</f>
        <v>654191334</v>
      </c>
      <c r="AQ2" s="19" t="s">
        <v>172</v>
      </c>
      <c r="AR2" s="19">
        <f>AR3+AR14</f>
        <v>1845194528</v>
      </c>
      <c r="AS2" s="19">
        <f>AS3+AS14</f>
        <v>1282259113</v>
      </c>
      <c r="AT2" s="19" t="s">
        <v>172</v>
      </c>
      <c r="AU2" s="19">
        <f>AU3+AU14</f>
        <v>23546128279</v>
      </c>
      <c r="AV2" s="19">
        <f>AV3+AV14</f>
        <v>664563708</v>
      </c>
      <c r="AW2" s="19">
        <f>AW3+AW14</f>
        <v>645086248</v>
      </c>
      <c r="AX2" s="19" t="s">
        <v>4</v>
      </c>
      <c r="AY2" s="19">
        <f>AY3+AY14</f>
        <v>318330505</v>
      </c>
      <c r="AZ2" s="19">
        <f>AZ3+AZ14</f>
        <v>752843018</v>
      </c>
      <c r="BA2" s="19" t="s">
        <v>167</v>
      </c>
      <c r="BB2" s="19">
        <f>BB3+BB14</f>
        <v>26969574</v>
      </c>
      <c r="BC2" s="19" t="s">
        <v>4</v>
      </c>
      <c r="BD2" s="19" t="s">
        <v>172</v>
      </c>
      <c r="BE2" s="19">
        <f>BE3+BE14</f>
        <v>1905969636</v>
      </c>
      <c r="BF2" s="19" t="s">
        <v>96</v>
      </c>
      <c r="BG2" s="19">
        <f t="shared" ref="BG2:BN2" si="2">BG3+BG14</f>
        <v>1106953361</v>
      </c>
      <c r="BH2" s="19">
        <f t="shared" si="2"/>
        <v>922083842</v>
      </c>
      <c r="BI2" s="19">
        <f t="shared" si="2"/>
        <v>703141360</v>
      </c>
      <c r="BJ2" s="19">
        <f t="shared" si="2"/>
        <v>993773678</v>
      </c>
      <c r="BK2" s="19">
        <f t="shared" si="2"/>
        <v>2976491127</v>
      </c>
      <c r="BL2" s="19">
        <f t="shared" si="2"/>
        <v>1035685207</v>
      </c>
      <c r="BM2" s="19">
        <f t="shared" si="2"/>
        <v>1601355550</v>
      </c>
      <c r="BN2" s="19">
        <f t="shared" si="2"/>
        <v>200285098</v>
      </c>
      <c r="BO2" s="19" t="s">
        <v>96</v>
      </c>
      <c r="BP2" s="19" t="s">
        <v>96</v>
      </c>
      <c r="BQ2" s="19" t="s">
        <v>175</v>
      </c>
      <c r="BR2" s="19">
        <f>BR3+BR14</f>
        <v>10484622296</v>
      </c>
      <c r="BS2" s="19" t="s">
        <v>172</v>
      </c>
      <c r="BT2" s="19">
        <f t="shared" ref="BT2:CD2" si="3">BT3+BT14</f>
        <v>43751203</v>
      </c>
      <c r="BU2" s="19">
        <f t="shared" si="3"/>
        <v>1475841621</v>
      </c>
      <c r="BV2" s="19">
        <f t="shared" si="3"/>
        <v>736414103</v>
      </c>
      <c r="BW2" s="19">
        <f t="shared" si="3"/>
        <v>5164401</v>
      </c>
      <c r="BX2" s="19">
        <f t="shared" si="3"/>
        <v>213499128</v>
      </c>
      <c r="BY2" s="19">
        <f t="shared" si="3"/>
        <v>1377677815</v>
      </c>
      <c r="BZ2" s="19">
        <f t="shared" si="3"/>
        <v>3178077474</v>
      </c>
      <c r="CA2" s="19">
        <f t="shared" si="3"/>
        <v>1958079343</v>
      </c>
      <c r="CB2" s="19">
        <f t="shared" si="3"/>
        <v>1699513018</v>
      </c>
      <c r="CC2" s="19">
        <f t="shared" si="3"/>
        <v>157331427</v>
      </c>
      <c r="CD2" s="19">
        <f t="shared" si="3"/>
        <v>1411506035</v>
      </c>
      <c r="CE2" s="19" t="s">
        <v>172</v>
      </c>
      <c r="CF2" s="19">
        <f>CF3+CF14</f>
        <v>563286643</v>
      </c>
      <c r="CG2" s="19">
        <f>CG3+CG14</f>
        <v>191538373</v>
      </c>
      <c r="CH2" s="19">
        <f>CH3+CH14</f>
        <v>615598991</v>
      </c>
      <c r="CI2" s="19" t="s">
        <v>172</v>
      </c>
      <c r="CJ2" s="19">
        <f t="shared" ref="CJ2:CP2" si="4">CJ3+CJ14</f>
        <v>547967438</v>
      </c>
      <c r="CK2" s="19">
        <f t="shared" si="4"/>
        <v>7816648566</v>
      </c>
      <c r="CL2" s="19">
        <f t="shared" si="4"/>
        <v>751772836</v>
      </c>
      <c r="CM2" s="19">
        <f t="shared" si="4"/>
        <v>4799003817</v>
      </c>
      <c r="CN2" s="19">
        <f t="shared" si="4"/>
        <v>134318538</v>
      </c>
      <c r="CO2" s="19">
        <f t="shared" si="4"/>
        <v>150477846</v>
      </c>
      <c r="CP2" s="19">
        <f t="shared" si="4"/>
        <v>2447829750</v>
      </c>
      <c r="CQ2" s="19" t="s">
        <v>96</v>
      </c>
      <c r="CR2" s="19">
        <f>CR3+CR14</f>
        <v>735565182</v>
      </c>
      <c r="CS2" s="56" t="s">
        <v>172</v>
      </c>
      <c r="CT2" s="19">
        <f>CT3+CT14</f>
        <v>10314302411</v>
      </c>
      <c r="CU2" s="19">
        <f>CU3+CU14</f>
        <v>714784640</v>
      </c>
      <c r="CV2" s="19">
        <v>26748508</v>
      </c>
      <c r="CW2" s="19">
        <f>CW3+CW14</f>
        <v>5045108391</v>
      </c>
      <c r="CX2" s="19">
        <f>CX3+CX14</f>
        <v>7876769356</v>
      </c>
      <c r="CY2" s="19" t="s">
        <v>96</v>
      </c>
      <c r="CZ2" s="19">
        <f>CZ3+CZ14</f>
        <v>6573979069</v>
      </c>
      <c r="DA2" s="19" t="s">
        <v>175</v>
      </c>
      <c r="DB2" s="19">
        <f t="shared" ref="DB2:DR2" si="5">DB3+DB14</f>
        <v>569404110</v>
      </c>
      <c r="DC2" s="19">
        <f t="shared" si="5"/>
        <v>33129257</v>
      </c>
      <c r="DD2" s="19">
        <f t="shared" si="5"/>
        <v>88009997</v>
      </c>
      <c r="DE2" s="19">
        <f t="shared" si="5"/>
        <v>1033413943</v>
      </c>
      <c r="DF2" s="19">
        <f t="shared" si="5"/>
        <v>52688195</v>
      </c>
      <c r="DG2" s="19">
        <f t="shared" si="5"/>
        <v>1112745183</v>
      </c>
      <c r="DH2" s="19">
        <f t="shared" si="5"/>
        <v>2034078839</v>
      </c>
      <c r="DI2" s="19">
        <f t="shared" si="5"/>
        <v>6989624639</v>
      </c>
      <c r="DJ2" s="19">
        <f t="shared" si="5"/>
        <v>190149950</v>
      </c>
      <c r="DK2" s="19">
        <f t="shared" si="5"/>
        <v>12959135703</v>
      </c>
      <c r="DL2" s="19">
        <f t="shared" si="5"/>
        <v>485522062</v>
      </c>
      <c r="DM2" s="19">
        <f t="shared" si="5"/>
        <v>1496390043</v>
      </c>
      <c r="DN2" s="19">
        <f t="shared" si="5"/>
        <v>966266897</v>
      </c>
      <c r="DO2" s="19">
        <f t="shared" si="5"/>
        <v>133491131</v>
      </c>
      <c r="DP2" s="19">
        <f t="shared" si="5"/>
        <v>3279154397</v>
      </c>
      <c r="DQ2" s="19">
        <f t="shared" si="5"/>
        <v>462578884</v>
      </c>
      <c r="DR2" s="19">
        <f t="shared" si="5"/>
        <v>5926120311</v>
      </c>
      <c r="DS2" s="19">
        <f>DS3+DS14</f>
        <v>355451420</v>
      </c>
      <c r="DT2" s="19">
        <f t="shared" ref="DT2:FF2" si="6">DT3+DT14</f>
        <v>4304987232</v>
      </c>
      <c r="DU2" s="19">
        <f t="shared" si="6"/>
        <v>299741199</v>
      </c>
      <c r="DV2" s="19">
        <f t="shared" si="6"/>
        <v>3629534165</v>
      </c>
      <c r="DW2" s="19">
        <f t="shared" si="6"/>
        <v>1650347802</v>
      </c>
      <c r="DX2" s="19">
        <f t="shared" si="6"/>
        <v>9449616374</v>
      </c>
      <c r="DY2" s="19">
        <f t="shared" si="6"/>
        <v>1262210373</v>
      </c>
      <c r="DZ2" s="19">
        <f t="shared" si="6"/>
        <v>1010613948</v>
      </c>
      <c r="EA2" s="19">
        <f t="shared" si="6"/>
        <v>111348796</v>
      </c>
      <c r="EB2" s="19">
        <f t="shared" si="6"/>
        <v>6984584056</v>
      </c>
      <c r="EC2" s="19">
        <f t="shared" si="6"/>
        <v>520259334</v>
      </c>
      <c r="ED2" s="19">
        <f t="shared" si="6"/>
        <v>317607754</v>
      </c>
      <c r="EE2" s="19">
        <f t="shared" si="6"/>
        <v>884263345</v>
      </c>
      <c r="EF2" s="19">
        <f t="shared" si="6"/>
        <v>4975320550</v>
      </c>
      <c r="EG2" s="19">
        <f t="shared" si="6"/>
        <v>12862494859</v>
      </c>
      <c r="EH2" s="19">
        <f t="shared" si="6"/>
        <v>3371745021</v>
      </c>
      <c r="EI2" s="19">
        <f t="shared" si="6"/>
        <v>8651968074</v>
      </c>
      <c r="EJ2" s="19">
        <f t="shared" si="6"/>
        <v>371465658</v>
      </c>
      <c r="EK2" s="19">
        <f t="shared" si="6"/>
        <v>4594042843</v>
      </c>
      <c r="EL2" s="19">
        <f t="shared" si="6"/>
        <v>2585390110</v>
      </c>
      <c r="EM2" s="19">
        <f t="shared" si="6"/>
        <v>950334053</v>
      </c>
      <c r="EN2" s="19">
        <f t="shared" si="6"/>
        <v>6519346301</v>
      </c>
      <c r="EO2" s="19">
        <f t="shared" si="6"/>
        <v>281533415</v>
      </c>
      <c r="EP2" s="19">
        <f t="shared" si="6"/>
        <v>827221266</v>
      </c>
      <c r="EQ2" s="19">
        <f t="shared" si="6"/>
        <v>2307753256</v>
      </c>
      <c r="ER2" s="19">
        <f t="shared" si="6"/>
        <v>2464479246</v>
      </c>
      <c r="ES2" s="19">
        <f t="shared" si="6"/>
        <v>1582497770</v>
      </c>
      <c r="ET2" s="19">
        <f t="shared" si="6"/>
        <v>16810824452</v>
      </c>
      <c r="EU2" s="19">
        <f t="shared" si="6"/>
        <v>4285663914</v>
      </c>
      <c r="EV2" s="19">
        <f t="shared" si="6"/>
        <v>305067667</v>
      </c>
      <c r="EW2" s="19">
        <f t="shared" si="6"/>
        <v>1241408616</v>
      </c>
      <c r="EX2" s="19">
        <f t="shared" si="6"/>
        <v>3192008934</v>
      </c>
      <c r="EY2" s="19">
        <f t="shared" si="6"/>
        <v>4466372161</v>
      </c>
      <c r="EZ2" s="19">
        <f t="shared" si="6"/>
        <v>705475378</v>
      </c>
      <c r="FA2" s="19">
        <f t="shared" si="6"/>
        <v>2335531879</v>
      </c>
      <c r="FB2" s="19">
        <f t="shared" si="6"/>
        <v>139534839</v>
      </c>
      <c r="FC2" s="19">
        <f t="shared" si="6"/>
        <v>1153819074</v>
      </c>
      <c r="FD2" s="19">
        <f t="shared" si="6"/>
        <v>1258253217</v>
      </c>
      <c r="FE2" s="19">
        <f t="shared" si="6"/>
        <v>7635724277</v>
      </c>
      <c r="FF2" s="19">
        <f t="shared" si="6"/>
        <v>86030250</v>
      </c>
      <c r="FG2" s="19" t="s">
        <v>172</v>
      </c>
      <c r="FH2" s="19">
        <f>FH3+FH14</f>
        <v>2199782825</v>
      </c>
      <c r="FI2" s="19" t="s">
        <v>172</v>
      </c>
      <c r="FJ2" s="19">
        <f>FJ3+FJ14</f>
        <v>319451712</v>
      </c>
      <c r="FK2" s="19">
        <f>FK3+FK14</f>
        <v>985359153</v>
      </c>
      <c r="FL2" s="19">
        <f>FL3+FL14</f>
        <v>371314109</v>
      </c>
      <c r="FM2" s="19">
        <f>FM3+FM14</f>
        <v>397966734</v>
      </c>
      <c r="FN2" s="19">
        <f>FN3+FN14</f>
        <v>12256438368</v>
      </c>
      <c r="FO2" s="56" t="s">
        <v>172</v>
      </c>
      <c r="FP2" s="19">
        <f t="shared" ref="FP2:FU2" si="7">FP3+FP14</f>
        <v>516609025</v>
      </c>
      <c r="FQ2" s="19">
        <f t="shared" si="7"/>
        <v>240074754</v>
      </c>
      <c r="FR2" s="19">
        <f t="shared" si="7"/>
        <v>611117031</v>
      </c>
      <c r="FS2" s="19">
        <f t="shared" si="7"/>
        <v>343208344</v>
      </c>
      <c r="FT2" s="19">
        <f t="shared" si="7"/>
        <v>18139010159</v>
      </c>
      <c r="FU2" s="19">
        <f t="shared" si="7"/>
        <v>69636088</v>
      </c>
      <c r="FV2" s="19" t="s">
        <v>172</v>
      </c>
      <c r="FW2" s="19">
        <f>FW3+FW14</f>
        <v>175462613</v>
      </c>
      <c r="FX2" s="19">
        <f>FX3+FX14</f>
        <v>202693440</v>
      </c>
      <c r="FY2" s="19" t="s">
        <v>172</v>
      </c>
      <c r="FZ2" s="19" t="s">
        <v>175</v>
      </c>
      <c r="GA2" s="19">
        <f>GA3+GA14</f>
        <v>2432822950</v>
      </c>
      <c r="GB2" s="19">
        <f>GB3+GB14</f>
        <v>339593449</v>
      </c>
      <c r="GC2" s="19">
        <f>GC3+GC14</f>
        <v>264956452</v>
      </c>
      <c r="GD2" s="19" t="s">
        <v>172</v>
      </c>
      <c r="GE2" s="19" t="s">
        <v>172</v>
      </c>
      <c r="GF2" s="19">
        <f>GF3+GF14</f>
        <v>1122255545</v>
      </c>
      <c r="GG2" s="19">
        <f>GG3+GG14</f>
        <v>4362796697</v>
      </c>
      <c r="GH2" s="19" t="s">
        <v>172</v>
      </c>
      <c r="GI2" s="19">
        <f t="shared" ref="GI2:KH2" si="8">GI3+GI14</f>
        <v>214054364</v>
      </c>
      <c r="GJ2" s="19" t="s">
        <v>172</v>
      </c>
      <c r="GK2" s="19">
        <f t="shared" si="8"/>
        <v>300453049</v>
      </c>
      <c r="GL2" s="19" t="s">
        <v>172</v>
      </c>
      <c r="GM2" s="19">
        <f t="shared" si="8"/>
        <v>113989038</v>
      </c>
      <c r="GN2" s="19">
        <f t="shared" si="8"/>
        <v>674833643</v>
      </c>
      <c r="GO2" s="19" t="s">
        <v>172</v>
      </c>
      <c r="GP2" s="19">
        <f t="shared" si="8"/>
        <v>9316599698</v>
      </c>
      <c r="GQ2" s="19">
        <f t="shared" si="8"/>
        <v>654684077</v>
      </c>
      <c r="GR2" s="19">
        <f t="shared" si="8"/>
        <v>3179554904</v>
      </c>
      <c r="GS2" s="19">
        <f t="shared" si="8"/>
        <v>440185597</v>
      </c>
      <c r="GT2" s="19">
        <f t="shared" si="8"/>
        <v>117832244</v>
      </c>
      <c r="GU2" s="19">
        <f t="shared" si="8"/>
        <v>74962470</v>
      </c>
      <c r="GV2" s="19">
        <f>GV3+GV14</f>
        <v>4441562829</v>
      </c>
      <c r="GW2" s="19">
        <f>GW3+GW14</f>
        <v>39418999697</v>
      </c>
      <c r="GX2" s="19">
        <f t="shared" si="8"/>
        <v>2929330585</v>
      </c>
      <c r="GY2" s="19">
        <f t="shared" si="8"/>
        <v>1132755728</v>
      </c>
      <c r="GZ2" s="19">
        <f t="shared" si="8"/>
        <v>4516094407</v>
      </c>
      <c r="HA2" s="19" t="s">
        <v>172</v>
      </c>
      <c r="HB2" s="19">
        <f t="shared" si="8"/>
        <v>1222172462</v>
      </c>
      <c r="HC2" s="19">
        <f t="shared" si="8"/>
        <v>1029310350</v>
      </c>
      <c r="HD2" s="19">
        <f t="shared" si="8"/>
        <v>921178727</v>
      </c>
      <c r="HE2" s="19" t="s">
        <v>172</v>
      </c>
      <c r="HF2" s="19">
        <f t="shared" si="8"/>
        <v>2443416174</v>
      </c>
      <c r="HG2" s="19">
        <f t="shared" si="8"/>
        <v>1337878135</v>
      </c>
      <c r="HH2" s="19" t="s">
        <v>172</v>
      </c>
      <c r="HI2" s="19">
        <f t="shared" si="8"/>
        <v>3390377675</v>
      </c>
      <c r="HJ2" s="19" t="s">
        <v>172</v>
      </c>
      <c r="HK2" s="19">
        <f t="shared" si="8"/>
        <v>2527282534</v>
      </c>
      <c r="HL2" s="19">
        <f t="shared" si="8"/>
        <v>1646284819</v>
      </c>
      <c r="HM2" s="19">
        <f t="shared" si="8"/>
        <v>807640387</v>
      </c>
      <c r="HN2" s="19">
        <f t="shared" si="8"/>
        <v>670990975</v>
      </c>
      <c r="HO2" s="19">
        <f t="shared" si="8"/>
        <v>1612058959</v>
      </c>
      <c r="HP2" s="19">
        <f t="shared" si="8"/>
        <v>1117692407</v>
      </c>
      <c r="HQ2" s="19">
        <f t="shared" si="8"/>
        <v>568819446</v>
      </c>
      <c r="HR2" s="19">
        <f t="shared" si="8"/>
        <v>3091898735</v>
      </c>
      <c r="HS2" s="19">
        <f t="shared" si="8"/>
        <v>837628048</v>
      </c>
      <c r="HT2" s="19">
        <f t="shared" si="8"/>
        <v>606817930</v>
      </c>
      <c r="HU2" s="19">
        <f t="shared" si="8"/>
        <v>1756585900</v>
      </c>
      <c r="HV2" s="19">
        <f t="shared" si="8"/>
        <v>144808840</v>
      </c>
      <c r="HW2" s="19" t="s">
        <v>172</v>
      </c>
      <c r="HX2" s="19">
        <f t="shared" si="8"/>
        <v>4456648122</v>
      </c>
      <c r="HY2" s="19" t="s">
        <v>172</v>
      </c>
      <c r="HZ2" s="19">
        <f t="shared" si="8"/>
        <v>11377486480</v>
      </c>
      <c r="IA2" s="19">
        <f t="shared" si="8"/>
        <v>1587320984</v>
      </c>
      <c r="IB2" s="19">
        <f t="shared" si="8"/>
        <v>7615935739</v>
      </c>
      <c r="IC2" s="19">
        <f t="shared" si="8"/>
        <v>4369540648</v>
      </c>
      <c r="ID2" s="19">
        <f t="shared" si="8"/>
        <v>44208004</v>
      </c>
      <c r="IE2" s="19" t="s">
        <v>172</v>
      </c>
      <c r="IF2" s="19">
        <f t="shared" si="8"/>
        <v>115950346</v>
      </c>
      <c r="IG2" s="19">
        <f t="shared" si="8"/>
        <v>91129763</v>
      </c>
      <c r="IH2" s="19">
        <f t="shared" si="8"/>
        <v>1038400285</v>
      </c>
      <c r="II2" s="19">
        <f t="shared" si="8"/>
        <v>465368812</v>
      </c>
      <c r="IJ2" s="19">
        <f t="shared" si="8"/>
        <v>495528426</v>
      </c>
      <c r="IK2" s="19">
        <f t="shared" si="8"/>
        <v>725823155</v>
      </c>
      <c r="IL2" s="19">
        <f t="shared" si="8"/>
        <v>2029257562</v>
      </c>
      <c r="IM2" s="19">
        <f>IM3+IM14</f>
        <v>2014805538</v>
      </c>
      <c r="IN2" s="19">
        <f t="shared" si="8"/>
        <v>3901037367</v>
      </c>
      <c r="IO2" s="19">
        <f t="shared" si="8"/>
        <v>936810768</v>
      </c>
      <c r="IP2" s="19">
        <f t="shared" si="8"/>
        <v>461313125</v>
      </c>
      <c r="IQ2" s="19">
        <f t="shared" si="8"/>
        <v>735673429</v>
      </c>
      <c r="IR2" s="19">
        <f t="shared" si="8"/>
        <v>1181400580</v>
      </c>
      <c r="IS2" s="19">
        <f t="shared" si="8"/>
        <v>11752123059</v>
      </c>
      <c r="IT2" s="19">
        <f t="shared" si="8"/>
        <v>1634922125</v>
      </c>
      <c r="IU2" s="19">
        <f t="shared" si="8"/>
        <v>2530578731</v>
      </c>
      <c r="IV2" s="19">
        <f t="shared" si="8"/>
        <v>562606069</v>
      </c>
      <c r="IW2" s="19">
        <f t="shared" si="8"/>
        <v>355717473</v>
      </c>
      <c r="IX2" s="19">
        <f t="shared" si="8"/>
        <v>1493335324</v>
      </c>
      <c r="IY2" s="19">
        <f t="shared" si="8"/>
        <v>4735939564</v>
      </c>
      <c r="IZ2" s="19">
        <f t="shared" si="8"/>
        <v>795242529</v>
      </c>
      <c r="JA2" s="19">
        <f t="shared" si="8"/>
        <v>2322036199</v>
      </c>
      <c r="JB2" s="19">
        <f t="shared" si="8"/>
        <v>1056621798</v>
      </c>
      <c r="JC2" s="19">
        <f t="shared" si="8"/>
        <v>2524525588</v>
      </c>
      <c r="JD2" s="19">
        <f t="shared" si="8"/>
        <v>933816782</v>
      </c>
      <c r="JE2" s="19">
        <f t="shared" si="8"/>
        <v>170231906</v>
      </c>
      <c r="JF2" s="19">
        <f t="shared" si="8"/>
        <v>1451442652</v>
      </c>
      <c r="JG2" s="19">
        <f t="shared" si="8"/>
        <v>22351899</v>
      </c>
      <c r="JH2" s="19">
        <f t="shared" si="8"/>
        <v>131500607</v>
      </c>
      <c r="JI2" s="19">
        <f t="shared" si="8"/>
        <v>271423761</v>
      </c>
      <c r="JJ2" s="19">
        <f t="shared" si="8"/>
        <v>260655705</v>
      </c>
      <c r="JK2" s="19">
        <f t="shared" si="8"/>
        <v>437230163</v>
      </c>
      <c r="JL2" s="19">
        <f t="shared" si="8"/>
        <v>3390786551</v>
      </c>
      <c r="JM2" s="19">
        <f t="shared" si="8"/>
        <v>715393095</v>
      </c>
      <c r="JN2" s="19">
        <f t="shared" si="8"/>
        <v>5380247660</v>
      </c>
      <c r="JO2" s="19">
        <f t="shared" si="8"/>
        <v>68426319</v>
      </c>
      <c r="JP2" s="19">
        <f t="shared" si="8"/>
        <v>280760392</v>
      </c>
      <c r="JQ2" s="19" t="s">
        <v>175</v>
      </c>
      <c r="JR2" s="19">
        <f t="shared" si="8"/>
        <v>699662631</v>
      </c>
      <c r="JS2" s="19">
        <f t="shared" si="8"/>
        <v>87379162</v>
      </c>
      <c r="JT2" s="19">
        <f t="shared" si="8"/>
        <v>38855258</v>
      </c>
      <c r="JU2" s="19">
        <f t="shared" si="8"/>
        <v>484713349</v>
      </c>
      <c r="JV2" s="19">
        <f t="shared" si="8"/>
        <v>764629086</v>
      </c>
      <c r="JW2" s="19">
        <f t="shared" si="8"/>
        <v>242512919</v>
      </c>
      <c r="JX2" s="19">
        <f t="shared" si="8"/>
        <v>2499130661</v>
      </c>
      <c r="JY2" s="19">
        <f t="shared" si="8"/>
        <v>1575833696</v>
      </c>
      <c r="JZ2" s="19">
        <f t="shared" si="8"/>
        <v>118632190</v>
      </c>
      <c r="KA2" s="19">
        <f t="shared" si="8"/>
        <v>420054927</v>
      </c>
      <c r="KB2" s="19">
        <f t="shared" si="8"/>
        <v>8264822103</v>
      </c>
      <c r="KC2" s="19">
        <f t="shared" si="8"/>
        <v>535504727</v>
      </c>
      <c r="KD2" s="19">
        <f t="shared" si="8"/>
        <v>308732666</v>
      </c>
      <c r="KE2" s="19">
        <f t="shared" si="8"/>
        <v>134539784</v>
      </c>
      <c r="KF2" s="19">
        <f t="shared" si="8"/>
        <v>1226712855</v>
      </c>
      <c r="KG2" s="19">
        <f t="shared" si="8"/>
        <v>628725811</v>
      </c>
      <c r="KH2" s="19">
        <f t="shared" si="8"/>
        <v>1009626418</v>
      </c>
      <c r="KI2" s="19">
        <f t="shared" ref="KI2:KY2" si="9">KI3+KI14</f>
        <v>468405045</v>
      </c>
      <c r="KJ2" s="19">
        <f t="shared" si="9"/>
        <v>2038441849</v>
      </c>
      <c r="KK2" s="19">
        <f t="shared" si="9"/>
        <v>8389485499</v>
      </c>
      <c r="KL2" s="19">
        <f t="shared" si="9"/>
        <v>25851414149</v>
      </c>
      <c r="KM2" s="19">
        <f t="shared" si="9"/>
        <v>337442028</v>
      </c>
      <c r="KN2" s="19">
        <f t="shared" si="9"/>
        <v>4140733179</v>
      </c>
      <c r="KO2" s="19">
        <f t="shared" si="9"/>
        <v>5603973099</v>
      </c>
      <c r="KP2" s="19">
        <f t="shared" si="9"/>
        <v>593144119</v>
      </c>
      <c r="KQ2" s="19">
        <f t="shared" si="9"/>
        <v>126897233</v>
      </c>
      <c r="KR2" s="19">
        <f t="shared" si="9"/>
        <v>362948124</v>
      </c>
      <c r="KS2" s="19">
        <f t="shared" si="9"/>
        <v>1401669297</v>
      </c>
      <c r="KT2" s="19">
        <f t="shared" si="9"/>
        <v>1009845052</v>
      </c>
      <c r="KU2" s="19">
        <f t="shared" si="9"/>
        <v>5277088306</v>
      </c>
      <c r="KV2" s="19">
        <f t="shared" si="9"/>
        <v>112571451</v>
      </c>
      <c r="KW2" s="19">
        <f t="shared" si="9"/>
        <v>404995114</v>
      </c>
      <c r="KX2" s="19">
        <f t="shared" si="9"/>
        <v>164838429</v>
      </c>
      <c r="KY2" s="19">
        <f t="shared" si="9"/>
        <v>1710161378</v>
      </c>
      <c r="KZ2" s="58">
        <f>KZ3+KZ14</f>
        <v>1257651407</v>
      </c>
      <c r="LA2" s="76">
        <v>366102893</v>
      </c>
      <c r="LB2" s="76">
        <v>30948440</v>
      </c>
    </row>
    <row r="3" spans="1:314" ht="17.55" customHeight="1">
      <c r="A3" s="7" t="s">
        <v>100</v>
      </c>
      <c r="B3" s="8" t="s">
        <v>84</v>
      </c>
      <c r="C3" s="19">
        <f>C4+C12+C13</f>
        <v>376136816</v>
      </c>
      <c r="D3" s="19">
        <f>D4+D12+D13</f>
        <v>1921845387</v>
      </c>
      <c r="E3" s="19">
        <f>E4+E12+E13</f>
        <v>645490482</v>
      </c>
      <c r="F3" s="19">
        <f>F4+F12+F13</f>
        <v>1079596361</v>
      </c>
      <c r="G3" s="19" t="s">
        <v>130</v>
      </c>
      <c r="H3" s="19">
        <f>H4+H12+H13</f>
        <v>582267594</v>
      </c>
      <c r="I3" s="19">
        <f>I4+I12+I13</f>
        <v>2112520336</v>
      </c>
      <c r="J3" s="19" t="s">
        <v>176</v>
      </c>
      <c r="K3" s="19">
        <f>K4+K12+K13</f>
        <v>754110988</v>
      </c>
      <c r="L3" s="19" t="s">
        <v>96</v>
      </c>
      <c r="M3" s="19" t="s">
        <v>96</v>
      </c>
      <c r="N3" s="19">
        <f t="shared" ref="N3:S3" si="10">N4+N12+N13</f>
        <v>284652377</v>
      </c>
      <c r="O3" s="19">
        <f t="shared" si="10"/>
        <v>2558436173</v>
      </c>
      <c r="P3" s="19">
        <f t="shared" si="10"/>
        <v>1024752798</v>
      </c>
      <c r="Q3" s="19">
        <f t="shared" si="10"/>
        <v>186030302</v>
      </c>
      <c r="R3" s="19">
        <f t="shared" si="10"/>
        <v>119474350</v>
      </c>
      <c r="S3" s="19">
        <f t="shared" si="10"/>
        <v>3012651896</v>
      </c>
      <c r="T3" s="19" t="s">
        <v>96</v>
      </c>
      <c r="U3" s="19" t="s">
        <v>96</v>
      </c>
      <c r="V3" s="19" t="s">
        <v>172</v>
      </c>
      <c r="W3" s="19">
        <f t="shared" ref="W3:AE3" si="11">W4+W12+W13</f>
        <v>188515412</v>
      </c>
      <c r="X3" s="19">
        <f t="shared" si="11"/>
        <v>2788807843</v>
      </c>
      <c r="Y3" s="19">
        <f t="shared" si="11"/>
        <v>44503419</v>
      </c>
      <c r="Z3" s="19">
        <f t="shared" si="11"/>
        <v>3576632487</v>
      </c>
      <c r="AA3" s="19">
        <f t="shared" si="11"/>
        <v>3466593611</v>
      </c>
      <c r="AB3" s="19">
        <f t="shared" si="11"/>
        <v>117859186</v>
      </c>
      <c r="AC3" s="19">
        <f t="shared" si="11"/>
        <v>733565127</v>
      </c>
      <c r="AD3" s="19">
        <f t="shared" si="11"/>
        <v>870232195</v>
      </c>
      <c r="AE3" s="19">
        <f t="shared" si="11"/>
        <v>690553594</v>
      </c>
      <c r="AF3" s="56" t="s">
        <v>172</v>
      </c>
      <c r="AG3" s="19">
        <f>AG4+AG12+AG13</f>
        <v>254742607</v>
      </c>
      <c r="AH3" s="19" t="s">
        <v>167</v>
      </c>
      <c r="AI3" s="19">
        <f>AI4+AI12+AI13</f>
        <v>17338094</v>
      </c>
      <c r="AJ3" s="19">
        <f>AJ4+AJ12+AJ13</f>
        <v>790451140</v>
      </c>
      <c r="AK3" s="19">
        <f>AK4+AK12+AK13</f>
        <v>1925381859</v>
      </c>
      <c r="AL3" s="19">
        <f>AL4+AL12+AL13</f>
        <v>1023683260</v>
      </c>
      <c r="AM3" s="19" t="s">
        <v>4</v>
      </c>
      <c r="AN3" s="19">
        <f>AN4+AN12+AN13</f>
        <v>210313539</v>
      </c>
      <c r="AO3" s="19">
        <f>AO4+AO12+AO13</f>
        <v>637200698</v>
      </c>
      <c r="AP3" s="19">
        <f>AP4+AP12+AP13</f>
        <v>650906512</v>
      </c>
      <c r="AQ3" s="19" t="s">
        <v>172</v>
      </c>
      <c r="AR3" s="19">
        <f>AR4+AR12+AR13</f>
        <v>1051211710</v>
      </c>
      <c r="AS3" s="19">
        <f>AS4+AS12+AS13</f>
        <v>764463379</v>
      </c>
      <c r="AT3" s="19" t="s">
        <v>172</v>
      </c>
      <c r="AU3" s="19">
        <f>AU4+AU12+AU13</f>
        <v>9456345587</v>
      </c>
      <c r="AV3" s="19">
        <f>AV4+AV12+AV13</f>
        <v>594093198</v>
      </c>
      <c r="AW3" s="19">
        <f>AW4+AW12+AW13</f>
        <v>71852916</v>
      </c>
      <c r="AX3" s="19" t="s">
        <v>4</v>
      </c>
      <c r="AY3" s="19">
        <f>AY4+AY12+AY13</f>
        <v>80426753</v>
      </c>
      <c r="AZ3" s="19">
        <f>AZ4+AZ12+AZ13</f>
        <v>289909184</v>
      </c>
      <c r="BA3" s="19" t="s">
        <v>167</v>
      </c>
      <c r="BB3" s="19">
        <f>BB4+BB12+BB13</f>
        <v>14768909</v>
      </c>
      <c r="BC3" s="19" t="s">
        <v>4</v>
      </c>
      <c r="BD3" s="19" t="s">
        <v>172</v>
      </c>
      <c r="BE3" s="19">
        <f>BE4+BE12+BE13</f>
        <v>613254888</v>
      </c>
      <c r="BF3" s="19" t="s">
        <v>96</v>
      </c>
      <c r="BG3" s="19">
        <f t="shared" ref="BG3:BN3" si="12">BG4+BG12+BG13</f>
        <v>938226583</v>
      </c>
      <c r="BH3" s="19">
        <f t="shared" si="12"/>
        <v>206379009</v>
      </c>
      <c r="BI3" s="19">
        <f t="shared" si="12"/>
        <v>657810497</v>
      </c>
      <c r="BJ3" s="19">
        <f t="shared" si="12"/>
        <v>839382838</v>
      </c>
      <c r="BK3" s="19">
        <f t="shared" si="12"/>
        <v>2331174897</v>
      </c>
      <c r="BL3" s="19">
        <f t="shared" si="12"/>
        <v>870645511</v>
      </c>
      <c r="BM3" s="19">
        <f t="shared" si="12"/>
        <v>701671980</v>
      </c>
      <c r="BN3" s="19">
        <f t="shared" si="12"/>
        <v>40333023</v>
      </c>
      <c r="BO3" s="19" t="s">
        <v>96</v>
      </c>
      <c r="BP3" s="19" t="s">
        <v>96</v>
      </c>
      <c r="BQ3" s="19" t="s">
        <v>175</v>
      </c>
      <c r="BR3" s="19">
        <f>BR4+BR12+BR13</f>
        <v>6041973499</v>
      </c>
      <c r="BS3" s="19" t="s">
        <v>172</v>
      </c>
      <c r="BT3" s="19">
        <f t="shared" ref="BT3:CD3" si="13">BT4+BT12+BT13</f>
        <v>40659668</v>
      </c>
      <c r="BU3" s="19">
        <f t="shared" si="13"/>
        <v>756573705</v>
      </c>
      <c r="BV3" s="19">
        <f t="shared" si="13"/>
        <v>711798103</v>
      </c>
      <c r="BW3" s="19">
        <f t="shared" si="13"/>
        <v>3821099</v>
      </c>
      <c r="BX3" s="19">
        <f t="shared" si="13"/>
        <v>158460650</v>
      </c>
      <c r="BY3" s="19">
        <f t="shared" si="13"/>
        <v>1110922659</v>
      </c>
      <c r="BZ3" s="19">
        <f t="shared" si="13"/>
        <v>1202938013</v>
      </c>
      <c r="CA3" s="19">
        <f t="shared" si="13"/>
        <v>732232438</v>
      </c>
      <c r="CB3" s="19">
        <f t="shared" si="13"/>
        <v>237518367</v>
      </c>
      <c r="CC3" s="19">
        <f t="shared" si="13"/>
        <v>154281427</v>
      </c>
      <c r="CD3" s="19">
        <f t="shared" si="13"/>
        <v>1410948244</v>
      </c>
      <c r="CE3" s="19" t="s">
        <v>172</v>
      </c>
      <c r="CF3" s="19">
        <f>CF4+CF12+CF13</f>
        <v>179902734</v>
      </c>
      <c r="CG3" s="19">
        <f>CG4+CG12+CG13</f>
        <v>92934349</v>
      </c>
      <c r="CH3" s="19">
        <f>CH4+CH12+CH13</f>
        <v>508456600</v>
      </c>
      <c r="CI3" s="19" t="s">
        <v>172</v>
      </c>
      <c r="CJ3" s="19">
        <f t="shared" ref="CJ3:CP3" si="14">CJ4+CJ12+CJ13</f>
        <v>491285492</v>
      </c>
      <c r="CK3" s="19">
        <f t="shared" si="14"/>
        <v>370904343</v>
      </c>
      <c r="CL3" s="19">
        <f t="shared" si="14"/>
        <v>118047772</v>
      </c>
      <c r="CM3" s="19">
        <f t="shared" si="14"/>
        <v>3934586566</v>
      </c>
      <c r="CN3" s="19">
        <f t="shared" si="14"/>
        <v>126258179</v>
      </c>
      <c r="CO3" s="19">
        <f t="shared" si="14"/>
        <v>126473022</v>
      </c>
      <c r="CP3" s="19">
        <f t="shared" si="14"/>
        <v>1934576945</v>
      </c>
      <c r="CQ3" s="19" t="s">
        <v>96</v>
      </c>
      <c r="CR3" s="19">
        <f>CR4+CR12+CR13</f>
        <v>594121460</v>
      </c>
      <c r="CS3" s="56" t="s">
        <v>172</v>
      </c>
      <c r="CT3" s="19">
        <f>CT4+CT12+CT13</f>
        <v>8865934645</v>
      </c>
      <c r="CU3" s="19">
        <f>CU4+CU12+CU13</f>
        <v>311675484</v>
      </c>
      <c r="CV3" s="19">
        <v>22998508</v>
      </c>
      <c r="CW3" s="19">
        <f>CW4+CW12+CW13</f>
        <v>1252918075</v>
      </c>
      <c r="CX3" s="19">
        <f>CX4+CX12+CX13</f>
        <v>7057627564</v>
      </c>
      <c r="CY3" s="19" t="s">
        <v>96</v>
      </c>
      <c r="CZ3" s="19">
        <f>CZ4+CZ12+CZ13</f>
        <v>1359187271</v>
      </c>
      <c r="DA3" s="19" t="s">
        <v>175</v>
      </c>
      <c r="DB3" s="19">
        <f t="shared" ref="DB3:DR3" si="15">DB4+DB12+DB13</f>
        <v>547627327</v>
      </c>
      <c r="DC3" s="19">
        <f t="shared" si="15"/>
        <v>28105822</v>
      </c>
      <c r="DD3" s="19">
        <f t="shared" si="15"/>
        <v>40027306</v>
      </c>
      <c r="DE3" s="19">
        <f t="shared" si="15"/>
        <v>162255156</v>
      </c>
      <c r="DF3" s="19">
        <f t="shared" si="15"/>
        <v>31434764</v>
      </c>
      <c r="DG3" s="19">
        <f t="shared" si="15"/>
        <v>302493923</v>
      </c>
      <c r="DH3" s="19">
        <f t="shared" si="15"/>
        <v>1747938958</v>
      </c>
      <c r="DI3" s="19">
        <f t="shared" si="15"/>
        <v>1588784509</v>
      </c>
      <c r="DJ3" s="19">
        <f t="shared" si="15"/>
        <v>161856750</v>
      </c>
      <c r="DK3" s="19">
        <f t="shared" si="15"/>
        <v>7327418676</v>
      </c>
      <c r="DL3" s="19">
        <f t="shared" si="15"/>
        <v>429248602</v>
      </c>
      <c r="DM3" s="19">
        <f t="shared" si="15"/>
        <v>730780829</v>
      </c>
      <c r="DN3" s="19">
        <f t="shared" si="15"/>
        <v>463319277</v>
      </c>
      <c r="DO3" s="19">
        <f t="shared" si="15"/>
        <v>7941542</v>
      </c>
      <c r="DP3" s="19">
        <f t="shared" si="15"/>
        <v>915990726</v>
      </c>
      <c r="DQ3" s="19">
        <f t="shared" si="15"/>
        <v>442562884</v>
      </c>
      <c r="DR3" s="19">
        <f t="shared" si="15"/>
        <v>716631498</v>
      </c>
      <c r="DS3" s="19">
        <f>DS4+DS12+DS13</f>
        <v>266099407</v>
      </c>
      <c r="DT3" s="19">
        <f t="shared" ref="DT3:FF3" si="16">DT4+DT12+DT13</f>
        <v>1097372796</v>
      </c>
      <c r="DU3" s="19">
        <f t="shared" si="16"/>
        <v>258939554</v>
      </c>
      <c r="DV3" s="19">
        <f t="shared" si="16"/>
        <v>1906780748</v>
      </c>
      <c r="DW3" s="19">
        <f t="shared" si="16"/>
        <v>561530491</v>
      </c>
      <c r="DX3" s="19">
        <f t="shared" si="16"/>
        <v>7785905555</v>
      </c>
      <c r="DY3" s="19">
        <f t="shared" si="16"/>
        <v>676354830</v>
      </c>
      <c r="DZ3" s="19">
        <f t="shared" si="16"/>
        <v>901481388</v>
      </c>
      <c r="EA3" s="19">
        <f t="shared" si="16"/>
        <v>72185222</v>
      </c>
      <c r="EB3" s="19">
        <f t="shared" si="16"/>
        <v>3054923714</v>
      </c>
      <c r="EC3" s="19">
        <f t="shared" si="16"/>
        <v>513479907</v>
      </c>
      <c r="ED3" s="19">
        <f t="shared" si="16"/>
        <v>59638722</v>
      </c>
      <c r="EE3" s="19">
        <f t="shared" si="16"/>
        <v>625733351</v>
      </c>
      <c r="EF3" s="19">
        <f t="shared" si="16"/>
        <v>542623394</v>
      </c>
      <c r="EG3" s="19">
        <f t="shared" si="16"/>
        <v>11044359721</v>
      </c>
      <c r="EH3" s="19">
        <f t="shared" si="16"/>
        <v>242880629</v>
      </c>
      <c r="EI3" s="19">
        <f t="shared" si="16"/>
        <v>4988711039</v>
      </c>
      <c r="EJ3" s="19">
        <f t="shared" si="16"/>
        <v>356664482</v>
      </c>
      <c r="EK3" s="19">
        <f t="shared" si="16"/>
        <v>4400339297</v>
      </c>
      <c r="EL3" s="19">
        <f t="shared" si="16"/>
        <v>2155242318</v>
      </c>
      <c r="EM3" s="19">
        <f t="shared" si="16"/>
        <v>630305421</v>
      </c>
      <c r="EN3" s="19">
        <f t="shared" si="16"/>
        <v>1491450995</v>
      </c>
      <c r="EO3" s="19">
        <f t="shared" si="16"/>
        <v>185415882</v>
      </c>
      <c r="EP3" s="19">
        <f t="shared" si="16"/>
        <v>472578517</v>
      </c>
      <c r="EQ3" s="19">
        <f t="shared" si="16"/>
        <v>2289723256</v>
      </c>
      <c r="ER3" s="19">
        <f t="shared" si="16"/>
        <v>1279828044</v>
      </c>
      <c r="ES3" s="19">
        <f t="shared" si="16"/>
        <v>1273127218</v>
      </c>
      <c r="ET3" s="19">
        <f t="shared" si="16"/>
        <v>13282598864</v>
      </c>
      <c r="EU3" s="19">
        <f t="shared" si="16"/>
        <v>3808846779</v>
      </c>
      <c r="EV3" s="19">
        <f t="shared" si="16"/>
        <v>299073589</v>
      </c>
      <c r="EW3" s="19">
        <f t="shared" si="16"/>
        <v>425307135</v>
      </c>
      <c r="EX3" s="19">
        <f t="shared" si="16"/>
        <v>698732671</v>
      </c>
      <c r="EY3" s="19">
        <f t="shared" si="16"/>
        <v>1167842992</v>
      </c>
      <c r="EZ3" s="19">
        <f t="shared" si="16"/>
        <v>391331231</v>
      </c>
      <c r="FA3" s="19">
        <f t="shared" si="16"/>
        <v>210142108</v>
      </c>
      <c r="FB3" s="19">
        <f t="shared" si="16"/>
        <v>36617808</v>
      </c>
      <c r="FC3" s="19">
        <f t="shared" si="16"/>
        <v>468419957</v>
      </c>
      <c r="FD3" s="19">
        <f t="shared" si="16"/>
        <v>106689569</v>
      </c>
      <c r="FE3" s="19">
        <f t="shared" si="16"/>
        <v>5140625626</v>
      </c>
      <c r="FF3" s="19">
        <f t="shared" si="16"/>
        <v>80530250</v>
      </c>
      <c r="FG3" s="19" t="s">
        <v>172</v>
      </c>
      <c r="FH3" s="19">
        <f>FH4+FH12+FH13</f>
        <v>501119332</v>
      </c>
      <c r="FI3" s="19" t="s">
        <v>172</v>
      </c>
      <c r="FJ3" s="19">
        <f>FJ4+FJ12+FJ13</f>
        <v>232786750</v>
      </c>
      <c r="FK3" s="19">
        <f>FK4+FK12+FK13</f>
        <v>692322444</v>
      </c>
      <c r="FL3" s="19">
        <f>FL4+FL12+FL13</f>
        <v>205800154</v>
      </c>
      <c r="FM3" s="19">
        <f>FM4+FM12+FM13</f>
        <v>131977568</v>
      </c>
      <c r="FN3" s="19">
        <f>FN4+FN12+FN13</f>
        <v>4816480655</v>
      </c>
      <c r="FO3" s="56" t="s">
        <v>172</v>
      </c>
      <c r="FP3" s="19">
        <f t="shared" ref="FP3:FU3" si="17">FP4+FP12+FP13</f>
        <v>153276308</v>
      </c>
      <c r="FQ3" s="19">
        <f t="shared" si="17"/>
        <v>169525419</v>
      </c>
      <c r="FR3" s="19">
        <f t="shared" si="17"/>
        <v>462850716</v>
      </c>
      <c r="FS3" s="19">
        <f t="shared" si="17"/>
        <v>123077080</v>
      </c>
      <c r="FT3" s="19">
        <f t="shared" si="17"/>
        <v>7508021911</v>
      </c>
      <c r="FU3" s="19">
        <f t="shared" si="17"/>
        <v>69636088</v>
      </c>
      <c r="FV3" s="19" t="s">
        <v>172</v>
      </c>
      <c r="FW3" s="19">
        <f>FW4+FW12+FW13</f>
        <v>163653012</v>
      </c>
      <c r="FX3" s="19">
        <f>FX4+FX12+FX13</f>
        <v>89926955</v>
      </c>
      <c r="FY3" s="19" t="s">
        <v>172</v>
      </c>
      <c r="FZ3" s="19" t="s">
        <v>175</v>
      </c>
      <c r="GA3" s="19">
        <f>GA4+GA12+GA13</f>
        <v>1636149184</v>
      </c>
      <c r="GB3" s="19">
        <f>GB4+GB12+GB13</f>
        <v>128006267</v>
      </c>
      <c r="GC3" s="19">
        <f>GC4+GC12+GC13</f>
        <v>208331057</v>
      </c>
      <c r="GD3" s="19" t="s">
        <v>172</v>
      </c>
      <c r="GE3" s="19" t="s">
        <v>172</v>
      </c>
      <c r="GF3" s="19">
        <f>GF4+GF12+GF13</f>
        <v>643029101</v>
      </c>
      <c r="GG3" s="19">
        <f>GG4+GG12+GG13</f>
        <v>2308202065</v>
      </c>
      <c r="GH3" s="19" t="s">
        <v>172</v>
      </c>
      <c r="GI3" s="19">
        <f t="shared" ref="GI3:KH3" si="18">GI4+GI12+GI13</f>
        <v>175887651</v>
      </c>
      <c r="GJ3" s="19" t="s">
        <v>172</v>
      </c>
      <c r="GK3" s="19">
        <f t="shared" si="18"/>
        <v>128787347</v>
      </c>
      <c r="GL3" s="19" t="s">
        <v>172</v>
      </c>
      <c r="GM3" s="19">
        <f t="shared" si="18"/>
        <v>38076211</v>
      </c>
      <c r="GN3" s="19">
        <f t="shared" si="18"/>
        <v>208872302</v>
      </c>
      <c r="GO3" s="19" t="s">
        <v>172</v>
      </c>
      <c r="GP3" s="19">
        <f t="shared" si="18"/>
        <v>3015148914</v>
      </c>
      <c r="GQ3" s="19">
        <f t="shared" si="18"/>
        <v>587738734</v>
      </c>
      <c r="GR3" s="19">
        <f t="shared" si="18"/>
        <v>1624475125</v>
      </c>
      <c r="GS3" s="19">
        <f t="shared" si="18"/>
        <v>154609059</v>
      </c>
      <c r="GT3" s="19">
        <f t="shared" si="18"/>
        <v>41047949</v>
      </c>
      <c r="GU3" s="19">
        <f t="shared" si="18"/>
        <v>44962470</v>
      </c>
      <c r="GV3" s="19">
        <f>GV4+GV12+GV13</f>
        <v>753341716</v>
      </c>
      <c r="GW3" s="19">
        <f>GW4+GW12+GW13</f>
        <v>7491868711</v>
      </c>
      <c r="GX3" s="19">
        <f t="shared" si="18"/>
        <v>521189099</v>
      </c>
      <c r="GY3" s="19">
        <f t="shared" si="18"/>
        <v>528128706</v>
      </c>
      <c r="GZ3" s="19">
        <f t="shared" si="18"/>
        <v>396284549</v>
      </c>
      <c r="HA3" s="19" t="s">
        <v>172</v>
      </c>
      <c r="HB3" s="19">
        <f t="shared" si="18"/>
        <v>1213157462</v>
      </c>
      <c r="HC3" s="19">
        <f t="shared" si="18"/>
        <v>437123767</v>
      </c>
      <c r="HD3" s="19">
        <f t="shared" si="18"/>
        <v>843393325</v>
      </c>
      <c r="HE3" s="19" t="s">
        <v>172</v>
      </c>
      <c r="HF3" s="19">
        <f t="shared" si="18"/>
        <v>989942239</v>
      </c>
      <c r="HG3" s="19">
        <f t="shared" si="18"/>
        <v>1321877317</v>
      </c>
      <c r="HH3" s="19" t="s">
        <v>172</v>
      </c>
      <c r="HI3" s="19">
        <f t="shared" si="18"/>
        <v>1170247239</v>
      </c>
      <c r="HJ3" s="19" t="s">
        <v>172</v>
      </c>
      <c r="HK3" s="19">
        <f t="shared" si="18"/>
        <v>1652366011</v>
      </c>
      <c r="HL3" s="19">
        <f t="shared" si="18"/>
        <v>1523566346</v>
      </c>
      <c r="HM3" s="19">
        <f t="shared" si="18"/>
        <v>100272695</v>
      </c>
      <c r="HN3" s="19">
        <f t="shared" si="18"/>
        <v>331883631</v>
      </c>
      <c r="HO3" s="19">
        <f t="shared" si="18"/>
        <v>829809003</v>
      </c>
      <c r="HP3" s="19">
        <f t="shared" si="18"/>
        <v>614584489</v>
      </c>
      <c r="HQ3" s="19">
        <f t="shared" si="18"/>
        <v>511856612</v>
      </c>
      <c r="HR3" s="19">
        <f t="shared" si="18"/>
        <v>2788218655</v>
      </c>
      <c r="HS3" s="19">
        <f t="shared" si="18"/>
        <v>509601028</v>
      </c>
      <c r="HT3" s="19">
        <f t="shared" si="18"/>
        <v>574410089</v>
      </c>
      <c r="HU3" s="19">
        <f t="shared" si="18"/>
        <v>1402677703</v>
      </c>
      <c r="HV3" s="19">
        <f t="shared" si="18"/>
        <v>84447993</v>
      </c>
      <c r="HW3" s="19" t="s">
        <v>172</v>
      </c>
      <c r="HX3" s="19">
        <f t="shared" si="18"/>
        <v>883494962</v>
      </c>
      <c r="HY3" s="19" t="s">
        <v>172</v>
      </c>
      <c r="HZ3" s="19">
        <f t="shared" si="18"/>
        <v>3878905088</v>
      </c>
      <c r="IA3" s="19">
        <f t="shared" si="18"/>
        <v>1055176956</v>
      </c>
      <c r="IB3" s="19">
        <f t="shared" si="18"/>
        <v>891507894</v>
      </c>
      <c r="IC3" s="19">
        <f t="shared" si="18"/>
        <v>3276655402</v>
      </c>
      <c r="ID3" s="19">
        <f t="shared" si="18"/>
        <v>42701846</v>
      </c>
      <c r="IE3" s="19" t="s">
        <v>172</v>
      </c>
      <c r="IF3" s="19">
        <f t="shared" si="18"/>
        <v>79257097</v>
      </c>
      <c r="IG3" s="19">
        <f t="shared" si="18"/>
        <v>84692220</v>
      </c>
      <c r="IH3" s="19">
        <f t="shared" si="18"/>
        <v>724913939</v>
      </c>
      <c r="II3" s="19">
        <f t="shared" si="18"/>
        <v>60194675</v>
      </c>
      <c r="IJ3" s="19">
        <f t="shared" si="18"/>
        <v>153487898</v>
      </c>
      <c r="IK3" s="19">
        <f t="shared" si="18"/>
        <v>534617326</v>
      </c>
      <c r="IL3" s="19">
        <f t="shared" si="18"/>
        <v>339188831</v>
      </c>
      <c r="IM3" s="19">
        <f>IM4+IM12+IM13</f>
        <v>864486841</v>
      </c>
      <c r="IN3" s="19">
        <f t="shared" si="18"/>
        <v>1657378903</v>
      </c>
      <c r="IO3" s="19">
        <f t="shared" si="18"/>
        <v>824202566</v>
      </c>
      <c r="IP3" s="19">
        <f t="shared" si="18"/>
        <v>329526823</v>
      </c>
      <c r="IQ3" s="19">
        <f t="shared" si="18"/>
        <v>609257517</v>
      </c>
      <c r="IR3" s="19">
        <f t="shared" si="18"/>
        <v>1010113926</v>
      </c>
      <c r="IS3" s="19">
        <f t="shared" si="18"/>
        <v>1221715278</v>
      </c>
      <c r="IT3" s="19">
        <f t="shared" si="18"/>
        <v>525141103</v>
      </c>
      <c r="IU3" s="19">
        <f t="shared" si="18"/>
        <v>2241545308</v>
      </c>
      <c r="IV3" s="19">
        <f t="shared" si="18"/>
        <v>286632114</v>
      </c>
      <c r="IW3" s="19">
        <f t="shared" si="18"/>
        <v>254498725</v>
      </c>
      <c r="IX3" s="19">
        <f t="shared" si="18"/>
        <v>516781545</v>
      </c>
      <c r="IY3" s="19">
        <f t="shared" si="18"/>
        <v>1538298025</v>
      </c>
      <c r="IZ3" s="19">
        <f t="shared" si="18"/>
        <v>467264910</v>
      </c>
      <c r="JA3" s="19">
        <f t="shared" si="18"/>
        <v>2113306625</v>
      </c>
      <c r="JB3" s="19">
        <f t="shared" si="18"/>
        <v>981122214</v>
      </c>
      <c r="JC3" s="19">
        <f t="shared" si="18"/>
        <v>298612426</v>
      </c>
      <c r="JD3" s="19">
        <f t="shared" si="18"/>
        <v>886723470</v>
      </c>
      <c r="JE3" s="19">
        <f t="shared" si="18"/>
        <v>146034988</v>
      </c>
      <c r="JF3" s="19">
        <f t="shared" si="18"/>
        <v>665648338</v>
      </c>
      <c r="JG3" s="19">
        <f t="shared" si="18"/>
        <v>10949809</v>
      </c>
      <c r="JH3" s="19">
        <f t="shared" si="18"/>
        <v>61943525</v>
      </c>
      <c r="JI3" s="19">
        <f t="shared" si="18"/>
        <v>209932870</v>
      </c>
      <c r="JJ3" s="19">
        <f t="shared" si="18"/>
        <v>20690349</v>
      </c>
      <c r="JK3" s="19">
        <f t="shared" si="18"/>
        <v>211181161</v>
      </c>
      <c r="JL3" s="19">
        <f t="shared" si="18"/>
        <v>802041074</v>
      </c>
      <c r="JM3" s="19">
        <f t="shared" si="18"/>
        <v>96048435</v>
      </c>
      <c r="JN3" s="19">
        <f t="shared" si="18"/>
        <v>3049723949</v>
      </c>
      <c r="JO3" s="19">
        <f t="shared" si="18"/>
        <v>22592509</v>
      </c>
      <c r="JP3" s="19">
        <f t="shared" si="18"/>
        <v>249865158</v>
      </c>
      <c r="JQ3" s="19" t="s">
        <v>175</v>
      </c>
      <c r="JR3" s="19">
        <f t="shared" si="18"/>
        <v>502730981</v>
      </c>
      <c r="JS3" s="19">
        <f t="shared" si="18"/>
        <v>41463586</v>
      </c>
      <c r="JT3" s="19">
        <f t="shared" si="18"/>
        <v>30138247</v>
      </c>
      <c r="JU3" s="19">
        <f t="shared" si="18"/>
        <v>259860065</v>
      </c>
      <c r="JV3" s="19">
        <f t="shared" si="18"/>
        <v>674263121</v>
      </c>
      <c r="JW3" s="19">
        <f t="shared" si="18"/>
        <v>173512919</v>
      </c>
      <c r="JX3" s="19">
        <f t="shared" si="18"/>
        <v>2265842415</v>
      </c>
      <c r="JY3" s="19">
        <f t="shared" si="18"/>
        <v>1205647259</v>
      </c>
      <c r="JZ3" s="19">
        <f t="shared" si="18"/>
        <v>73949545</v>
      </c>
      <c r="KA3" s="19">
        <f t="shared" si="18"/>
        <v>407079927</v>
      </c>
      <c r="KB3" s="19">
        <f t="shared" si="18"/>
        <v>2458319177</v>
      </c>
      <c r="KC3" s="19">
        <f t="shared" si="18"/>
        <v>505380512</v>
      </c>
      <c r="KD3" s="19">
        <f t="shared" si="18"/>
        <v>239715045</v>
      </c>
      <c r="KE3" s="19">
        <f t="shared" si="18"/>
        <v>47376530</v>
      </c>
      <c r="KF3" s="19">
        <f t="shared" si="18"/>
        <v>821249263</v>
      </c>
      <c r="KG3" s="19">
        <f t="shared" si="18"/>
        <v>542762645</v>
      </c>
      <c r="KH3" s="19">
        <f t="shared" si="18"/>
        <v>207290036</v>
      </c>
      <c r="KI3" s="19">
        <f t="shared" ref="KI3:KY3" si="19">KI4+KI12+KI13</f>
        <v>465464062</v>
      </c>
      <c r="KJ3" s="19">
        <f t="shared" si="19"/>
        <v>741683343</v>
      </c>
      <c r="KK3" s="19">
        <f t="shared" si="19"/>
        <v>1738496039</v>
      </c>
      <c r="KL3" s="19">
        <f t="shared" si="19"/>
        <v>14073321069</v>
      </c>
      <c r="KM3" s="19">
        <f t="shared" si="19"/>
        <v>200379248</v>
      </c>
      <c r="KN3" s="19">
        <f t="shared" si="19"/>
        <v>3844340689</v>
      </c>
      <c r="KO3" s="19">
        <f t="shared" si="19"/>
        <v>1314768212</v>
      </c>
      <c r="KP3" s="19">
        <f t="shared" si="19"/>
        <v>542123152</v>
      </c>
      <c r="KQ3" s="19">
        <f t="shared" si="19"/>
        <v>81897233</v>
      </c>
      <c r="KR3" s="19">
        <f t="shared" si="19"/>
        <v>204684660</v>
      </c>
      <c r="KS3" s="19">
        <f t="shared" si="19"/>
        <v>356019723</v>
      </c>
      <c r="KT3" s="19">
        <f t="shared" si="19"/>
        <v>80254120</v>
      </c>
      <c r="KU3" s="19">
        <f t="shared" si="19"/>
        <v>2437719111</v>
      </c>
      <c r="KV3" s="19">
        <f t="shared" si="19"/>
        <v>88838407</v>
      </c>
      <c r="KW3" s="19">
        <f t="shared" si="19"/>
        <v>194202532</v>
      </c>
      <c r="KX3" s="19">
        <f t="shared" si="19"/>
        <v>97270700</v>
      </c>
      <c r="KY3" s="19">
        <f t="shared" si="19"/>
        <v>1037009767</v>
      </c>
      <c r="KZ3" s="58">
        <f>KZ4+KZ12+KZ13</f>
        <v>719724700</v>
      </c>
      <c r="LA3" s="76">
        <v>343402893</v>
      </c>
      <c r="LB3" s="76">
        <v>-9576498</v>
      </c>
    </row>
    <row r="4" spans="1:314" ht="17.55" customHeight="1">
      <c r="A4" s="7" t="s">
        <v>100</v>
      </c>
      <c r="B4" s="11" t="s">
        <v>23</v>
      </c>
      <c r="C4" s="19">
        <f>SUM(C5:C11)</f>
        <v>376136816</v>
      </c>
      <c r="D4" s="19">
        <f>SUM(D5:D11)</f>
        <v>1798574467</v>
      </c>
      <c r="E4" s="19">
        <f>SUM(E5:E11)</f>
        <v>506811534</v>
      </c>
      <c r="F4" s="19">
        <f>SUM(F5:F11)</f>
        <v>1079596361</v>
      </c>
      <c r="G4" s="19" t="s">
        <v>130</v>
      </c>
      <c r="H4" s="19">
        <f>SUM(H5:H11)</f>
        <v>582267594</v>
      </c>
      <c r="I4" s="19">
        <f>SUM(I5:I11)</f>
        <v>2112520336</v>
      </c>
      <c r="J4" s="19" t="s">
        <v>176</v>
      </c>
      <c r="K4" s="19">
        <f>SUM(K5:K11)</f>
        <v>685860386</v>
      </c>
      <c r="L4" s="19" t="s">
        <v>96</v>
      </c>
      <c r="M4" s="19" t="s">
        <v>96</v>
      </c>
      <c r="N4" s="19">
        <f t="shared" ref="N4:S4" si="20">SUM(N5:N11)</f>
        <v>277389653</v>
      </c>
      <c r="O4" s="19">
        <f t="shared" si="20"/>
        <v>2447723434</v>
      </c>
      <c r="P4" s="19">
        <f t="shared" si="20"/>
        <v>942571085</v>
      </c>
      <c r="Q4" s="19">
        <f t="shared" si="20"/>
        <v>150936782</v>
      </c>
      <c r="R4" s="19">
        <f t="shared" si="20"/>
        <v>119474350</v>
      </c>
      <c r="S4" s="19">
        <f t="shared" si="20"/>
        <v>2227288896</v>
      </c>
      <c r="T4" s="19" t="s">
        <v>96</v>
      </c>
      <c r="U4" s="19" t="s">
        <v>96</v>
      </c>
      <c r="V4" s="19" t="s">
        <v>172</v>
      </c>
      <c r="W4" s="19">
        <f t="shared" ref="W4:AE4" si="21">SUM(W5:W11)</f>
        <v>148469952</v>
      </c>
      <c r="X4" s="19">
        <f t="shared" si="21"/>
        <v>2788807843</v>
      </c>
      <c r="Y4" s="19">
        <f t="shared" si="21"/>
        <v>44503419</v>
      </c>
      <c r="Z4" s="19">
        <f t="shared" si="21"/>
        <v>3576632487</v>
      </c>
      <c r="AA4" s="19">
        <f t="shared" si="21"/>
        <v>2530265411</v>
      </c>
      <c r="AB4" s="19">
        <f t="shared" si="21"/>
        <v>117859186</v>
      </c>
      <c r="AC4" s="19">
        <f t="shared" si="21"/>
        <v>727569417</v>
      </c>
      <c r="AD4" s="19">
        <f t="shared" si="21"/>
        <v>639979295</v>
      </c>
      <c r="AE4" s="19">
        <f t="shared" si="21"/>
        <v>366355786</v>
      </c>
      <c r="AF4" s="56" t="s">
        <v>172</v>
      </c>
      <c r="AG4" s="19">
        <f>SUM(AG5:AG11)</f>
        <v>254742607</v>
      </c>
      <c r="AH4" s="19" t="s">
        <v>167</v>
      </c>
      <c r="AI4" s="19">
        <f>SUM(AI5:AI11)</f>
        <v>17338094</v>
      </c>
      <c r="AJ4" s="19">
        <f>SUM(AJ5:AJ11)</f>
        <v>115773980</v>
      </c>
      <c r="AK4" s="19">
        <f>SUM(AK5:AK11)</f>
        <v>1871381859</v>
      </c>
      <c r="AL4" s="19">
        <f>SUM(AL5:AL11)</f>
        <v>1023683260</v>
      </c>
      <c r="AM4" s="19" t="s">
        <v>4</v>
      </c>
      <c r="AN4" s="19">
        <f>SUM(AN5:AN11)</f>
        <v>210313539</v>
      </c>
      <c r="AO4" s="19">
        <f>SUM(AO5:AO11)</f>
        <v>611785039</v>
      </c>
      <c r="AP4" s="19">
        <f>SUM(AP5:AP11)</f>
        <v>650906512</v>
      </c>
      <c r="AQ4" s="19" t="s">
        <v>172</v>
      </c>
      <c r="AR4" s="19">
        <f>SUM(AR5:AR11)</f>
        <v>495884860</v>
      </c>
      <c r="AS4" s="19">
        <f>SUM(AS5:AS11)</f>
        <v>764463379</v>
      </c>
      <c r="AT4" s="19" t="s">
        <v>172</v>
      </c>
      <c r="AU4" s="19">
        <f>SUM(AU5:AU11)</f>
        <v>9456345587</v>
      </c>
      <c r="AV4" s="19">
        <f>SUM(AV5:AV11)</f>
        <v>594093198</v>
      </c>
      <c r="AW4" s="19">
        <f>SUM(AW5:AW11)</f>
        <v>71852916</v>
      </c>
      <c r="AX4" s="19" t="s">
        <v>4</v>
      </c>
      <c r="AY4" s="19">
        <f>SUM(AY5:AY11)</f>
        <v>65439753</v>
      </c>
      <c r="AZ4" s="19">
        <f>SUM(AZ5:AZ11)</f>
        <v>289909184</v>
      </c>
      <c r="BA4" s="19" t="s">
        <v>167</v>
      </c>
      <c r="BB4" s="19">
        <f>SUM(BB5:BB11)</f>
        <v>14768909</v>
      </c>
      <c r="BC4" s="19" t="s">
        <v>4</v>
      </c>
      <c r="BD4" s="19" t="s">
        <v>172</v>
      </c>
      <c r="BE4" s="19">
        <f>SUM(BE5:BE11)</f>
        <v>467003788</v>
      </c>
      <c r="BF4" s="19" t="s">
        <v>96</v>
      </c>
      <c r="BG4" s="19">
        <f t="shared" ref="BG4:BN4" si="22">SUM(BG5:BG11)</f>
        <v>599066414</v>
      </c>
      <c r="BH4" s="19">
        <f t="shared" si="22"/>
        <v>118462797</v>
      </c>
      <c r="BI4" s="19">
        <f t="shared" si="22"/>
        <v>353829210</v>
      </c>
      <c r="BJ4" s="19">
        <f t="shared" si="22"/>
        <v>613236428</v>
      </c>
      <c r="BK4" s="19">
        <f t="shared" si="22"/>
        <v>1967453076</v>
      </c>
      <c r="BL4" s="19">
        <f t="shared" si="22"/>
        <v>870645511</v>
      </c>
      <c r="BM4" s="19">
        <f t="shared" si="22"/>
        <v>647617691</v>
      </c>
      <c r="BN4" s="19">
        <f t="shared" si="22"/>
        <v>40333023</v>
      </c>
      <c r="BO4" s="19" t="s">
        <v>96</v>
      </c>
      <c r="BP4" s="19" t="s">
        <v>96</v>
      </c>
      <c r="BQ4" s="19" t="s">
        <v>175</v>
      </c>
      <c r="BR4" s="19">
        <f>SUM(BR5:BR11)</f>
        <v>4781890141</v>
      </c>
      <c r="BS4" s="19" t="s">
        <v>172</v>
      </c>
      <c r="BT4" s="19">
        <f t="shared" ref="BT4:CD4" si="23">SUM(BT5:BT11)</f>
        <v>34313204</v>
      </c>
      <c r="BU4" s="19">
        <f t="shared" si="23"/>
        <v>133269403</v>
      </c>
      <c r="BV4" s="19">
        <f t="shared" si="23"/>
        <v>711798103</v>
      </c>
      <c r="BW4" s="19">
        <f t="shared" si="23"/>
        <v>3821099</v>
      </c>
      <c r="BX4" s="19">
        <f t="shared" si="23"/>
        <v>158460650</v>
      </c>
      <c r="BY4" s="19">
        <f t="shared" si="23"/>
        <v>780499683</v>
      </c>
      <c r="BZ4" s="19">
        <f t="shared" si="23"/>
        <v>837377859</v>
      </c>
      <c r="CA4" s="19">
        <f t="shared" si="23"/>
        <v>732232438</v>
      </c>
      <c r="CB4" s="19">
        <f t="shared" si="23"/>
        <v>74221207</v>
      </c>
      <c r="CC4" s="19">
        <f t="shared" si="23"/>
        <v>107575635</v>
      </c>
      <c r="CD4" s="19">
        <f t="shared" si="23"/>
        <v>1381157734</v>
      </c>
      <c r="CE4" s="19" t="s">
        <v>172</v>
      </c>
      <c r="CF4" s="19">
        <f>SUM(CF5:CF11)</f>
        <v>105948064</v>
      </c>
      <c r="CG4" s="19">
        <f>SUM(CG5:CG11)</f>
        <v>92934349</v>
      </c>
      <c r="CH4" s="19">
        <f>SUM(CH5:CH11)</f>
        <v>429550900</v>
      </c>
      <c r="CI4" s="19" t="s">
        <v>172</v>
      </c>
      <c r="CJ4" s="19">
        <f t="shared" ref="CJ4:CP4" si="24">SUM(CJ5:CJ11)</f>
        <v>47249422</v>
      </c>
      <c r="CK4" s="19">
        <f t="shared" si="24"/>
        <v>89652672</v>
      </c>
      <c r="CL4" s="19">
        <f t="shared" si="24"/>
        <v>33194097</v>
      </c>
      <c r="CM4" s="19">
        <f t="shared" si="24"/>
        <v>3934586566</v>
      </c>
      <c r="CN4" s="19">
        <f t="shared" si="24"/>
        <v>126258179</v>
      </c>
      <c r="CO4" s="19">
        <f t="shared" si="24"/>
        <v>126473022</v>
      </c>
      <c r="CP4" s="19">
        <f t="shared" si="24"/>
        <v>544312782</v>
      </c>
      <c r="CQ4" s="19" t="s">
        <v>96</v>
      </c>
      <c r="CR4" s="19">
        <f>SUM(CR5:CR11)</f>
        <v>585261696</v>
      </c>
      <c r="CS4" s="56" t="s">
        <v>172</v>
      </c>
      <c r="CT4" s="19">
        <f>SUM(CT5:CT11)</f>
        <v>8865934645</v>
      </c>
      <c r="CU4" s="19">
        <f>SUM(CU5:CU11)</f>
        <v>311675484</v>
      </c>
      <c r="CV4" s="19">
        <v>22998508</v>
      </c>
      <c r="CW4" s="19">
        <f>SUM(CW5:CW11)</f>
        <v>1209878401</v>
      </c>
      <c r="CX4" s="19">
        <f>SUM(CX5:CX11)</f>
        <v>7057627564</v>
      </c>
      <c r="CY4" s="19" t="s">
        <v>96</v>
      </c>
      <c r="CZ4" s="19">
        <f>SUM(CZ5:CZ11)</f>
        <v>1246937765</v>
      </c>
      <c r="DA4" s="19" t="s">
        <v>175</v>
      </c>
      <c r="DB4" s="19">
        <f t="shared" ref="DB4:DR4" si="25">SUM(DB5:DB11)</f>
        <v>547627327</v>
      </c>
      <c r="DC4" s="19">
        <f t="shared" si="25"/>
        <v>28105822</v>
      </c>
      <c r="DD4" s="19">
        <f t="shared" si="25"/>
        <v>39274466</v>
      </c>
      <c r="DE4" s="19">
        <f t="shared" si="25"/>
        <v>162255156</v>
      </c>
      <c r="DF4" s="19">
        <f t="shared" si="25"/>
        <v>23964745</v>
      </c>
      <c r="DG4" s="19">
        <f t="shared" si="25"/>
        <v>302493923</v>
      </c>
      <c r="DH4" s="19">
        <f t="shared" si="25"/>
        <v>1740284692</v>
      </c>
      <c r="DI4" s="19">
        <f t="shared" si="25"/>
        <v>1246116309</v>
      </c>
      <c r="DJ4" s="19">
        <f t="shared" si="25"/>
        <v>161155300</v>
      </c>
      <c r="DK4" s="19">
        <f t="shared" si="25"/>
        <v>5072941536</v>
      </c>
      <c r="DL4" s="19">
        <f t="shared" si="25"/>
        <v>408284822</v>
      </c>
      <c r="DM4" s="19">
        <f t="shared" si="25"/>
        <v>279176919</v>
      </c>
      <c r="DN4" s="19">
        <f t="shared" si="25"/>
        <v>300427286</v>
      </c>
      <c r="DO4" s="19">
        <f t="shared" si="25"/>
        <v>7941542</v>
      </c>
      <c r="DP4" s="19">
        <f t="shared" si="25"/>
        <v>777517790</v>
      </c>
      <c r="DQ4" s="19">
        <f t="shared" si="25"/>
        <v>344450438</v>
      </c>
      <c r="DR4" s="19">
        <f t="shared" si="25"/>
        <v>339206850</v>
      </c>
      <c r="DS4" s="19">
        <f>SUM(DS5:DS11)</f>
        <v>266099407</v>
      </c>
      <c r="DT4" s="19">
        <f t="shared" ref="DT4:FF4" si="26">SUM(DT5:DT11)</f>
        <v>927116766</v>
      </c>
      <c r="DU4" s="19">
        <f t="shared" si="26"/>
        <v>258939554</v>
      </c>
      <c r="DV4" s="19">
        <f t="shared" si="26"/>
        <v>1899193748</v>
      </c>
      <c r="DW4" s="19">
        <f t="shared" si="26"/>
        <v>561530491</v>
      </c>
      <c r="DX4" s="19">
        <f t="shared" si="26"/>
        <v>7785905555</v>
      </c>
      <c r="DY4" s="19">
        <f t="shared" si="26"/>
        <v>122028686</v>
      </c>
      <c r="DZ4" s="19">
        <f t="shared" si="26"/>
        <v>610805578</v>
      </c>
      <c r="EA4" s="19">
        <f t="shared" si="26"/>
        <v>72185222</v>
      </c>
      <c r="EB4" s="19">
        <f t="shared" si="26"/>
        <v>3014206214</v>
      </c>
      <c r="EC4" s="19">
        <f t="shared" si="26"/>
        <v>73729167</v>
      </c>
      <c r="ED4" s="19">
        <f t="shared" si="26"/>
        <v>59638722</v>
      </c>
      <c r="EE4" s="19">
        <f t="shared" si="26"/>
        <v>625733351</v>
      </c>
      <c r="EF4" s="19">
        <f t="shared" si="26"/>
        <v>265546804</v>
      </c>
      <c r="EG4" s="19">
        <f t="shared" si="26"/>
        <v>9568852212</v>
      </c>
      <c r="EH4" s="19">
        <f t="shared" si="26"/>
        <v>242880629</v>
      </c>
      <c r="EI4" s="19">
        <f t="shared" si="26"/>
        <v>4988711039</v>
      </c>
      <c r="EJ4" s="19">
        <f t="shared" si="26"/>
        <v>356664482</v>
      </c>
      <c r="EK4" s="19">
        <f t="shared" si="26"/>
        <v>4400339297</v>
      </c>
      <c r="EL4" s="19">
        <f t="shared" si="26"/>
        <v>2074809352</v>
      </c>
      <c r="EM4" s="19">
        <f t="shared" si="26"/>
        <v>560460381</v>
      </c>
      <c r="EN4" s="19">
        <f t="shared" si="26"/>
        <v>1491450995</v>
      </c>
      <c r="EO4" s="19">
        <f t="shared" si="26"/>
        <v>155123385</v>
      </c>
      <c r="EP4" s="19">
        <f t="shared" si="26"/>
        <v>251999889</v>
      </c>
      <c r="EQ4" s="19">
        <f t="shared" si="26"/>
        <v>2289723256</v>
      </c>
      <c r="ER4" s="19">
        <f t="shared" si="26"/>
        <v>1240895515</v>
      </c>
      <c r="ES4" s="19">
        <f t="shared" si="26"/>
        <v>946397627</v>
      </c>
      <c r="ET4" s="19">
        <f t="shared" si="26"/>
        <v>13282598864</v>
      </c>
      <c r="EU4" s="19">
        <f t="shared" si="26"/>
        <v>3808846779</v>
      </c>
      <c r="EV4" s="19">
        <f t="shared" si="26"/>
        <v>74696156</v>
      </c>
      <c r="EW4" s="19">
        <f t="shared" si="26"/>
        <v>125020335</v>
      </c>
      <c r="EX4" s="19">
        <f t="shared" si="26"/>
        <v>698732671</v>
      </c>
      <c r="EY4" s="19">
        <f t="shared" si="26"/>
        <v>1167842992</v>
      </c>
      <c r="EZ4" s="19">
        <f t="shared" si="26"/>
        <v>379388389</v>
      </c>
      <c r="FA4" s="19">
        <f t="shared" si="26"/>
        <v>170925302</v>
      </c>
      <c r="FB4" s="19">
        <f t="shared" si="26"/>
        <v>31580249</v>
      </c>
      <c r="FC4" s="19">
        <f t="shared" si="26"/>
        <v>468419957</v>
      </c>
      <c r="FD4" s="19">
        <f t="shared" si="26"/>
        <v>106689569</v>
      </c>
      <c r="FE4" s="19">
        <f t="shared" si="26"/>
        <v>4804194158</v>
      </c>
      <c r="FF4" s="19">
        <f t="shared" si="26"/>
        <v>80530250</v>
      </c>
      <c r="FG4" s="19" t="s">
        <v>172</v>
      </c>
      <c r="FH4" s="19">
        <f>SUM(FH5:FH11)</f>
        <v>468944332</v>
      </c>
      <c r="FI4" s="19" t="s">
        <v>172</v>
      </c>
      <c r="FJ4" s="19">
        <f>SUM(FJ5:FJ11)</f>
        <v>232786750</v>
      </c>
      <c r="FK4" s="19">
        <f>SUM(FK5:FK11)</f>
        <v>544399494</v>
      </c>
      <c r="FL4" s="19">
        <f>SUM(FL5:FL11)</f>
        <v>205800154</v>
      </c>
      <c r="FM4" s="19">
        <f>SUM(FM5:FM11)</f>
        <v>84448568</v>
      </c>
      <c r="FN4" s="19">
        <f>SUM(FN5:FN11)</f>
        <v>3213203981</v>
      </c>
      <c r="FO4" s="56" t="s">
        <v>172</v>
      </c>
      <c r="FP4" s="19">
        <f t="shared" ref="FP4:FU4" si="27">SUM(FP5:FP11)</f>
        <v>100988358</v>
      </c>
      <c r="FQ4" s="19">
        <f t="shared" si="27"/>
        <v>84525419</v>
      </c>
      <c r="FR4" s="19">
        <f t="shared" si="27"/>
        <v>424278219</v>
      </c>
      <c r="FS4" s="19">
        <f t="shared" si="27"/>
        <v>85802278</v>
      </c>
      <c r="FT4" s="19">
        <f t="shared" si="27"/>
        <v>5301976434</v>
      </c>
      <c r="FU4" s="19">
        <f t="shared" si="27"/>
        <v>69636088</v>
      </c>
      <c r="FV4" s="19" t="s">
        <v>172</v>
      </c>
      <c r="FW4" s="19">
        <f>SUM(FW5:FW11)</f>
        <v>11209292</v>
      </c>
      <c r="FX4" s="19">
        <f>SUM(FX5:FX11)</f>
        <v>89926955</v>
      </c>
      <c r="FY4" s="19" t="s">
        <v>172</v>
      </c>
      <c r="FZ4" s="19" t="s">
        <v>175</v>
      </c>
      <c r="GA4" s="19">
        <f>SUM(GA5:GA11)</f>
        <v>1605011784</v>
      </c>
      <c r="GB4" s="19">
        <f>SUM(GB5:GB11)</f>
        <v>128006267</v>
      </c>
      <c r="GC4" s="19">
        <f>SUM(GC5:GC11)</f>
        <v>208331057</v>
      </c>
      <c r="GD4" s="19" t="s">
        <v>172</v>
      </c>
      <c r="GE4" s="19" t="s">
        <v>172</v>
      </c>
      <c r="GF4" s="19">
        <f>SUM(GF5:GF11)</f>
        <v>450973660</v>
      </c>
      <c r="GG4" s="19">
        <f>SUM(GG5:GG11)</f>
        <v>1494189422</v>
      </c>
      <c r="GH4" s="19" t="s">
        <v>172</v>
      </c>
      <c r="GI4" s="19">
        <f t="shared" ref="GI4:KH4" si="28">SUM(GI5:GI11)</f>
        <v>50906901</v>
      </c>
      <c r="GJ4" s="19" t="s">
        <v>172</v>
      </c>
      <c r="GK4" s="19">
        <f t="shared" si="28"/>
        <v>77309710</v>
      </c>
      <c r="GL4" s="19" t="s">
        <v>172</v>
      </c>
      <c r="GM4" s="19">
        <f t="shared" si="28"/>
        <v>38076211</v>
      </c>
      <c r="GN4" s="19">
        <f t="shared" si="28"/>
        <v>208872302</v>
      </c>
      <c r="GO4" s="19" t="s">
        <v>172</v>
      </c>
      <c r="GP4" s="19">
        <f t="shared" si="28"/>
        <v>1940630126</v>
      </c>
      <c r="GQ4" s="19">
        <f t="shared" si="28"/>
        <v>538091914</v>
      </c>
      <c r="GR4" s="19">
        <f t="shared" si="28"/>
        <v>656539195</v>
      </c>
      <c r="GS4" s="19">
        <f t="shared" si="28"/>
        <v>154609059</v>
      </c>
      <c r="GT4" s="19">
        <f t="shared" si="28"/>
        <v>40328694</v>
      </c>
      <c r="GU4" s="19">
        <f t="shared" si="28"/>
        <v>44962470</v>
      </c>
      <c r="GV4" s="19">
        <f>SUM(GV5:GV11)</f>
        <v>753341716</v>
      </c>
      <c r="GW4" s="19">
        <f>SUM(GW5:GW11)</f>
        <v>4940518236</v>
      </c>
      <c r="GX4" s="19">
        <f t="shared" si="28"/>
        <v>147357802</v>
      </c>
      <c r="GY4" s="19">
        <f t="shared" si="28"/>
        <v>357275151</v>
      </c>
      <c r="GZ4" s="19">
        <f t="shared" si="28"/>
        <v>222461459</v>
      </c>
      <c r="HA4" s="19" t="s">
        <v>172</v>
      </c>
      <c r="HB4" s="19">
        <f t="shared" si="28"/>
        <v>1213157462</v>
      </c>
      <c r="HC4" s="19">
        <f t="shared" si="28"/>
        <v>364132463</v>
      </c>
      <c r="HD4" s="19">
        <f t="shared" si="28"/>
        <v>630507121</v>
      </c>
      <c r="HE4" s="19" t="s">
        <v>172</v>
      </c>
      <c r="HF4" s="19">
        <f t="shared" si="28"/>
        <v>989942239</v>
      </c>
      <c r="HG4" s="19">
        <f t="shared" si="28"/>
        <v>1291712982</v>
      </c>
      <c r="HH4" s="19" t="s">
        <v>172</v>
      </c>
      <c r="HI4" s="19">
        <f t="shared" si="28"/>
        <v>1170247239</v>
      </c>
      <c r="HJ4" s="19" t="s">
        <v>172</v>
      </c>
      <c r="HK4" s="19">
        <f t="shared" si="28"/>
        <v>1174249266</v>
      </c>
      <c r="HL4" s="19">
        <f t="shared" si="28"/>
        <v>1309182346</v>
      </c>
      <c r="HM4" s="19">
        <f t="shared" si="28"/>
        <v>100272695</v>
      </c>
      <c r="HN4" s="19">
        <f t="shared" si="28"/>
        <v>331883631</v>
      </c>
      <c r="HO4" s="19">
        <f t="shared" si="28"/>
        <v>815007863</v>
      </c>
      <c r="HP4" s="19">
        <f t="shared" si="28"/>
        <v>366268041</v>
      </c>
      <c r="HQ4" s="19">
        <f t="shared" si="28"/>
        <v>511856612</v>
      </c>
      <c r="HR4" s="19">
        <f t="shared" si="28"/>
        <v>2781421503</v>
      </c>
      <c r="HS4" s="19">
        <f t="shared" si="28"/>
        <v>263078620</v>
      </c>
      <c r="HT4" s="19">
        <f t="shared" si="28"/>
        <v>498430089</v>
      </c>
      <c r="HU4" s="19">
        <f t="shared" si="28"/>
        <v>1356517054</v>
      </c>
      <c r="HV4" s="19">
        <f t="shared" si="28"/>
        <v>82486544</v>
      </c>
      <c r="HW4" s="19" t="s">
        <v>172</v>
      </c>
      <c r="HX4" s="19">
        <f t="shared" si="28"/>
        <v>594362918</v>
      </c>
      <c r="HY4" s="19" t="s">
        <v>172</v>
      </c>
      <c r="HZ4" s="19">
        <f t="shared" si="28"/>
        <v>2891340210</v>
      </c>
      <c r="IA4" s="19">
        <f t="shared" si="28"/>
        <v>1055176956</v>
      </c>
      <c r="IB4" s="19">
        <f t="shared" si="28"/>
        <v>870901755</v>
      </c>
      <c r="IC4" s="19">
        <f t="shared" si="28"/>
        <v>3276655402</v>
      </c>
      <c r="ID4" s="19">
        <f t="shared" si="28"/>
        <v>35565017</v>
      </c>
      <c r="IE4" s="19" t="s">
        <v>172</v>
      </c>
      <c r="IF4" s="19">
        <f t="shared" si="28"/>
        <v>78791797</v>
      </c>
      <c r="IG4" s="19">
        <f t="shared" si="28"/>
        <v>22024350</v>
      </c>
      <c r="IH4" s="19">
        <f t="shared" si="28"/>
        <v>387577765</v>
      </c>
      <c r="II4" s="19">
        <f t="shared" si="28"/>
        <v>40194675</v>
      </c>
      <c r="IJ4" s="19">
        <f t="shared" si="28"/>
        <v>153487898</v>
      </c>
      <c r="IK4" s="19">
        <f t="shared" si="28"/>
        <v>375735190</v>
      </c>
      <c r="IL4" s="19">
        <f t="shared" si="28"/>
        <v>124733831</v>
      </c>
      <c r="IM4" s="19">
        <f>SUM(IM5:IM11)</f>
        <v>864486841</v>
      </c>
      <c r="IN4" s="19">
        <f t="shared" si="28"/>
        <v>1657378903</v>
      </c>
      <c r="IO4" s="19">
        <f t="shared" si="28"/>
        <v>622010366</v>
      </c>
      <c r="IP4" s="19">
        <f t="shared" si="28"/>
        <v>311963323</v>
      </c>
      <c r="IQ4" s="19">
        <f t="shared" si="28"/>
        <v>609257517</v>
      </c>
      <c r="IR4" s="19">
        <f t="shared" si="28"/>
        <v>730938174</v>
      </c>
      <c r="IS4" s="19">
        <f t="shared" si="28"/>
        <v>1221715278</v>
      </c>
      <c r="IT4" s="19">
        <f t="shared" si="28"/>
        <v>425063790</v>
      </c>
      <c r="IU4" s="19">
        <f t="shared" si="28"/>
        <v>2241545308</v>
      </c>
      <c r="IV4" s="19">
        <f t="shared" si="28"/>
        <v>278671407</v>
      </c>
      <c r="IW4" s="19">
        <f t="shared" si="28"/>
        <v>254498725</v>
      </c>
      <c r="IX4" s="19">
        <f t="shared" si="28"/>
        <v>370681545</v>
      </c>
      <c r="IY4" s="19">
        <f t="shared" si="28"/>
        <v>1511725298</v>
      </c>
      <c r="IZ4" s="19">
        <f t="shared" si="28"/>
        <v>155490600</v>
      </c>
      <c r="JA4" s="19">
        <f t="shared" si="28"/>
        <v>1030420652</v>
      </c>
      <c r="JB4" s="19">
        <f t="shared" si="28"/>
        <v>262902048</v>
      </c>
      <c r="JC4" s="19">
        <f t="shared" si="28"/>
        <v>76747776</v>
      </c>
      <c r="JD4" s="19">
        <f t="shared" si="28"/>
        <v>886723470</v>
      </c>
      <c r="JE4" s="19">
        <f t="shared" si="28"/>
        <v>146034988</v>
      </c>
      <c r="JF4" s="19">
        <f t="shared" si="28"/>
        <v>512137338</v>
      </c>
      <c r="JG4" s="19">
        <f t="shared" si="28"/>
        <v>3087106</v>
      </c>
      <c r="JH4" s="19">
        <f t="shared" si="28"/>
        <v>61943525</v>
      </c>
      <c r="JI4" s="19">
        <f t="shared" si="28"/>
        <v>122026990</v>
      </c>
      <c r="JJ4" s="19">
        <f t="shared" si="28"/>
        <v>20690349</v>
      </c>
      <c r="JK4" s="19">
        <f t="shared" si="28"/>
        <v>103181161</v>
      </c>
      <c r="JL4" s="19">
        <f t="shared" si="28"/>
        <v>802041074</v>
      </c>
      <c r="JM4" s="19">
        <f t="shared" si="28"/>
        <v>96048435</v>
      </c>
      <c r="JN4" s="19">
        <f t="shared" si="28"/>
        <v>2841254078</v>
      </c>
      <c r="JO4" s="19">
        <f t="shared" si="28"/>
        <v>22592509</v>
      </c>
      <c r="JP4" s="19">
        <f t="shared" si="28"/>
        <v>235363851</v>
      </c>
      <c r="JQ4" s="19" t="s">
        <v>175</v>
      </c>
      <c r="JR4" s="19">
        <f t="shared" si="28"/>
        <v>427754611</v>
      </c>
      <c r="JS4" s="19">
        <f t="shared" si="28"/>
        <v>41463586</v>
      </c>
      <c r="JT4" s="19">
        <f t="shared" si="28"/>
        <v>18317947</v>
      </c>
      <c r="JU4" s="19">
        <f t="shared" si="28"/>
        <v>163258794</v>
      </c>
      <c r="JV4" s="19">
        <f t="shared" si="28"/>
        <v>663535706</v>
      </c>
      <c r="JW4" s="19">
        <f t="shared" si="28"/>
        <v>149325865</v>
      </c>
      <c r="JX4" s="19">
        <f t="shared" si="28"/>
        <v>2265842415</v>
      </c>
      <c r="JY4" s="19">
        <f t="shared" si="28"/>
        <v>1205647259</v>
      </c>
      <c r="JZ4" s="19">
        <f t="shared" si="28"/>
        <v>24971045</v>
      </c>
      <c r="KA4" s="19">
        <f t="shared" si="28"/>
        <v>403924927</v>
      </c>
      <c r="KB4" s="19">
        <f t="shared" si="28"/>
        <v>1604974777</v>
      </c>
      <c r="KC4" s="19">
        <f t="shared" si="28"/>
        <v>104438668</v>
      </c>
      <c r="KD4" s="19">
        <f t="shared" si="28"/>
        <v>232193635</v>
      </c>
      <c r="KE4" s="19">
        <f t="shared" si="28"/>
        <v>19992530</v>
      </c>
      <c r="KF4" s="19">
        <f t="shared" si="28"/>
        <v>670785724</v>
      </c>
      <c r="KG4" s="19">
        <f t="shared" si="28"/>
        <v>189511870</v>
      </c>
      <c r="KH4" s="19">
        <f t="shared" si="28"/>
        <v>207290036</v>
      </c>
      <c r="KI4" s="19">
        <f t="shared" ref="KI4:KJ4" si="29">SUM(KI5:KI11)</f>
        <v>465464062</v>
      </c>
      <c r="KJ4" s="19">
        <f t="shared" si="29"/>
        <v>741683343</v>
      </c>
      <c r="KK4" s="19">
        <f t="shared" ref="KK4:KY4" si="30">SUM(KK5:KK11)</f>
        <v>1688175739</v>
      </c>
      <c r="KL4" s="19">
        <f t="shared" si="30"/>
        <v>11169164529</v>
      </c>
      <c r="KM4" s="19">
        <f t="shared" si="30"/>
        <v>182930120</v>
      </c>
      <c r="KN4" s="19">
        <f t="shared" si="30"/>
        <v>3844340689</v>
      </c>
      <c r="KO4" s="19">
        <f t="shared" si="30"/>
        <v>401616222</v>
      </c>
      <c r="KP4" s="19">
        <f t="shared" si="30"/>
        <v>542123152</v>
      </c>
      <c r="KQ4" s="19">
        <f t="shared" si="30"/>
        <v>74437233</v>
      </c>
      <c r="KR4" s="19">
        <f t="shared" si="30"/>
        <v>143073504</v>
      </c>
      <c r="KS4" s="19">
        <f t="shared" si="30"/>
        <v>279612598</v>
      </c>
      <c r="KT4" s="19">
        <f t="shared" si="30"/>
        <v>80254120</v>
      </c>
      <c r="KU4" s="19">
        <f t="shared" si="30"/>
        <v>2398182141</v>
      </c>
      <c r="KV4" s="19">
        <f t="shared" si="30"/>
        <v>87511907</v>
      </c>
      <c r="KW4" s="19">
        <f t="shared" si="30"/>
        <v>98202532</v>
      </c>
      <c r="KX4" s="19">
        <f t="shared" si="30"/>
        <v>84274158</v>
      </c>
      <c r="KY4" s="19">
        <f t="shared" si="30"/>
        <v>732380820</v>
      </c>
      <c r="KZ4" s="58">
        <v>622693080</v>
      </c>
      <c r="LA4" s="76">
        <v>343402893</v>
      </c>
      <c r="LB4" s="76">
        <v>-9576498</v>
      </c>
    </row>
    <row r="5" spans="1:314">
      <c r="A5" s="7" t="s">
        <v>100</v>
      </c>
      <c r="B5" s="12" t="s">
        <v>61</v>
      </c>
      <c r="C5" s="19">
        <f>93510239</f>
        <v>93510239</v>
      </c>
      <c r="D5" s="19">
        <f>245295928</f>
        <v>245295928</v>
      </c>
      <c r="E5" s="19">
        <f>416904939</f>
        <v>416904939</v>
      </c>
      <c r="F5" s="19">
        <v>446514520</v>
      </c>
      <c r="G5" s="19" t="s">
        <v>130</v>
      </c>
      <c r="H5" s="19">
        <f>195644677+48155871+15000000+5627046</f>
        <v>264427594</v>
      </c>
      <c r="I5" s="19">
        <v>58207994</v>
      </c>
      <c r="J5" s="19" t="s">
        <v>176</v>
      </c>
      <c r="K5" s="19">
        <v>301311016</v>
      </c>
      <c r="L5" s="19" t="s">
        <v>96</v>
      </c>
      <c r="M5" s="19" t="s">
        <v>96</v>
      </c>
      <c r="N5" s="19">
        <f>416170+175764194+50000000</f>
        <v>226180364</v>
      </c>
      <c r="O5" s="19">
        <f>3530000+1588926658+96642532+92000000</f>
        <v>1781099190</v>
      </c>
      <c r="P5" s="19">
        <f>2499540+509141631</f>
        <v>511641171</v>
      </c>
      <c r="Q5" s="19">
        <f>1193610+1795107</f>
        <v>2988717</v>
      </c>
      <c r="R5" s="19">
        <f>2752415+73913228</f>
        <v>76665643</v>
      </c>
      <c r="S5" s="19">
        <v>784521230</v>
      </c>
      <c r="T5" s="19" t="s">
        <v>96</v>
      </c>
      <c r="U5" s="19" t="s">
        <v>96</v>
      </c>
      <c r="V5" s="19" t="s">
        <v>172</v>
      </c>
      <c r="W5" s="19">
        <v>129839520</v>
      </c>
      <c r="X5" s="19">
        <v>875236629</v>
      </c>
      <c r="Y5" s="19">
        <f>84760+37742091</f>
        <v>37826851</v>
      </c>
      <c r="Z5" s="19">
        <v>90422318</v>
      </c>
      <c r="AA5" s="19">
        <v>539240072</v>
      </c>
      <c r="AB5" s="19">
        <f>550082+66517461</f>
        <v>67067543</v>
      </c>
      <c r="AC5" s="19">
        <f>555645235+38000000</f>
        <v>593645235</v>
      </c>
      <c r="AD5" s="19">
        <f>396113+374790737</f>
        <v>375186850</v>
      </c>
      <c r="AE5" s="19">
        <v>79665249</v>
      </c>
      <c r="AF5" s="56" t="s">
        <v>172</v>
      </c>
      <c r="AG5" s="19">
        <f>37920+16424128+1065736</f>
        <v>17527784</v>
      </c>
      <c r="AH5" s="19" t="s">
        <v>167</v>
      </c>
      <c r="AI5" s="19">
        <f>140850+767748</f>
        <v>908598</v>
      </c>
      <c r="AJ5" s="19">
        <f>136580+29633469+18000000</f>
        <v>47770049</v>
      </c>
      <c r="AK5" s="19">
        <v>40382145</v>
      </c>
      <c r="AL5" s="19">
        <f>961514087+7157313</f>
        <v>968671400</v>
      </c>
      <c r="AM5" s="19" t="s">
        <v>4</v>
      </c>
      <c r="AN5" s="19">
        <v>188094912</v>
      </c>
      <c r="AO5" s="19">
        <f>317887425+27107563</f>
        <v>344994988</v>
      </c>
      <c r="AP5" s="19">
        <f>371862459+3600000</f>
        <v>375462459</v>
      </c>
      <c r="AQ5" s="19" t="s">
        <v>172</v>
      </c>
      <c r="AR5" s="19">
        <v>264634954</v>
      </c>
      <c r="AS5" s="19">
        <f>748645+132258446</f>
        <v>133007091</v>
      </c>
      <c r="AT5" s="19" t="s">
        <v>172</v>
      </c>
      <c r="AU5" s="19">
        <v>29112720</v>
      </c>
      <c r="AV5" s="19">
        <f>120695058+300000000</f>
        <v>420695058</v>
      </c>
      <c r="AW5" s="19">
        <v>12154750</v>
      </c>
      <c r="AX5" s="19" t="s">
        <v>4</v>
      </c>
      <c r="AY5" s="19">
        <v>54509213</v>
      </c>
      <c r="AZ5" s="19">
        <f>342695+188450810</f>
        <v>188793505</v>
      </c>
      <c r="BA5" s="19" t="s">
        <v>167</v>
      </c>
      <c r="BB5" s="19">
        <v>13063909</v>
      </c>
      <c r="BC5" s="19" t="s">
        <v>4</v>
      </c>
      <c r="BD5" s="19" t="s">
        <v>172</v>
      </c>
      <c r="BE5" s="19">
        <v>224615044</v>
      </c>
      <c r="BF5" s="19" t="s">
        <v>96</v>
      </c>
      <c r="BG5" s="19">
        <v>487148060</v>
      </c>
      <c r="BH5" s="19">
        <f>26109751+28000000</f>
        <v>54109751</v>
      </c>
      <c r="BI5" s="19">
        <f>1251900+269723548+2950000</f>
        <v>273925448</v>
      </c>
      <c r="BJ5" s="19">
        <v>72718130</v>
      </c>
      <c r="BK5" s="19">
        <f>41468608+749972934</f>
        <v>791441542</v>
      </c>
      <c r="BL5" s="19">
        <f>650691352+200000000</f>
        <v>850691352</v>
      </c>
      <c r="BM5" s="19">
        <f>2420820+426668850</f>
        <v>429089670</v>
      </c>
      <c r="BN5" s="19">
        <v>5506742</v>
      </c>
      <c r="BO5" s="19" t="s">
        <v>96</v>
      </c>
      <c r="BP5" s="19" t="s">
        <v>96</v>
      </c>
      <c r="BQ5" s="19" t="s">
        <v>175</v>
      </c>
      <c r="BR5" s="19">
        <v>2904202154</v>
      </c>
      <c r="BS5" s="19" t="s">
        <v>172</v>
      </c>
      <c r="BT5" s="19">
        <v>27532884</v>
      </c>
      <c r="BU5" s="19">
        <v>8738227</v>
      </c>
      <c r="BV5" s="19">
        <f>3396886+115682559+2000000+3800000</f>
        <v>124879445</v>
      </c>
      <c r="BW5" s="19">
        <v>1432357</v>
      </c>
      <c r="BX5" s="19">
        <f>208920+137547906</f>
        <v>137756826</v>
      </c>
      <c r="BY5" s="19">
        <f>75030+141506854+55000000</f>
        <v>196581884</v>
      </c>
      <c r="BZ5" s="19">
        <f>125925217+300000000</f>
        <v>425925217</v>
      </c>
      <c r="CA5" s="19">
        <v>259002361</v>
      </c>
      <c r="CB5" s="19">
        <f>36481236</f>
        <v>36481236</v>
      </c>
      <c r="CC5" s="19">
        <f>19600+97995721</f>
        <v>98015321</v>
      </c>
      <c r="CD5" s="19">
        <v>1338016164</v>
      </c>
      <c r="CE5" s="19" t="s">
        <v>172</v>
      </c>
      <c r="CF5" s="19">
        <f>40575389</f>
        <v>40575389</v>
      </c>
      <c r="CG5" s="19">
        <f>19000+37099519+30000000</f>
        <v>67118519</v>
      </c>
      <c r="CH5" s="19">
        <v>370675391</v>
      </c>
      <c r="CI5" s="19" t="s">
        <v>172</v>
      </c>
      <c r="CJ5" s="19">
        <v>4952149</v>
      </c>
      <c r="CK5" s="19">
        <v>303281</v>
      </c>
      <c r="CL5" s="19">
        <v>3223249</v>
      </c>
      <c r="CM5" s="19">
        <f>856221620+80000000</f>
        <v>936221620</v>
      </c>
      <c r="CN5" s="19">
        <v>86628383</v>
      </c>
      <c r="CO5" s="19">
        <v>106783260</v>
      </c>
      <c r="CP5" s="19">
        <v>19288075</v>
      </c>
      <c r="CQ5" s="19" t="s">
        <v>96</v>
      </c>
      <c r="CR5" s="19">
        <f>533461+349725779</f>
        <v>350259240</v>
      </c>
      <c r="CS5" s="56" t="s">
        <v>172</v>
      </c>
      <c r="CT5" s="19">
        <f>481415660+8000000000</f>
        <v>8481415660</v>
      </c>
      <c r="CU5" s="19">
        <v>311675484</v>
      </c>
      <c r="CV5" s="19">
        <v>5232782</v>
      </c>
      <c r="CW5" s="19">
        <v>476197250</v>
      </c>
      <c r="CX5" s="19">
        <f>1145399665</f>
        <v>1145399665</v>
      </c>
      <c r="CY5" s="19" t="s">
        <v>96</v>
      </c>
      <c r="CZ5" s="19">
        <f>3385641+812535927+552719</f>
        <v>816474287</v>
      </c>
      <c r="DA5" s="19" t="s">
        <v>175</v>
      </c>
      <c r="DB5" s="19">
        <f>89458232+101360418</f>
        <v>190818650</v>
      </c>
      <c r="DC5" s="19">
        <v>25561730</v>
      </c>
      <c r="DD5" s="19">
        <f>8673+1783838+33000000</f>
        <v>34792511</v>
      </c>
      <c r="DE5" s="19">
        <f>4204625+39968040</f>
        <v>44172665</v>
      </c>
      <c r="DF5" s="19">
        <v>19115642</v>
      </c>
      <c r="DG5" s="19">
        <v>8583236</v>
      </c>
      <c r="DH5" s="19">
        <v>1385563457</v>
      </c>
      <c r="DI5" s="19">
        <f>263136768+178824180</f>
        <v>441960948</v>
      </c>
      <c r="DJ5" s="19">
        <v>159425666</v>
      </c>
      <c r="DK5" s="19">
        <v>1222613598</v>
      </c>
      <c r="DL5" s="19">
        <f>500000+234929048</f>
        <v>235429048</v>
      </c>
      <c r="DM5" s="19">
        <v>35778333</v>
      </c>
      <c r="DN5" s="19">
        <v>79620731</v>
      </c>
      <c r="DO5" s="19">
        <v>1222704</v>
      </c>
      <c r="DP5" s="19">
        <v>584666849</v>
      </c>
      <c r="DQ5" s="19">
        <f>83315+4209903</f>
        <v>4293218</v>
      </c>
      <c r="DR5" s="19">
        <v>169887230</v>
      </c>
      <c r="DS5" s="19">
        <f>3394909+37815068+95664180</f>
        <v>136874157</v>
      </c>
      <c r="DT5" s="19">
        <f>592124181+115000000</f>
        <v>707124181</v>
      </c>
      <c r="DU5" s="19">
        <v>258939554</v>
      </c>
      <c r="DV5" s="19">
        <v>1858360586</v>
      </c>
      <c r="DW5" s="19">
        <v>140689156</v>
      </c>
      <c r="DX5" s="19">
        <v>2783289820</v>
      </c>
      <c r="DY5" s="19">
        <f>546125+46399523</f>
        <v>46945648</v>
      </c>
      <c r="DZ5" s="19">
        <f>87584062+140257206</f>
        <v>227841268</v>
      </c>
      <c r="EA5" s="19">
        <v>500417</v>
      </c>
      <c r="EB5" s="19">
        <f>95930+2110521555</f>
        <v>2110617485</v>
      </c>
      <c r="EC5" s="19">
        <v>15988090</v>
      </c>
      <c r="ED5" s="19">
        <f>111100+56731928</f>
        <v>56843028</v>
      </c>
      <c r="EE5" s="19">
        <f>136580006</f>
        <v>136580006</v>
      </c>
      <c r="EF5" s="19">
        <f>18648715</f>
        <v>18648715</v>
      </c>
      <c r="EG5" s="19">
        <f>5873907317-316256555</f>
        <v>5557650762</v>
      </c>
      <c r="EH5" s="19">
        <v>5162701</v>
      </c>
      <c r="EI5" s="19">
        <v>2144588453</v>
      </c>
      <c r="EJ5" s="19">
        <f>3490+356467036</f>
        <v>356470526</v>
      </c>
      <c r="EK5" s="19">
        <v>531861381</v>
      </c>
      <c r="EL5" s="19">
        <f>226384+769385913+1030892126</f>
        <v>1800504423</v>
      </c>
      <c r="EM5" s="19">
        <v>204255254</v>
      </c>
      <c r="EN5" s="19">
        <f>738245777</f>
        <v>738245777</v>
      </c>
      <c r="EO5" s="19">
        <f>1022550+58763095</f>
        <v>59785645</v>
      </c>
      <c r="EP5" s="19">
        <v>199305605</v>
      </c>
      <c r="EQ5" s="19">
        <v>2289723256</v>
      </c>
      <c r="ER5" s="19">
        <v>873363160</v>
      </c>
      <c r="ES5" s="19">
        <f>17565235+736000000</f>
        <v>753565235</v>
      </c>
      <c r="ET5" s="19">
        <v>2380555127</v>
      </c>
      <c r="EU5" s="19">
        <f>812600+3124406873+120000000</f>
        <v>3245219473</v>
      </c>
      <c r="EV5" s="19">
        <v>13141907</v>
      </c>
      <c r="EW5" s="19">
        <v>106872780</v>
      </c>
      <c r="EX5" s="19">
        <v>572817564</v>
      </c>
      <c r="EY5" s="19">
        <f>889901806+1707353</f>
        <v>891609159</v>
      </c>
      <c r="EZ5" s="19">
        <v>333967680</v>
      </c>
      <c r="FA5" s="19">
        <v>146860446</v>
      </c>
      <c r="FB5" s="19">
        <f>1258660+27079435</f>
        <v>28338095</v>
      </c>
      <c r="FC5" s="19">
        <v>354021079</v>
      </c>
      <c r="FD5" s="19">
        <v>6246497</v>
      </c>
      <c r="FE5" s="19">
        <f>2192624429+861550000</f>
        <v>3054174429</v>
      </c>
      <c r="FF5" s="19">
        <v>63152226</v>
      </c>
      <c r="FG5" s="19" t="s">
        <v>172</v>
      </c>
      <c r="FH5" s="19">
        <v>117737743</v>
      </c>
      <c r="FI5" s="19" t="s">
        <v>172</v>
      </c>
      <c r="FJ5" s="19">
        <v>103233968</v>
      </c>
      <c r="FK5" s="19">
        <v>306907104</v>
      </c>
      <c r="FL5" s="19">
        <v>189173617</v>
      </c>
      <c r="FM5" s="19">
        <v>81458065</v>
      </c>
      <c r="FN5" s="19">
        <f>904882295+12674394</f>
        <v>917556689</v>
      </c>
      <c r="FO5" s="56" t="s">
        <v>172</v>
      </c>
      <c r="FP5" s="19">
        <v>94613089</v>
      </c>
      <c r="FQ5" s="19">
        <v>78504422</v>
      </c>
      <c r="FR5" s="19">
        <v>368461495</v>
      </c>
      <c r="FS5" s="19">
        <f>2408977+36658362</f>
        <v>39067339</v>
      </c>
      <c r="FT5" s="19">
        <f>276333113+4080859918</f>
        <v>4357193031</v>
      </c>
      <c r="FU5" s="19">
        <f>75238+69559530</f>
        <v>69634768</v>
      </c>
      <c r="FV5" s="19" t="s">
        <v>172</v>
      </c>
      <c r="FW5" s="19">
        <v>53933</v>
      </c>
      <c r="FX5" s="19">
        <v>73327067</v>
      </c>
      <c r="FY5" s="19" t="s">
        <v>172</v>
      </c>
      <c r="FZ5" s="19" t="s">
        <v>175</v>
      </c>
      <c r="GA5" s="19">
        <v>1382354430</v>
      </c>
      <c r="GB5" s="19">
        <v>124176490</v>
      </c>
      <c r="GC5" s="19">
        <f>845554+124534829+80070852</f>
        <v>205451235</v>
      </c>
      <c r="GD5" s="19" t="s">
        <v>172</v>
      </c>
      <c r="GE5" s="19" t="s">
        <v>172</v>
      </c>
      <c r="GF5" s="19">
        <v>230585733</v>
      </c>
      <c r="GG5" s="19">
        <v>877108792</v>
      </c>
      <c r="GH5" s="19" t="s">
        <v>172</v>
      </c>
      <c r="GI5" s="19">
        <v>8245341</v>
      </c>
      <c r="GJ5" s="19" t="s">
        <v>172</v>
      </c>
      <c r="GK5" s="19">
        <v>29878602</v>
      </c>
      <c r="GL5" s="19" t="s">
        <v>172</v>
      </c>
      <c r="GM5" s="19">
        <v>9021191</v>
      </c>
      <c r="GN5" s="19">
        <v>91327246</v>
      </c>
      <c r="GO5" s="19" t="s">
        <v>172</v>
      </c>
      <c r="GP5" s="19">
        <v>1076489500</v>
      </c>
      <c r="GQ5" s="19">
        <v>537366446</v>
      </c>
      <c r="GR5" s="19">
        <v>320608799</v>
      </c>
      <c r="GS5" s="19">
        <v>106606262</v>
      </c>
      <c r="GT5" s="19">
        <v>7646352</v>
      </c>
      <c r="GU5" s="19">
        <v>44433040</v>
      </c>
      <c r="GV5" s="19">
        <v>743427106</v>
      </c>
      <c r="GW5" s="19">
        <v>3903213420</v>
      </c>
      <c r="GX5" s="19">
        <v>93058776</v>
      </c>
      <c r="GY5" s="19">
        <v>163671982</v>
      </c>
      <c r="GZ5" s="19">
        <v>118264096</v>
      </c>
      <c r="HA5" s="19" t="s">
        <v>172</v>
      </c>
      <c r="HB5" s="19">
        <v>262363688</v>
      </c>
      <c r="HC5" s="19">
        <v>9343945</v>
      </c>
      <c r="HD5" s="19">
        <v>570728038</v>
      </c>
      <c r="HE5" s="19" t="s">
        <v>172</v>
      </c>
      <c r="HF5" s="19">
        <v>722673371</v>
      </c>
      <c r="HG5" s="19">
        <f>400181+1252069323+21378030</f>
        <v>1273847534</v>
      </c>
      <c r="HH5" s="19" t="s">
        <v>172</v>
      </c>
      <c r="HI5" s="19">
        <f>311889107+700000000</f>
        <v>1011889107</v>
      </c>
      <c r="HJ5" s="19" t="s">
        <v>172</v>
      </c>
      <c r="HK5" s="19">
        <f>70790+1119467517</f>
        <v>1119538307</v>
      </c>
      <c r="HL5" s="19">
        <f>2551405+1217579015</f>
        <v>1220130420</v>
      </c>
      <c r="HM5" s="19">
        <v>25929224</v>
      </c>
      <c r="HN5" s="19">
        <v>38328765</v>
      </c>
      <c r="HO5" s="19">
        <f>286642274</f>
        <v>286642274</v>
      </c>
      <c r="HP5" s="19">
        <f>2717440+351600496+140</f>
        <v>354318076</v>
      </c>
      <c r="HQ5" s="19">
        <v>303750266</v>
      </c>
      <c r="HR5" s="19">
        <v>1240545827</v>
      </c>
      <c r="HS5" s="19">
        <f>5737693+194976643+13500000</f>
        <v>214214336</v>
      </c>
      <c r="HT5" s="19">
        <f>5235402+421712</f>
        <v>5657114</v>
      </c>
      <c r="HU5" s="19">
        <f>1269342672</f>
        <v>1269342672</v>
      </c>
      <c r="HV5" s="19">
        <v>28738084</v>
      </c>
      <c r="HW5" s="19" t="s">
        <v>172</v>
      </c>
      <c r="HX5" s="19">
        <v>52328794</v>
      </c>
      <c r="HY5" s="19" t="s">
        <v>172</v>
      </c>
      <c r="HZ5" s="19">
        <f>622604728+800007897</f>
        <v>1422612625</v>
      </c>
      <c r="IA5" s="19">
        <v>453708356</v>
      </c>
      <c r="IB5" s="19">
        <v>239702230</v>
      </c>
      <c r="IC5" s="19">
        <f>1338376+3231431056+4200000</f>
        <v>3236969432</v>
      </c>
      <c r="ID5" s="19">
        <f>220869+29776881</f>
        <v>29997750</v>
      </c>
      <c r="IE5" s="19" t="s">
        <v>172</v>
      </c>
      <c r="IF5" s="19">
        <f>70978359+7592908</f>
        <v>78571267</v>
      </c>
      <c r="IG5" s="19">
        <f>14310409</f>
        <v>14310409</v>
      </c>
      <c r="IH5" s="19">
        <f>70900+309022683</f>
        <v>309093583</v>
      </c>
      <c r="II5" s="19">
        <f>2463053+33551911</f>
        <v>36014964</v>
      </c>
      <c r="IJ5" s="19">
        <v>150491555</v>
      </c>
      <c r="IK5" s="19">
        <v>289810368</v>
      </c>
      <c r="IL5" s="19">
        <f>133083+39289183</f>
        <v>39422266</v>
      </c>
      <c r="IM5" s="19">
        <f>548237730</f>
        <v>548237730</v>
      </c>
      <c r="IN5" s="19">
        <f>108558+1122280390</f>
        <v>1122388948</v>
      </c>
      <c r="IO5" s="19">
        <v>445532852</v>
      </c>
      <c r="IP5" s="19">
        <f>198404+95535617</f>
        <v>95734021</v>
      </c>
      <c r="IQ5" s="19">
        <v>607071273</v>
      </c>
      <c r="IR5" s="19">
        <f>440555390</f>
        <v>440555390</v>
      </c>
      <c r="IS5" s="19">
        <f>6727905+889844317</f>
        <v>896572222</v>
      </c>
      <c r="IT5" s="19">
        <f>334708135+70000000</f>
        <v>404708135</v>
      </c>
      <c r="IU5" s="19">
        <f>1951952924+11072263</f>
        <v>1963025187</v>
      </c>
      <c r="IV5" s="19">
        <f>58446327+68190540</f>
        <v>126636867</v>
      </c>
      <c r="IW5" s="19">
        <v>21411711</v>
      </c>
      <c r="IX5" s="19">
        <f>1841460+173457867+55600000</f>
        <v>230899327</v>
      </c>
      <c r="IY5" s="19">
        <v>951689287</v>
      </c>
      <c r="IZ5" s="19">
        <f>561711+15603662+12977280+15500000</f>
        <v>44642653</v>
      </c>
      <c r="JA5" s="19">
        <v>448326654</v>
      </c>
      <c r="JB5" s="19">
        <v>1665426</v>
      </c>
      <c r="JC5" s="19">
        <v>54487372</v>
      </c>
      <c r="JD5" s="19">
        <v>546280408</v>
      </c>
      <c r="JE5" s="19">
        <v>105638635</v>
      </c>
      <c r="JF5" s="19">
        <f>4455740+318117354+19846184</f>
        <v>342419278</v>
      </c>
      <c r="JG5" s="19">
        <v>2641906</v>
      </c>
      <c r="JH5" s="19">
        <f>263903+10589073</f>
        <v>10852976</v>
      </c>
      <c r="JI5" s="19">
        <v>5642377</v>
      </c>
      <c r="JJ5" s="19">
        <v>8108766</v>
      </c>
      <c r="JK5" s="19">
        <v>81090405</v>
      </c>
      <c r="JL5" s="19">
        <v>679314829</v>
      </c>
      <c r="JM5" s="19">
        <v>73621580</v>
      </c>
      <c r="JN5" s="19">
        <v>101399684</v>
      </c>
      <c r="JO5" s="19">
        <f>1277180+18642329</f>
        <v>19919509</v>
      </c>
      <c r="JP5" s="19">
        <f>185818270</f>
        <v>185818270</v>
      </c>
      <c r="JQ5" s="19" t="s">
        <v>175</v>
      </c>
      <c r="JR5" s="19">
        <v>383705694</v>
      </c>
      <c r="JS5" s="19">
        <f>446580+22751570+14500000</f>
        <v>37698150</v>
      </c>
      <c r="JT5" s="19">
        <v>11737947</v>
      </c>
      <c r="JU5" s="19">
        <v>89387483</v>
      </c>
      <c r="JV5" s="19">
        <v>407294119</v>
      </c>
      <c r="JW5" s="19">
        <v>149325865</v>
      </c>
      <c r="JX5" s="19">
        <f>1262727671+784788064</f>
        <v>2047515735</v>
      </c>
      <c r="JY5" s="19">
        <f>237019+945737439</f>
        <v>945974458</v>
      </c>
      <c r="JZ5" s="19">
        <v>23406362</v>
      </c>
      <c r="KA5" s="19">
        <v>61970777</v>
      </c>
      <c r="KB5" s="19">
        <v>654498952</v>
      </c>
      <c r="KC5" s="19">
        <f>2890403+56499395</f>
        <v>59389798</v>
      </c>
      <c r="KD5" s="19">
        <v>214945467</v>
      </c>
      <c r="KE5" s="19">
        <v>13105790</v>
      </c>
      <c r="KF5" s="19">
        <v>297676568</v>
      </c>
      <c r="KG5" s="19">
        <f>147061153+3300000</f>
        <v>150361153</v>
      </c>
      <c r="KH5" s="19">
        <v>58220036</v>
      </c>
      <c r="KI5" s="19">
        <f>116086428+321485250</f>
        <v>437571678</v>
      </c>
      <c r="KJ5" s="19">
        <f>361350111</f>
        <v>361350111</v>
      </c>
      <c r="KK5" s="19">
        <f>1631343235</f>
        <v>1631343235</v>
      </c>
      <c r="KL5" s="19">
        <v>2043039569</v>
      </c>
      <c r="KM5" s="19">
        <f>482580+50630402</f>
        <v>51112982</v>
      </c>
      <c r="KN5" s="19">
        <f>434926657+3138681837</f>
        <v>3573608494</v>
      </c>
      <c r="KO5" s="19">
        <v>67106553</v>
      </c>
      <c r="KP5" s="19">
        <v>452815552</v>
      </c>
      <c r="KQ5" s="19">
        <v>73326063</v>
      </c>
      <c r="KR5" s="19">
        <f>142244854</f>
        <v>142244854</v>
      </c>
      <c r="KS5" s="19">
        <f>211286640+32448072</f>
        <v>243734712</v>
      </c>
      <c r="KT5" s="19">
        <f>360397+75255923</f>
        <v>75616320</v>
      </c>
      <c r="KU5" s="19">
        <f>1750560+1797665913</f>
        <v>1799416473</v>
      </c>
      <c r="KV5" s="19">
        <v>86716242</v>
      </c>
      <c r="KW5" s="19">
        <f>617636+79342752</f>
        <v>79960388</v>
      </c>
      <c r="KX5" s="19">
        <f>11018682</f>
        <v>11018682</v>
      </c>
      <c r="KY5" s="19">
        <v>105595544</v>
      </c>
      <c r="KZ5" s="58">
        <v>221286756</v>
      </c>
      <c r="LA5" s="76">
        <v>22105897</v>
      </c>
      <c r="LB5" s="76">
        <v>29398219</v>
      </c>
    </row>
    <row r="6" spans="1:314">
      <c r="A6" s="7" t="s">
        <v>100</v>
      </c>
      <c r="B6" s="12" t="s">
        <v>75</v>
      </c>
      <c r="C6" s="19">
        <v>18000000</v>
      </c>
      <c r="D6" s="19"/>
      <c r="E6" s="19">
        <v>14185000</v>
      </c>
      <c r="F6" s="19">
        <v>609430709</v>
      </c>
      <c r="G6" s="19" t="s">
        <v>130</v>
      </c>
      <c r="H6" s="19"/>
      <c r="I6" s="19">
        <v>391778180</v>
      </c>
      <c r="J6" s="19" t="s">
        <v>176</v>
      </c>
      <c r="K6" s="19"/>
      <c r="L6" s="19" t="s">
        <v>96</v>
      </c>
      <c r="M6" s="19" t="s">
        <v>96</v>
      </c>
      <c r="N6" s="19">
        <v>29300000</v>
      </c>
      <c r="O6" s="19"/>
      <c r="P6" s="19"/>
      <c r="Q6" s="19">
        <v>32000000</v>
      </c>
      <c r="R6" s="19"/>
      <c r="S6" s="19"/>
      <c r="T6" s="19" t="s">
        <v>96</v>
      </c>
      <c r="U6" s="19" t="s">
        <v>96</v>
      </c>
      <c r="V6" s="19" t="s">
        <v>172</v>
      </c>
      <c r="W6" s="19"/>
      <c r="X6" s="19">
        <f>10087046+269657558</f>
        <v>279744604</v>
      </c>
      <c r="Y6" s="19">
        <v>5000000</v>
      </c>
      <c r="Z6" s="19"/>
      <c r="AA6" s="19"/>
      <c r="AB6" s="19"/>
      <c r="AC6" s="19">
        <v>385266</v>
      </c>
      <c r="AD6" s="19"/>
      <c r="AE6" s="19"/>
      <c r="AF6" s="56" t="s">
        <v>172</v>
      </c>
      <c r="AG6" s="19"/>
      <c r="AH6" s="19" t="s">
        <v>167</v>
      </c>
      <c r="AI6" s="19"/>
      <c r="AJ6" s="19"/>
      <c r="AK6" s="19"/>
      <c r="AL6" s="19"/>
      <c r="AM6" s="19" t="s">
        <v>4</v>
      </c>
      <c r="AN6" s="19"/>
      <c r="AO6" s="19"/>
      <c r="AP6" s="19"/>
      <c r="AQ6" s="19" t="s">
        <v>172</v>
      </c>
      <c r="AR6" s="19"/>
      <c r="AS6" s="19"/>
      <c r="AT6" s="19" t="s">
        <v>172</v>
      </c>
      <c r="AU6" s="19"/>
      <c r="AV6" s="19"/>
      <c r="AW6" s="19">
        <v>31141841</v>
      </c>
      <c r="AX6" s="19" t="s">
        <v>4</v>
      </c>
      <c r="AY6" s="19"/>
      <c r="AZ6" s="19"/>
      <c r="BA6" s="19" t="s">
        <v>167</v>
      </c>
      <c r="BB6" s="19"/>
      <c r="BC6" s="19" t="s">
        <v>4</v>
      </c>
      <c r="BD6" s="19" t="s">
        <v>172</v>
      </c>
      <c r="BE6" s="19">
        <v>500000</v>
      </c>
      <c r="BF6" s="19" t="s">
        <v>96</v>
      </c>
      <c r="BG6" s="19"/>
      <c r="BH6" s="19"/>
      <c r="BI6" s="19"/>
      <c r="BJ6" s="19">
        <v>32598232</v>
      </c>
      <c r="BK6" s="19"/>
      <c r="BL6" s="19"/>
      <c r="BM6" s="19"/>
      <c r="BN6" s="19">
        <v>33300000</v>
      </c>
      <c r="BO6" s="19" t="s">
        <v>96</v>
      </c>
      <c r="BP6" s="19" t="s">
        <v>96</v>
      </c>
      <c r="BQ6" s="19" t="s">
        <v>175</v>
      </c>
      <c r="BR6" s="19"/>
      <c r="BS6" s="19" t="s">
        <v>172</v>
      </c>
      <c r="BT6" s="19"/>
      <c r="BU6" s="19"/>
      <c r="BV6" s="19"/>
      <c r="BW6" s="19"/>
      <c r="BX6" s="19"/>
      <c r="BY6" s="19"/>
      <c r="BZ6" s="19">
        <v>310919088</v>
      </c>
      <c r="CA6" s="19"/>
      <c r="CB6" s="19"/>
      <c r="CC6" s="19"/>
      <c r="CD6" s="19"/>
      <c r="CE6" s="19" t="s">
        <v>172</v>
      </c>
      <c r="CF6" s="19"/>
      <c r="CG6" s="19"/>
      <c r="CH6" s="19"/>
      <c r="CI6" s="19" t="s">
        <v>172</v>
      </c>
      <c r="CJ6" s="19">
        <v>17847034</v>
      </c>
      <c r="CK6" s="19">
        <v>29500000</v>
      </c>
      <c r="CL6" s="19">
        <v>4821785</v>
      </c>
      <c r="CM6" s="19">
        <v>1108826579</v>
      </c>
      <c r="CN6" s="19">
        <v>18179541</v>
      </c>
      <c r="CO6" s="19"/>
      <c r="CP6" s="19">
        <v>18000000</v>
      </c>
      <c r="CQ6" s="19" t="s">
        <v>96</v>
      </c>
      <c r="CR6" s="19"/>
      <c r="CS6" s="56" t="s">
        <v>172</v>
      </c>
      <c r="CT6" s="19"/>
      <c r="CU6" s="19"/>
      <c r="CV6" s="19"/>
      <c r="CW6" s="19">
        <v>420000000</v>
      </c>
      <c r="CX6" s="19">
        <f>263479222+5271484601</f>
        <v>5534963823</v>
      </c>
      <c r="CY6" s="19" t="s">
        <v>96</v>
      </c>
      <c r="CZ6" s="19">
        <v>6274493</v>
      </c>
      <c r="DA6" s="19" t="s">
        <v>175</v>
      </c>
      <c r="DB6" s="19"/>
      <c r="DC6" s="19"/>
      <c r="DD6" s="19"/>
      <c r="DE6" s="19"/>
      <c r="DF6" s="19"/>
      <c r="DG6" s="19"/>
      <c r="DH6" s="19"/>
      <c r="DI6" s="19"/>
      <c r="DJ6" s="19"/>
      <c r="DK6" s="19"/>
      <c r="DL6" s="19"/>
      <c r="DM6" s="19"/>
      <c r="DN6" s="19"/>
      <c r="DO6" s="19"/>
      <c r="DP6" s="19">
        <v>6871357</v>
      </c>
      <c r="DQ6" s="19"/>
      <c r="DR6" s="19"/>
      <c r="DS6" s="19"/>
      <c r="DT6" s="19"/>
      <c r="DU6" s="19"/>
      <c r="DV6" s="19"/>
      <c r="DW6" s="19"/>
      <c r="DX6" s="19">
        <v>3000000000</v>
      </c>
      <c r="DY6" s="19"/>
      <c r="DZ6" s="19"/>
      <c r="EA6" s="19"/>
      <c r="EB6" s="19"/>
      <c r="EC6" s="19"/>
      <c r="ED6" s="19"/>
      <c r="EE6" s="19"/>
      <c r="EF6" s="19">
        <v>6923320</v>
      </c>
      <c r="EG6" s="19">
        <v>56900000</v>
      </c>
      <c r="EH6" s="19"/>
      <c r="EI6" s="19"/>
      <c r="EJ6" s="19"/>
      <c r="EK6" s="19">
        <f>2900000000+499479998</f>
        <v>3399479998</v>
      </c>
      <c r="EL6" s="19"/>
      <c r="EM6" s="19">
        <v>306508683</v>
      </c>
      <c r="EN6" s="19"/>
      <c r="EO6" s="19"/>
      <c r="EP6" s="19"/>
      <c r="EQ6" s="19"/>
      <c r="ER6" s="19">
        <v>15000000</v>
      </c>
      <c r="ES6" s="19">
        <v>100500000</v>
      </c>
      <c r="ET6" s="19">
        <v>10104273997</v>
      </c>
      <c r="EU6" s="19"/>
      <c r="EV6" s="19"/>
      <c r="EW6" s="19"/>
      <c r="EX6" s="19">
        <v>4000000</v>
      </c>
      <c r="EY6" s="19"/>
      <c r="EZ6" s="19"/>
      <c r="FA6" s="19"/>
      <c r="FB6" s="19"/>
      <c r="FC6" s="19"/>
      <c r="FD6" s="19"/>
      <c r="FE6" s="19"/>
      <c r="FF6" s="19"/>
      <c r="FG6" s="19" t="s">
        <v>172</v>
      </c>
      <c r="FH6" s="19">
        <v>54700000</v>
      </c>
      <c r="FI6" s="19" t="s">
        <v>172</v>
      </c>
      <c r="FJ6" s="19">
        <v>75547883</v>
      </c>
      <c r="FK6" s="19">
        <v>6243221</v>
      </c>
      <c r="FL6" s="19"/>
      <c r="FM6" s="19"/>
      <c r="FN6" s="19">
        <v>570000000</v>
      </c>
      <c r="FO6" s="56" t="s">
        <v>172</v>
      </c>
      <c r="FP6" s="19"/>
      <c r="FQ6" s="19"/>
      <c r="FR6" s="19"/>
      <c r="FS6" s="19"/>
      <c r="FT6" s="19"/>
      <c r="FU6" s="19"/>
      <c r="FV6" s="19" t="s">
        <v>172</v>
      </c>
      <c r="FW6" s="19"/>
      <c r="FX6" s="19"/>
      <c r="FY6" s="19" t="s">
        <v>172</v>
      </c>
      <c r="FZ6" s="19" t="s">
        <v>175</v>
      </c>
      <c r="GA6" s="19"/>
      <c r="GB6" s="19"/>
      <c r="GC6" s="19"/>
      <c r="GD6" s="19" t="s">
        <v>172</v>
      </c>
      <c r="GE6" s="19" t="s">
        <v>172</v>
      </c>
      <c r="GF6" s="19"/>
      <c r="GG6" s="19"/>
      <c r="GH6" s="19" t="s">
        <v>172</v>
      </c>
      <c r="GI6" s="19"/>
      <c r="GJ6" s="19" t="s">
        <v>172</v>
      </c>
      <c r="GK6" s="19"/>
      <c r="GL6" s="19" t="s">
        <v>172</v>
      </c>
      <c r="GM6" s="19"/>
      <c r="GN6" s="19"/>
      <c r="GO6" s="19" t="s">
        <v>172</v>
      </c>
      <c r="GP6" s="19"/>
      <c r="GQ6" s="19"/>
      <c r="GR6" s="19"/>
      <c r="GS6" s="19">
        <v>30000000</v>
      </c>
      <c r="GT6" s="19"/>
      <c r="GU6" s="19"/>
      <c r="GV6" s="19"/>
      <c r="GW6" s="19"/>
      <c r="GX6" s="19"/>
      <c r="GY6" s="19"/>
      <c r="GZ6" s="19"/>
      <c r="HA6" s="19" t="s">
        <v>172</v>
      </c>
      <c r="HB6" s="19">
        <v>911086000</v>
      </c>
      <c r="HC6" s="19">
        <v>15000000</v>
      </c>
      <c r="HD6" s="19"/>
      <c r="HE6" s="19" t="s">
        <v>172</v>
      </c>
      <c r="HF6" s="19"/>
      <c r="HG6" s="19"/>
      <c r="HH6" s="19" t="s">
        <v>172</v>
      </c>
      <c r="HI6" s="19"/>
      <c r="HJ6" s="19" t="s">
        <v>172</v>
      </c>
      <c r="HK6" s="19"/>
      <c r="HL6" s="19"/>
      <c r="HM6" s="19">
        <v>37500000</v>
      </c>
      <c r="HN6" s="19">
        <v>237000000</v>
      </c>
      <c r="HO6" s="19">
        <v>400000000</v>
      </c>
      <c r="HP6" s="19"/>
      <c r="HQ6" s="19"/>
      <c r="HR6" s="19"/>
      <c r="HS6" s="19">
        <v>5000000</v>
      </c>
      <c r="HT6" s="19"/>
      <c r="HU6" s="19"/>
      <c r="HV6" s="19"/>
      <c r="HW6" s="19" t="s">
        <v>172</v>
      </c>
      <c r="HX6" s="19"/>
      <c r="HY6" s="19" t="s">
        <v>172</v>
      </c>
      <c r="HZ6" s="19"/>
      <c r="IA6" s="19"/>
      <c r="IB6" s="19"/>
      <c r="IC6" s="19"/>
      <c r="ID6" s="19"/>
      <c r="IE6" s="19" t="s">
        <v>172</v>
      </c>
      <c r="IF6" s="19"/>
      <c r="IG6" s="19"/>
      <c r="IH6" s="19"/>
      <c r="II6" s="19"/>
      <c r="IJ6" s="19">
        <v>1757573</v>
      </c>
      <c r="IK6" s="19"/>
      <c r="IL6" s="19"/>
      <c r="IM6" s="19">
        <v>250000000</v>
      </c>
      <c r="IN6" s="19"/>
      <c r="IO6" s="19">
        <v>13211797</v>
      </c>
      <c r="IP6" s="19"/>
      <c r="IQ6" s="19"/>
      <c r="IR6" s="19"/>
      <c r="IS6" s="19"/>
      <c r="IT6" s="19"/>
      <c r="IU6" s="19"/>
      <c r="IV6" s="19"/>
      <c r="IW6" s="19"/>
      <c r="IX6" s="19"/>
      <c r="IY6" s="19"/>
      <c r="IZ6" s="19"/>
      <c r="JA6" s="19"/>
      <c r="JB6" s="19"/>
      <c r="JC6" s="19"/>
      <c r="JD6" s="19"/>
      <c r="JE6" s="19"/>
      <c r="JF6" s="19"/>
      <c r="JG6" s="19"/>
      <c r="JH6" s="19">
        <v>20000000</v>
      </c>
      <c r="JI6" s="19"/>
      <c r="JJ6" s="19"/>
      <c r="JK6" s="19"/>
      <c r="JL6" s="19"/>
      <c r="JM6" s="19"/>
      <c r="JN6" s="19"/>
      <c r="JO6" s="19"/>
      <c r="JP6" s="19"/>
      <c r="JQ6" s="19" t="s">
        <v>175</v>
      </c>
      <c r="JR6" s="19"/>
      <c r="JS6" s="19"/>
      <c r="JT6" s="19"/>
      <c r="JU6" s="19"/>
      <c r="JV6" s="19"/>
      <c r="JW6" s="19"/>
      <c r="JX6" s="19"/>
      <c r="JY6" s="19"/>
      <c r="JZ6" s="19"/>
      <c r="KA6" s="19"/>
      <c r="KB6" s="19">
        <v>40000000</v>
      </c>
      <c r="KC6" s="19"/>
      <c r="KD6" s="19"/>
      <c r="KE6" s="19"/>
      <c r="KF6" s="19"/>
      <c r="KG6" s="19"/>
      <c r="KH6" s="19"/>
      <c r="KI6" s="19"/>
      <c r="KJ6" s="19">
        <v>200000000</v>
      </c>
      <c r="KK6" s="19"/>
      <c r="KL6" s="19">
        <v>8413605775</v>
      </c>
      <c r="KM6" s="19"/>
      <c r="KN6" s="19"/>
      <c r="KO6" s="19"/>
      <c r="KP6" s="19"/>
      <c r="KQ6" s="19"/>
      <c r="KR6" s="19"/>
      <c r="KS6" s="19"/>
      <c r="KT6" s="19"/>
      <c r="KU6" s="19">
        <v>309164479</v>
      </c>
      <c r="KV6" s="19"/>
      <c r="KW6" s="19"/>
      <c r="KX6" s="19"/>
      <c r="KY6" s="19"/>
      <c r="KZ6" s="58"/>
      <c r="LA6" s="76"/>
      <c r="LB6" s="76"/>
    </row>
    <row r="7" spans="1:314">
      <c r="A7" s="7" t="s">
        <v>100</v>
      </c>
      <c r="B7" s="13" t="s">
        <v>51</v>
      </c>
      <c r="C7" s="19">
        <f>28143512</f>
        <v>28143512</v>
      </c>
      <c r="D7" s="19">
        <v>1546867599</v>
      </c>
      <c r="E7" s="19">
        <v>51522087</v>
      </c>
      <c r="F7" s="19"/>
      <c r="G7" s="19" t="s">
        <v>130</v>
      </c>
      <c r="H7" s="19"/>
      <c r="I7" s="19"/>
      <c r="J7" s="19" t="s">
        <v>176</v>
      </c>
      <c r="K7" s="19">
        <f>382063850-3820638</f>
        <v>378243212</v>
      </c>
      <c r="L7" s="19" t="s">
        <v>96</v>
      </c>
      <c r="M7" s="19" t="s">
        <v>96</v>
      </c>
      <c r="N7" s="19">
        <v>17341063</v>
      </c>
      <c r="O7" s="19"/>
      <c r="P7" s="19"/>
      <c r="Q7" s="19">
        <v>3060000</v>
      </c>
      <c r="R7" s="19">
        <v>49246</v>
      </c>
      <c r="S7" s="19">
        <f>933556680-9335566</f>
        <v>924221114</v>
      </c>
      <c r="T7" s="19" t="s">
        <v>96</v>
      </c>
      <c r="U7" s="19" t="s">
        <v>96</v>
      </c>
      <c r="V7" s="19" t="s">
        <v>172</v>
      </c>
      <c r="W7" s="19">
        <v>18612052</v>
      </c>
      <c r="X7" s="19">
        <v>526103630</v>
      </c>
      <c r="Y7" s="19">
        <v>1155500</v>
      </c>
      <c r="Z7" s="19">
        <v>32771031</v>
      </c>
      <c r="AA7" s="19">
        <f>1756535115</f>
        <v>1756535115</v>
      </c>
      <c r="AB7" s="19">
        <v>4520000</v>
      </c>
      <c r="AC7" s="19">
        <v>55442820</v>
      </c>
      <c r="AD7" s="19">
        <v>216846427</v>
      </c>
      <c r="AE7" s="19">
        <v>60759740</v>
      </c>
      <c r="AF7" s="56" t="s">
        <v>172</v>
      </c>
      <c r="AG7" s="19">
        <v>8717986</v>
      </c>
      <c r="AH7" s="19" t="s">
        <v>167</v>
      </c>
      <c r="AI7" s="19">
        <v>10202999</v>
      </c>
      <c r="AJ7" s="19">
        <v>65901419</v>
      </c>
      <c r="AK7" s="19">
        <v>679314291</v>
      </c>
      <c r="AL7" s="19">
        <v>10394450</v>
      </c>
      <c r="AM7" s="19" t="s">
        <v>4</v>
      </c>
      <c r="AN7" s="19">
        <v>2490000</v>
      </c>
      <c r="AO7" s="19">
        <v>242293366</v>
      </c>
      <c r="AP7" s="19">
        <v>219600000</v>
      </c>
      <c r="AQ7" s="19" t="s">
        <v>172</v>
      </c>
      <c r="AR7" s="19">
        <v>211695232</v>
      </c>
      <c r="AS7" s="19">
        <v>621456288</v>
      </c>
      <c r="AT7" s="19" t="s">
        <v>172</v>
      </c>
      <c r="AU7" s="19"/>
      <c r="AV7" s="19">
        <v>173025600</v>
      </c>
      <c r="AW7" s="19">
        <v>24680055</v>
      </c>
      <c r="AX7" s="19" t="s">
        <v>4</v>
      </c>
      <c r="AY7" s="19">
        <v>5658291</v>
      </c>
      <c r="AZ7" s="19">
        <v>86628289</v>
      </c>
      <c r="BA7" s="19" t="s">
        <v>167</v>
      </c>
      <c r="BB7" s="19"/>
      <c r="BC7" s="19" t="s">
        <v>4</v>
      </c>
      <c r="BD7" s="19" t="s">
        <v>172</v>
      </c>
      <c r="BE7" s="19">
        <v>136734600</v>
      </c>
      <c r="BF7" s="19" t="s">
        <v>96</v>
      </c>
      <c r="BG7" s="19">
        <v>89744892</v>
      </c>
      <c r="BH7" s="19">
        <v>59245089</v>
      </c>
      <c r="BI7" s="19">
        <v>68743040</v>
      </c>
      <c r="BJ7" s="19">
        <f>357559237-3575592</f>
        <v>353983645</v>
      </c>
      <c r="BK7" s="19">
        <v>1006887485</v>
      </c>
      <c r="BL7" s="19"/>
      <c r="BM7" s="19">
        <v>48615230</v>
      </c>
      <c r="BN7" s="19"/>
      <c r="BO7" s="19" t="s">
        <v>96</v>
      </c>
      <c r="BP7" s="19" t="s">
        <v>96</v>
      </c>
      <c r="BQ7" s="19" t="s">
        <v>175</v>
      </c>
      <c r="BR7" s="19">
        <v>1381116159</v>
      </c>
      <c r="BS7" s="19" t="s">
        <v>172</v>
      </c>
      <c r="BT7" s="19"/>
      <c r="BU7" s="19">
        <v>103985690</v>
      </c>
      <c r="BV7" s="19">
        <v>139412386</v>
      </c>
      <c r="BW7" s="19"/>
      <c r="BX7" s="19">
        <v>17654364</v>
      </c>
      <c r="BY7" s="19">
        <v>420621354</v>
      </c>
      <c r="BZ7" s="19">
        <v>70403078</v>
      </c>
      <c r="CA7" s="19">
        <v>262045817</v>
      </c>
      <c r="CB7" s="19">
        <v>32935220</v>
      </c>
      <c r="CC7" s="19"/>
      <c r="CD7" s="19">
        <v>42707500</v>
      </c>
      <c r="CE7" s="19" t="s">
        <v>172</v>
      </c>
      <c r="CF7" s="19">
        <v>34444395</v>
      </c>
      <c r="CG7" s="19"/>
      <c r="CH7" s="19">
        <v>15108046</v>
      </c>
      <c r="CI7" s="19" t="s">
        <v>172</v>
      </c>
      <c r="CJ7" s="19">
        <f>24162988-241629</f>
        <v>23921359</v>
      </c>
      <c r="CK7" s="19">
        <v>59289391</v>
      </c>
      <c r="CL7" s="19">
        <v>25149063</v>
      </c>
      <c r="CM7" s="19">
        <v>350277032</v>
      </c>
      <c r="CN7" s="19">
        <v>1644813</v>
      </c>
      <c r="CO7" s="19"/>
      <c r="CP7" s="19">
        <v>394657309</v>
      </c>
      <c r="CQ7" s="19" t="s">
        <v>96</v>
      </c>
      <c r="CR7" s="19"/>
      <c r="CS7" s="56" t="s">
        <v>172</v>
      </c>
      <c r="CT7" s="19">
        <v>117927320</v>
      </c>
      <c r="CU7" s="19"/>
      <c r="CV7" s="19">
        <v>16247124</v>
      </c>
      <c r="CW7" s="19">
        <v>241824818</v>
      </c>
      <c r="CX7" s="19">
        <v>245285689</v>
      </c>
      <c r="CY7" s="19" t="s">
        <v>96</v>
      </c>
      <c r="CZ7" s="19">
        <v>374381807</v>
      </c>
      <c r="DA7" s="19" t="s">
        <v>175</v>
      </c>
      <c r="DB7" s="19">
        <v>348079607</v>
      </c>
      <c r="DC7" s="19">
        <v>2544092</v>
      </c>
      <c r="DD7" s="19"/>
      <c r="DE7" s="19"/>
      <c r="DF7" s="19">
        <v>526153</v>
      </c>
      <c r="DG7" s="19"/>
      <c r="DH7" s="19">
        <v>240447035</v>
      </c>
      <c r="DI7" s="19">
        <v>789720389</v>
      </c>
      <c r="DJ7" s="19">
        <v>941677</v>
      </c>
      <c r="DK7" s="19">
        <f>3875229155-124285528</f>
        <v>3750943627</v>
      </c>
      <c r="DL7" s="19">
        <v>98785000</v>
      </c>
      <c r="DM7" s="19">
        <v>194742311</v>
      </c>
      <c r="DN7" s="19">
        <v>44838353</v>
      </c>
      <c r="DO7" s="19">
        <v>970000</v>
      </c>
      <c r="DP7" s="19">
        <v>103895957</v>
      </c>
      <c r="DQ7" s="19">
        <v>295794786</v>
      </c>
      <c r="DR7" s="19">
        <v>53454371</v>
      </c>
      <c r="DS7" s="19">
        <v>111783564</v>
      </c>
      <c r="DT7" s="19">
        <v>209893142</v>
      </c>
      <c r="DU7" s="19"/>
      <c r="DV7" s="19"/>
      <c r="DW7" s="19">
        <v>200318724</v>
      </c>
      <c r="DX7" s="19">
        <f>1728042362-3000000</f>
        <v>1725042362</v>
      </c>
      <c r="DY7" s="19">
        <v>64334209</v>
      </c>
      <c r="DZ7" s="19"/>
      <c r="EA7" s="19"/>
      <c r="EB7" s="19">
        <v>569343583</v>
      </c>
      <c r="EC7" s="19">
        <v>34307746</v>
      </c>
      <c r="ED7" s="19">
        <v>247324</v>
      </c>
      <c r="EE7" s="19"/>
      <c r="EF7" s="19">
        <v>198040972</v>
      </c>
      <c r="EG7" s="19">
        <v>55657028</v>
      </c>
      <c r="EH7" s="19">
        <v>106048457</v>
      </c>
      <c r="EI7" s="19">
        <v>2269644368</v>
      </c>
      <c r="EJ7" s="19"/>
      <c r="EK7" s="19">
        <f>77687170+349351473</f>
        <v>427038643</v>
      </c>
      <c r="EL7" s="19">
        <v>142775480</v>
      </c>
      <c r="EM7" s="19">
        <v>46339294</v>
      </c>
      <c r="EN7" s="19">
        <v>202211917</v>
      </c>
      <c r="EO7" s="19"/>
      <c r="EP7" s="19">
        <v>38710225</v>
      </c>
      <c r="EQ7" s="19"/>
      <c r="ER7" s="19"/>
      <c r="ES7" s="19">
        <v>75106197</v>
      </c>
      <c r="ET7" s="19">
        <v>382381303</v>
      </c>
      <c r="EU7" s="19">
        <v>210423394</v>
      </c>
      <c r="EV7" s="19">
        <v>48560107</v>
      </c>
      <c r="EW7" s="19">
        <v>16367155</v>
      </c>
      <c r="EX7" s="19">
        <v>75386943</v>
      </c>
      <c r="EY7" s="19"/>
      <c r="EZ7" s="19">
        <v>6003884</v>
      </c>
      <c r="FA7" s="19">
        <v>82969</v>
      </c>
      <c r="FB7" s="19">
        <v>1078880</v>
      </c>
      <c r="FC7" s="19">
        <v>93713872</v>
      </c>
      <c r="FD7" s="19">
        <v>61192604</v>
      </c>
      <c r="FE7" s="19">
        <v>1151543587</v>
      </c>
      <c r="FF7" s="19">
        <v>17378024</v>
      </c>
      <c r="FG7" s="19" t="s">
        <v>172</v>
      </c>
      <c r="FH7" s="19">
        <v>84733749</v>
      </c>
      <c r="FI7" s="19" t="s">
        <v>172</v>
      </c>
      <c r="FJ7" s="19">
        <v>2678899</v>
      </c>
      <c r="FK7" s="19">
        <v>192111419</v>
      </c>
      <c r="FL7" s="19">
        <v>2273738</v>
      </c>
      <c r="FM7" s="19">
        <v>1713598</v>
      </c>
      <c r="FN7" s="19">
        <v>1599290000</v>
      </c>
      <c r="FO7" s="56" t="s">
        <v>172</v>
      </c>
      <c r="FP7" s="19"/>
      <c r="FQ7" s="19"/>
      <c r="FR7" s="19">
        <v>21926372</v>
      </c>
      <c r="FS7" s="19">
        <v>31595624</v>
      </c>
      <c r="FT7" s="19">
        <v>401886325</v>
      </c>
      <c r="FU7" s="19"/>
      <c r="FV7" s="19" t="s">
        <v>172</v>
      </c>
      <c r="FW7" s="19">
        <v>11147800</v>
      </c>
      <c r="FX7" s="19">
        <v>16599888</v>
      </c>
      <c r="FY7" s="19" t="s">
        <v>172</v>
      </c>
      <c r="FZ7" s="19" t="s">
        <v>175</v>
      </c>
      <c r="GA7" s="19">
        <v>198157129</v>
      </c>
      <c r="GB7" s="19">
        <v>2999201</v>
      </c>
      <c r="GC7" s="19"/>
      <c r="GD7" s="19" t="s">
        <v>172</v>
      </c>
      <c r="GE7" s="19" t="s">
        <v>172</v>
      </c>
      <c r="GF7" s="19">
        <v>138122525</v>
      </c>
      <c r="GG7" s="19">
        <v>127946862</v>
      </c>
      <c r="GH7" s="19" t="s">
        <v>172</v>
      </c>
      <c r="GI7" s="19">
        <v>1913756</v>
      </c>
      <c r="GJ7" s="19" t="s">
        <v>172</v>
      </c>
      <c r="GK7" s="19">
        <v>34312204</v>
      </c>
      <c r="GL7" s="19" t="s">
        <v>172</v>
      </c>
      <c r="GM7" s="19"/>
      <c r="GN7" s="19">
        <v>75029405</v>
      </c>
      <c r="GO7" s="19" t="s">
        <v>172</v>
      </c>
      <c r="GP7" s="19">
        <v>545520091</v>
      </c>
      <c r="GQ7" s="19"/>
      <c r="GR7" s="19">
        <v>274628090</v>
      </c>
      <c r="GS7" s="19"/>
      <c r="GT7" s="19">
        <v>5830000</v>
      </c>
      <c r="GU7" s="19"/>
      <c r="GV7" s="19"/>
      <c r="GW7" s="19">
        <v>499771632</v>
      </c>
      <c r="GX7" s="19">
        <v>42476000</v>
      </c>
      <c r="GY7" s="19">
        <v>158606661</v>
      </c>
      <c r="GZ7" s="19">
        <v>57481270</v>
      </c>
      <c r="HA7" s="19" t="s">
        <v>172</v>
      </c>
      <c r="HB7" s="19">
        <v>25523188</v>
      </c>
      <c r="HC7" s="19">
        <v>46775387</v>
      </c>
      <c r="HD7" s="19">
        <v>38980211</v>
      </c>
      <c r="HE7" s="19" t="s">
        <v>172</v>
      </c>
      <c r="HF7" s="19">
        <v>255245653</v>
      </c>
      <c r="HG7" s="19">
        <v>8666724</v>
      </c>
      <c r="HH7" s="19" t="s">
        <v>172</v>
      </c>
      <c r="HI7" s="19">
        <f>119700978</f>
        <v>119700978</v>
      </c>
      <c r="HJ7" s="19" t="s">
        <v>172</v>
      </c>
      <c r="HK7" s="19">
        <v>7688673</v>
      </c>
      <c r="HL7" s="19">
        <v>86412605</v>
      </c>
      <c r="HM7" s="19">
        <v>4974521</v>
      </c>
      <c r="HN7" s="19"/>
      <c r="HO7" s="19">
        <v>93982230</v>
      </c>
      <c r="HP7" s="19">
        <v>8736706</v>
      </c>
      <c r="HQ7" s="19"/>
      <c r="HR7" s="19">
        <v>1476368052</v>
      </c>
      <c r="HS7" s="19">
        <v>22653953</v>
      </c>
      <c r="HT7" s="19">
        <v>447109625</v>
      </c>
      <c r="HU7" s="19">
        <v>1410245</v>
      </c>
      <c r="HV7" s="19"/>
      <c r="HW7" s="19" t="s">
        <v>172</v>
      </c>
      <c r="HX7" s="19">
        <v>425745458</v>
      </c>
      <c r="HY7" s="19" t="s">
        <v>172</v>
      </c>
      <c r="HZ7" s="19">
        <v>1186682619</v>
      </c>
      <c r="IA7" s="19">
        <v>300000</v>
      </c>
      <c r="IB7" s="19">
        <v>559371074</v>
      </c>
      <c r="IC7" s="19"/>
      <c r="ID7" s="19">
        <v>4389877</v>
      </c>
      <c r="IE7" s="19" t="s">
        <v>172</v>
      </c>
      <c r="IF7" s="19"/>
      <c r="IG7" s="19">
        <v>5980653</v>
      </c>
      <c r="IH7" s="19">
        <v>63962773</v>
      </c>
      <c r="II7" s="19">
        <v>1479711</v>
      </c>
      <c r="IJ7" s="19"/>
      <c r="IK7" s="19"/>
      <c r="IL7" s="19">
        <v>50017811</v>
      </c>
      <c r="IM7" s="19">
        <v>43015645</v>
      </c>
      <c r="IN7" s="19">
        <v>407069168</v>
      </c>
      <c r="IO7" s="19">
        <v>116308601</v>
      </c>
      <c r="IP7" s="19"/>
      <c r="IQ7" s="19"/>
      <c r="IR7" s="19">
        <v>82018036</v>
      </c>
      <c r="IS7" s="19">
        <v>71901524</v>
      </c>
      <c r="IT7" s="19">
        <v>14760112</v>
      </c>
      <c r="IU7" s="19"/>
      <c r="IV7" s="19"/>
      <c r="IW7" s="19">
        <v>88505117</v>
      </c>
      <c r="IX7" s="19">
        <v>13734454</v>
      </c>
      <c r="IY7" s="19">
        <v>484699312</v>
      </c>
      <c r="IZ7" s="19">
        <v>18679785</v>
      </c>
      <c r="JA7" s="19">
        <f>526126022-5261260</f>
        <v>520864762</v>
      </c>
      <c r="JB7" s="19">
        <v>60632182</v>
      </c>
      <c r="JC7" s="19">
        <v>984554</v>
      </c>
      <c r="JD7" s="19">
        <v>24692520</v>
      </c>
      <c r="JE7" s="19">
        <f>38224700-382247</f>
        <v>37842453</v>
      </c>
      <c r="JF7" s="19">
        <v>90109265</v>
      </c>
      <c r="JG7" s="19">
        <v>445200</v>
      </c>
      <c r="JH7" s="19">
        <v>28957968</v>
      </c>
      <c r="JI7" s="19">
        <f>108190033-1081900</f>
        <v>107108133</v>
      </c>
      <c r="JJ7" s="19"/>
      <c r="JK7" s="19"/>
      <c r="JL7" s="19">
        <v>17076500</v>
      </c>
      <c r="JM7" s="19"/>
      <c r="JN7" s="19">
        <v>1847185928</v>
      </c>
      <c r="JO7" s="19"/>
      <c r="JP7" s="19">
        <v>36862919</v>
      </c>
      <c r="JQ7" s="19" t="s">
        <v>175</v>
      </c>
      <c r="JR7" s="19">
        <v>23843808</v>
      </c>
      <c r="JS7" s="19">
        <v>2337036</v>
      </c>
      <c r="JT7" s="19"/>
      <c r="JU7" s="19">
        <v>69906931</v>
      </c>
      <c r="JV7" s="19"/>
      <c r="JW7" s="19"/>
      <c r="JX7" s="19"/>
      <c r="JY7" s="19">
        <v>226829316</v>
      </c>
      <c r="JZ7" s="19"/>
      <c r="KA7" s="19">
        <v>95075545</v>
      </c>
      <c r="KB7" s="19">
        <v>265374110</v>
      </c>
      <c r="KC7" s="19">
        <v>33876588</v>
      </c>
      <c r="KD7" s="19">
        <v>15810620</v>
      </c>
      <c r="KE7" s="19">
        <v>3655275</v>
      </c>
      <c r="KF7" s="19">
        <v>1719400</v>
      </c>
      <c r="KG7" s="19">
        <v>37902839</v>
      </c>
      <c r="KH7" s="19">
        <v>145150000</v>
      </c>
      <c r="KI7" s="19">
        <v>-329146</v>
      </c>
      <c r="KJ7" s="19">
        <v>2296893</v>
      </c>
      <c r="KK7" s="19">
        <v>112200</v>
      </c>
      <c r="KL7" s="19">
        <v>398659147</v>
      </c>
      <c r="KM7" s="19">
        <v>9175482</v>
      </c>
      <c r="KN7" s="19"/>
      <c r="KO7" s="19">
        <v>289893010</v>
      </c>
      <c r="KP7" s="19"/>
      <c r="KQ7" s="19"/>
      <c r="KR7" s="19">
        <v>33000</v>
      </c>
      <c r="KS7" s="19">
        <v>14113570</v>
      </c>
      <c r="KT7" s="19"/>
      <c r="KU7" s="19"/>
      <c r="KV7" s="19">
        <v>795665</v>
      </c>
      <c r="KW7" s="19">
        <v>18121744</v>
      </c>
      <c r="KX7" s="19">
        <v>1114113</v>
      </c>
      <c r="KY7" s="19">
        <v>624047511</v>
      </c>
      <c r="KZ7" s="58">
        <v>398322954</v>
      </c>
      <c r="LA7" s="76">
        <v>132463712</v>
      </c>
      <c r="LB7" s="76"/>
    </row>
    <row r="8" spans="1:314">
      <c r="A8" s="7" t="s">
        <v>100</v>
      </c>
      <c r="B8" s="13" t="s">
        <v>69</v>
      </c>
      <c r="C8" s="19">
        <f>5152254</f>
        <v>5152254</v>
      </c>
      <c r="D8" s="19"/>
      <c r="E8" s="19"/>
      <c r="F8" s="19"/>
      <c r="G8" s="19" t="s">
        <v>130</v>
      </c>
      <c r="H8" s="19">
        <v>3000000</v>
      </c>
      <c r="I8" s="19"/>
      <c r="J8" s="19" t="s">
        <v>176</v>
      </c>
      <c r="K8" s="19"/>
      <c r="L8" s="19" t="s">
        <v>96</v>
      </c>
      <c r="M8" s="19" t="s">
        <v>96</v>
      </c>
      <c r="N8" s="19"/>
      <c r="O8" s="19"/>
      <c r="P8" s="19"/>
      <c r="Q8" s="19">
        <v>107200803</v>
      </c>
      <c r="R8" s="19">
        <v>38000000</v>
      </c>
      <c r="S8" s="19"/>
      <c r="T8" s="19" t="s">
        <v>96</v>
      </c>
      <c r="U8" s="19" t="s">
        <v>96</v>
      </c>
      <c r="V8" s="19" t="s">
        <v>172</v>
      </c>
      <c r="W8" s="19"/>
      <c r="X8" s="19"/>
      <c r="Y8" s="19"/>
      <c r="Z8" s="19">
        <v>30000000</v>
      </c>
      <c r="AA8" s="19">
        <v>110000000</v>
      </c>
      <c r="AB8" s="19">
        <v>37000000</v>
      </c>
      <c r="AC8" s="19"/>
      <c r="AD8" s="19"/>
      <c r="AE8" s="19">
        <v>186000000</v>
      </c>
      <c r="AF8" s="56" t="s">
        <v>172</v>
      </c>
      <c r="AG8" s="19">
        <v>208488650</v>
      </c>
      <c r="AH8" s="19" t="s">
        <v>167</v>
      </c>
      <c r="AI8" s="19"/>
      <c r="AJ8" s="19">
        <v>1005000</v>
      </c>
      <c r="AK8" s="19"/>
      <c r="AL8" s="19"/>
      <c r="AM8" s="19" t="s">
        <v>4</v>
      </c>
      <c r="AN8" s="19"/>
      <c r="AO8" s="19">
        <v>20000000</v>
      </c>
      <c r="AP8" s="19">
        <v>10000000</v>
      </c>
      <c r="AQ8" s="19" t="s">
        <v>172</v>
      </c>
      <c r="AR8" s="19"/>
      <c r="AS8" s="19">
        <v>10000000</v>
      </c>
      <c r="AT8" s="19" t="s">
        <v>172</v>
      </c>
      <c r="AU8" s="19">
        <v>8711802902</v>
      </c>
      <c r="AV8" s="19"/>
      <c r="AW8" s="19"/>
      <c r="AX8" s="19" t="s">
        <v>4</v>
      </c>
      <c r="AY8" s="19">
        <v>1614760</v>
      </c>
      <c r="AZ8" s="19"/>
      <c r="BA8" s="19" t="s">
        <v>167</v>
      </c>
      <c r="BB8" s="19"/>
      <c r="BC8" s="19" t="s">
        <v>4</v>
      </c>
      <c r="BD8" s="19" t="s">
        <v>172</v>
      </c>
      <c r="BE8" s="19">
        <v>10000000</v>
      </c>
      <c r="BF8" s="19" t="s">
        <v>96</v>
      </c>
      <c r="BG8" s="19"/>
      <c r="BH8" s="19"/>
      <c r="BI8" s="19"/>
      <c r="BJ8" s="19"/>
      <c r="BK8" s="19"/>
      <c r="BL8" s="19"/>
      <c r="BM8" s="19">
        <f>10000000+120000000</f>
        <v>130000000</v>
      </c>
      <c r="BN8" s="19"/>
      <c r="BO8" s="19" t="s">
        <v>96</v>
      </c>
      <c r="BP8" s="19" t="s">
        <v>96</v>
      </c>
      <c r="BQ8" s="19" t="s">
        <v>175</v>
      </c>
      <c r="BR8" s="19">
        <v>98147452</v>
      </c>
      <c r="BS8" s="19" t="s">
        <v>172</v>
      </c>
      <c r="BT8" s="19"/>
      <c r="BU8" s="19"/>
      <c r="BV8" s="19"/>
      <c r="BW8" s="19"/>
      <c r="BX8" s="19"/>
      <c r="BY8" s="19">
        <v>81143269</v>
      </c>
      <c r="BZ8" s="19"/>
      <c r="CA8" s="19">
        <v>51800000</v>
      </c>
      <c r="CB8" s="19"/>
      <c r="CC8" s="19"/>
      <c r="CD8" s="19"/>
      <c r="CE8" s="19" t="s">
        <v>172</v>
      </c>
      <c r="CF8" s="19"/>
      <c r="CG8" s="19"/>
      <c r="CH8" s="19"/>
      <c r="CI8" s="19" t="s">
        <v>172</v>
      </c>
      <c r="CJ8" s="19"/>
      <c r="CK8" s="19"/>
      <c r="CL8" s="19"/>
      <c r="CM8" s="19">
        <v>1530000000</v>
      </c>
      <c r="CN8" s="19"/>
      <c r="CO8" s="19"/>
      <c r="CP8" s="19">
        <v>6581106</v>
      </c>
      <c r="CQ8" s="19" t="s">
        <v>96</v>
      </c>
      <c r="CR8" s="19"/>
      <c r="CS8" s="56" t="s">
        <v>172</v>
      </c>
      <c r="CT8" s="19"/>
      <c r="CU8" s="19"/>
      <c r="CV8" s="19"/>
      <c r="CW8" s="19"/>
      <c r="CX8" s="19">
        <v>20920000</v>
      </c>
      <c r="CY8" s="19" t="s">
        <v>96</v>
      </c>
      <c r="CZ8" s="19">
        <v>40000000</v>
      </c>
      <c r="DA8" s="19" t="s">
        <v>175</v>
      </c>
      <c r="DB8" s="19"/>
      <c r="DC8" s="19"/>
      <c r="DD8" s="19">
        <v>3422838</v>
      </c>
      <c r="DE8" s="19">
        <v>118082491</v>
      </c>
      <c r="DF8" s="19"/>
      <c r="DG8" s="19"/>
      <c r="DH8" s="19">
        <v>114000000</v>
      </c>
      <c r="DI8" s="19"/>
      <c r="DJ8" s="19"/>
      <c r="DK8" s="19">
        <f>127530446-127530446</f>
        <v>0</v>
      </c>
      <c r="DL8" s="19"/>
      <c r="DM8" s="19"/>
      <c r="DN8" s="19">
        <v>43980000</v>
      </c>
      <c r="DO8" s="19"/>
      <c r="DP8" s="19">
        <v>50000000</v>
      </c>
      <c r="DQ8" s="19"/>
      <c r="DR8" s="19">
        <v>17738117</v>
      </c>
      <c r="DS8" s="19"/>
      <c r="DT8" s="19">
        <v>7500000</v>
      </c>
      <c r="DU8" s="19"/>
      <c r="DV8" s="19">
        <v>28838690</v>
      </c>
      <c r="DW8" s="19">
        <v>188000000</v>
      </c>
      <c r="DX8" s="19"/>
      <c r="DY8" s="19"/>
      <c r="DZ8" s="19"/>
      <c r="EA8" s="19"/>
      <c r="EB8" s="19">
        <v>84154403</v>
      </c>
      <c r="EC8" s="19"/>
      <c r="ED8" s="19"/>
      <c r="EE8" s="19">
        <v>2000000</v>
      </c>
      <c r="EF8" s="19"/>
      <c r="EG8" s="19"/>
      <c r="EH8" s="19"/>
      <c r="EI8" s="19"/>
      <c r="EJ8" s="19"/>
      <c r="EK8" s="19">
        <v>2000000</v>
      </c>
      <c r="EL8" s="19">
        <v>100000000</v>
      </c>
      <c r="EM8" s="19"/>
      <c r="EN8" s="19"/>
      <c r="EO8" s="19"/>
      <c r="EP8" s="19"/>
      <c r="EQ8" s="19"/>
      <c r="ER8" s="19"/>
      <c r="ES8" s="19"/>
      <c r="ET8" s="19"/>
      <c r="EU8" s="19"/>
      <c r="EV8" s="19"/>
      <c r="EW8" s="19"/>
      <c r="EX8" s="19"/>
      <c r="EY8" s="19">
        <v>19000000</v>
      </c>
      <c r="EZ8" s="19"/>
      <c r="FA8" s="19"/>
      <c r="FB8" s="19"/>
      <c r="FC8" s="19"/>
      <c r="FD8" s="19"/>
      <c r="FE8" s="19"/>
      <c r="FF8" s="19"/>
      <c r="FG8" s="19" t="s">
        <v>172</v>
      </c>
      <c r="FH8" s="19"/>
      <c r="FI8" s="19" t="s">
        <v>172</v>
      </c>
      <c r="FJ8" s="19">
        <v>10000000</v>
      </c>
      <c r="FK8" s="19"/>
      <c r="FL8" s="19"/>
      <c r="FM8" s="19"/>
      <c r="FN8" s="19"/>
      <c r="FO8" s="56" t="s">
        <v>172</v>
      </c>
      <c r="FP8" s="19"/>
      <c r="FQ8" s="19"/>
      <c r="FR8" s="19"/>
      <c r="FS8" s="19"/>
      <c r="FT8" s="19"/>
      <c r="FU8" s="19"/>
      <c r="FV8" s="19" t="s">
        <v>172</v>
      </c>
      <c r="FW8" s="19"/>
      <c r="FX8" s="19"/>
      <c r="FY8" s="19" t="s">
        <v>172</v>
      </c>
      <c r="FZ8" s="19" t="s">
        <v>175</v>
      </c>
      <c r="GA8" s="19"/>
      <c r="GB8" s="19"/>
      <c r="GC8" s="19"/>
      <c r="GD8" s="19" t="s">
        <v>172</v>
      </c>
      <c r="GE8" s="19" t="s">
        <v>172</v>
      </c>
      <c r="GF8" s="19">
        <v>5871073</v>
      </c>
      <c r="GG8" s="19"/>
      <c r="GH8" s="19" t="s">
        <v>172</v>
      </c>
      <c r="GI8" s="19"/>
      <c r="GJ8" s="19" t="s">
        <v>172</v>
      </c>
      <c r="GK8" s="19">
        <v>10876914</v>
      </c>
      <c r="GL8" s="19" t="s">
        <v>172</v>
      </c>
      <c r="GM8" s="19"/>
      <c r="GN8" s="19"/>
      <c r="GO8" s="19" t="s">
        <v>172</v>
      </c>
      <c r="GP8" s="19">
        <v>28382995</v>
      </c>
      <c r="GQ8" s="19"/>
      <c r="GR8" s="19">
        <v>52463360</v>
      </c>
      <c r="GS8" s="19">
        <v>2000000</v>
      </c>
      <c r="GT8" s="19">
        <v>13300000</v>
      </c>
      <c r="GU8" s="19"/>
      <c r="GV8" s="19"/>
      <c r="GW8" s="19"/>
      <c r="GX8" s="19"/>
      <c r="GY8" s="19"/>
      <c r="GZ8" s="19"/>
      <c r="HA8" s="19" t="s">
        <v>172</v>
      </c>
      <c r="HB8" s="19"/>
      <c r="HC8" s="19"/>
      <c r="HD8" s="19"/>
      <c r="HE8" s="19" t="s">
        <v>172</v>
      </c>
      <c r="HF8" s="19"/>
      <c r="HG8" s="19"/>
      <c r="HH8" s="19" t="s">
        <v>172</v>
      </c>
      <c r="HI8" s="19"/>
      <c r="HJ8" s="19" t="s">
        <v>172</v>
      </c>
      <c r="HK8" s="19"/>
      <c r="HL8" s="19"/>
      <c r="HM8" s="19"/>
      <c r="HN8" s="19"/>
      <c r="HO8" s="19"/>
      <c r="HP8" s="19"/>
      <c r="HQ8" s="19"/>
      <c r="HR8" s="19"/>
      <c r="HS8" s="19"/>
      <c r="HT8" s="19"/>
      <c r="HU8" s="19">
        <v>43884010</v>
      </c>
      <c r="HV8" s="19"/>
      <c r="HW8" s="19" t="s">
        <v>172</v>
      </c>
      <c r="HX8" s="19"/>
      <c r="HY8" s="19" t="s">
        <v>172</v>
      </c>
      <c r="HZ8" s="19">
        <v>40000000</v>
      </c>
      <c r="IA8" s="19"/>
      <c r="IB8" s="19">
        <v>10000000</v>
      </c>
      <c r="IC8" s="19"/>
      <c r="ID8" s="19"/>
      <c r="IE8" s="19" t="s">
        <v>172</v>
      </c>
      <c r="IF8" s="19"/>
      <c r="IG8" s="19"/>
      <c r="IH8" s="19"/>
      <c r="II8" s="19"/>
      <c r="IJ8" s="19"/>
      <c r="IK8" s="19">
        <v>31799829</v>
      </c>
      <c r="IL8" s="19"/>
      <c r="IM8" s="19"/>
      <c r="IN8" s="19"/>
      <c r="IO8" s="19"/>
      <c r="IP8" s="19"/>
      <c r="IQ8" s="19"/>
      <c r="IR8" s="19">
        <v>157981139</v>
      </c>
      <c r="IS8" s="19">
        <v>232000000</v>
      </c>
      <c r="IT8" s="19"/>
      <c r="IU8" s="19"/>
      <c r="IV8" s="19"/>
      <c r="IW8" s="19">
        <v>19997652</v>
      </c>
      <c r="IX8" s="19"/>
      <c r="IY8" s="19"/>
      <c r="IZ8" s="19"/>
      <c r="JA8" s="19"/>
      <c r="JB8" s="19"/>
      <c r="JC8" s="19"/>
      <c r="JD8" s="19">
        <v>300000000</v>
      </c>
      <c r="JE8" s="19"/>
      <c r="JF8" s="19"/>
      <c r="JG8" s="19"/>
      <c r="JH8" s="19"/>
      <c r="JI8" s="19"/>
      <c r="JJ8" s="19"/>
      <c r="JK8" s="19"/>
      <c r="JL8" s="19"/>
      <c r="JM8" s="19"/>
      <c r="JN8" s="19"/>
      <c r="JO8" s="19"/>
      <c r="JP8" s="19"/>
      <c r="JQ8" s="19" t="s">
        <v>175</v>
      </c>
      <c r="JR8" s="19"/>
      <c r="JS8" s="19"/>
      <c r="JT8" s="19"/>
      <c r="JU8" s="19"/>
      <c r="JV8" s="19"/>
      <c r="JW8" s="19"/>
      <c r="JX8" s="19"/>
      <c r="JY8" s="19"/>
      <c r="JZ8" s="19"/>
      <c r="KA8" s="19">
        <v>246878605</v>
      </c>
      <c r="KB8" s="19"/>
      <c r="KC8" s="19"/>
      <c r="KD8" s="19"/>
      <c r="KE8" s="19"/>
      <c r="KF8" s="19">
        <v>321743386</v>
      </c>
      <c r="KG8" s="19"/>
      <c r="KH8" s="19"/>
      <c r="KI8" s="19">
        <v>28221530</v>
      </c>
      <c r="KJ8" s="19">
        <v>10000000</v>
      </c>
      <c r="KK8" s="19"/>
      <c r="KL8" s="19"/>
      <c r="KM8" s="19">
        <v>114500000</v>
      </c>
      <c r="KN8" s="19"/>
      <c r="KO8" s="19">
        <v>40000000</v>
      </c>
      <c r="KP8" s="19">
        <v>89234310</v>
      </c>
      <c r="KQ8" s="19"/>
      <c r="KR8" s="19">
        <v>0</v>
      </c>
      <c r="KS8" s="19"/>
      <c r="KT8" s="19"/>
      <c r="KU8" s="19"/>
      <c r="KV8" s="19"/>
      <c r="KW8" s="19"/>
      <c r="KX8" s="19"/>
      <c r="KY8" s="19"/>
      <c r="KZ8" s="58"/>
      <c r="LA8" s="76"/>
      <c r="LB8" s="76"/>
    </row>
    <row r="9" spans="1:314">
      <c r="A9" s="7" t="s">
        <v>100</v>
      </c>
      <c r="B9" s="13" t="s">
        <v>134</v>
      </c>
      <c r="C9" s="19">
        <f>12000</f>
        <v>12000</v>
      </c>
      <c r="D9" s="19">
        <v>1392960</v>
      </c>
      <c r="E9" s="19">
        <v>12383515</v>
      </c>
      <c r="F9" s="19"/>
      <c r="G9" s="19" t="s">
        <v>130</v>
      </c>
      <c r="H9" s="19"/>
      <c r="I9" s="19">
        <v>1047866981</v>
      </c>
      <c r="J9" s="19" t="s">
        <v>176</v>
      </c>
      <c r="K9" s="19"/>
      <c r="L9" s="19" t="s">
        <v>96</v>
      </c>
      <c r="M9" s="19" t="s">
        <v>96</v>
      </c>
      <c r="N9" s="19">
        <v>23630</v>
      </c>
      <c r="O9" s="19">
        <v>650740820</v>
      </c>
      <c r="P9" s="19">
        <f>382746318+27197620</f>
        <v>409943938</v>
      </c>
      <c r="Q9" s="19">
        <f>2804411+1518252</f>
        <v>4322663</v>
      </c>
      <c r="R9" s="19">
        <v>702971</v>
      </c>
      <c r="S9" s="19">
        <f>16584198</f>
        <v>16584198</v>
      </c>
      <c r="T9" s="19" t="s">
        <v>96</v>
      </c>
      <c r="U9" s="19" t="s">
        <v>96</v>
      </c>
      <c r="V9" s="19" t="s">
        <v>172</v>
      </c>
      <c r="W9" s="19"/>
      <c r="X9" s="19"/>
      <c r="Y9" s="19">
        <v>465860</v>
      </c>
      <c r="Z9" s="19"/>
      <c r="AA9" s="19">
        <f>120434</f>
        <v>120434</v>
      </c>
      <c r="AB9" s="19">
        <f>2087643</f>
        <v>2087643</v>
      </c>
      <c r="AC9" s="19">
        <f>89500</f>
        <v>89500</v>
      </c>
      <c r="AD9" s="19">
        <v>18699558</v>
      </c>
      <c r="AE9" s="19">
        <f>7270742+22700055</f>
        <v>29970797</v>
      </c>
      <c r="AF9" s="56" t="s">
        <v>172</v>
      </c>
      <c r="AG9" s="19">
        <v>18313680</v>
      </c>
      <c r="AH9" s="19" t="s">
        <v>167</v>
      </c>
      <c r="AI9" s="19">
        <v>4954233</v>
      </c>
      <c r="AJ9" s="19">
        <v>537118</v>
      </c>
      <c r="AK9" s="19">
        <f>41385643+3992520</f>
        <v>45378163</v>
      </c>
      <c r="AL9" s="19">
        <v>11879080</v>
      </c>
      <c r="AM9" s="19" t="s">
        <v>4</v>
      </c>
      <c r="AN9" s="19">
        <v>17227576</v>
      </c>
      <c r="AO9" s="19">
        <v>220000</v>
      </c>
      <c r="AP9" s="19">
        <v>45129133</v>
      </c>
      <c r="AQ9" s="19" t="s">
        <v>172</v>
      </c>
      <c r="AR9" s="19">
        <v>15310924</v>
      </c>
      <c r="AS9" s="19"/>
      <c r="AT9" s="19" t="s">
        <v>172</v>
      </c>
      <c r="AU9" s="19">
        <f>671717302+5303000</f>
        <v>677020302</v>
      </c>
      <c r="AV9" s="19">
        <v>372540</v>
      </c>
      <c r="AW9" s="19">
        <v>778200</v>
      </c>
      <c r="AX9" s="19" t="s">
        <v>4</v>
      </c>
      <c r="AY9" s="19"/>
      <c r="AZ9" s="19"/>
      <c r="BA9" s="19" t="s">
        <v>167</v>
      </c>
      <c r="BB9" s="19">
        <v>1705000</v>
      </c>
      <c r="BC9" s="19" t="s">
        <v>4</v>
      </c>
      <c r="BD9" s="19" t="s">
        <v>172</v>
      </c>
      <c r="BE9" s="19">
        <v>58121406</v>
      </c>
      <c r="BF9" s="19" t="s">
        <v>96</v>
      </c>
      <c r="BG9" s="19"/>
      <c r="BH9" s="19">
        <v>185143</v>
      </c>
      <c r="BI9" s="19">
        <v>10092972</v>
      </c>
      <c r="BJ9" s="19"/>
      <c r="BK9" s="19"/>
      <c r="BL9" s="19">
        <f>17975979</f>
        <v>17975979</v>
      </c>
      <c r="BM9" s="19">
        <f>15488000+1199905</f>
        <v>16687905</v>
      </c>
      <c r="BN9" s="19">
        <v>246000</v>
      </c>
      <c r="BO9" s="19" t="s">
        <v>96</v>
      </c>
      <c r="BP9" s="19" t="s">
        <v>96</v>
      </c>
      <c r="BQ9" s="19" t="s">
        <v>175</v>
      </c>
      <c r="BR9" s="19">
        <f>4219862+110033444</f>
        <v>114253306</v>
      </c>
      <c r="BS9" s="19" t="s">
        <v>172</v>
      </c>
      <c r="BT9" s="19">
        <v>6780320</v>
      </c>
      <c r="BU9" s="19"/>
      <c r="BV9" s="19">
        <v>8664729</v>
      </c>
      <c r="BW9" s="19">
        <v>1898870</v>
      </c>
      <c r="BX9" s="19">
        <v>687910</v>
      </c>
      <c r="BY9" s="19">
        <v>592958</v>
      </c>
      <c r="BZ9" s="19">
        <v>30130476</v>
      </c>
      <c r="CA9" s="19">
        <v>60220</v>
      </c>
      <c r="CB9" s="19"/>
      <c r="CC9" s="19"/>
      <c r="CD9" s="19"/>
      <c r="CE9" s="19" t="s">
        <v>172</v>
      </c>
      <c r="CF9" s="19">
        <v>5280118</v>
      </c>
      <c r="CG9" s="19"/>
      <c r="CH9" s="19"/>
      <c r="CI9" s="19" t="s">
        <v>172</v>
      </c>
      <c r="CJ9" s="19"/>
      <c r="CK9" s="19"/>
      <c r="CL9" s="19"/>
      <c r="CM9" s="19"/>
      <c r="CN9" s="19">
        <v>220000</v>
      </c>
      <c r="CO9" s="19">
        <v>17691285</v>
      </c>
      <c r="CP9" s="19">
        <v>1795288</v>
      </c>
      <c r="CQ9" s="19" t="s">
        <v>96</v>
      </c>
      <c r="CR9" s="19">
        <f>7015945+6947820</f>
        <v>13963765</v>
      </c>
      <c r="CS9" s="56" t="s">
        <v>172</v>
      </c>
      <c r="CT9" s="19">
        <f>23563501+67180847</f>
        <v>90744348</v>
      </c>
      <c r="CU9" s="19"/>
      <c r="CV9" s="19">
        <v>946605</v>
      </c>
      <c r="CW9" s="19">
        <f>28478760</f>
        <v>28478760</v>
      </c>
      <c r="CX9" s="19">
        <f>17296042+13080760</f>
        <v>30376802</v>
      </c>
      <c r="CY9" s="19" t="s">
        <v>96</v>
      </c>
      <c r="CZ9" s="19"/>
      <c r="DA9" s="19" t="s">
        <v>175</v>
      </c>
      <c r="DB9" s="19">
        <v>3063830</v>
      </c>
      <c r="DC9" s="19"/>
      <c r="DD9" s="19">
        <v>473778</v>
      </c>
      <c r="DE9" s="19"/>
      <c r="DF9" s="19"/>
      <c r="DG9" s="19"/>
      <c r="DH9" s="19"/>
      <c r="DI9" s="19">
        <v>4345000</v>
      </c>
      <c r="DJ9" s="19">
        <v>259270</v>
      </c>
      <c r="DK9" s="19">
        <f>103199638-72860000</f>
        <v>30339638</v>
      </c>
      <c r="DL9" s="19"/>
      <c r="DM9" s="19">
        <f>90300+12022856</f>
        <v>12113156</v>
      </c>
      <c r="DN9" s="19">
        <f>1053981</f>
        <v>1053981</v>
      </c>
      <c r="DO9" s="19">
        <f>1728990+141380</f>
        <v>1870370</v>
      </c>
      <c r="DP9" s="19">
        <v>1906430</v>
      </c>
      <c r="DQ9" s="19">
        <v>1313678</v>
      </c>
      <c r="DR9" s="19"/>
      <c r="DS9" s="19">
        <v>9147970</v>
      </c>
      <c r="DT9" s="19">
        <f>800273+697090</f>
        <v>1497363</v>
      </c>
      <c r="DU9" s="19"/>
      <c r="DV9" s="19">
        <v>1735839</v>
      </c>
      <c r="DW9" s="19">
        <v>4173826</v>
      </c>
      <c r="DX9" s="19">
        <f>99886799+15347480</f>
        <v>115234279</v>
      </c>
      <c r="DY9" s="19">
        <v>9701820</v>
      </c>
      <c r="DZ9" s="19">
        <f>363866216+19098094</f>
        <v>382964310</v>
      </c>
      <c r="EA9" s="19">
        <f>131900+952905</f>
        <v>1084805</v>
      </c>
      <c r="EB9" s="19"/>
      <c r="EC9" s="19"/>
      <c r="ED9" s="19"/>
      <c r="EE9" s="19">
        <v>109600773</v>
      </c>
      <c r="EF9" s="19">
        <v>285050</v>
      </c>
      <c r="EG9" s="19">
        <f>11819014+3712245514</f>
        <v>3724064528</v>
      </c>
      <c r="EH9" s="19">
        <v>104538498</v>
      </c>
      <c r="EI9" s="19">
        <v>445542756</v>
      </c>
      <c r="EJ9" s="19">
        <v>146380</v>
      </c>
      <c r="EK9" s="19">
        <f>24354343+8843751</f>
        <v>33198094</v>
      </c>
      <c r="EL9" s="19">
        <v>28946449</v>
      </c>
      <c r="EM9" s="19">
        <v>859564</v>
      </c>
      <c r="EN9" s="19"/>
      <c r="EO9" s="19">
        <v>12600306</v>
      </c>
      <c r="EP9" s="19"/>
      <c r="EQ9" s="19"/>
      <c r="ER9" s="19">
        <v>129899431</v>
      </c>
      <c r="ES9" s="19">
        <v>723510</v>
      </c>
      <c r="ET9" s="19">
        <v>19236825</v>
      </c>
      <c r="EU9" s="19">
        <v>1333520</v>
      </c>
      <c r="EV9" s="19">
        <v>99000</v>
      </c>
      <c r="EW9" s="19">
        <v>290400</v>
      </c>
      <c r="EX9" s="19"/>
      <c r="EY9" s="19">
        <f>118566502+115976323</f>
        <v>234542825</v>
      </c>
      <c r="EZ9" s="19">
        <v>27060265</v>
      </c>
      <c r="FA9" s="19"/>
      <c r="FB9" s="19">
        <v>1421039</v>
      </c>
      <c r="FC9" s="19">
        <v>307000</v>
      </c>
      <c r="FD9" s="19">
        <v>1315980</v>
      </c>
      <c r="FE9" s="19">
        <v>14734616</v>
      </c>
      <c r="FF9" s="19"/>
      <c r="FG9" s="19" t="s">
        <v>172</v>
      </c>
      <c r="FH9" s="19">
        <v>21156300</v>
      </c>
      <c r="FI9" s="19" t="s">
        <v>172</v>
      </c>
      <c r="FJ9" s="19"/>
      <c r="FK9" s="19">
        <v>32775771</v>
      </c>
      <c r="FL9" s="19"/>
      <c r="FM9" s="19"/>
      <c r="FN9" s="19">
        <v>749589</v>
      </c>
      <c r="FO9" s="56" t="s">
        <v>172</v>
      </c>
      <c r="FP9" s="19">
        <v>1910592</v>
      </c>
      <c r="FQ9" s="19"/>
      <c r="FR9" s="19">
        <v>19683952</v>
      </c>
      <c r="FS9" s="19"/>
      <c r="FT9" s="19">
        <f>109365237+8625197</f>
        <v>117990434</v>
      </c>
      <c r="FU9" s="19"/>
      <c r="FV9" s="19" t="s">
        <v>172</v>
      </c>
      <c r="FW9" s="19"/>
      <c r="FX9" s="19"/>
      <c r="FY9" s="19" t="s">
        <v>172</v>
      </c>
      <c r="FZ9" s="19" t="s">
        <v>175</v>
      </c>
      <c r="GA9" s="19">
        <v>7983218</v>
      </c>
      <c r="GB9" s="19"/>
      <c r="GC9" s="19"/>
      <c r="GD9" s="19" t="s">
        <v>172</v>
      </c>
      <c r="GE9" s="19" t="s">
        <v>172</v>
      </c>
      <c r="GF9" s="19">
        <v>363500</v>
      </c>
      <c r="GG9" s="19">
        <v>7557770</v>
      </c>
      <c r="GH9" s="19" t="s">
        <v>172</v>
      </c>
      <c r="GI9" s="19">
        <v>484110</v>
      </c>
      <c r="GJ9" s="19" t="s">
        <v>172</v>
      </c>
      <c r="GK9" s="19">
        <v>230280</v>
      </c>
      <c r="GL9" s="19" t="s">
        <v>172</v>
      </c>
      <c r="GM9" s="19"/>
      <c r="GN9" s="19">
        <v>32515651</v>
      </c>
      <c r="GO9" s="19" t="s">
        <v>172</v>
      </c>
      <c r="GP9" s="19">
        <v>57265653</v>
      </c>
      <c r="GQ9" s="19"/>
      <c r="GR9" s="19">
        <v>14028710</v>
      </c>
      <c r="GS9" s="19">
        <v>10731255</v>
      </c>
      <c r="GT9" s="19">
        <v>4093122</v>
      </c>
      <c r="GU9" s="19">
        <v>368920</v>
      </c>
      <c r="GV9" s="19">
        <v>2068600</v>
      </c>
      <c r="GW9" s="19">
        <v>19958456</v>
      </c>
      <c r="GX9" s="19">
        <v>5809502</v>
      </c>
      <c r="GY9" s="19"/>
      <c r="GZ9" s="19"/>
      <c r="HA9" s="19" t="s">
        <v>172</v>
      </c>
      <c r="HB9" s="19">
        <v>14184586</v>
      </c>
      <c r="HC9" s="19">
        <v>2253828</v>
      </c>
      <c r="HD9" s="19">
        <v>6815073</v>
      </c>
      <c r="HE9" s="19" t="s">
        <v>172</v>
      </c>
      <c r="HF9" s="19">
        <v>1134990</v>
      </c>
      <c r="HG9" s="19">
        <v>2360272</v>
      </c>
      <c r="HH9" s="19" t="s">
        <v>172</v>
      </c>
      <c r="HI9" s="19">
        <f>31979892</f>
        <v>31979892</v>
      </c>
      <c r="HJ9" s="19" t="s">
        <v>172</v>
      </c>
      <c r="HK9" s="19">
        <v>31088548</v>
      </c>
      <c r="HL9" s="19"/>
      <c r="HM9" s="19"/>
      <c r="HN9" s="19">
        <f>1383443+53288198</f>
        <v>54671641</v>
      </c>
      <c r="HO9" s="19"/>
      <c r="HP9" s="19"/>
      <c r="HQ9" s="19">
        <f>2809648+91837075</f>
        <v>94646723</v>
      </c>
      <c r="HR9" s="19"/>
      <c r="HS9" s="19"/>
      <c r="HT9" s="19"/>
      <c r="HU9" s="19">
        <v>8814283</v>
      </c>
      <c r="HV9" s="19"/>
      <c r="HW9" s="19" t="s">
        <v>172</v>
      </c>
      <c r="HX9" s="19">
        <v>40902590</v>
      </c>
      <c r="HY9" s="19" t="s">
        <v>172</v>
      </c>
      <c r="HZ9" s="19">
        <v>31807264</v>
      </c>
      <c r="IA9" s="19"/>
      <c r="IB9" s="19">
        <v>10468105</v>
      </c>
      <c r="IC9" s="19"/>
      <c r="ID9" s="19">
        <v>1177390</v>
      </c>
      <c r="IE9" s="19" t="s">
        <v>172</v>
      </c>
      <c r="IF9" s="19">
        <v>220530</v>
      </c>
      <c r="IG9" s="19">
        <v>1132820</v>
      </c>
      <c r="IH9" s="19">
        <v>178729</v>
      </c>
      <c r="II9" s="19"/>
      <c r="IJ9" s="19">
        <v>1238770</v>
      </c>
      <c r="IK9" s="19">
        <f>137607+1173786</f>
        <v>1311393</v>
      </c>
      <c r="IL9" s="19"/>
      <c r="IM9" s="19">
        <v>3389300</v>
      </c>
      <c r="IN9" s="19">
        <v>7379469</v>
      </c>
      <c r="IO9" s="19"/>
      <c r="IP9" s="19">
        <v>216229302</v>
      </c>
      <c r="IQ9" s="19"/>
      <c r="IR9" s="19">
        <f>12360136+111280</f>
        <v>12471416</v>
      </c>
      <c r="IS9" s="19">
        <v>2054314</v>
      </c>
      <c r="IT9" s="19"/>
      <c r="IU9" s="19">
        <v>278520121</v>
      </c>
      <c r="IV9" s="19">
        <v>150100940</v>
      </c>
      <c r="IW9" s="19">
        <v>28877939</v>
      </c>
      <c r="IX9" s="19"/>
      <c r="IY9" s="19">
        <v>71752427</v>
      </c>
      <c r="IZ9" s="19">
        <v>21372310</v>
      </c>
      <c r="JA9" s="19">
        <v>2319098</v>
      </c>
      <c r="JB9" s="19">
        <v>10262490</v>
      </c>
      <c r="JC9" s="19"/>
      <c r="JD9" s="19">
        <f>719616+32030</f>
        <v>751646</v>
      </c>
      <c r="JE9" s="19"/>
      <c r="JF9" s="19">
        <v>569482</v>
      </c>
      <c r="JG9" s="19"/>
      <c r="JH9" s="19"/>
      <c r="JI9" s="19">
        <f>1785102+7195868</f>
        <v>8980970</v>
      </c>
      <c r="JJ9" s="19">
        <v>10664098</v>
      </c>
      <c r="JK9" s="19">
        <v>8697628</v>
      </c>
      <c r="JL9" s="19">
        <f>85945980</f>
        <v>85945980</v>
      </c>
      <c r="JM9" s="19">
        <v>20000000</v>
      </c>
      <c r="JN9" s="19">
        <v>350590</v>
      </c>
      <c r="JO9" s="19"/>
      <c r="JP9" s="19">
        <v>81864</v>
      </c>
      <c r="JQ9" s="19" t="s">
        <v>175</v>
      </c>
      <c r="JR9" s="19">
        <v>18977299</v>
      </c>
      <c r="JS9" s="19">
        <v>2400</v>
      </c>
      <c r="JT9" s="19"/>
      <c r="JU9" s="19">
        <v>612980</v>
      </c>
      <c r="JV9" s="19">
        <v>255949787</v>
      </c>
      <c r="JW9" s="19"/>
      <c r="JX9" s="19">
        <v>217439220</v>
      </c>
      <c r="JY9" s="19">
        <v>17131241</v>
      </c>
      <c r="JZ9" s="19">
        <v>519683</v>
      </c>
      <c r="KA9" s="19"/>
      <c r="KB9" s="19">
        <f>1254188+422470007</f>
        <v>423724195</v>
      </c>
      <c r="KC9" s="19">
        <f>119549+5813189</f>
        <v>5932738</v>
      </c>
      <c r="KD9" s="19"/>
      <c r="KE9" s="19">
        <v>805965</v>
      </c>
      <c r="KF9" s="19">
        <f>43035929</f>
        <v>43035929</v>
      </c>
      <c r="KG9" s="19"/>
      <c r="KH9" s="19"/>
      <c r="KI9" s="19"/>
      <c r="KJ9" s="19">
        <v>154224180</v>
      </c>
      <c r="KK9" s="19"/>
      <c r="KL9" s="19"/>
      <c r="KM9" s="19">
        <f>4317528+3187612</f>
        <v>7505140</v>
      </c>
      <c r="KN9" s="19">
        <v>270732195</v>
      </c>
      <c r="KO9" s="19">
        <v>1368263</v>
      </c>
      <c r="KP9" s="19"/>
      <c r="KQ9" s="19"/>
      <c r="KR9" s="19">
        <v>0</v>
      </c>
      <c r="KS9" s="19">
        <v>2907384</v>
      </c>
      <c r="KT9" s="19"/>
      <c r="KU9" s="19">
        <v>4496810</v>
      </c>
      <c r="KV9" s="19"/>
      <c r="KW9" s="19">
        <v>120400</v>
      </c>
      <c r="KX9" s="19">
        <v>6003763</v>
      </c>
      <c r="KY9" s="19">
        <v>678927</v>
      </c>
      <c r="KZ9" s="58"/>
      <c r="LA9" s="76"/>
      <c r="LB9" s="76">
        <v>1570560</v>
      </c>
    </row>
    <row r="10" spans="1:314">
      <c r="A10" s="7" t="s">
        <v>100</v>
      </c>
      <c r="B10" s="13" t="s">
        <v>135</v>
      </c>
      <c r="C10" s="19">
        <f>17000+6240</f>
        <v>23240</v>
      </c>
      <c r="D10" s="19">
        <f>4956579+46630</f>
        <v>5003209</v>
      </c>
      <c r="E10" s="19">
        <f>7448000+2848897+1437296</f>
        <v>11734193</v>
      </c>
      <c r="F10" s="19">
        <f>3838962+19812170</f>
        <v>23651132</v>
      </c>
      <c r="G10" s="19" t="s">
        <v>130</v>
      </c>
      <c r="H10" s="19"/>
      <c r="I10" s="19">
        <f>105490344+509155242+21595</f>
        <v>614667181</v>
      </c>
      <c r="J10" s="19" t="s">
        <v>176</v>
      </c>
      <c r="K10" s="19">
        <f>6241498+64660</f>
        <v>6306158</v>
      </c>
      <c r="L10" s="19" t="s">
        <v>96</v>
      </c>
      <c r="M10" s="19" t="s">
        <v>96</v>
      </c>
      <c r="N10" s="19">
        <v>4544596</v>
      </c>
      <c r="O10" s="19">
        <f>5179495+7849099+291100</f>
        <v>13319694</v>
      </c>
      <c r="P10" s="19">
        <f>701405</f>
        <v>701405</v>
      </c>
      <c r="Q10" s="19">
        <f>1364599</f>
        <v>1364599</v>
      </c>
      <c r="R10" s="19">
        <f>4046240+10250</f>
        <v>4056490</v>
      </c>
      <c r="S10" s="19">
        <f>325438049+176487095+37210</f>
        <v>501962354</v>
      </c>
      <c r="T10" s="19" t="s">
        <v>96</v>
      </c>
      <c r="U10" s="19" t="s">
        <v>96</v>
      </c>
      <c r="V10" s="19" t="s">
        <v>172</v>
      </c>
      <c r="W10" s="19">
        <v>17980</v>
      </c>
      <c r="X10" s="19">
        <f>1106696730+1026250</f>
        <v>1107722980</v>
      </c>
      <c r="Y10" s="19">
        <f>53618+1590</f>
        <v>55208</v>
      </c>
      <c r="Z10" s="19">
        <f>7087134+3416352004</f>
        <v>3423439138</v>
      </c>
      <c r="AA10" s="19">
        <f>71457300+8936691+1439670</f>
        <v>81833661</v>
      </c>
      <c r="AB10" s="19"/>
      <c r="AC10" s="19">
        <f>30353500+3855346+3792640+5110</f>
        <v>38006596</v>
      </c>
      <c r="AD10" s="19">
        <f>25477591+3768869</f>
        <v>29246460</v>
      </c>
      <c r="AE10" s="19">
        <v>410000</v>
      </c>
      <c r="AF10" s="56" t="s">
        <v>172</v>
      </c>
      <c r="AG10" s="19"/>
      <c r="AH10" s="19" t="s">
        <v>167</v>
      </c>
      <c r="AI10" s="19">
        <f>730672+541592</f>
        <v>1272264</v>
      </c>
      <c r="AJ10" s="19">
        <v>210117</v>
      </c>
      <c r="AK10" s="19">
        <f>206332711+1962248+4084210</f>
        <v>212379169</v>
      </c>
      <c r="AL10" s="19">
        <f>30255783+2411417+71130</f>
        <v>32738330</v>
      </c>
      <c r="AM10" s="19" t="s">
        <v>4</v>
      </c>
      <c r="AN10" s="19">
        <f>1319051+1182000</f>
        <v>2501051</v>
      </c>
      <c r="AO10" s="19">
        <f>3160+4241885+31640</f>
        <v>4276685</v>
      </c>
      <c r="AP10" s="19">
        <v>594920</v>
      </c>
      <c r="AQ10" s="19" t="s">
        <v>172</v>
      </c>
      <c r="AR10" s="19">
        <v>4243750</v>
      </c>
      <c r="AS10" s="19"/>
      <c r="AT10" s="19" t="s">
        <v>172</v>
      </c>
      <c r="AU10" s="19">
        <f>33000000+5409663</f>
        <v>38409663</v>
      </c>
      <c r="AV10" s="19"/>
      <c r="AW10" s="19">
        <f>99000+2999070</f>
        <v>3098070</v>
      </c>
      <c r="AX10" s="19" t="s">
        <v>4</v>
      </c>
      <c r="AY10" s="19">
        <f>1367690+2287579+2020+200</f>
        <v>3657489</v>
      </c>
      <c r="AZ10" s="19">
        <f>14487390</f>
        <v>14487390</v>
      </c>
      <c r="BA10" s="19" t="s">
        <v>167</v>
      </c>
      <c r="BB10" s="19"/>
      <c r="BC10" s="19" t="s">
        <v>4</v>
      </c>
      <c r="BD10" s="19" t="s">
        <v>172</v>
      </c>
      <c r="BE10" s="19">
        <f>37010710+22028</f>
        <v>37032738</v>
      </c>
      <c r="BF10" s="19" t="s">
        <v>96</v>
      </c>
      <c r="BG10" s="19">
        <f>18892226+1197946+2083290</f>
        <v>22173462</v>
      </c>
      <c r="BH10" s="19">
        <f>3478064+1444750</f>
        <v>4922814</v>
      </c>
      <c r="BI10" s="19">
        <f>1067750</f>
        <v>1067750</v>
      </c>
      <c r="BJ10" s="19">
        <v>153936421</v>
      </c>
      <c r="BK10" s="19">
        <f>163521280+5599259+3510</f>
        <v>169124049</v>
      </c>
      <c r="BL10" s="19">
        <f>441560+973120+563500</f>
        <v>1978180</v>
      </c>
      <c r="BM10" s="19">
        <f>23094326+130560</f>
        <v>23224886</v>
      </c>
      <c r="BN10" s="19">
        <v>1280281</v>
      </c>
      <c r="BO10" s="19" t="s">
        <v>96</v>
      </c>
      <c r="BP10" s="19" t="s">
        <v>96</v>
      </c>
      <c r="BQ10" s="19" t="s">
        <v>175</v>
      </c>
      <c r="BR10" s="19">
        <v>284171070</v>
      </c>
      <c r="BS10" s="19" t="s">
        <v>172</v>
      </c>
      <c r="BT10" s="19"/>
      <c r="BU10" s="19">
        <f>20542706+2780</f>
        <v>20545486</v>
      </c>
      <c r="BV10" s="19">
        <f>372075397+66763636+2290+220</f>
        <v>438841543</v>
      </c>
      <c r="BW10" s="19">
        <v>489872</v>
      </c>
      <c r="BX10" s="19">
        <f>188400+2173150</f>
        <v>2361550</v>
      </c>
      <c r="BY10" s="19">
        <f>81519778+40440</f>
        <v>81560218</v>
      </c>
      <c r="BZ10" s="19"/>
      <c r="CA10" s="19">
        <f>159258100+65940</f>
        <v>159324040</v>
      </c>
      <c r="CB10" s="19">
        <f>1891000+2913751</f>
        <v>4804751</v>
      </c>
      <c r="CC10" s="19">
        <f>9148000+13820</f>
        <v>9161820</v>
      </c>
      <c r="CD10" s="19">
        <f>202590+231480</f>
        <v>434070</v>
      </c>
      <c r="CE10" s="19" t="s">
        <v>172</v>
      </c>
      <c r="CF10" s="19">
        <f>12735025+12913137</f>
        <v>25648162</v>
      </c>
      <c r="CG10" s="19">
        <f>25748580+67250</f>
        <v>25815830</v>
      </c>
      <c r="CH10" s="19">
        <f>36842415+3156219</f>
        <v>39998634</v>
      </c>
      <c r="CI10" s="19" t="s">
        <v>172</v>
      </c>
      <c r="CJ10" s="19">
        <v>528880</v>
      </c>
      <c r="CK10" s="19">
        <v>560000</v>
      </c>
      <c r="CL10" s="19"/>
      <c r="CM10" s="19">
        <f>3792580+5468755</f>
        <v>9261335</v>
      </c>
      <c r="CN10" s="19">
        <f>1655400+17930042</f>
        <v>19585442</v>
      </c>
      <c r="CO10" s="19">
        <v>1998477</v>
      </c>
      <c r="CP10" s="19">
        <v>48116651</v>
      </c>
      <c r="CQ10" s="19" t="s">
        <v>96</v>
      </c>
      <c r="CR10" s="19">
        <f>14889282+1121439+5013770</f>
        <v>21024491</v>
      </c>
      <c r="CS10" s="56" t="s">
        <v>172</v>
      </c>
      <c r="CT10" s="19">
        <f>117249225+218272+58379820</f>
        <v>175847317</v>
      </c>
      <c r="CU10" s="19"/>
      <c r="CV10" s="19">
        <v>571997</v>
      </c>
      <c r="CW10" s="19">
        <f>36738910+5429993+1208670</f>
        <v>43377573</v>
      </c>
      <c r="CX10" s="19">
        <f>57396283+15092712+8192590</f>
        <v>80681585</v>
      </c>
      <c r="CY10" s="19" t="s">
        <v>96</v>
      </c>
      <c r="CZ10" s="19">
        <v>8807178</v>
      </c>
      <c r="DA10" s="19" t="s">
        <v>175</v>
      </c>
      <c r="DB10" s="19">
        <f>4696200+969040</f>
        <v>5665240</v>
      </c>
      <c r="DC10" s="19"/>
      <c r="DD10" s="19">
        <f>585339</f>
        <v>585339</v>
      </c>
      <c r="DE10" s="19"/>
      <c r="DF10" s="19">
        <v>4322950</v>
      </c>
      <c r="DG10" s="19">
        <f>10054398+1302143+304130</f>
        <v>11660671</v>
      </c>
      <c r="DH10" s="19"/>
      <c r="DI10" s="19">
        <f>1427500+8662472</f>
        <v>10089972</v>
      </c>
      <c r="DJ10" s="19">
        <v>528687</v>
      </c>
      <c r="DK10" s="19">
        <f>108602304-43298282+3740651</f>
        <v>69044673</v>
      </c>
      <c r="DL10" s="19">
        <f>74043294+27480</f>
        <v>74070774</v>
      </c>
      <c r="DM10" s="19">
        <f>34267692+2275427</f>
        <v>36543119</v>
      </c>
      <c r="DN10" s="19">
        <f>79935107+30815080+3420</f>
        <v>110753607</v>
      </c>
      <c r="DO10" s="19">
        <f>2720080+1158388</f>
        <v>3878468</v>
      </c>
      <c r="DP10" s="19">
        <f>22816072+2547725+4813400</f>
        <v>30177197</v>
      </c>
      <c r="DQ10" s="19">
        <f>41264572+1784184</f>
        <v>43048756</v>
      </c>
      <c r="DR10" s="19">
        <f>82854191+15204611+62200+6130</f>
        <v>98127132</v>
      </c>
      <c r="DS10" s="19">
        <f>5094586+3199130</f>
        <v>8293716</v>
      </c>
      <c r="DT10" s="19">
        <f>1000000+102080</f>
        <v>1102080</v>
      </c>
      <c r="DU10" s="19"/>
      <c r="DV10" s="19">
        <f>9720583+538050</f>
        <v>10258633</v>
      </c>
      <c r="DW10" s="19">
        <v>28348785</v>
      </c>
      <c r="DX10" s="19">
        <f>110430214+42779550+9129330</f>
        <v>162339094</v>
      </c>
      <c r="DY10" s="19">
        <v>1047009</v>
      </c>
      <c r="DZ10" s="19"/>
      <c r="EA10" s="19"/>
      <c r="EB10" s="19">
        <f>230000000+20090743</f>
        <v>250090743</v>
      </c>
      <c r="EC10" s="19">
        <v>8356481</v>
      </c>
      <c r="ED10" s="19">
        <v>2306550</v>
      </c>
      <c r="EE10" s="19">
        <f>2721855+15168280</f>
        <v>17890135</v>
      </c>
      <c r="EF10" s="19">
        <f>8000000+916077+14732390+280</f>
        <v>23648747</v>
      </c>
      <c r="EG10" s="19">
        <f>159887845+2400679+12291370</f>
        <v>174579894</v>
      </c>
      <c r="EH10" s="19">
        <f>27113573+17400</f>
        <v>27130973</v>
      </c>
      <c r="EI10" s="19">
        <f>15918913+105811639+6591750</f>
        <v>128322302</v>
      </c>
      <c r="EJ10" s="19">
        <f>5126+42450</f>
        <v>47576</v>
      </c>
      <c r="EK10" s="19">
        <f>5095041+710810</f>
        <v>5805851</v>
      </c>
      <c r="EL10" s="19">
        <v>2583000</v>
      </c>
      <c r="EM10" s="19">
        <f>2034847+462739</f>
        <v>2497586</v>
      </c>
      <c r="EN10" s="19">
        <v>7346886</v>
      </c>
      <c r="EO10" s="19">
        <f>73900120+8808694+26040+2580</f>
        <v>82737434</v>
      </c>
      <c r="EP10" s="19"/>
      <c r="EQ10" s="19"/>
      <c r="ER10" s="19">
        <f>23022174+126250</f>
        <v>23148424</v>
      </c>
      <c r="ES10" s="19">
        <v>1521824</v>
      </c>
      <c r="ET10" s="19">
        <f>88954437+305366335+1633790+197050</f>
        <v>396151612</v>
      </c>
      <c r="EU10" s="19">
        <v>321870392</v>
      </c>
      <c r="EV10" s="19">
        <v>12895142</v>
      </c>
      <c r="EW10" s="19">
        <v>1490000</v>
      </c>
      <c r="EX10" s="19">
        <f>2200000+1479743</f>
        <v>3679743</v>
      </c>
      <c r="EY10" s="19">
        <f>8843554+3383674+10463780</f>
        <v>22691008</v>
      </c>
      <c r="EZ10" s="19">
        <f>12300000+56560</f>
        <v>12356560</v>
      </c>
      <c r="FA10" s="19">
        <f>23932707+49180</f>
        <v>23981887</v>
      </c>
      <c r="FB10" s="19">
        <v>742235</v>
      </c>
      <c r="FC10" s="19">
        <f>9900000+10478006</f>
        <v>20378006</v>
      </c>
      <c r="FD10" s="19">
        <f>12015000+2737375</f>
        <v>14752375</v>
      </c>
      <c r="FE10" s="19">
        <f>41230608+2752500</f>
        <v>43983108</v>
      </c>
      <c r="FF10" s="19"/>
      <c r="FG10" s="19" t="s">
        <v>172</v>
      </c>
      <c r="FH10" s="19">
        <f>148015800+42568900+31840</f>
        <v>190616540</v>
      </c>
      <c r="FI10" s="19" t="s">
        <v>172</v>
      </c>
      <c r="FJ10" s="19">
        <v>41326000</v>
      </c>
      <c r="FK10" s="19">
        <f>5415480+946499</f>
        <v>6361979</v>
      </c>
      <c r="FL10" s="19">
        <f>12349402+1984127+19270</f>
        <v>14352799</v>
      </c>
      <c r="FM10" s="19">
        <f>1268995+7910</f>
        <v>1276905</v>
      </c>
      <c r="FN10" s="19">
        <f>82686596+29383607+13537500</f>
        <v>125607703</v>
      </c>
      <c r="FO10" s="56" t="s">
        <v>172</v>
      </c>
      <c r="FP10" s="19">
        <v>4464677</v>
      </c>
      <c r="FQ10" s="19">
        <v>16310</v>
      </c>
      <c r="FR10" s="19">
        <v>14206400</v>
      </c>
      <c r="FS10" s="19">
        <f>12930252+2204353+4710</f>
        <v>15139315</v>
      </c>
      <c r="FT10" s="19">
        <f>266698456+112991068+45217120</f>
        <v>424906644</v>
      </c>
      <c r="FU10" s="19">
        <v>1320</v>
      </c>
      <c r="FV10" s="19" t="s">
        <v>172</v>
      </c>
      <c r="FW10" s="19">
        <v>7559</v>
      </c>
      <c r="FX10" s="19"/>
      <c r="FY10" s="19" t="s">
        <v>172</v>
      </c>
      <c r="FZ10" s="19" t="s">
        <v>175</v>
      </c>
      <c r="GA10" s="19">
        <f>4628000+11648697+240310</f>
        <v>16517007</v>
      </c>
      <c r="GB10" s="19">
        <f>818446+12130</f>
        <v>830576</v>
      </c>
      <c r="GC10" s="19">
        <f>2650000+229822</f>
        <v>2879822</v>
      </c>
      <c r="GD10" s="19" t="s">
        <v>172</v>
      </c>
      <c r="GE10" s="19" t="s">
        <v>172</v>
      </c>
      <c r="GF10" s="19">
        <v>76030829</v>
      </c>
      <c r="GG10" s="19">
        <v>480293200</v>
      </c>
      <c r="GH10" s="19" t="s">
        <v>172</v>
      </c>
      <c r="GI10" s="19">
        <v>40263694</v>
      </c>
      <c r="GJ10" s="19" t="s">
        <v>172</v>
      </c>
      <c r="GK10" s="19">
        <f>2007500+4210</f>
        <v>2011710</v>
      </c>
      <c r="GL10" s="19" t="s">
        <v>172</v>
      </c>
      <c r="GM10" s="19">
        <v>29055020</v>
      </c>
      <c r="GN10" s="19">
        <v>10000000</v>
      </c>
      <c r="GO10" s="19" t="s">
        <v>172</v>
      </c>
      <c r="GP10" s="19">
        <v>232971887</v>
      </c>
      <c r="GQ10" s="19">
        <v>725468</v>
      </c>
      <c r="GR10" s="19">
        <v>-5203468</v>
      </c>
      <c r="GS10" s="19">
        <v>906343</v>
      </c>
      <c r="GT10" s="19">
        <f>9063031+396189</f>
        <v>9459220</v>
      </c>
      <c r="GU10" s="19">
        <v>160510</v>
      </c>
      <c r="GV10" s="19">
        <v>288230</v>
      </c>
      <c r="GW10" s="19">
        <v>351379608</v>
      </c>
      <c r="GX10" s="19">
        <v>6013524</v>
      </c>
      <c r="GY10" s="19">
        <v>23185803</v>
      </c>
      <c r="GZ10" s="19">
        <v>12671003</v>
      </c>
      <c r="HA10" s="19" t="s">
        <v>172</v>
      </c>
      <c r="HB10" s="19"/>
      <c r="HC10" s="19">
        <v>96013576</v>
      </c>
      <c r="HD10" s="19">
        <v>13983799</v>
      </c>
      <c r="HE10" s="19" t="s">
        <v>172</v>
      </c>
      <c r="HF10" s="19">
        <v>10888225</v>
      </c>
      <c r="HG10" s="19">
        <f>4610663+1655330</f>
        <v>6265993</v>
      </c>
      <c r="HH10" s="19" t="s">
        <v>172</v>
      </c>
      <c r="HI10" s="19">
        <f>6275432+401830</f>
        <v>6677262</v>
      </c>
      <c r="HJ10" s="19" t="s">
        <v>172</v>
      </c>
      <c r="HK10" s="19">
        <f>7008895+8757233+152400+15210</f>
        <v>15933738</v>
      </c>
      <c r="HL10" s="19">
        <f>2118761+520560</f>
        <v>2639321</v>
      </c>
      <c r="HM10" s="19">
        <v>31868950</v>
      </c>
      <c r="HN10" s="19">
        <f>228675+1654550</f>
        <v>1883225</v>
      </c>
      <c r="HO10" s="19">
        <f>12645360+3957999</f>
        <v>16603359</v>
      </c>
      <c r="HP10" s="19">
        <f>1230458+1969261+13540</f>
        <v>3213259</v>
      </c>
      <c r="HQ10" s="19">
        <v>1070918</v>
      </c>
      <c r="HR10" s="19">
        <f>64392654+114970</f>
        <v>64507624</v>
      </c>
      <c r="HS10" s="19">
        <v>21210331</v>
      </c>
      <c r="HT10" s="19">
        <v>45663350</v>
      </c>
      <c r="HU10" s="19">
        <f>32803064+262780</f>
        <v>33065844</v>
      </c>
      <c r="HV10" s="19">
        <v>53748460</v>
      </c>
      <c r="HW10" s="19" t="s">
        <v>172</v>
      </c>
      <c r="HX10" s="19">
        <v>75386076</v>
      </c>
      <c r="HY10" s="19" t="s">
        <v>172</v>
      </c>
      <c r="HZ10" s="19">
        <f>205443446+4794256</f>
        <v>210237702</v>
      </c>
      <c r="IA10" s="19">
        <f>303305+310163+1280</f>
        <v>614748</v>
      </c>
      <c r="IB10" s="19">
        <f>2592078+45052978+3715290</f>
        <v>51360346</v>
      </c>
      <c r="IC10" s="19">
        <f>17274800+12891880+9519290</f>
        <v>39685970</v>
      </c>
      <c r="ID10" s="19"/>
      <c r="IE10" s="19" t="s">
        <v>172</v>
      </c>
      <c r="IF10" s="19"/>
      <c r="IG10" s="19">
        <v>600468</v>
      </c>
      <c r="IH10" s="19">
        <f>8689690+5187590</f>
        <v>13877280</v>
      </c>
      <c r="II10" s="19">
        <v>2700000</v>
      </c>
      <c r="IJ10" s="19"/>
      <c r="IK10" s="19">
        <v>52813600</v>
      </c>
      <c r="IL10" s="19">
        <f>36778555+3560</f>
        <v>36782115</v>
      </c>
      <c r="IM10" s="19">
        <f>17754913+1893803+195450</f>
        <v>19844166</v>
      </c>
      <c r="IN10" s="19">
        <f>116840918+3636460+63940</f>
        <v>120541318</v>
      </c>
      <c r="IO10" s="19">
        <f>45409840+53140</f>
        <v>45462980</v>
      </c>
      <c r="IP10" s="19"/>
      <c r="IQ10" s="19">
        <v>2186244</v>
      </c>
      <c r="IR10" s="19">
        <v>8070</v>
      </c>
      <c r="IS10" s="19">
        <f>16087128+3100090</f>
        <v>19187218</v>
      </c>
      <c r="IT10" s="19">
        <f>3948620+1646923</f>
        <v>5595543</v>
      </c>
      <c r="IU10" s="19"/>
      <c r="IV10" s="19">
        <v>1933600</v>
      </c>
      <c r="IW10" s="19">
        <v>95706306</v>
      </c>
      <c r="IX10" s="19">
        <f>102664580+22881514+501670</f>
        <v>126047764</v>
      </c>
      <c r="IY10" s="19">
        <f>2557602+903910+122760</f>
        <v>3584272</v>
      </c>
      <c r="IZ10" s="19">
        <f>69047287+1729765+18800</f>
        <v>70795852</v>
      </c>
      <c r="JA10" s="19">
        <f>57711598+1198540</f>
        <v>58910138</v>
      </c>
      <c r="JB10" s="19">
        <v>190341950</v>
      </c>
      <c r="JC10" s="19">
        <f>14488100+2065292+4030</f>
        <v>16557422</v>
      </c>
      <c r="JD10" s="19">
        <f>13000000+1998896</f>
        <v>14998896</v>
      </c>
      <c r="JE10" s="19">
        <v>2553900</v>
      </c>
      <c r="JF10" s="19">
        <f>76785800+2253513</f>
        <v>79039313</v>
      </c>
      <c r="JG10" s="19"/>
      <c r="JH10" s="19">
        <v>2132581</v>
      </c>
      <c r="JI10" s="19">
        <v>295510</v>
      </c>
      <c r="JJ10" s="19">
        <f>1592910+324575</f>
        <v>1917485</v>
      </c>
      <c r="JK10" s="19">
        <v>13393128</v>
      </c>
      <c r="JL10" s="19">
        <f>100000+5495715+8050</f>
        <v>5603765</v>
      </c>
      <c r="JM10" s="19">
        <f>2421445+5410</f>
        <v>2426855</v>
      </c>
      <c r="JN10" s="19">
        <f>866588800+25729076</f>
        <v>892317876</v>
      </c>
      <c r="JO10" s="19">
        <v>2673000</v>
      </c>
      <c r="JP10" s="19">
        <f>12543438+57360</f>
        <v>12600798</v>
      </c>
      <c r="JQ10" s="19" t="s">
        <v>175</v>
      </c>
      <c r="JR10" s="19">
        <f>1185700+42110</f>
        <v>1227810</v>
      </c>
      <c r="JS10" s="19">
        <v>1426000</v>
      </c>
      <c r="JT10" s="19">
        <v>6580000</v>
      </c>
      <c r="JU10" s="19">
        <f>1437870+1913530</f>
        <v>3351400</v>
      </c>
      <c r="JV10" s="19">
        <f>247470+44330</f>
        <v>291800</v>
      </c>
      <c r="JW10" s="19"/>
      <c r="JX10" s="19">
        <v>887460</v>
      </c>
      <c r="JY10" s="19">
        <f>5561540+9705824+444880</f>
        <v>15712244</v>
      </c>
      <c r="JZ10" s="19">
        <v>1045000</v>
      </c>
      <c r="KA10" s="19"/>
      <c r="KB10" s="19">
        <v>221377520</v>
      </c>
      <c r="KC10" s="19">
        <f>3597705+21010</f>
        <v>3618715</v>
      </c>
      <c r="KD10" s="19">
        <v>1437548</v>
      </c>
      <c r="KE10" s="19">
        <v>2425500</v>
      </c>
      <c r="KF10" s="19">
        <f>3814200+2730141+66100</f>
        <v>6610441</v>
      </c>
      <c r="KG10" s="19">
        <f>1239328+8550</f>
        <v>1247878</v>
      </c>
      <c r="KH10" s="19">
        <v>3920000</v>
      </c>
      <c r="KI10" s="19"/>
      <c r="KJ10" s="19">
        <f>7960200+5851959</f>
        <v>13812159</v>
      </c>
      <c r="KK10" s="19">
        <f>8578510+14517371+642180</f>
        <v>23738061</v>
      </c>
      <c r="KL10" s="19"/>
      <c r="KM10" s="19">
        <v>636516</v>
      </c>
      <c r="KN10" s="19"/>
      <c r="KO10" s="19">
        <f>100000+3148396</f>
        <v>3248396</v>
      </c>
      <c r="KP10" s="19">
        <v>73290</v>
      </c>
      <c r="KQ10" s="19">
        <f>1100000+11170</f>
        <v>1111170</v>
      </c>
      <c r="KR10" s="19">
        <f>793000+2650</f>
        <v>795650</v>
      </c>
      <c r="KS10" s="19">
        <f>16920760+904882+1031290</f>
        <v>18856932</v>
      </c>
      <c r="KT10" s="19">
        <f>4634480+3320</f>
        <v>4637800</v>
      </c>
      <c r="KU10" s="19">
        <f>15854338+4939874+192460</f>
        <v>20986672</v>
      </c>
      <c r="KV10" s="19">
        <v>0</v>
      </c>
      <c r="KW10" s="19"/>
      <c r="KX10" s="19">
        <v>66137600</v>
      </c>
      <c r="KY10" s="19">
        <f>2058838</f>
        <v>2058838</v>
      </c>
      <c r="KZ10" s="58">
        <v>3083370</v>
      </c>
      <c r="LA10" s="76">
        <v>187798086</v>
      </c>
      <c r="LB10" s="76"/>
    </row>
    <row r="11" spans="1:314">
      <c r="A11" s="7" t="s">
        <v>100</v>
      </c>
      <c r="B11" s="13" t="s">
        <v>40</v>
      </c>
      <c r="C11" s="19">
        <f>1901311+100000+229294260</f>
        <v>231295571</v>
      </c>
      <c r="D11" s="19">
        <v>14771</v>
      </c>
      <c r="E11" s="19">
        <v>81800</v>
      </c>
      <c r="F11" s="19"/>
      <c r="G11" s="19" t="s">
        <v>130</v>
      </c>
      <c r="H11" s="19">
        <f>150910000+33930000+29120000+20880000+80000000</f>
        <v>314840000</v>
      </c>
      <c r="I11" s="19"/>
      <c r="J11" s="19" t="s">
        <v>176</v>
      </c>
      <c r="K11" s="19"/>
      <c r="L11" s="19" t="s">
        <v>96</v>
      </c>
      <c r="M11" s="19" t="s">
        <v>96</v>
      </c>
      <c r="N11" s="19"/>
      <c r="O11" s="19">
        <v>2563730</v>
      </c>
      <c r="P11" s="19">
        <f>19989571+295000</f>
        <v>20284571</v>
      </c>
      <c r="Q11" s="19"/>
      <c r="R11" s="19"/>
      <c r="S11" s="19"/>
      <c r="T11" s="19" t="s">
        <v>96</v>
      </c>
      <c r="U11" s="19" t="s">
        <v>96</v>
      </c>
      <c r="V11" s="19" t="s">
        <v>172</v>
      </c>
      <c r="W11" s="19">
        <v>400</v>
      </c>
      <c r="X11" s="19"/>
      <c r="Y11" s="19"/>
      <c r="Z11" s="19"/>
      <c r="AA11" s="19">
        <v>42536129</v>
      </c>
      <c r="AB11" s="19">
        <v>7184000</v>
      </c>
      <c r="AC11" s="19">
        <v>40000000</v>
      </c>
      <c r="AD11" s="19"/>
      <c r="AE11" s="19">
        <v>9550000</v>
      </c>
      <c r="AF11" s="56" t="s">
        <v>172</v>
      </c>
      <c r="AG11" s="19">
        <v>1694507</v>
      </c>
      <c r="AH11" s="19" t="s">
        <v>167</v>
      </c>
      <c r="AI11" s="19"/>
      <c r="AJ11" s="19">
        <v>350277</v>
      </c>
      <c r="AK11" s="19">
        <v>893928091</v>
      </c>
      <c r="AL11" s="19"/>
      <c r="AM11" s="19" t="s">
        <v>4</v>
      </c>
      <c r="AN11" s="19"/>
      <c r="AO11" s="19"/>
      <c r="AP11" s="19">
        <v>120000</v>
      </c>
      <c r="AQ11" s="19" t="s">
        <v>172</v>
      </c>
      <c r="AR11" s="19"/>
      <c r="AS11" s="19"/>
      <c r="AT11" s="19" t="s">
        <v>172</v>
      </c>
      <c r="AU11" s="19"/>
      <c r="AV11" s="19"/>
      <c r="AW11" s="19"/>
      <c r="AX11" s="19" t="s">
        <v>4</v>
      </c>
      <c r="AY11" s="19"/>
      <c r="AZ11" s="19"/>
      <c r="BA11" s="19" t="s">
        <v>167</v>
      </c>
      <c r="BB11" s="19"/>
      <c r="BC11" s="19" t="s">
        <v>4</v>
      </c>
      <c r="BD11" s="19" t="s">
        <v>172</v>
      </c>
      <c r="BE11" s="19"/>
      <c r="BF11" s="19" t="s">
        <v>96</v>
      </c>
      <c r="BG11" s="19"/>
      <c r="BH11" s="19"/>
      <c r="BI11" s="19"/>
      <c r="BJ11" s="19"/>
      <c r="BK11" s="19"/>
      <c r="BL11" s="19"/>
      <c r="BM11" s="19"/>
      <c r="BN11" s="19"/>
      <c r="BO11" s="19" t="s">
        <v>96</v>
      </c>
      <c r="BP11" s="19" t="s">
        <v>96</v>
      </c>
      <c r="BQ11" s="19" t="s">
        <v>175</v>
      </c>
      <c r="BR11" s="19"/>
      <c r="BS11" s="19" t="s">
        <v>172</v>
      </c>
      <c r="BT11" s="19"/>
      <c r="BU11" s="19"/>
      <c r="BV11" s="19"/>
      <c r="BW11" s="19"/>
      <c r="BX11" s="19"/>
      <c r="BY11" s="19"/>
      <c r="BZ11" s="19"/>
      <c r="CA11" s="19"/>
      <c r="CB11" s="19"/>
      <c r="CC11" s="19">
        <v>398494</v>
      </c>
      <c r="CD11" s="19"/>
      <c r="CE11" s="19" t="s">
        <v>172</v>
      </c>
      <c r="CF11" s="19"/>
      <c r="CG11" s="19"/>
      <c r="CH11" s="19">
        <v>3768829</v>
      </c>
      <c r="CI11" s="19" t="s">
        <v>172</v>
      </c>
      <c r="CJ11" s="19"/>
      <c r="CK11" s="19"/>
      <c r="CL11" s="19"/>
      <c r="CM11" s="19"/>
      <c r="CN11" s="19"/>
      <c r="CO11" s="19"/>
      <c r="CP11" s="19">
        <v>55874353</v>
      </c>
      <c r="CQ11" s="19" t="s">
        <v>96</v>
      </c>
      <c r="CR11" s="19">
        <f>200000000+14200</f>
        <v>200014200</v>
      </c>
      <c r="CS11" s="56" t="s">
        <v>172</v>
      </c>
      <c r="CT11" s="19"/>
      <c r="CU11" s="19" t="s">
        <v>168</v>
      </c>
      <c r="CV11" s="19"/>
      <c r="CW11" s="19"/>
      <c r="CX11" s="19"/>
      <c r="CY11" s="19" t="s">
        <v>96</v>
      </c>
      <c r="CZ11" s="19">
        <v>1000000</v>
      </c>
      <c r="DA11" s="19" t="s">
        <v>175</v>
      </c>
      <c r="DB11" s="19"/>
      <c r="DC11" s="19"/>
      <c r="DD11" s="19"/>
      <c r="DE11" s="19"/>
      <c r="DF11" s="19"/>
      <c r="DG11" s="19">
        <v>282250016</v>
      </c>
      <c r="DH11" s="19">
        <v>274200</v>
      </c>
      <c r="DI11" s="19"/>
      <c r="DJ11" s="19"/>
      <c r="DK11" s="19"/>
      <c r="DL11" s="19"/>
      <c r="DM11" s="19"/>
      <c r="DN11" s="19">
        <v>20180614</v>
      </c>
      <c r="DO11" s="19"/>
      <c r="DP11" s="19"/>
      <c r="DQ11" s="19"/>
      <c r="DR11" s="19"/>
      <c r="DS11" s="19"/>
      <c r="DT11" s="19"/>
      <c r="DU11" s="19"/>
      <c r="DV11" s="19"/>
      <c r="DW11" s="19"/>
      <c r="DX11" s="19"/>
      <c r="DY11" s="19"/>
      <c r="DZ11" s="19"/>
      <c r="EA11" s="19">
        <v>70600000</v>
      </c>
      <c r="EB11" s="19"/>
      <c r="EC11" s="19">
        <v>15076850</v>
      </c>
      <c r="ED11" s="19">
        <v>241820</v>
      </c>
      <c r="EE11" s="19">
        <v>359662437</v>
      </c>
      <c r="EF11" s="19">
        <v>18000000</v>
      </c>
      <c r="EG11" s="19"/>
      <c r="EH11" s="19"/>
      <c r="EI11" s="19">
        <v>613160</v>
      </c>
      <c r="EJ11" s="19"/>
      <c r="EK11" s="19">
        <v>955330</v>
      </c>
      <c r="EL11" s="19"/>
      <c r="EM11" s="19"/>
      <c r="EN11" s="19">
        <v>543646415</v>
      </c>
      <c r="EO11" s="19"/>
      <c r="EP11" s="19">
        <v>13984059</v>
      </c>
      <c r="EQ11" s="19"/>
      <c r="ER11" s="19">
        <v>199484500</v>
      </c>
      <c r="ES11" s="19">
        <v>14980861</v>
      </c>
      <c r="ET11" s="19"/>
      <c r="EU11" s="19">
        <v>30000000</v>
      </c>
      <c r="EV11" s="19"/>
      <c r="EW11" s="19"/>
      <c r="EX11" s="19">
        <f>29015608+13832813</f>
        <v>42848421</v>
      </c>
      <c r="EY11" s="19"/>
      <c r="EZ11" s="19"/>
      <c r="FA11" s="19"/>
      <c r="FB11" s="19"/>
      <c r="FC11" s="19"/>
      <c r="FD11" s="19">
        <v>23182113</v>
      </c>
      <c r="FE11" s="19">
        <v>539758418</v>
      </c>
      <c r="FF11" s="19"/>
      <c r="FG11" s="19" t="s">
        <v>172</v>
      </c>
      <c r="FH11" s="19"/>
      <c r="FI11" s="19" t="s">
        <v>172</v>
      </c>
      <c r="FJ11" s="19"/>
      <c r="FK11" s="19"/>
      <c r="FL11" s="19"/>
      <c r="FM11" s="19"/>
      <c r="FN11" s="19"/>
      <c r="FO11" s="56" t="s">
        <v>172</v>
      </c>
      <c r="FP11" s="19"/>
      <c r="FQ11" s="19">
        <v>6004687</v>
      </c>
      <c r="FR11" s="19"/>
      <c r="FS11" s="19"/>
      <c r="FT11" s="19"/>
      <c r="FU11" s="19"/>
      <c r="FV11" s="19" t="s">
        <v>172</v>
      </c>
      <c r="FW11" s="19"/>
      <c r="FX11" s="19"/>
      <c r="FY11" s="19" t="s">
        <v>172</v>
      </c>
      <c r="FZ11" s="19" t="s">
        <v>175</v>
      </c>
      <c r="GA11" s="19"/>
      <c r="GB11" s="19"/>
      <c r="GC11" s="19"/>
      <c r="GD11" s="19" t="s">
        <v>172</v>
      </c>
      <c r="GE11" s="19" t="s">
        <v>172</v>
      </c>
      <c r="GF11" s="19"/>
      <c r="GG11" s="19">
        <v>1282798</v>
      </c>
      <c r="GH11" s="19" t="s">
        <v>172</v>
      </c>
      <c r="GI11" s="19"/>
      <c r="GJ11" s="19" t="s">
        <v>172</v>
      </c>
      <c r="GK11" s="19"/>
      <c r="GL11" s="19" t="s">
        <v>172</v>
      </c>
      <c r="GM11" s="19"/>
      <c r="GN11" s="19"/>
      <c r="GO11" s="19" t="s">
        <v>172</v>
      </c>
      <c r="GP11" s="19"/>
      <c r="GQ11" s="19"/>
      <c r="GR11" s="19">
        <v>13704</v>
      </c>
      <c r="GS11" s="19">
        <v>4365199</v>
      </c>
      <c r="GT11" s="19"/>
      <c r="GU11" s="19"/>
      <c r="GV11" s="19">
        <v>7557780</v>
      </c>
      <c r="GW11" s="19">
        <v>166195120</v>
      </c>
      <c r="GX11" s="19"/>
      <c r="GY11" s="19">
        <v>11810705</v>
      </c>
      <c r="GZ11" s="19">
        <v>34045090</v>
      </c>
      <c r="HA11" s="19" t="s">
        <v>172</v>
      </c>
      <c r="HB11" s="19"/>
      <c r="HC11" s="19">
        <v>194745727</v>
      </c>
      <c r="HD11" s="19"/>
      <c r="HE11" s="19" t="s">
        <v>172</v>
      </c>
      <c r="HF11" s="19"/>
      <c r="HG11" s="19">
        <v>572459</v>
      </c>
      <c r="HH11" s="19" t="s">
        <v>172</v>
      </c>
      <c r="HI11" s="19"/>
      <c r="HJ11" s="19" t="s">
        <v>172</v>
      </c>
      <c r="HK11" s="19"/>
      <c r="HL11" s="19"/>
      <c r="HM11" s="19"/>
      <c r="HN11" s="19"/>
      <c r="HO11" s="19">
        <v>17780000</v>
      </c>
      <c r="HP11" s="19"/>
      <c r="HQ11" s="19">
        <v>112388705</v>
      </c>
      <c r="HR11" s="19"/>
      <c r="HS11" s="19"/>
      <c r="HT11" s="19"/>
      <c r="HU11" s="19"/>
      <c r="HV11" s="19"/>
      <c r="HW11" s="19" t="s">
        <v>172</v>
      </c>
      <c r="HX11" s="19"/>
      <c r="HY11" s="19" t="s">
        <v>172</v>
      </c>
      <c r="HZ11" s="19"/>
      <c r="IA11" s="19">
        <v>600553852</v>
      </c>
      <c r="IB11" s="19"/>
      <c r="IC11" s="19"/>
      <c r="ID11" s="19"/>
      <c r="IE11" s="19" t="s">
        <v>172</v>
      </c>
      <c r="IF11" s="19"/>
      <c r="IG11" s="19"/>
      <c r="IH11" s="19">
        <v>465400</v>
      </c>
      <c r="II11" s="19"/>
      <c r="IJ11" s="19"/>
      <c r="IK11" s="19"/>
      <c r="IL11" s="19">
        <f>247639-1736000</f>
        <v>-1488361</v>
      </c>
      <c r="IM11" s="19"/>
      <c r="IN11" s="19"/>
      <c r="IO11" s="19">
        <v>1494136</v>
      </c>
      <c r="IP11" s="19"/>
      <c r="IQ11" s="19"/>
      <c r="IR11" s="19">
        <v>37904123</v>
      </c>
      <c r="IS11" s="19"/>
      <c r="IT11" s="19"/>
      <c r="IU11" s="19"/>
      <c r="IV11" s="19"/>
      <c r="IW11" s="19"/>
      <c r="IX11" s="19"/>
      <c r="IY11" s="19"/>
      <c r="IZ11" s="19"/>
      <c r="JA11" s="19"/>
      <c r="JB11" s="19"/>
      <c r="JC11" s="19">
        <v>4718428</v>
      </c>
      <c r="JD11" s="19"/>
      <c r="JE11" s="19"/>
      <c r="JF11" s="19"/>
      <c r="JG11" s="19"/>
      <c r="JH11" s="19"/>
      <c r="JI11" s="19"/>
      <c r="JJ11" s="19"/>
      <c r="JK11" s="19"/>
      <c r="JL11" s="19">
        <v>14100000</v>
      </c>
      <c r="JM11" s="19"/>
      <c r="JN11" s="19"/>
      <c r="JO11" s="19"/>
      <c r="JP11" s="19"/>
      <c r="JQ11" s="19" t="s">
        <v>175</v>
      </c>
      <c r="JR11" s="19"/>
      <c r="JS11" s="19"/>
      <c r="JT11" s="19"/>
      <c r="JU11" s="19"/>
      <c r="JV11" s="19"/>
      <c r="JW11" s="19"/>
      <c r="JX11" s="19"/>
      <c r="JY11" s="19"/>
      <c r="JZ11" s="19"/>
      <c r="KA11" s="19"/>
      <c r="KB11" s="19"/>
      <c r="KC11" s="19">
        <v>1620829</v>
      </c>
      <c r="KD11" s="19"/>
      <c r="KE11" s="19"/>
      <c r="KF11" s="19"/>
      <c r="KG11" s="19"/>
      <c r="KH11" s="19"/>
      <c r="KI11" s="19"/>
      <c r="KJ11" s="19"/>
      <c r="KK11" s="19">
        <v>32982243</v>
      </c>
      <c r="KL11" s="19">
        <f>286942068+26917970</f>
        <v>313860038</v>
      </c>
      <c r="KM11" s="19"/>
      <c r="KN11" s="19"/>
      <c r="KO11" s="19"/>
      <c r="KP11" s="19"/>
      <c r="KQ11" s="19"/>
      <c r="KR11" s="19"/>
      <c r="KS11" s="19"/>
      <c r="KT11" s="19"/>
      <c r="KU11" s="19">
        <f>264117707</f>
        <v>264117707</v>
      </c>
      <c r="KV11" s="19"/>
      <c r="KW11" s="19"/>
      <c r="KX11" s="19"/>
      <c r="KY11" s="19"/>
      <c r="KZ11" s="58"/>
      <c r="LA11" s="76">
        <v>1035198</v>
      </c>
      <c r="LB11" s="76">
        <v>-40545277</v>
      </c>
    </row>
    <row r="12" spans="1:314">
      <c r="A12" s="7" t="s">
        <v>100</v>
      </c>
      <c r="B12" s="14" t="s">
        <v>30</v>
      </c>
      <c r="C12" s="19"/>
      <c r="D12" s="19">
        <v>123270920</v>
      </c>
      <c r="E12" s="19">
        <v>138678948</v>
      </c>
      <c r="F12" s="19"/>
      <c r="G12" s="19" t="s">
        <v>130</v>
      </c>
      <c r="H12" s="19"/>
      <c r="I12" s="19"/>
      <c r="J12" s="19" t="s">
        <v>176</v>
      </c>
      <c r="K12" s="19">
        <v>68250602</v>
      </c>
      <c r="L12" s="19" t="s">
        <v>96</v>
      </c>
      <c r="M12" s="19" t="s">
        <v>96</v>
      </c>
      <c r="N12" s="19">
        <v>7262724</v>
      </c>
      <c r="O12" s="19">
        <v>110712739</v>
      </c>
      <c r="P12" s="19">
        <v>82181713</v>
      </c>
      <c r="Q12" s="19">
        <v>35093520</v>
      </c>
      <c r="R12" s="19"/>
      <c r="S12" s="19">
        <v>785363000</v>
      </c>
      <c r="T12" s="19" t="s">
        <v>96</v>
      </c>
      <c r="U12" s="19" t="s">
        <v>96</v>
      </c>
      <c r="V12" s="19" t="s">
        <v>172</v>
      </c>
      <c r="W12" s="19">
        <v>40045460</v>
      </c>
      <c r="X12" s="19"/>
      <c r="Y12" s="19"/>
      <c r="Z12" s="19"/>
      <c r="AA12" s="19">
        <v>936328200</v>
      </c>
      <c r="AB12" s="19"/>
      <c r="AC12" s="19">
        <v>5995710</v>
      </c>
      <c r="AD12" s="19">
        <v>230252900</v>
      </c>
      <c r="AE12" s="19">
        <v>324197808</v>
      </c>
      <c r="AF12" s="56" t="s">
        <v>172</v>
      </c>
      <c r="AG12" s="19"/>
      <c r="AH12" s="19" t="s">
        <v>167</v>
      </c>
      <c r="AI12" s="19"/>
      <c r="AJ12" s="19">
        <v>674677160</v>
      </c>
      <c r="AK12" s="19">
        <v>54000000</v>
      </c>
      <c r="AL12" s="19"/>
      <c r="AM12" s="19" t="s">
        <v>4</v>
      </c>
      <c r="AN12" s="19"/>
      <c r="AO12" s="19">
        <v>25415659</v>
      </c>
      <c r="AP12" s="19"/>
      <c r="AQ12" s="19" t="s">
        <v>172</v>
      </c>
      <c r="AR12" s="19">
        <v>555326850</v>
      </c>
      <c r="AS12" s="19"/>
      <c r="AT12" s="19" t="s">
        <v>172</v>
      </c>
      <c r="AU12" s="19"/>
      <c r="AV12" s="19"/>
      <c r="AW12" s="19"/>
      <c r="AX12" s="19" t="s">
        <v>4</v>
      </c>
      <c r="AY12" s="19">
        <v>14987000</v>
      </c>
      <c r="AZ12" s="19"/>
      <c r="BA12" s="19" t="s">
        <v>167</v>
      </c>
      <c r="BB12" s="19"/>
      <c r="BC12" s="19" t="s">
        <v>4</v>
      </c>
      <c r="BD12" s="19" t="s">
        <v>172</v>
      </c>
      <c r="BE12" s="19">
        <v>146251100</v>
      </c>
      <c r="BF12" s="19" t="s">
        <v>96</v>
      </c>
      <c r="BG12" s="19">
        <v>339160169</v>
      </c>
      <c r="BH12" s="19">
        <v>87916212</v>
      </c>
      <c r="BI12" s="19">
        <v>303981287</v>
      </c>
      <c r="BJ12" s="19">
        <v>226146410</v>
      </c>
      <c r="BK12" s="19">
        <v>363721821</v>
      </c>
      <c r="BL12" s="19"/>
      <c r="BM12" s="19">
        <v>54054289</v>
      </c>
      <c r="BN12" s="19"/>
      <c r="BO12" s="19" t="s">
        <v>96</v>
      </c>
      <c r="BP12" s="19" t="s">
        <v>96</v>
      </c>
      <c r="BQ12" s="19" t="s">
        <v>175</v>
      </c>
      <c r="BR12" s="19">
        <v>1260083358</v>
      </c>
      <c r="BS12" s="19" t="s">
        <v>172</v>
      </c>
      <c r="BT12" s="19">
        <v>6346464</v>
      </c>
      <c r="BU12" s="19">
        <v>623304302</v>
      </c>
      <c r="BV12" s="19"/>
      <c r="BW12" s="19"/>
      <c r="BX12" s="19"/>
      <c r="BY12" s="19">
        <v>330422976</v>
      </c>
      <c r="BZ12" s="19">
        <v>365560154</v>
      </c>
      <c r="CA12" s="19"/>
      <c r="CB12" s="19">
        <v>163297160</v>
      </c>
      <c r="CC12" s="19">
        <v>46705792</v>
      </c>
      <c r="CD12" s="19">
        <v>29790510</v>
      </c>
      <c r="CE12" s="19" t="s">
        <v>172</v>
      </c>
      <c r="CF12" s="19">
        <v>73954670</v>
      </c>
      <c r="CG12" s="19"/>
      <c r="CH12" s="19">
        <v>78905700</v>
      </c>
      <c r="CI12" s="19" t="s">
        <v>172</v>
      </c>
      <c r="CJ12" s="19">
        <v>444036070</v>
      </c>
      <c r="CK12" s="19">
        <v>281251671</v>
      </c>
      <c r="CL12" s="19">
        <v>84853675</v>
      </c>
      <c r="CM12" s="19"/>
      <c r="CN12" s="19"/>
      <c r="CO12" s="19"/>
      <c r="CP12" s="19">
        <v>1390264163</v>
      </c>
      <c r="CQ12" s="19" t="s">
        <v>96</v>
      </c>
      <c r="CR12" s="19">
        <v>8859764</v>
      </c>
      <c r="CS12" s="56" t="s">
        <v>172</v>
      </c>
      <c r="CT12" s="19"/>
      <c r="CU12" s="19"/>
      <c r="CV12" s="19"/>
      <c r="CW12" s="19">
        <v>43039674</v>
      </c>
      <c r="CX12" s="19"/>
      <c r="CY12" s="19" t="s">
        <v>96</v>
      </c>
      <c r="CZ12" s="19">
        <v>112249506</v>
      </c>
      <c r="DA12" s="19" t="s">
        <v>175</v>
      </c>
      <c r="DB12" s="19"/>
      <c r="DC12" s="19"/>
      <c r="DD12" s="19">
        <v>752840</v>
      </c>
      <c r="DE12" s="19"/>
      <c r="DF12" s="19">
        <v>7470019</v>
      </c>
      <c r="DG12" s="19"/>
      <c r="DH12" s="19">
        <v>2376731</v>
      </c>
      <c r="DI12" s="19">
        <v>342668200</v>
      </c>
      <c r="DJ12" s="19">
        <v>701450</v>
      </c>
      <c r="DK12" s="19">
        <v>2254477140</v>
      </c>
      <c r="DL12" s="19">
        <v>20963780</v>
      </c>
      <c r="DM12" s="19">
        <v>451603910</v>
      </c>
      <c r="DN12" s="19">
        <v>162891991</v>
      </c>
      <c r="DO12" s="19"/>
      <c r="DP12" s="19">
        <v>133322800</v>
      </c>
      <c r="DQ12" s="19">
        <v>98112446</v>
      </c>
      <c r="DR12" s="19">
        <v>377424648</v>
      </c>
      <c r="DS12" s="19"/>
      <c r="DT12" s="19">
        <v>170256030</v>
      </c>
      <c r="DU12" s="19"/>
      <c r="DV12" s="19">
        <v>7587000</v>
      </c>
      <c r="DW12" s="19"/>
      <c r="DX12" s="19"/>
      <c r="DY12" s="19">
        <v>554326144</v>
      </c>
      <c r="DZ12" s="19">
        <v>290675810</v>
      </c>
      <c r="EA12" s="19"/>
      <c r="EB12" s="19">
        <v>40717500</v>
      </c>
      <c r="EC12" s="19">
        <v>439750740</v>
      </c>
      <c r="ED12" s="19"/>
      <c r="EE12" s="19"/>
      <c r="EF12" s="19">
        <v>277076590</v>
      </c>
      <c r="EG12" s="19">
        <v>1475507509</v>
      </c>
      <c r="EH12" s="19"/>
      <c r="EI12" s="19"/>
      <c r="EJ12" s="19"/>
      <c r="EK12" s="19"/>
      <c r="EL12" s="19">
        <v>80432966</v>
      </c>
      <c r="EM12" s="19">
        <v>69845040</v>
      </c>
      <c r="EN12" s="19"/>
      <c r="EO12" s="19">
        <v>30292497</v>
      </c>
      <c r="EP12" s="19">
        <v>220578628</v>
      </c>
      <c r="EQ12" s="19"/>
      <c r="ER12" s="19">
        <v>38932529</v>
      </c>
      <c r="ES12" s="19">
        <v>326729591</v>
      </c>
      <c r="ET12" s="19"/>
      <c r="EU12" s="19"/>
      <c r="EV12" s="19">
        <v>224377433</v>
      </c>
      <c r="EW12" s="19">
        <v>300286800</v>
      </c>
      <c r="EX12" s="19"/>
      <c r="EY12" s="19"/>
      <c r="EZ12" s="19">
        <v>11942842</v>
      </c>
      <c r="FA12" s="19">
        <v>39216806</v>
      </c>
      <c r="FB12" s="19">
        <v>5037559</v>
      </c>
      <c r="FC12" s="19"/>
      <c r="FD12" s="19"/>
      <c r="FE12" s="19">
        <v>336431468</v>
      </c>
      <c r="FF12" s="19"/>
      <c r="FG12" s="19" t="s">
        <v>172</v>
      </c>
      <c r="FH12" s="19">
        <v>32175000</v>
      </c>
      <c r="FI12" s="19" t="s">
        <v>172</v>
      </c>
      <c r="FJ12" s="19"/>
      <c r="FK12" s="19">
        <v>147922950</v>
      </c>
      <c r="FL12" s="19"/>
      <c r="FM12" s="19">
        <v>47529000</v>
      </c>
      <c r="FN12" s="19">
        <v>1603276674</v>
      </c>
      <c r="FO12" s="56" t="s">
        <v>172</v>
      </c>
      <c r="FP12" s="19">
        <v>52287950</v>
      </c>
      <c r="FQ12" s="19">
        <v>85000000</v>
      </c>
      <c r="FR12" s="19">
        <v>38572497</v>
      </c>
      <c r="FS12" s="19">
        <v>37274802</v>
      </c>
      <c r="FT12" s="19">
        <v>2206045477</v>
      </c>
      <c r="FU12" s="19"/>
      <c r="FV12" s="19" t="s">
        <v>172</v>
      </c>
      <c r="FW12" s="19">
        <v>152443720</v>
      </c>
      <c r="FX12" s="19"/>
      <c r="FY12" s="19" t="s">
        <v>172</v>
      </c>
      <c r="FZ12" s="19" t="s">
        <v>175</v>
      </c>
      <c r="GA12" s="19">
        <v>31137400</v>
      </c>
      <c r="GB12" s="19"/>
      <c r="GC12" s="19"/>
      <c r="GD12" s="19" t="s">
        <v>172</v>
      </c>
      <c r="GE12" s="19" t="s">
        <v>172</v>
      </c>
      <c r="GF12" s="19">
        <v>192055441</v>
      </c>
      <c r="GG12" s="19">
        <v>814012643</v>
      </c>
      <c r="GH12" s="19" t="s">
        <v>172</v>
      </c>
      <c r="GI12" s="19">
        <v>124980750</v>
      </c>
      <c r="GJ12" s="19" t="s">
        <v>172</v>
      </c>
      <c r="GK12" s="19">
        <v>51477637</v>
      </c>
      <c r="GL12" s="19" t="s">
        <v>172</v>
      </c>
      <c r="GM12" s="19"/>
      <c r="GN12" s="19"/>
      <c r="GO12" s="19" t="s">
        <v>172</v>
      </c>
      <c r="GP12" s="19">
        <v>1074518788</v>
      </c>
      <c r="GQ12" s="19">
        <v>49646820</v>
      </c>
      <c r="GR12" s="19">
        <v>967935930</v>
      </c>
      <c r="GS12" s="19"/>
      <c r="GT12" s="19">
        <v>719255</v>
      </c>
      <c r="GU12" s="19"/>
      <c r="GV12" s="19"/>
      <c r="GW12" s="19">
        <v>2551350475</v>
      </c>
      <c r="GX12" s="19">
        <v>373831297</v>
      </c>
      <c r="GY12" s="19">
        <v>170853555</v>
      </c>
      <c r="GZ12" s="19">
        <v>173823090</v>
      </c>
      <c r="HA12" s="19" t="s">
        <v>172</v>
      </c>
      <c r="HB12" s="19"/>
      <c r="HC12" s="19">
        <v>72991304</v>
      </c>
      <c r="HD12" s="19">
        <v>84909399</v>
      </c>
      <c r="HE12" s="19" t="s">
        <v>172</v>
      </c>
      <c r="HF12" s="19"/>
      <c r="HG12" s="19">
        <v>30164335</v>
      </c>
      <c r="HH12" s="19" t="s">
        <v>172</v>
      </c>
      <c r="HI12" s="19"/>
      <c r="HJ12" s="19" t="s">
        <v>172</v>
      </c>
      <c r="HK12" s="19">
        <v>478116745</v>
      </c>
      <c r="HL12" s="19">
        <v>214384000</v>
      </c>
      <c r="HM12" s="19"/>
      <c r="HN12" s="19"/>
      <c r="HO12" s="19">
        <v>14801140</v>
      </c>
      <c r="HP12" s="19">
        <v>248316448</v>
      </c>
      <c r="HQ12" s="19"/>
      <c r="HR12" s="19">
        <v>6797152</v>
      </c>
      <c r="HS12" s="19">
        <v>246522408</v>
      </c>
      <c r="HT12" s="19">
        <v>75980000</v>
      </c>
      <c r="HU12" s="19">
        <v>46160649</v>
      </c>
      <c r="HV12" s="19">
        <v>1961449</v>
      </c>
      <c r="HW12" s="19" t="s">
        <v>172</v>
      </c>
      <c r="HX12" s="19">
        <v>281702580</v>
      </c>
      <c r="HY12" s="19" t="s">
        <v>172</v>
      </c>
      <c r="HZ12" s="19">
        <v>987564878</v>
      </c>
      <c r="IA12" s="19"/>
      <c r="IB12" s="19">
        <v>20606139</v>
      </c>
      <c r="IC12" s="19"/>
      <c r="ID12" s="19">
        <v>7136829</v>
      </c>
      <c r="IE12" s="19" t="s">
        <v>172</v>
      </c>
      <c r="IF12" s="19">
        <v>465300</v>
      </c>
      <c r="IG12" s="19">
        <v>62667870</v>
      </c>
      <c r="IH12" s="19">
        <v>337336174</v>
      </c>
      <c r="II12" s="19">
        <v>20000000</v>
      </c>
      <c r="IJ12" s="19"/>
      <c r="IK12" s="19">
        <v>158882136</v>
      </c>
      <c r="IL12" s="19">
        <v>214455000</v>
      </c>
      <c r="IM12" s="19"/>
      <c r="IN12" s="19"/>
      <c r="IO12" s="19">
        <v>202192200</v>
      </c>
      <c r="IP12" s="19">
        <v>17563500</v>
      </c>
      <c r="IQ12" s="19"/>
      <c r="IR12" s="19">
        <v>279175752</v>
      </c>
      <c r="IS12" s="19"/>
      <c r="IT12" s="19">
        <v>100077313</v>
      </c>
      <c r="IU12" s="19"/>
      <c r="IV12" s="19"/>
      <c r="IW12" s="19"/>
      <c r="IX12" s="19">
        <v>146100000</v>
      </c>
      <c r="IY12" s="19">
        <v>26572727</v>
      </c>
      <c r="IZ12" s="19">
        <v>311774310</v>
      </c>
      <c r="JA12" s="19">
        <v>1082885973</v>
      </c>
      <c r="JB12" s="19">
        <v>718215616</v>
      </c>
      <c r="JC12" s="19">
        <v>221864650</v>
      </c>
      <c r="JD12" s="19"/>
      <c r="JE12" s="19"/>
      <c r="JF12" s="19">
        <v>153511000</v>
      </c>
      <c r="JG12" s="19">
        <v>7862703</v>
      </c>
      <c r="JH12" s="19"/>
      <c r="JI12" s="19">
        <v>87905880</v>
      </c>
      <c r="JJ12" s="19"/>
      <c r="JK12" s="19">
        <v>108000000</v>
      </c>
      <c r="JL12" s="19"/>
      <c r="JM12" s="19"/>
      <c r="JN12" s="19">
        <v>208469871</v>
      </c>
      <c r="JO12" s="19"/>
      <c r="JP12" s="19">
        <v>14501307</v>
      </c>
      <c r="JQ12" s="19" t="s">
        <v>175</v>
      </c>
      <c r="JR12" s="19">
        <v>74976370</v>
      </c>
      <c r="JS12" s="19"/>
      <c r="JT12" s="19">
        <v>11820300</v>
      </c>
      <c r="JU12" s="19">
        <v>96601271</v>
      </c>
      <c r="JV12" s="19">
        <v>10727415</v>
      </c>
      <c r="JW12" s="19"/>
      <c r="JX12" s="19"/>
      <c r="JY12" s="19"/>
      <c r="JZ12" s="19">
        <v>48978500</v>
      </c>
      <c r="KA12" s="19">
        <v>3155000</v>
      </c>
      <c r="KB12" s="19">
        <v>853344400</v>
      </c>
      <c r="KC12" s="19">
        <v>400941844</v>
      </c>
      <c r="KD12" s="19">
        <v>7521410</v>
      </c>
      <c r="KE12" s="19">
        <v>27384000</v>
      </c>
      <c r="KF12" s="19">
        <v>150463539</v>
      </c>
      <c r="KG12" s="19">
        <v>353250775</v>
      </c>
      <c r="KH12" s="19"/>
      <c r="KI12" s="19">
        <v>0</v>
      </c>
      <c r="KJ12" s="19">
        <v>0</v>
      </c>
      <c r="KK12" s="19">
        <v>50320300</v>
      </c>
      <c r="KL12" s="19">
        <v>2665893162</v>
      </c>
      <c r="KM12" s="19">
        <v>17449128</v>
      </c>
      <c r="KN12" s="19">
        <v>0</v>
      </c>
      <c r="KO12" s="19">
        <v>913151990</v>
      </c>
      <c r="KP12" s="19">
        <v>0</v>
      </c>
      <c r="KQ12" s="19">
        <v>7460000</v>
      </c>
      <c r="KR12" s="19">
        <v>61611156</v>
      </c>
      <c r="KS12" s="19">
        <v>76407125</v>
      </c>
      <c r="KT12" s="19"/>
      <c r="KU12" s="19">
        <v>39536970</v>
      </c>
      <c r="KV12" s="19">
        <v>1326500</v>
      </c>
      <c r="KW12" s="19">
        <v>96000000</v>
      </c>
      <c r="KX12" s="19">
        <v>12996542</v>
      </c>
      <c r="KY12" s="19">
        <v>304628947</v>
      </c>
      <c r="KZ12" s="58">
        <v>97026830</v>
      </c>
      <c r="LA12" s="76">
        <v>0</v>
      </c>
      <c r="LB12" s="76"/>
    </row>
    <row r="13" spans="1:314">
      <c r="A13" s="7" t="s">
        <v>100</v>
      </c>
      <c r="B13" s="14" t="s">
        <v>66</v>
      </c>
      <c r="C13" s="19"/>
      <c r="D13" s="19"/>
      <c r="E13" s="19"/>
      <c r="F13" s="19"/>
      <c r="G13" s="19" t="s">
        <v>130</v>
      </c>
      <c r="H13" s="19"/>
      <c r="I13" s="19"/>
      <c r="J13" s="19" t="s">
        <v>176</v>
      </c>
      <c r="K13" s="19"/>
      <c r="L13" s="19" t="s">
        <v>96</v>
      </c>
      <c r="M13" s="19" t="s">
        <v>96</v>
      </c>
      <c r="N13" s="19"/>
      <c r="O13" s="19"/>
      <c r="P13" s="19"/>
      <c r="Q13" s="19"/>
      <c r="R13" s="19"/>
      <c r="S13" s="19"/>
      <c r="T13" s="19" t="s">
        <v>96</v>
      </c>
      <c r="U13" s="19" t="s">
        <v>96</v>
      </c>
      <c r="V13" s="19" t="s">
        <v>172</v>
      </c>
      <c r="W13" s="19"/>
      <c r="X13" s="19"/>
      <c r="Y13" s="19"/>
      <c r="Z13" s="19"/>
      <c r="AA13" s="19"/>
      <c r="AB13" s="19"/>
      <c r="AC13" s="19"/>
      <c r="AD13" s="19"/>
      <c r="AE13" s="19"/>
      <c r="AF13" s="56" t="s">
        <v>172</v>
      </c>
      <c r="AG13" s="19"/>
      <c r="AH13" s="19" t="s">
        <v>167</v>
      </c>
      <c r="AI13" s="19"/>
      <c r="AJ13" s="19"/>
      <c r="AK13" s="19"/>
      <c r="AL13" s="19"/>
      <c r="AM13" s="19" t="s">
        <v>4</v>
      </c>
      <c r="AN13" s="19"/>
      <c r="AO13" s="19"/>
      <c r="AP13" s="19"/>
      <c r="AQ13" s="19" t="s">
        <v>172</v>
      </c>
      <c r="AR13" s="19"/>
      <c r="AS13" s="19"/>
      <c r="AT13" s="19" t="s">
        <v>172</v>
      </c>
      <c r="AU13" s="19"/>
      <c r="AV13" s="19"/>
      <c r="AW13" s="19"/>
      <c r="AX13" s="19" t="s">
        <v>4</v>
      </c>
      <c r="AY13" s="19"/>
      <c r="AZ13" s="19"/>
      <c r="BA13" s="19" t="s">
        <v>167</v>
      </c>
      <c r="BB13" s="19"/>
      <c r="BC13" s="19" t="s">
        <v>4</v>
      </c>
      <c r="BD13" s="19" t="s">
        <v>172</v>
      </c>
      <c r="BE13" s="19"/>
      <c r="BF13" s="19" t="s">
        <v>96</v>
      </c>
      <c r="BG13" s="19"/>
      <c r="BH13" s="19"/>
      <c r="BI13" s="19"/>
      <c r="BJ13" s="19"/>
      <c r="BK13" s="19"/>
      <c r="BL13" s="19"/>
      <c r="BM13" s="19"/>
      <c r="BN13" s="19"/>
      <c r="BO13" s="19" t="s">
        <v>96</v>
      </c>
      <c r="BP13" s="19" t="s">
        <v>96</v>
      </c>
      <c r="BQ13" s="19" t="s">
        <v>175</v>
      </c>
      <c r="BR13" s="19"/>
      <c r="BS13" s="19" t="s">
        <v>172</v>
      </c>
      <c r="BT13" s="19"/>
      <c r="BU13" s="19"/>
      <c r="BV13" s="19"/>
      <c r="BW13" s="19"/>
      <c r="BX13" s="19"/>
      <c r="BY13" s="19"/>
      <c r="BZ13" s="19"/>
      <c r="CA13" s="19"/>
      <c r="CB13" s="19"/>
      <c r="CC13" s="19"/>
      <c r="CD13" s="19"/>
      <c r="CE13" s="19" t="s">
        <v>172</v>
      </c>
      <c r="CF13" s="19"/>
      <c r="CG13" s="19"/>
      <c r="CH13" s="19"/>
      <c r="CI13" s="19" t="s">
        <v>172</v>
      </c>
      <c r="CJ13" s="19"/>
      <c r="CK13" s="19"/>
      <c r="CL13" s="19"/>
      <c r="CM13" s="19"/>
      <c r="CN13" s="19"/>
      <c r="CO13" s="19"/>
      <c r="CP13" s="19"/>
      <c r="CQ13" s="19" t="s">
        <v>96</v>
      </c>
      <c r="CR13" s="19"/>
      <c r="CS13" s="56" t="s">
        <v>172</v>
      </c>
      <c r="CT13" s="19"/>
      <c r="CU13" s="19"/>
      <c r="CV13" s="19"/>
      <c r="CW13" s="19"/>
      <c r="CX13" s="19"/>
      <c r="CY13" s="19" t="s">
        <v>96</v>
      </c>
      <c r="CZ13" s="19"/>
      <c r="DA13" s="19" t="s">
        <v>175</v>
      </c>
      <c r="DB13" s="19"/>
      <c r="DC13" s="19"/>
      <c r="DD13" s="19"/>
      <c r="DE13" s="19"/>
      <c r="DF13" s="19"/>
      <c r="DG13" s="19"/>
      <c r="DH13" s="19">
        <v>5277535</v>
      </c>
      <c r="DI13" s="19"/>
      <c r="DJ13" s="19"/>
      <c r="DK13" s="19"/>
      <c r="DL13" s="19"/>
      <c r="DM13" s="19"/>
      <c r="DN13" s="19"/>
      <c r="DO13" s="19"/>
      <c r="DP13" s="19">
        <v>5150136</v>
      </c>
      <c r="DQ13" s="19"/>
      <c r="DR13" s="19"/>
      <c r="DS13" s="19"/>
      <c r="DT13" s="19"/>
      <c r="DU13" s="19"/>
      <c r="DV13" s="19"/>
      <c r="DW13" s="19"/>
      <c r="DX13" s="19"/>
      <c r="DY13" s="19"/>
      <c r="DZ13" s="19"/>
      <c r="EA13" s="19"/>
      <c r="EB13" s="19"/>
      <c r="EC13" s="19"/>
      <c r="ED13" s="19"/>
      <c r="EE13" s="19"/>
      <c r="EF13" s="19"/>
      <c r="EG13" s="19"/>
      <c r="EH13" s="19"/>
      <c r="EI13" s="19"/>
      <c r="EJ13" s="19"/>
      <c r="EK13" s="19"/>
      <c r="EL13" s="19"/>
      <c r="EM13" s="19"/>
      <c r="EN13" s="19"/>
      <c r="EO13" s="19"/>
      <c r="EP13" s="19"/>
      <c r="EQ13" s="19"/>
      <c r="ER13" s="19"/>
      <c r="ES13" s="19"/>
      <c r="ET13" s="19"/>
      <c r="EU13" s="19"/>
      <c r="EV13" s="19"/>
      <c r="EW13" s="19"/>
      <c r="EX13" s="19"/>
      <c r="EY13" s="19"/>
      <c r="EZ13" s="19"/>
      <c r="FA13" s="19"/>
      <c r="FB13" s="19"/>
      <c r="FC13" s="19"/>
      <c r="FD13" s="19"/>
      <c r="FE13" s="19"/>
      <c r="FF13" s="19"/>
      <c r="FG13" s="19" t="s">
        <v>172</v>
      </c>
      <c r="FH13" s="19"/>
      <c r="FI13" s="19" t="s">
        <v>172</v>
      </c>
      <c r="FJ13" s="19"/>
      <c r="FK13" s="19"/>
      <c r="FL13" s="19"/>
      <c r="FM13" s="19"/>
      <c r="FN13" s="19"/>
      <c r="FO13" s="56" t="s">
        <v>172</v>
      </c>
      <c r="FP13" s="19"/>
      <c r="FQ13" s="19"/>
      <c r="FR13" s="19"/>
      <c r="FS13" s="19"/>
      <c r="FT13" s="19"/>
      <c r="FU13" s="19"/>
      <c r="FV13" s="19" t="s">
        <v>172</v>
      </c>
      <c r="FW13" s="19"/>
      <c r="FX13" s="19"/>
      <c r="FY13" s="19" t="s">
        <v>172</v>
      </c>
      <c r="FZ13" s="19" t="s">
        <v>175</v>
      </c>
      <c r="GA13" s="19"/>
      <c r="GB13" s="19"/>
      <c r="GC13" s="19"/>
      <c r="GD13" s="19" t="s">
        <v>172</v>
      </c>
      <c r="GE13" s="19" t="s">
        <v>172</v>
      </c>
      <c r="GF13" s="19"/>
      <c r="GG13" s="19"/>
      <c r="GH13" s="19" t="s">
        <v>172</v>
      </c>
      <c r="GI13" s="19"/>
      <c r="GJ13" s="19" t="s">
        <v>172</v>
      </c>
      <c r="GK13" s="19"/>
      <c r="GL13" s="19" t="s">
        <v>172</v>
      </c>
      <c r="GM13" s="19"/>
      <c r="GN13" s="19"/>
      <c r="GO13" s="19" t="s">
        <v>172</v>
      </c>
      <c r="GP13" s="19"/>
      <c r="GQ13" s="19"/>
      <c r="GR13" s="19"/>
      <c r="GS13" s="19"/>
      <c r="GT13" s="19"/>
      <c r="GU13" s="19"/>
      <c r="GV13" s="19"/>
      <c r="GW13" s="19"/>
      <c r="GX13" s="19"/>
      <c r="GY13" s="19"/>
      <c r="GZ13" s="19"/>
      <c r="HA13" s="19" t="s">
        <v>172</v>
      </c>
      <c r="HB13" s="19"/>
      <c r="HC13" s="19"/>
      <c r="HD13" s="19">
        <v>127976805</v>
      </c>
      <c r="HE13" s="19" t="s">
        <v>172</v>
      </c>
      <c r="HF13" s="19"/>
      <c r="HG13" s="19"/>
      <c r="HH13" s="19" t="s">
        <v>172</v>
      </c>
      <c r="HI13" s="19"/>
      <c r="HJ13" s="19" t="s">
        <v>172</v>
      </c>
      <c r="HK13" s="19"/>
      <c r="HL13" s="19"/>
      <c r="HM13" s="19"/>
      <c r="HN13" s="19"/>
      <c r="HO13" s="19"/>
      <c r="HP13" s="19"/>
      <c r="HQ13" s="19"/>
      <c r="HR13" s="19"/>
      <c r="HS13" s="19"/>
      <c r="HT13" s="19"/>
      <c r="HU13" s="19"/>
      <c r="HV13" s="19"/>
      <c r="HW13" s="19" t="s">
        <v>172</v>
      </c>
      <c r="HX13" s="19">
        <v>7429464</v>
      </c>
      <c r="HY13" s="19" t="s">
        <v>172</v>
      </c>
      <c r="HZ13" s="19"/>
      <c r="IA13" s="19"/>
      <c r="IB13" s="19"/>
      <c r="IC13" s="19"/>
      <c r="ID13" s="19"/>
      <c r="IE13" s="19" t="s">
        <v>172</v>
      </c>
      <c r="IF13" s="19"/>
      <c r="IG13" s="19"/>
      <c r="IH13" s="19"/>
      <c r="II13" s="19"/>
      <c r="IJ13" s="19"/>
      <c r="IK13" s="19"/>
      <c r="IL13" s="19"/>
      <c r="IM13" s="19"/>
      <c r="IN13" s="19"/>
      <c r="IO13" s="19"/>
      <c r="IP13" s="19"/>
      <c r="IQ13" s="19"/>
      <c r="IR13" s="19"/>
      <c r="IS13" s="19"/>
      <c r="IT13" s="19"/>
      <c r="IU13" s="19"/>
      <c r="IV13" s="19">
        <v>7960707</v>
      </c>
      <c r="IW13" s="19"/>
      <c r="IX13" s="19"/>
      <c r="IY13" s="19"/>
      <c r="IZ13" s="19"/>
      <c r="JA13" s="19"/>
      <c r="JB13" s="19">
        <v>4550</v>
      </c>
      <c r="JC13" s="19"/>
      <c r="JD13" s="19"/>
      <c r="JE13" s="19"/>
      <c r="JF13" s="19"/>
      <c r="JG13" s="19"/>
      <c r="JH13" s="19"/>
      <c r="JI13" s="19"/>
      <c r="JJ13" s="19"/>
      <c r="JK13" s="19"/>
      <c r="JL13" s="19"/>
      <c r="JM13" s="19"/>
      <c r="JN13" s="19"/>
      <c r="JO13" s="19"/>
      <c r="JP13" s="19"/>
      <c r="JQ13" s="19" t="s">
        <v>175</v>
      </c>
      <c r="JR13" s="19"/>
      <c r="JS13" s="19"/>
      <c r="JT13" s="19"/>
      <c r="JU13" s="19"/>
      <c r="JV13" s="19"/>
      <c r="JW13" s="19">
        <f>7180336+17006718</f>
        <v>24187054</v>
      </c>
      <c r="JX13" s="19"/>
      <c r="JY13" s="19"/>
      <c r="JZ13" s="19"/>
      <c r="KA13" s="19"/>
      <c r="KB13" s="19"/>
      <c r="KC13" s="19"/>
      <c r="KD13" s="19"/>
      <c r="KE13" s="19"/>
      <c r="KF13" s="19"/>
      <c r="KG13" s="19"/>
      <c r="KH13" s="19"/>
      <c r="KI13" s="19"/>
      <c r="KJ13" s="19"/>
      <c r="KK13" s="19"/>
      <c r="KL13" s="19">
        <v>238263378</v>
      </c>
      <c r="KM13" s="19"/>
      <c r="KN13" s="19">
        <v>0</v>
      </c>
      <c r="KO13" s="19"/>
      <c r="KP13" s="19"/>
      <c r="KQ13" s="19"/>
      <c r="KR13" s="19"/>
      <c r="KS13" s="19"/>
      <c r="KT13" s="19"/>
      <c r="KU13" s="19"/>
      <c r="KV13" s="19"/>
      <c r="KW13" s="19"/>
      <c r="KX13" s="19">
        <v>0</v>
      </c>
      <c r="KY13" s="19"/>
      <c r="KZ13" s="58">
        <v>4790</v>
      </c>
      <c r="LA13" s="76"/>
      <c r="LB13" s="76"/>
    </row>
    <row r="14" spans="1:314">
      <c r="A14" s="7" t="s">
        <v>100</v>
      </c>
      <c r="B14" s="8" t="s">
        <v>19</v>
      </c>
      <c r="C14" s="19">
        <f>SUM(C15:C17)+C22</f>
        <v>115382398</v>
      </c>
      <c r="D14" s="19">
        <f>SUM(D15:D17)+D22</f>
        <v>964009204</v>
      </c>
      <c r="E14" s="19">
        <f>SUM(E15:E17)+E22</f>
        <v>422826724</v>
      </c>
      <c r="F14" s="19">
        <f>SUM(F15:F17)+F22</f>
        <v>1262844341</v>
      </c>
      <c r="G14" s="19" t="s">
        <v>130</v>
      </c>
      <c r="H14" s="19">
        <f>SUM(H15:H17)+H22</f>
        <v>3679029525</v>
      </c>
      <c r="I14" s="19">
        <f>SUM(I15:I17)+I22</f>
        <v>1726424733</v>
      </c>
      <c r="J14" s="19" t="s">
        <v>176</v>
      </c>
      <c r="K14" s="19">
        <f>SUM(K15:K17)+K22</f>
        <v>284727375</v>
      </c>
      <c r="L14" s="19" t="s">
        <v>96</v>
      </c>
      <c r="M14" s="19" t="s">
        <v>96</v>
      </c>
      <c r="N14" s="19">
        <f t="shared" ref="N14:S14" si="31">SUM(N15:N17)+N22</f>
        <v>82200065</v>
      </c>
      <c r="O14" s="19">
        <f t="shared" si="31"/>
        <v>5156694158</v>
      </c>
      <c r="P14" s="19">
        <f t="shared" si="31"/>
        <v>5611766333</v>
      </c>
      <c r="Q14" s="19">
        <f t="shared" si="31"/>
        <v>18055409</v>
      </c>
      <c r="R14" s="19">
        <f t="shared" si="31"/>
        <v>189863761</v>
      </c>
      <c r="S14" s="19">
        <f t="shared" si="31"/>
        <v>12505531222</v>
      </c>
      <c r="T14" s="19" t="s">
        <v>96</v>
      </c>
      <c r="U14" s="19" t="s">
        <v>96</v>
      </c>
      <c r="V14" s="19" t="s">
        <v>172</v>
      </c>
      <c r="W14" s="19">
        <f t="shared" ref="W14:AE14" si="32">SUM(W15:W17)+W22</f>
        <v>899242332</v>
      </c>
      <c r="X14" s="19">
        <f t="shared" si="32"/>
        <v>4876065894</v>
      </c>
      <c r="Y14" s="19">
        <f t="shared" si="32"/>
        <v>255099717</v>
      </c>
      <c r="Z14" s="19">
        <f t="shared" si="32"/>
        <v>7104442710</v>
      </c>
      <c r="AA14" s="19">
        <f t="shared" si="32"/>
        <v>2368884701</v>
      </c>
      <c r="AB14" s="19">
        <f t="shared" si="32"/>
        <v>55424295</v>
      </c>
      <c r="AC14" s="19">
        <f t="shared" si="32"/>
        <v>1186495323</v>
      </c>
      <c r="AD14" s="19">
        <f t="shared" si="32"/>
        <v>2868428745</v>
      </c>
      <c r="AE14" s="19">
        <f t="shared" si="32"/>
        <v>4910608813</v>
      </c>
      <c r="AF14" s="56" t="s">
        <v>172</v>
      </c>
      <c r="AG14" s="19">
        <f>SUM(AG15:AG17)+AG22</f>
        <v>500924639</v>
      </c>
      <c r="AH14" s="19" t="s">
        <v>167</v>
      </c>
      <c r="AI14" s="19">
        <f>SUM(AI15:AI17)+AI22</f>
        <v>417322819</v>
      </c>
      <c r="AJ14" s="19">
        <f>SUM(AJ15:AJ17)+AJ22</f>
        <v>193932875</v>
      </c>
      <c r="AK14" s="19">
        <f>SUM(AK15:AK17)+AK22</f>
        <v>263053269</v>
      </c>
      <c r="AL14" s="19">
        <f>SUM(AL15:AL17)+AL22</f>
        <v>563087842</v>
      </c>
      <c r="AM14" s="19" t="s">
        <v>4</v>
      </c>
      <c r="AN14" s="19">
        <f>SUM(AN15:AN17)+AN22</f>
        <v>1809997436</v>
      </c>
      <c r="AO14" s="19">
        <f>SUM(AO15:AO17)+AO22</f>
        <v>312329731</v>
      </c>
      <c r="AP14" s="19">
        <f>SUM(AP15:AP17)+AP22</f>
        <v>3284822</v>
      </c>
      <c r="AQ14" s="19" t="s">
        <v>172</v>
      </c>
      <c r="AR14" s="19">
        <f>SUM(AR15:AR17)+AR22</f>
        <v>793982818</v>
      </c>
      <c r="AS14" s="19">
        <f>SUM(AS15:AS17)+AS22</f>
        <v>517795734</v>
      </c>
      <c r="AT14" s="19" t="s">
        <v>172</v>
      </c>
      <c r="AU14" s="19">
        <f>SUM(AU15:AU17)+AU22</f>
        <v>14089782692</v>
      </c>
      <c r="AV14" s="19">
        <f>SUM(AV15:AV17)+AV22</f>
        <v>70470510</v>
      </c>
      <c r="AW14" s="19">
        <f>SUM(AW15:AW17)+AW22</f>
        <v>573233332</v>
      </c>
      <c r="AX14" s="19" t="s">
        <v>4</v>
      </c>
      <c r="AY14" s="19">
        <f>SUM(AY15:AY17)+AY22</f>
        <v>237903752</v>
      </c>
      <c r="AZ14" s="19">
        <f>SUM(AZ15:AZ17)+AZ22</f>
        <v>462933834</v>
      </c>
      <c r="BA14" s="19" t="s">
        <v>167</v>
      </c>
      <c r="BB14" s="19">
        <f>SUM(BB15:BB17)+BB22</f>
        <v>12200665</v>
      </c>
      <c r="BC14" s="19" t="s">
        <v>4</v>
      </c>
      <c r="BD14" s="19" t="s">
        <v>172</v>
      </c>
      <c r="BE14" s="19">
        <f>SUM(BE15:BE17)+BE22</f>
        <v>1292714748</v>
      </c>
      <c r="BF14" s="19" t="s">
        <v>96</v>
      </c>
      <c r="BG14" s="19">
        <f t="shared" ref="BG14:BN14" si="33">SUM(BG15:BG17)+BG22</f>
        <v>168726778</v>
      </c>
      <c r="BH14" s="19">
        <f t="shared" si="33"/>
        <v>715704833</v>
      </c>
      <c r="BI14" s="19">
        <f t="shared" si="33"/>
        <v>45330863</v>
      </c>
      <c r="BJ14" s="19">
        <f t="shared" si="33"/>
        <v>154390840</v>
      </c>
      <c r="BK14" s="19">
        <f t="shared" si="33"/>
        <v>645316230</v>
      </c>
      <c r="BL14" s="19">
        <f t="shared" si="33"/>
        <v>165039696</v>
      </c>
      <c r="BM14" s="19">
        <f t="shared" si="33"/>
        <v>899683570</v>
      </c>
      <c r="BN14" s="19">
        <f t="shared" si="33"/>
        <v>159952075</v>
      </c>
      <c r="BO14" s="19" t="s">
        <v>96</v>
      </c>
      <c r="BP14" s="19" t="s">
        <v>96</v>
      </c>
      <c r="BQ14" s="19" t="s">
        <v>175</v>
      </c>
      <c r="BR14" s="19">
        <f>SUM(BR15:BR17)+BR22</f>
        <v>4442648797</v>
      </c>
      <c r="BS14" s="19" t="s">
        <v>172</v>
      </c>
      <c r="BT14" s="19">
        <f t="shared" ref="BT14:CD14" si="34">SUM(BT15:BT17)+BT22</f>
        <v>3091535</v>
      </c>
      <c r="BU14" s="19">
        <f t="shared" si="34"/>
        <v>719267916</v>
      </c>
      <c r="BV14" s="19">
        <f t="shared" si="34"/>
        <v>24616000</v>
      </c>
      <c r="BW14" s="19">
        <f t="shared" si="34"/>
        <v>1343302</v>
      </c>
      <c r="BX14" s="19">
        <f t="shared" si="34"/>
        <v>55038478</v>
      </c>
      <c r="BY14" s="19">
        <f t="shared" si="34"/>
        <v>266755156</v>
      </c>
      <c r="BZ14" s="19">
        <f t="shared" si="34"/>
        <v>1975139461</v>
      </c>
      <c r="CA14" s="19">
        <f t="shared" si="34"/>
        <v>1225846905</v>
      </c>
      <c r="CB14" s="19">
        <f t="shared" si="34"/>
        <v>1461994651</v>
      </c>
      <c r="CC14" s="19">
        <f t="shared" si="34"/>
        <v>3050000</v>
      </c>
      <c r="CD14" s="19">
        <f t="shared" si="34"/>
        <v>557791</v>
      </c>
      <c r="CE14" s="19" t="s">
        <v>172</v>
      </c>
      <c r="CF14" s="19">
        <f>SUM(CF15:CF17)+CF22</f>
        <v>383383909</v>
      </c>
      <c r="CG14" s="19">
        <f>SUM(CG15:CG17)+CG22</f>
        <v>98604024</v>
      </c>
      <c r="CH14" s="19">
        <f>SUM(CH15:CH17)+CH22</f>
        <v>107142391</v>
      </c>
      <c r="CI14" s="19" t="s">
        <v>172</v>
      </c>
      <c r="CJ14" s="19">
        <f t="shared" ref="CJ14:CP14" si="35">SUM(CJ15:CJ17)+CJ22</f>
        <v>56681946</v>
      </c>
      <c r="CK14" s="19">
        <f t="shared" si="35"/>
        <v>7445744223</v>
      </c>
      <c r="CL14" s="19">
        <f t="shared" si="35"/>
        <v>633725064</v>
      </c>
      <c r="CM14" s="19">
        <f t="shared" si="35"/>
        <v>864417251</v>
      </c>
      <c r="CN14" s="19">
        <f t="shared" si="35"/>
        <v>8060359</v>
      </c>
      <c r="CO14" s="19">
        <f t="shared" si="35"/>
        <v>24004824</v>
      </c>
      <c r="CP14" s="19">
        <f t="shared" si="35"/>
        <v>513252805</v>
      </c>
      <c r="CQ14" s="19" t="s">
        <v>96</v>
      </c>
      <c r="CR14" s="19">
        <f>SUM(CR15:CR17)+CR22</f>
        <v>141443722</v>
      </c>
      <c r="CS14" s="56" t="s">
        <v>172</v>
      </c>
      <c r="CT14" s="19">
        <f>SUM(CT15:CT17)+CT22</f>
        <v>1448367766</v>
      </c>
      <c r="CU14" s="19">
        <f>SUM(CU15:CU17)+CU22</f>
        <v>403109156</v>
      </c>
      <c r="CV14" s="19">
        <v>3750000</v>
      </c>
      <c r="CW14" s="19">
        <f>SUM(CW15:CW17)+CW22</f>
        <v>3792190316</v>
      </c>
      <c r="CX14" s="19">
        <f>SUM(CX15:CX17)+CX22</f>
        <v>819141792</v>
      </c>
      <c r="CY14" s="19" t="s">
        <v>96</v>
      </c>
      <c r="CZ14" s="19">
        <f>SUM(CZ15:CZ17)+CZ22</f>
        <v>5214791798</v>
      </c>
      <c r="DA14" s="19" t="s">
        <v>175</v>
      </c>
      <c r="DB14" s="19">
        <f t="shared" ref="DB14:DR14" si="36">SUM(DB15:DB17)+DB22</f>
        <v>21776783</v>
      </c>
      <c r="DC14" s="19">
        <f t="shared" si="36"/>
        <v>5023435</v>
      </c>
      <c r="DD14" s="19">
        <f t="shared" si="36"/>
        <v>47982691</v>
      </c>
      <c r="DE14" s="19">
        <f t="shared" si="36"/>
        <v>871158787</v>
      </c>
      <c r="DF14" s="19">
        <f t="shared" si="36"/>
        <v>21253431</v>
      </c>
      <c r="DG14" s="19">
        <f t="shared" si="36"/>
        <v>810251260</v>
      </c>
      <c r="DH14" s="19">
        <f t="shared" si="36"/>
        <v>286139881</v>
      </c>
      <c r="DI14" s="19">
        <f t="shared" si="36"/>
        <v>5400840130</v>
      </c>
      <c r="DJ14" s="19">
        <f t="shared" si="36"/>
        <v>28293200</v>
      </c>
      <c r="DK14" s="19">
        <f t="shared" si="36"/>
        <v>5631717027</v>
      </c>
      <c r="DL14" s="19">
        <f t="shared" si="36"/>
        <v>56273460</v>
      </c>
      <c r="DM14" s="19">
        <f t="shared" si="36"/>
        <v>765609214</v>
      </c>
      <c r="DN14" s="19">
        <f t="shared" si="36"/>
        <v>502947620</v>
      </c>
      <c r="DO14" s="19">
        <f t="shared" si="36"/>
        <v>125549589</v>
      </c>
      <c r="DP14" s="19">
        <f t="shared" si="36"/>
        <v>2363163671</v>
      </c>
      <c r="DQ14" s="19">
        <f t="shared" si="36"/>
        <v>20016000</v>
      </c>
      <c r="DR14" s="19">
        <f t="shared" si="36"/>
        <v>5209488813</v>
      </c>
      <c r="DS14" s="19">
        <f>SUM(DS15:DS17)+DS22</f>
        <v>89352013</v>
      </c>
      <c r="DT14" s="19">
        <f t="shared" ref="DT14:FF14" si="37">SUM(DT15:DT17)+DT22</f>
        <v>3207614436</v>
      </c>
      <c r="DU14" s="19">
        <f t="shared" si="37"/>
        <v>40801645</v>
      </c>
      <c r="DV14" s="19">
        <f t="shared" si="37"/>
        <v>1722753417</v>
      </c>
      <c r="DW14" s="19">
        <f t="shared" si="37"/>
        <v>1088817311</v>
      </c>
      <c r="DX14" s="19">
        <f t="shared" si="37"/>
        <v>1663710819</v>
      </c>
      <c r="DY14" s="19">
        <f t="shared" si="37"/>
        <v>585855543</v>
      </c>
      <c r="DZ14" s="19">
        <f t="shared" si="37"/>
        <v>109132560</v>
      </c>
      <c r="EA14" s="19">
        <f t="shared" si="37"/>
        <v>39163574</v>
      </c>
      <c r="EB14" s="19">
        <f t="shared" si="37"/>
        <v>3929660342</v>
      </c>
      <c r="EC14" s="19">
        <f t="shared" si="37"/>
        <v>6779427</v>
      </c>
      <c r="ED14" s="19">
        <f t="shared" si="37"/>
        <v>257969032</v>
      </c>
      <c r="EE14" s="19">
        <f t="shared" si="37"/>
        <v>258529994</v>
      </c>
      <c r="EF14" s="19">
        <f t="shared" si="37"/>
        <v>4432697156</v>
      </c>
      <c r="EG14" s="19">
        <f t="shared" si="37"/>
        <v>1818135138</v>
      </c>
      <c r="EH14" s="19">
        <f t="shared" si="37"/>
        <v>3128864392</v>
      </c>
      <c r="EI14" s="19">
        <f t="shared" si="37"/>
        <v>3663257035</v>
      </c>
      <c r="EJ14" s="19">
        <f t="shared" si="37"/>
        <v>14801176</v>
      </c>
      <c r="EK14" s="19">
        <f t="shared" si="37"/>
        <v>193703546</v>
      </c>
      <c r="EL14" s="19">
        <f t="shared" si="37"/>
        <v>430147792</v>
      </c>
      <c r="EM14" s="19">
        <f t="shared" si="37"/>
        <v>320028632</v>
      </c>
      <c r="EN14" s="19">
        <f t="shared" si="37"/>
        <v>5027895306</v>
      </c>
      <c r="EO14" s="19">
        <f t="shared" si="37"/>
        <v>96117533</v>
      </c>
      <c r="EP14" s="19">
        <f t="shared" si="37"/>
        <v>354642749</v>
      </c>
      <c r="EQ14" s="19">
        <f t="shared" si="37"/>
        <v>18030000</v>
      </c>
      <c r="ER14" s="19">
        <f t="shared" si="37"/>
        <v>1184651202</v>
      </c>
      <c r="ES14" s="19">
        <f t="shared" si="37"/>
        <v>309370552</v>
      </c>
      <c r="ET14" s="19">
        <f t="shared" si="37"/>
        <v>3528225588</v>
      </c>
      <c r="EU14" s="19">
        <f t="shared" si="37"/>
        <v>476817135</v>
      </c>
      <c r="EV14" s="19">
        <f t="shared" si="37"/>
        <v>5994078</v>
      </c>
      <c r="EW14" s="19">
        <f t="shared" si="37"/>
        <v>816101481</v>
      </c>
      <c r="EX14" s="19">
        <f t="shared" si="37"/>
        <v>2493276263</v>
      </c>
      <c r="EY14" s="19">
        <f t="shared" si="37"/>
        <v>3298529169</v>
      </c>
      <c r="EZ14" s="19">
        <f t="shared" si="37"/>
        <v>314144147</v>
      </c>
      <c r="FA14" s="19">
        <f t="shared" si="37"/>
        <v>2125389771</v>
      </c>
      <c r="FB14" s="19">
        <f t="shared" si="37"/>
        <v>102917031</v>
      </c>
      <c r="FC14" s="19">
        <f t="shared" si="37"/>
        <v>685399117</v>
      </c>
      <c r="FD14" s="19">
        <f t="shared" si="37"/>
        <v>1151563648</v>
      </c>
      <c r="FE14" s="19">
        <f t="shared" si="37"/>
        <v>2495098651</v>
      </c>
      <c r="FF14" s="19">
        <f t="shared" si="37"/>
        <v>5500000</v>
      </c>
      <c r="FG14" s="19" t="s">
        <v>172</v>
      </c>
      <c r="FH14" s="19">
        <f>SUM(FH15:FH17)+FH22</f>
        <v>1698663493</v>
      </c>
      <c r="FI14" s="19" t="s">
        <v>172</v>
      </c>
      <c r="FJ14" s="19">
        <f>SUM(FJ15:FJ17)+FJ22</f>
        <v>86664962</v>
      </c>
      <c r="FK14" s="19">
        <f>SUM(FK15:FK17)+FK22</f>
        <v>293036709</v>
      </c>
      <c r="FL14" s="19">
        <f>SUM(FL15:FL17)+FL22</f>
        <v>165513955</v>
      </c>
      <c r="FM14" s="19">
        <f>SUM(FM15:FM17)+FM22</f>
        <v>265989166</v>
      </c>
      <c r="FN14" s="19">
        <f>SUM(FN15:FN17)+FN22</f>
        <v>7439957713</v>
      </c>
      <c r="FO14" s="56" t="s">
        <v>172</v>
      </c>
      <c r="FP14" s="19">
        <f t="shared" ref="FP14:FU14" si="38">SUM(FP15:FP17)+FP22</f>
        <v>363332717</v>
      </c>
      <c r="FQ14" s="19">
        <f t="shared" si="38"/>
        <v>70549335</v>
      </c>
      <c r="FR14" s="19">
        <f t="shared" si="38"/>
        <v>148266315</v>
      </c>
      <c r="FS14" s="19">
        <f t="shared" si="38"/>
        <v>220131264</v>
      </c>
      <c r="FT14" s="19">
        <f t="shared" si="38"/>
        <v>10630988248</v>
      </c>
      <c r="FU14" s="19">
        <f t="shared" si="38"/>
        <v>0</v>
      </c>
      <c r="FV14" s="19" t="s">
        <v>172</v>
      </c>
      <c r="FW14" s="19">
        <f>SUM(FW15:FW17)+FW22</f>
        <v>11809601</v>
      </c>
      <c r="FX14" s="19">
        <f>SUM(FX15:FX17)+FX22</f>
        <v>112766485</v>
      </c>
      <c r="FY14" s="19" t="s">
        <v>172</v>
      </c>
      <c r="FZ14" s="19" t="s">
        <v>175</v>
      </c>
      <c r="GA14" s="19">
        <f>SUM(GA15:GA17)+GA22</f>
        <v>796673766</v>
      </c>
      <c r="GB14" s="19">
        <f>SUM(GB15:GB17)+GB22</f>
        <v>211587182</v>
      </c>
      <c r="GC14" s="19">
        <f>SUM(GC15:GC17)+GC22</f>
        <v>56625395</v>
      </c>
      <c r="GD14" s="19" t="s">
        <v>172</v>
      </c>
      <c r="GE14" s="19" t="s">
        <v>172</v>
      </c>
      <c r="GF14" s="19">
        <f>SUM(GF15:GF17)+GF22</f>
        <v>479226444</v>
      </c>
      <c r="GG14" s="19">
        <f>SUM(GG15:GG17)+GG22</f>
        <v>2054594632</v>
      </c>
      <c r="GH14" s="19" t="s">
        <v>172</v>
      </c>
      <c r="GI14" s="19">
        <f t="shared" ref="GI14:KH14" si="39">SUM(GI15:GI17)+GI22</f>
        <v>38166713</v>
      </c>
      <c r="GJ14" s="19" t="s">
        <v>172</v>
      </c>
      <c r="GK14" s="19">
        <f t="shared" si="39"/>
        <v>171665702</v>
      </c>
      <c r="GL14" s="19" t="s">
        <v>172</v>
      </c>
      <c r="GM14" s="19">
        <f t="shared" si="39"/>
        <v>75912827</v>
      </c>
      <c r="GN14" s="19">
        <f t="shared" si="39"/>
        <v>465961341</v>
      </c>
      <c r="GO14" s="19" t="s">
        <v>172</v>
      </c>
      <c r="GP14" s="19">
        <f t="shared" si="39"/>
        <v>6301450784</v>
      </c>
      <c r="GQ14" s="19">
        <f t="shared" si="39"/>
        <v>66945343</v>
      </c>
      <c r="GR14" s="19">
        <f t="shared" si="39"/>
        <v>1555079779</v>
      </c>
      <c r="GS14" s="19">
        <f t="shared" si="39"/>
        <v>285576538</v>
      </c>
      <c r="GT14" s="19">
        <f t="shared" si="39"/>
        <v>76784295</v>
      </c>
      <c r="GU14" s="19">
        <f t="shared" si="39"/>
        <v>30000000</v>
      </c>
      <c r="GV14" s="19">
        <f>SUM(GV15:GV17)+GV22</f>
        <v>3688221113</v>
      </c>
      <c r="GW14" s="19">
        <f>SUM(GW15:GW17)+GW22</f>
        <v>31927130986</v>
      </c>
      <c r="GX14" s="19">
        <f t="shared" si="39"/>
        <v>2408141486</v>
      </c>
      <c r="GY14" s="19">
        <f t="shared" si="39"/>
        <v>604627022</v>
      </c>
      <c r="GZ14" s="19">
        <f t="shared" si="39"/>
        <v>4119809858</v>
      </c>
      <c r="HA14" s="19" t="s">
        <v>172</v>
      </c>
      <c r="HB14" s="19">
        <f t="shared" si="39"/>
        <v>9015000</v>
      </c>
      <c r="HC14" s="19">
        <f t="shared" si="39"/>
        <v>592186583</v>
      </c>
      <c r="HD14" s="19">
        <f t="shared" si="39"/>
        <v>77785402</v>
      </c>
      <c r="HE14" s="19" t="s">
        <v>172</v>
      </c>
      <c r="HF14" s="19">
        <f t="shared" si="39"/>
        <v>1453473935</v>
      </c>
      <c r="HG14" s="19">
        <f t="shared" si="39"/>
        <v>16000818</v>
      </c>
      <c r="HH14" s="19" t="s">
        <v>172</v>
      </c>
      <c r="HI14" s="19">
        <f t="shared" si="39"/>
        <v>2220130436</v>
      </c>
      <c r="HJ14" s="19" t="s">
        <v>172</v>
      </c>
      <c r="HK14" s="19">
        <f t="shared" si="39"/>
        <v>874916523</v>
      </c>
      <c r="HL14" s="19">
        <f t="shared" si="39"/>
        <v>122718473</v>
      </c>
      <c r="HM14" s="19">
        <f t="shared" si="39"/>
        <v>707367692</v>
      </c>
      <c r="HN14" s="19">
        <f t="shared" si="39"/>
        <v>339107344</v>
      </c>
      <c r="HO14" s="19">
        <f t="shared" si="39"/>
        <v>782249956</v>
      </c>
      <c r="HP14" s="19">
        <f t="shared" si="39"/>
        <v>503107918</v>
      </c>
      <c r="HQ14" s="19">
        <f t="shared" si="39"/>
        <v>56962834</v>
      </c>
      <c r="HR14" s="19">
        <f t="shared" si="39"/>
        <v>303680080</v>
      </c>
      <c r="HS14" s="19">
        <f t="shared" si="39"/>
        <v>328027020</v>
      </c>
      <c r="HT14" s="19">
        <f t="shared" si="39"/>
        <v>32407841</v>
      </c>
      <c r="HU14" s="19">
        <f t="shared" si="39"/>
        <v>353908197</v>
      </c>
      <c r="HV14" s="19">
        <f t="shared" si="39"/>
        <v>60360847</v>
      </c>
      <c r="HW14" s="19" t="s">
        <v>172</v>
      </c>
      <c r="HX14" s="19">
        <f t="shared" si="39"/>
        <v>3573153160</v>
      </c>
      <c r="HY14" s="19" t="s">
        <v>172</v>
      </c>
      <c r="HZ14" s="19">
        <f t="shared" si="39"/>
        <v>7498581392</v>
      </c>
      <c r="IA14" s="19">
        <f t="shared" si="39"/>
        <v>532144028</v>
      </c>
      <c r="IB14" s="19">
        <f t="shared" si="39"/>
        <v>6724427845</v>
      </c>
      <c r="IC14" s="19">
        <f t="shared" si="39"/>
        <v>1092885246</v>
      </c>
      <c r="ID14" s="19">
        <f t="shared" si="39"/>
        <v>1506158</v>
      </c>
      <c r="IE14" s="19" t="s">
        <v>172</v>
      </c>
      <c r="IF14" s="19">
        <f t="shared" si="39"/>
        <v>36693249</v>
      </c>
      <c r="IG14" s="19">
        <f t="shared" si="39"/>
        <v>6437543</v>
      </c>
      <c r="IH14" s="19">
        <f t="shared" si="39"/>
        <v>313486346</v>
      </c>
      <c r="II14" s="19">
        <f t="shared" si="39"/>
        <v>405174137</v>
      </c>
      <c r="IJ14" s="19">
        <f t="shared" si="39"/>
        <v>342040528</v>
      </c>
      <c r="IK14" s="19">
        <f t="shared" si="39"/>
        <v>191205829</v>
      </c>
      <c r="IL14" s="19">
        <f t="shared" si="39"/>
        <v>1690068731</v>
      </c>
      <c r="IM14" s="19">
        <f>SUM(IM15:IM17)+IM22</f>
        <v>1150318697</v>
      </c>
      <c r="IN14" s="19">
        <f t="shared" si="39"/>
        <v>2243658464</v>
      </c>
      <c r="IO14" s="19">
        <f t="shared" si="39"/>
        <v>112608202</v>
      </c>
      <c r="IP14" s="19">
        <f t="shared" si="39"/>
        <v>131786302</v>
      </c>
      <c r="IQ14" s="19">
        <f t="shared" si="39"/>
        <v>126415912</v>
      </c>
      <c r="IR14" s="19">
        <f t="shared" si="39"/>
        <v>171286654</v>
      </c>
      <c r="IS14" s="19">
        <f t="shared" si="39"/>
        <v>10530407781</v>
      </c>
      <c r="IT14" s="19">
        <f t="shared" si="39"/>
        <v>1109781022</v>
      </c>
      <c r="IU14" s="19">
        <f t="shared" si="39"/>
        <v>289033423</v>
      </c>
      <c r="IV14" s="19">
        <f t="shared" si="39"/>
        <v>275973955</v>
      </c>
      <c r="IW14" s="19">
        <f t="shared" si="39"/>
        <v>101218748</v>
      </c>
      <c r="IX14" s="19">
        <f t="shared" si="39"/>
        <v>976553779</v>
      </c>
      <c r="IY14" s="19">
        <f t="shared" si="39"/>
        <v>3197641539</v>
      </c>
      <c r="IZ14" s="19">
        <f t="shared" si="39"/>
        <v>327977619</v>
      </c>
      <c r="JA14" s="19">
        <f t="shared" si="39"/>
        <v>208729574</v>
      </c>
      <c r="JB14" s="19">
        <f t="shared" si="39"/>
        <v>75499584</v>
      </c>
      <c r="JC14" s="19">
        <f t="shared" si="39"/>
        <v>2225913162</v>
      </c>
      <c r="JD14" s="19">
        <f t="shared" si="39"/>
        <v>47093312</v>
      </c>
      <c r="JE14" s="19">
        <f t="shared" si="39"/>
        <v>24196918</v>
      </c>
      <c r="JF14" s="19">
        <f t="shared" si="39"/>
        <v>785794314</v>
      </c>
      <c r="JG14" s="19">
        <f t="shared" si="39"/>
        <v>11402090</v>
      </c>
      <c r="JH14" s="19">
        <f t="shared" si="39"/>
        <v>69557082</v>
      </c>
      <c r="JI14" s="19">
        <f t="shared" si="39"/>
        <v>61490891</v>
      </c>
      <c r="JJ14" s="19">
        <f t="shared" si="39"/>
        <v>239965356</v>
      </c>
      <c r="JK14" s="19">
        <f t="shared" si="39"/>
        <v>226049002</v>
      </c>
      <c r="JL14" s="19">
        <f t="shared" si="39"/>
        <v>2588745477</v>
      </c>
      <c r="JM14" s="19">
        <f t="shared" si="39"/>
        <v>619344660</v>
      </c>
      <c r="JN14" s="19">
        <f t="shared" si="39"/>
        <v>2330523711</v>
      </c>
      <c r="JO14" s="19">
        <f t="shared" si="39"/>
        <v>45833810</v>
      </c>
      <c r="JP14" s="19">
        <f t="shared" si="39"/>
        <v>30895234</v>
      </c>
      <c r="JQ14" s="19" t="s">
        <v>175</v>
      </c>
      <c r="JR14" s="19">
        <f t="shared" si="39"/>
        <v>196931650</v>
      </c>
      <c r="JS14" s="19">
        <f t="shared" si="39"/>
        <v>45915576</v>
      </c>
      <c r="JT14" s="19">
        <f t="shared" si="39"/>
        <v>8717011</v>
      </c>
      <c r="JU14" s="19">
        <f t="shared" si="39"/>
        <v>224853284</v>
      </c>
      <c r="JV14" s="19">
        <f t="shared" si="39"/>
        <v>90365965</v>
      </c>
      <c r="JW14" s="19">
        <f t="shared" si="39"/>
        <v>69000000</v>
      </c>
      <c r="JX14" s="19">
        <f t="shared" si="39"/>
        <v>233288246</v>
      </c>
      <c r="JY14" s="19">
        <f t="shared" si="39"/>
        <v>370186437</v>
      </c>
      <c r="JZ14" s="19">
        <f t="shared" si="39"/>
        <v>44682645</v>
      </c>
      <c r="KA14" s="19">
        <f t="shared" si="39"/>
        <v>12975000</v>
      </c>
      <c r="KB14" s="19">
        <f t="shared" si="39"/>
        <v>5806502926</v>
      </c>
      <c r="KC14" s="19">
        <f t="shared" si="39"/>
        <v>30124215</v>
      </c>
      <c r="KD14" s="19">
        <f t="shared" si="39"/>
        <v>69017621</v>
      </c>
      <c r="KE14" s="19">
        <f t="shared" si="39"/>
        <v>87163254</v>
      </c>
      <c r="KF14" s="19">
        <f t="shared" si="39"/>
        <v>405463592</v>
      </c>
      <c r="KG14" s="19">
        <f t="shared" si="39"/>
        <v>85963166</v>
      </c>
      <c r="KH14" s="19">
        <f t="shared" si="39"/>
        <v>802336382</v>
      </c>
      <c r="KI14" s="19">
        <f t="shared" ref="KI14:KM14" si="40">SUM(KI15:KI17)+KI22</f>
        <v>2940983</v>
      </c>
      <c r="KJ14" s="19">
        <f t="shared" si="40"/>
        <v>1296758506</v>
      </c>
      <c r="KK14" s="19">
        <f t="shared" si="40"/>
        <v>6650989460</v>
      </c>
      <c r="KL14" s="19">
        <f t="shared" si="40"/>
        <v>11778093080</v>
      </c>
      <c r="KM14" s="19">
        <f t="shared" si="40"/>
        <v>137062780</v>
      </c>
      <c r="KN14" s="19">
        <f t="shared" ref="KN14:KY14" si="41">SUM(KN15:KN17)+KN22</f>
        <v>296392490</v>
      </c>
      <c r="KO14" s="19">
        <f t="shared" si="41"/>
        <v>4289204887</v>
      </c>
      <c r="KP14" s="19">
        <f t="shared" si="41"/>
        <v>51020967</v>
      </c>
      <c r="KQ14" s="19">
        <f t="shared" si="41"/>
        <v>45000000</v>
      </c>
      <c r="KR14" s="19">
        <f t="shared" si="41"/>
        <v>158263464</v>
      </c>
      <c r="KS14" s="19">
        <f t="shared" si="41"/>
        <v>1045649574</v>
      </c>
      <c r="KT14" s="19">
        <f t="shared" si="41"/>
        <v>929590932</v>
      </c>
      <c r="KU14" s="19">
        <f t="shared" si="41"/>
        <v>2839369195</v>
      </c>
      <c r="KV14" s="19">
        <f t="shared" si="41"/>
        <v>23733044</v>
      </c>
      <c r="KW14" s="19">
        <f t="shared" si="41"/>
        <v>210792582</v>
      </c>
      <c r="KX14" s="19">
        <f t="shared" si="41"/>
        <v>67567729</v>
      </c>
      <c r="KY14" s="19">
        <f t="shared" si="41"/>
        <v>673151611</v>
      </c>
      <c r="KZ14" s="58">
        <f>KZ15+KZ16+KZ17+KZ22</f>
        <v>537926707</v>
      </c>
      <c r="LA14" s="76">
        <v>22700000</v>
      </c>
      <c r="LB14" s="76">
        <v>40524938</v>
      </c>
    </row>
    <row r="15" spans="1:314">
      <c r="A15" s="7" t="s">
        <v>100</v>
      </c>
      <c r="B15" s="11" t="s">
        <v>8</v>
      </c>
      <c r="C15" s="19"/>
      <c r="D15" s="19">
        <v>5000000</v>
      </c>
      <c r="E15" s="19">
        <v>31505000</v>
      </c>
      <c r="F15" s="19">
        <v>84235436</v>
      </c>
      <c r="G15" s="19" t="s">
        <v>130</v>
      </c>
      <c r="H15" s="19">
        <v>61000000</v>
      </c>
      <c r="I15" s="19">
        <v>131000000</v>
      </c>
      <c r="J15" s="19" t="s">
        <v>176</v>
      </c>
      <c r="K15" s="19"/>
      <c r="L15" s="19" t="s">
        <v>96</v>
      </c>
      <c r="M15" s="19" t="s">
        <v>96</v>
      </c>
      <c r="N15" s="19"/>
      <c r="O15" s="19">
        <v>191299525</v>
      </c>
      <c r="P15" s="19">
        <v>18860000</v>
      </c>
      <c r="Q15" s="19"/>
      <c r="R15" s="19">
        <v>24800000</v>
      </c>
      <c r="S15" s="19">
        <v>354675319</v>
      </c>
      <c r="T15" s="19" t="s">
        <v>96</v>
      </c>
      <c r="U15" s="19" t="s">
        <v>96</v>
      </c>
      <c r="V15" s="19" t="s">
        <v>172</v>
      </c>
      <c r="W15" s="19">
        <v>540327844</v>
      </c>
      <c r="X15" s="19">
        <v>279657746</v>
      </c>
      <c r="Y15" s="19">
        <v>20000000</v>
      </c>
      <c r="Z15" s="19">
        <v>453566255</v>
      </c>
      <c r="AA15" s="19">
        <v>345000840</v>
      </c>
      <c r="AB15" s="19"/>
      <c r="AC15" s="19">
        <v>18000000</v>
      </c>
      <c r="AD15" s="19">
        <v>440817820</v>
      </c>
      <c r="AE15" s="19"/>
      <c r="AF15" s="56" t="s">
        <v>172</v>
      </c>
      <c r="AG15" s="19">
        <v>70935791</v>
      </c>
      <c r="AH15" s="19" t="s">
        <v>167</v>
      </c>
      <c r="AI15" s="19">
        <v>20000000</v>
      </c>
      <c r="AJ15" s="19">
        <v>4182310</v>
      </c>
      <c r="AK15" s="19">
        <v>31120128</v>
      </c>
      <c r="AL15" s="19">
        <v>175722759</v>
      </c>
      <c r="AM15" s="19" t="s">
        <v>4</v>
      </c>
      <c r="AN15" s="19">
        <v>65922067</v>
      </c>
      <c r="AO15" s="19"/>
      <c r="AP15" s="19"/>
      <c r="AQ15" s="19" t="s">
        <v>172</v>
      </c>
      <c r="AR15" s="19"/>
      <c r="AS15" s="19"/>
      <c r="AT15" s="19" t="s">
        <v>172</v>
      </c>
      <c r="AU15" s="19">
        <v>99000000</v>
      </c>
      <c r="AV15" s="19">
        <v>200000</v>
      </c>
      <c r="AW15" s="19"/>
      <c r="AX15" s="19" t="s">
        <v>4</v>
      </c>
      <c r="AY15" s="19">
        <v>70000000</v>
      </c>
      <c r="AZ15" s="19">
        <v>39548477</v>
      </c>
      <c r="BA15" s="19" t="s">
        <v>167</v>
      </c>
      <c r="BB15" s="19"/>
      <c r="BC15" s="19" t="s">
        <v>4</v>
      </c>
      <c r="BD15" s="19" t="s">
        <v>172</v>
      </c>
      <c r="BE15" s="19"/>
      <c r="BF15" s="19" t="s">
        <v>96</v>
      </c>
      <c r="BG15" s="19"/>
      <c r="BH15" s="19">
        <v>5600000</v>
      </c>
      <c r="BI15" s="19"/>
      <c r="BJ15" s="19">
        <v>4472044</v>
      </c>
      <c r="BK15" s="19">
        <v>156252180</v>
      </c>
      <c r="BL15" s="19">
        <v>39465184</v>
      </c>
      <c r="BM15" s="19">
        <v>68277046</v>
      </c>
      <c r="BN15" s="19">
        <v>28114801</v>
      </c>
      <c r="BO15" s="19" t="s">
        <v>96</v>
      </c>
      <c r="BP15" s="19" t="s">
        <v>96</v>
      </c>
      <c r="BQ15" s="19" t="s">
        <v>175</v>
      </c>
      <c r="BR15" s="19">
        <v>10200000</v>
      </c>
      <c r="BS15" s="19" t="s">
        <v>172</v>
      </c>
      <c r="BT15" s="19"/>
      <c r="BU15" s="19"/>
      <c r="BV15" s="19"/>
      <c r="BW15" s="19"/>
      <c r="BX15" s="19"/>
      <c r="BY15" s="19">
        <v>71000000</v>
      </c>
      <c r="BZ15" s="19">
        <v>1950000000</v>
      </c>
      <c r="CA15" s="19">
        <v>30500000</v>
      </c>
      <c r="CB15" s="19">
        <v>16200000</v>
      </c>
      <c r="CC15" s="19">
        <v>3050000</v>
      </c>
      <c r="CD15" s="19">
        <v>300000</v>
      </c>
      <c r="CE15" s="19" t="s">
        <v>172</v>
      </c>
      <c r="CF15" s="19">
        <v>5000000</v>
      </c>
      <c r="CG15" s="19">
        <v>75502632</v>
      </c>
      <c r="CH15" s="19"/>
      <c r="CI15" s="19" t="s">
        <v>172</v>
      </c>
      <c r="CJ15" s="19">
        <v>2069705</v>
      </c>
      <c r="CK15" s="19">
        <v>12762849</v>
      </c>
      <c r="CL15" s="19">
        <v>31921171</v>
      </c>
      <c r="CM15" s="19">
        <v>442737416</v>
      </c>
      <c r="CN15" s="19">
        <v>75574</v>
      </c>
      <c r="CO15" s="19"/>
      <c r="CP15" s="19">
        <v>72160402</v>
      </c>
      <c r="CQ15" s="19" t="s">
        <v>96</v>
      </c>
      <c r="CR15" s="19"/>
      <c r="CS15" s="56" t="s">
        <v>172</v>
      </c>
      <c r="CT15" s="19"/>
      <c r="CU15" s="19">
        <v>306373581</v>
      </c>
      <c r="CV15" s="19"/>
      <c r="CW15" s="19"/>
      <c r="CX15" s="19">
        <v>510500000</v>
      </c>
      <c r="CY15" s="19" t="s">
        <v>96</v>
      </c>
      <c r="CZ15" s="19"/>
      <c r="DA15" s="19" t="s">
        <v>175</v>
      </c>
      <c r="DB15" s="19"/>
      <c r="DC15" s="19"/>
      <c r="DD15" s="19"/>
      <c r="DE15" s="19">
        <v>3200000</v>
      </c>
      <c r="DF15" s="19">
        <v>9000000</v>
      </c>
      <c r="DG15" s="19"/>
      <c r="DH15" s="19"/>
      <c r="DI15" s="19">
        <v>4000000</v>
      </c>
      <c r="DJ15" s="19">
        <v>3000000</v>
      </c>
      <c r="DK15" s="19">
        <v>240866820</v>
      </c>
      <c r="DL15" s="19">
        <v>4600000</v>
      </c>
      <c r="DM15" s="19"/>
      <c r="DN15" s="19">
        <v>6000000</v>
      </c>
      <c r="DO15" s="19">
        <v>7200000</v>
      </c>
      <c r="DP15" s="19"/>
      <c r="DQ15" s="19"/>
      <c r="DR15" s="19">
        <v>1224900</v>
      </c>
      <c r="DS15" s="19"/>
      <c r="DT15" s="19"/>
      <c r="DU15" s="19"/>
      <c r="DV15" s="19">
        <v>484844310</v>
      </c>
      <c r="DW15" s="19">
        <v>79569400</v>
      </c>
      <c r="DX15" s="19">
        <v>588795450</v>
      </c>
      <c r="DY15" s="19"/>
      <c r="DZ15" s="19">
        <v>52717784</v>
      </c>
      <c r="EA15" s="19">
        <v>3904560</v>
      </c>
      <c r="EB15" s="19">
        <v>3000000</v>
      </c>
      <c r="EC15" s="19"/>
      <c r="ED15" s="19"/>
      <c r="EE15" s="19">
        <v>6000000</v>
      </c>
      <c r="EF15" s="19"/>
      <c r="EG15" s="19">
        <v>193882000</v>
      </c>
      <c r="EH15" s="19">
        <v>40000000</v>
      </c>
      <c r="EI15" s="19">
        <v>20000000</v>
      </c>
      <c r="EJ15" s="19"/>
      <c r="EK15" s="19"/>
      <c r="EL15" s="19"/>
      <c r="EM15" s="19">
        <v>3000000</v>
      </c>
      <c r="EN15" s="19">
        <v>21451618</v>
      </c>
      <c r="EO15" s="19">
        <v>45347360</v>
      </c>
      <c r="EP15" s="19"/>
      <c r="EQ15" s="19"/>
      <c r="ER15" s="19">
        <v>41184000</v>
      </c>
      <c r="ES15" s="19"/>
      <c r="ET15" s="19"/>
      <c r="EU15" s="19">
        <v>110780000</v>
      </c>
      <c r="EV15" s="19"/>
      <c r="EW15" s="19">
        <v>8700000</v>
      </c>
      <c r="EX15" s="19">
        <v>7500000</v>
      </c>
      <c r="EY15" s="19">
        <v>22251202</v>
      </c>
      <c r="EZ15" s="19"/>
      <c r="FA15" s="19">
        <v>12000000</v>
      </c>
      <c r="FB15" s="19"/>
      <c r="FC15" s="19">
        <v>48522040</v>
      </c>
      <c r="FD15" s="19">
        <v>697656</v>
      </c>
      <c r="FE15" s="19">
        <v>1824265283</v>
      </c>
      <c r="FF15" s="19">
        <v>5500000</v>
      </c>
      <c r="FG15" s="19" t="s">
        <v>172</v>
      </c>
      <c r="FH15" s="19">
        <v>1600000</v>
      </c>
      <c r="FI15" s="19" t="s">
        <v>172</v>
      </c>
      <c r="FJ15" s="19"/>
      <c r="FK15" s="19"/>
      <c r="FL15" s="19">
        <v>1224894</v>
      </c>
      <c r="FM15" s="19"/>
      <c r="FN15" s="19">
        <v>34038000</v>
      </c>
      <c r="FO15" s="56" t="s">
        <v>172</v>
      </c>
      <c r="FP15" s="19"/>
      <c r="FQ15" s="19"/>
      <c r="FR15" s="19"/>
      <c r="FS15" s="19"/>
      <c r="FT15" s="19"/>
      <c r="FU15" s="19"/>
      <c r="FV15" s="19" t="s">
        <v>172</v>
      </c>
      <c r="FW15" s="19"/>
      <c r="FX15" s="19"/>
      <c r="FY15" s="19" t="s">
        <v>172</v>
      </c>
      <c r="FZ15" s="19" t="s">
        <v>175</v>
      </c>
      <c r="GA15" s="19">
        <v>50042616</v>
      </c>
      <c r="GB15" s="19"/>
      <c r="GC15" s="19">
        <v>1000000</v>
      </c>
      <c r="GD15" s="19" t="s">
        <v>172</v>
      </c>
      <c r="GE15" s="19" t="s">
        <v>172</v>
      </c>
      <c r="GF15" s="19">
        <v>0</v>
      </c>
      <c r="GG15" s="19"/>
      <c r="GH15" s="19" t="s">
        <v>172</v>
      </c>
      <c r="GI15" s="19"/>
      <c r="GJ15" s="19" t="s">
        <v>172</v>
      </c>
      <c r="GK15" s="19"/>
      <c r="GL15" s="19" t="s">
        <v>172</v>
      </c>
      <c r="GM15" s="19">
        <v>7800000</v>
      </c>
      <c r="GN15" s="19"/>
      <c r="GO15" s="19" t="s">
        <v>172</v>
      </c>
      <c r="GP15" s="19">
        <v>664360616</v>
      </c>
      <c r="GQ15" s="19"/>
      <c r="GR15" s="19">
        <v>133922648</v>
      </c>
      <c r="GS15" s="19">
        <v>180000000</v>
      </c>
      <c r="GT15" s="19">
        <v>9800000</v>
      </c>
      <c r="GU15" s="19"/>
      <c r="GV15" s="19">
        <v>1500000</v>
      </c>
      <c r="GW15" s="19">
        <v>16500000</v>
      </c>
      <c r="GX15" s="19"/>
      <c r="GY15" s="19">
        <v>980000</v>
      </c>
      <c r="GZ15" s="19"/>
      <c r="HA15" s="19" t="s">
        <v>172</v>
      </c>
      <c r="HB15" s="19"/>
      <c r="HC15" s="19"/>
      <c r="HD15" s="19"/>
      <c r="HE15" s="19" t="s">
        <v>172</v>
      </c>
      <c r="HF15" s="19">
        <v>66600000</v>
      </c>
      <c r="HG15" s="19"/>
      <c r="HH15" s="19" t="s">
        <v>172</v>
      </c>
      <c r="HI15" s="19">
        <v>1305374220</v>
      </c>
      <c r="HJ15" s="19" t="s">
        <v>172</v>
      </c>
      <c r="HK15" s="19"/>
      <c r="HL15" s="19"/>
      <c r="HM15" s="19"/>
      <c r="HN15" s="19">
        <v>307769510</v>
      </c>
      <c r="HO15" s="19">
        <v>52087430</v>
      </c>
      <c r="HP15" s="19">
        <v>1900000</v>
      </c>
      <c r="HQ15" s="19"/>
      <c r="HR15" s="19"/>
      <c r="HS15" s="19"/>
      <c r="HT15" s="19"/>
      <c r="HU15" s="19"/>
      <c r="HV15" s="19"/>
      <c r="HW15" s="19" t="s">
        <v>172</v>
      </c>
      <c r="HX15" s="19">
        <v>167459277</v>
      </c>
      <c r="HY15" s="19" t="s">
        <v>172</v>
      </c>
      <c r="HZ15" s="19">
        <v>298495965</v>
      </c>
      <c r="IA15" s="19"/>
      <c r="IB15" s="19">
        <v>99253874</v>
      </c>
      <c r="IC15" s="19"/>
      <c r="ID15" s="19"/>
      <c r="IE15" s="19" t="s">
        <v>172</v>
      </c>
      <c r="IF15" s="19"/>
      <c r="IG15" s="19">
        <v>4200000</v>
      </c>
      <c r="IH15" s="19">
        <v>5000000</v>
      </c>
      <c r="II15" s="19"/>
      <c r="IJ15" s="19">
        <v>22799818</v>
      </c>
      <c r="IK15" s="19"/>
      <c r="IL15" s="19"/>
      <c r="IM15" s="19">
        <v>990000000</v>
      </c>
      <c r="IN15" s="19"/>
      <c r="IO15" s="19">
        <v>30413008</v>
      </c>
      <c r="IP15" s="19">
        <v>33600000</v>
      </c>
      <c r="IQ15" s="19"/>
      <c r="IR15" s="19">
        <v>50294844</v>
      </c>
      <c r="IS15" s="19">
        <v>53305275</v>
      </c>
      <c r="IT15" s="19">
        <v>6730807</v>
      </c>
      <c r="IU15" s="19">
        <v>251535795</v>
      </c>
      <c r="IV15" s="19"/>
      <c r="IW15" s="19"/>
      <c r="IX15" s="19">
        <v>16850000</v>
      </c>
      <c r="IY15" s="19"/>
      <c r="IZ15" s="19">
        <v>52972137</v>
      </c>
      <c r="JA15" s="19"/>
      <c r="JB15" s="19"/>
      <c r="JC15" s="19"/>
      <c r="JD15" s="19"/>
      <c r="JE15" s="19"/>
      <c r="JF15" s="19"/>
      <c r="JG15" s="19"/>
      <c r="JH15" s="19">
        <v>2100000</v>
      </c>
      <c r="JI15" s="19"/>
      <c r="JJ15" s="19"/>
      <c r="JK15" s="19">
        <v>2652709</v>
      </c>
      <c r="JL15" s="19">
        <v>26650000</v>
      </c>
      <c r="JM15" s="19"/>
      <c r="JN15" s="19"/>
      <c r="JO15" s="19"/>
      <c r="JP15" s="19"/>
      <c r="JQ15" s="19" t="s">
        <v>175</v>
      </c>
      <c r="JR15" s="19"/>
      <c r="JS15" s="19"/>
      <c r="JT15" s="19"/>
      <c r="JU15" s="19"/>
      <c r="JV15" s="19">
        <v>2300000</v>
      </c>
      <c r="JW15" s="19"/>
      <c r="JX15" s="19"/>
      <c r="JY15" s="19">
        <v>49500000</v>
      </c>
      <c r="JZ15" s="19"/>
      <c r="KA15" s="19"/>
      <c r="KB15" s="19">
        <v>45108450</v>
      </c>
      <c r="KC15" s="19"/>
      <c r="KD15" s="19">
        <v>19539254</v>
      </c>
      <c r="KE15" s="19"/>
      <c r="KF15" s="19"/>
      <c r="KG15" s="19">
        <v>14000000</v>
      </c>
      <c r="KH15" s="19"/>
      <c r="KI15" s="19">
        <v>560983</v>
      </c>
      <c r="KJ15" s="19">
        <v>1000000</v>
      </c>
      <c r="KK15" s="19">
        <v>0</v>
      </c>
      <c r="KL15" s="19"/>
      <c r="KM15" s="19">
        <v>5570600</v>
      </c>
      <c r="KN15" s="19">
        <v>0</v>
      </c>
      <c r="KO15" s="19">
        <v>0</v>
      </c>
      <c r="KP15" s="19">
        <v>600000</v>
      </c>
      <c r="KQ15" s="19">
        <v>0</v>
      </c>
      <c r="KR15" s="19">
        <v>100000</v>
      </c>
      <c r="KS15" s="19">
        <v>0</v>
      </c>
      <c r="KT15" s="19"/>
      <c r="KU15" s="19">
        <v>0</v>
      </c>
      <c r="KV15" s="19">
        <v>0</v>
      </c>
      <c r="KW15" s="19">
        <v>0</v>
      </c>
      <c r="KX15" s="19">
        <v>0</v>
      </c>
      <c r="KY15" s="19">
        <v>0</v>
      </c>
      <c r="KZ15" s="58">
        <v>0</v>
      </c>
      <c r="LA15" s="76">
        <v>0</v>
      </c>
      <c r="LB15" s="76"/>
    </row>
    <row r="16" spans="1:314">
      <c r="A16" s="7" t="s">
        <v>100</v>
      </c>
      <c r="B16" s="11" t="s">
        <v>151</v>
      </c>
      <c r="C16" s="19">
        <v>979398</v>
      </c>
      <c r="D16" s="19">
        <v>959009204</v>
      </c>
      <c r="E16" s="19">
        <v>371321724</v>
      </c>
      <c r="F16" s="19">
        <v>1143568665</v>
      </c>
      <c r="G16" s="19" t="s">
        <v>130</v>
      </c>
      <c r="H16" s="19">
        <v>3101447525</v>
      </c>
      <c r="I16" s="19">
        <v>972357133</v>
      </c>
      <c r="J16" s="19" t="s">
        <v>176</v>
      </c>
      <c r="K16" s="19">
        <v>278559575</v>
      </c>
      <c r="L16" s="19" t="s">
        <v>96</v>
      </c>
      <c r="M16" s="19" t="s">
        <v>96</v>
      </c>
      <c r="N16" s="19">
        <v>869515</v>
      </c>
      <c r="O16" s="19">
        <v>4748957922</v>
      </c>
      <c r="P16" s="19">
        <v>5412254341</v>
      </c>
      <c r="Q16" s="19">
        <v>2052409</v>
      </c>
      <c r="R16" s="19">
        <v>126143900</v>
      </c>
      <c r="S16" s="19">
        <v>11966623071</v>
      </c>
      <c r="T16" s="19" t="s">
        <v>96</v>
      </c>
      <c r="U16" s="19" t="s">
        <v>96</v>
      </c>
      <c r="V16" s="19" t="s">
        <v>172</v>
      </c>
      <c r="W16" s="19">
        <v>108419081</v>
      </c>
      <c r="X16" s="19">
        <v>4576408148</v>
      </c>
      <c r="Y16" s="19">
        <v>57926458</v>
      </c>
      <c r="Z16" s="19">
        <v>4959016233</v>
      </c>
      <c r="AA16" s="19">
        <v>1498322817</v>
      </c>
      <c r="AB16" s="19">
        <v>4923295</v>
      </c>
      <c r="AC16" s="19">
        <v>1168055083</v>
      </c>
      <c r="AD16" s="19">
        <v>2346563525</v>
      </c>
      <c r="AE16" s="19">
        <v>4699127687</v>
      </c>
      <c r="AF16" s="56" t="s">
        <v>172</v>
      </c>
      <c r="AG16" s="19">
        <v>73247850</v>
      </c>
      <c r="AH16" s="19" t="s">
        <v>167</v>
      </c>
      <c r="AI16" s="19">
        <v>128468533</v>
      </c>
      <c r="AJ16" s="19">
        <v>3229825</v>
      </c>
      <c r="AK16" s="19">
        <v>197770741</v>
      </c>
      <c r="AL16" s="19">
        <v>103813200</v>
      </c>
      <c r="AM16" s="19" t="s">
        <v>4</v>
      </c>
      <c r="AN16" s="19">
        <v>1704657428</v>
      </c>
      <c r="AO16" s="19">
        <v>25956085</v>
      </c>
      <c r="AP16" s="19">
        <v>3284822</v>
      </c>
      <c r="AQ16" s="19" t="s">
        <v>172</v>
      </c>
      <c r="AR16" s="19">
        <v>270235585</v>
      </c>
      <c r="AS16" s="19">
        <v>72611734</v>
      </c>
      <c r="AT16" s="19" t="s">
        <v>172</v>
      </c>
      <c r="AU16" s="19">
        <v>13772242692</v>
      </c>
      <c r="AV16" s="19">
        <v>20270510</v>
      </c>
      <c r="AW16" s="19">
        <v>572233332</v>
      </c>
      <c r="AX16" s="19" t="s">
        <v>4</v>
      </c>
      <c r="AY16" s="19">
        <v>134212996</v>
      </c>
      <c r="AZ16" s="19">
        <v>217885356</v>
      </c>
      <c r="BA16" s="19" t="s">
        <v>167</v>
      </c>
      <c r="BB16" s="19">
        <v>1485509</v>
      </c>
      <c r="BC16" s="19" t="s">
        <v>4</v>
      </c>
      <c r="BD16" s="19" t="s">
        <v>172</v>
      </c>
      <c r="BE16" s="19">
        <v>185886793</v>
      </c>
      <c r="BF16" s="19" t="s">
        <v>96</v>
      </c>
      <c r="BG16" s="19">
        <v>89905003</v>
      </c>
      <c r="BH16" s="19">
        <v>710100833</v>
      </c>
      <c r="BI16" s="19">
        <v>12775739</v>
      </c>
      <c r="BJ16" s="19">
        <v>32408961</v>
      </c>
      <c r="BK16" s="19">
        <v>293269927</v>
      </c>
      <c r="BL16" s="19">
        <v>19562012</v>
      </c>
      <c r="BM16" s="19">
        <v>747491621</v>
      </c>
      <c r="BN16" s="19">
        <v>31766363</v>
      </c>
      <c r="BO16" s="19" t="s">
        <v>96</v>
      </c>
      <c r="BP16" s="19" t="s">
        <v>96</v>
      </c>
      <c r="BQ16" s="19" t="s">
        <v>175</v>
      </c>
      <c r="BR16" s="19">
        <v>4236419061</v>
      </c>
      <c r="BS16" s="19" t="s">
        <v>172</v>
      </c>
      <c r="BT16" s="19">
        <v>1091535</v>
      </c>
      <c r="BU16" s="19">
        <v>64527447</v>
      </c>
      <c r="BV16" s="19">
        <v>24616000</v>
      </c>
      <c r="BW16" s="19">
        <v>1343302</v>
      </c>
      <c r="BX16" s="19">
        <v>17658478</v>
      </c>
      <c r="BY16" s="19">
        <v>612773</v>
      </c>
      <c r="BZ16" s="19">
        <v>14099961</v>
      </c>
      <c r="CA16" s="19">
        <v>522433724</v>
      </c>
      <c r="CB16" s="19">
        <v>1445775651</v>
      </c>
      <c r="CC16" s="19"/>
      <c r="CD16" s="19">
        <v>257791</v>
      </c>
      <c r="CE16" s="19" t="s">
        <v>172</v>
      </c>
      <c r="CF16" s="19">
        <v>7000</v>
      </c>
      <c r="CG16" s="19">
        <v>13101392</v>
      </c>
      <c r="CH16" s="19">
        <v>42749448</v>
      </c>
      <c r="CI16" s="19" t="s">
        <v>172</v>
      </c>
      <c r="CJ16" s="19">
        <v>3211441</v>
      </c>
      <c r="CK16" s="19">
        <v>7428440920</v>
      </c>
      <c r="CL16" s="19">
        <v>570915983</v>
      </c>
      <c r="CM16" s="19">
        <v>211679835</v>
      </c>
      <c r="CN16" s="19">
        <v>877385</v>
      </c>
      <c r="CO16" s="19">
        <v>18001824</v>
      </c>
      <c r="CP16" s="19">
        <v>47007767</v>
      </c>
      <c r="CQ16" s="19" t="s">
        <v>96</v>
      </c>
      <c r="CR16" s="19">
        <v>4694492</v>
      </c>
      <c r="CS16" s="56" t="s">
        <v>172</v>
      </c>
      <c r="CT16" s="19">
        <v>714738686</v>
      </c>
      <c r="CU16" s="19">
        <v>62485025</v>
      </c>
      <c r="CV16" s="19"/>
      <c r="CW16" s="19">
        <v>3414174716</v>
      </c>
      <c r="CX16" s="19">
        <v>90060864</v>
      </c>
      <c r="CY16" s="19" t="s">
        <v>96</v>
      </c>
      <c r="CZ16" s="19">
        <v>5175167798</v>
      </c>
      <c r="DA16" s="19" t="s">
        <v>175</v>
      </c>
      <c r="DB16" s="19">
        <v>20846783</v>
      </c>
      <c r="DC16" s="19">
        <v>5023435</v>
      </c>
      <c r="DD16" s="19">
        <v>27982691</v>
      </c>
      <c r="DE16" s="19">
        <v>833078187</v>
      </c>
      <c r="DF16" s="19">
        <v>253431</v>
      </c>
      <c r="DG16" s="19">
        <v>663868684</v>
      </c>
      <c r="DH16" s="19">
        <v>22218879</v>
      </c>
      <c r="DI16" s="19">
        <v>5294024254</v>
      </c>
      <c r="DJ16" s="19">
        <v>1000</v>
      </c>
      <c r="DK16" s="19">
        <v>5328224022</v>
      </c>
      <c r="DL16" s="19">
        <v>7934288</v>
      </c>
      <c r="DM16" s="19">
        <v>25501798</v>
      </c>
      <c r="DN16" s="19">
        <v>286684716</v>
      </c>
      <c r="DO16" s="19">
        <v>48037589</v>
      </c>
      <c r="DP16" s="19">
        <v>2104850034</v>
      </c>
      <c r="DQ16" s="19">
        <v>16000</v>
      </c>
      <c r="DR16" s="19">
        <v>5108762709</v>
      </c>
      <c r="DS16" s="19">
        <v>89352013</v>
      </c>
      <c r="DT16" s="19">
        <v>3111184490</v>
      </c>
      <c r="DU16" s="19">
        <v>797645</v>
      </c>
      <c r="DV16" s="19">
        <v>1162469107</v>
      </c>
      <c r="DW16" s="19">
        <v>610635017</v>
      </c>
      <c r="DX16" s="19">
        <v>205914259</v>
      </c>
      <c r="DY16" s="19">
        <v>585855543</v>
      </c>
      <c r="DZ16" s="19">
        <v>8553381</v>
      </c>
      <c r="EA16" s="19">
        <v>25259014</v>
      </c>
      <c r="EB16" s="19">
        <v>3926411942</v>
      </c>
      <c r="EC16" s="19"/>
      <c r="ED16" s="19">
        <v>255621114</v>
      </c>
      <c r="EE16" s="19">
        <v>152529994</v>
      </c>
      <c r="EF16" s="19">
        <v>4432523156</v>
      </c>
      <c r="EG16" s="19">
        <v>738520958</v>
      </c>
      <c r="EH16" s="19">
        <v>3082868754</v>
      </c>
      <c r="EI16" s="19">
        <v>1411851503</v>
      </c>
      <c r="EJ16" s="19">
        <v>4450176</v>
      </c>
      <c r="EK16" s="19">
        <v>1689546</v>
      </c>
      <c r="EL16" s="19">
        <v>281587792</v>
      </c>
      <c r="EM16" s="19">
        <v>7028632</v>
      </c>
      <c r="EN16" s="19">
        <v>4498941688</v>
      </c>
      <c r="EO16" s="19">
        <v>29975173</v>
      </c>
      <c r="EP16" s="19">
        <v>354642749</v>
      </c>
      <c r="EQ16" s="19">
        <v>8030000</v>
      </c>
      <c r="ER16" s="19">
        <v>1058758202</v>
      </c>
      <c r="ES16" s="19">
        <v>8242284</v>
      </c>
      <c r="ET16" s="19">
        <v>1184734784</v>
      </c>
      <c r="EU16" s="19">
        <v>32141435</v>
      </c>
      <c r="EV16" s="19">
        <v>894078</v>
      </c>
      <c r="EW16" s="19">
        <v>780853161</v>
      </c>
      <c r="EX16" s="19">
        <v>2154697263</v>
      </c>
      <c r="EY16" s="19">
        <v>3256389967</v>
      </c>
      <c r="EZ16" s="19">
        <v>188836930</v>
      </c>
      <c r="FA16" s="19">
        <v>2090539771</v>
      </c>
      <c r="FB16" s="19">
        <v>91892826</v>
      </c>
      <c r="FC16" s="19">
        <v>526158957</v>
      </c>
      <c r="FD16" s="19">
        <v>1145865992</v>
      </c>
      <c r="FE16" s="19">
        <v>69693050</v>
      </c>
      <c r="FF16" s="19"/>
      <c r="FG16" s="19" t="s">
        <v>172</v>
      </c>
      <c r="FH16" s="19">
        <v>1496281001</v>
      </c>
      <c r="FI16" s="19" t="s">
        <v>172</v>
      </c>
      <c r="FJ16" s="19">
        <v>26074962</v>
      </c>
      <c r="FK16" s="19">
        <v>180650709</v>
      </c>
      <c r="FL16" s="19">
        <v>54486435</v>
      </c>
      <c r="FM16" s="19"/>
      <c r="FN16" s="19">
        <v>6620458774</v>
      </c>
      <c r="FO16" s="56" t="s">
        <v>172</v>
      </c>
      <c r="FP16" s="19">
        <v>10843459</v>
      </c>
      <c r="FQ16" s="19">
        <v>45693935</v>
      </c>
      <c r="FR16" s="19"/>
      <c r="FS16" s="19">
        <v>20385209</v>
      </c>
      <c r="FT16" s="19">
        <v>10461971059</v>
      </c>
      <c r="FU16" s="19"/>
      <c r="FV16" s="19" t="s">
        <v>172</v>
      </c>
      <c r="FW16" s="19">
        <v>1009601</v>
      </c>
      <c r="FX16" s="19">
        <v>2279165</v>
      </c>
      <c r="FY16" s="19" t="s">
        <v>172</v>
      </c>
      <c r="FZ16" s="19" t="s">
        <v>175</v>
      </c>
      <c r="GA16" s="19">
        <v>320635921</v>
      </c>
      <c r="GB16" s="19">
        <v>11149404</v>
      </c>
      <c r="GC16" s="19">
        <v>21943415</v>
      </c>
      <c r="GD16" s="19" t="s">
        <v>172</v>
      </c>
      <c r="GE16" s="19" t="s">
        <v>172</v>
      </c>
      <c r="GF16" s="19">
        <v>301531550</v>
      </c>
      <c r="GG16" s="19">
        <v>1971443307</v>
      </c>
      <c r="GH16" s="19" t="s">
        <v>172</v>
      </c>
      <c r="GI16" s="19">
        <v>3592560</v>
      </c>
      <c r="GJ16" s="19" t="s">
        <v>172</v>
      </c>
      <c r="GK16" s="19">
        <v>62211016</v>
      </c>
      <c r="GL16" s="19" t="s">
        <v>172</v>
      </c>
      <c r="GM16" s="19">
        <v>52112827</v>
      </c>
      <c r="GN16" s="19">
        <v>232384978</v>
      </c>
      <c r="GO16" s="19" t="s">
        <v>172</v>
      </c>
      <c r="GP16" s="19">
        <v>5489061681</v>
      </c>
      <c r="GQ16" s="19">
        <v>9786674</v>
      </c>
      <c r="GR16" s="19">
        <v>241209208</v>
      </c>
      <c r="GS16" s="19">
        <v>4401707</v>
      </c>
      <c r="GT16" s="19">
        <v>66984295</v>
      </c>
      <c r="GU16" s="19"/>
      <c r="GV16" s="19">
        <v>3686515113</v>
      </c>
      <c r="GW16" s="19">
        <v>30553410081</v>
      </c>
      <c r="GX16" s="19">
        <v>1967924091</v>
      </c>
      <c r="GY16" s="19">
        <v>531775081</v>
      </c>
      <c r="GZ16" s="19">
        <v>4091611305</v>
      </c>
      <c r="HA16" s="19" t="s">
        <v>172</v>
      </c>
      <c r="HB16" s="19"/>
      <c r="HC16" s="19">
        <v>432097347</v>
      </c>
      <c r="HD16" s="19">
        <v>56642162</v>
      </c>
      <c r="HE16" s="19" t="s">
        <v>172</v>
      </c>
      <c r="HF16" s="19">
        <v>1356873935</v>
      </c>
      <c r="HG16" s="19">
        <v>13765675</v>
      </c>
      <c r="HH16" s="19" t="s">
        <v>172</v>
      </c>
      <c r="HI16" s="19">
        <v>162868557</v>
      </c>
      <c r="HJ16" s="19" t="s">
        <v>172</v>
      </c>
      <c r="HK16" s="19">
        <v>401996203</v>
      </c>
      <c r="HL16" s="19">
        <v>18193107</v>
      </c>
      <c r="HM16" s="19">
        <v>590239692</v>
      </c>
      <c r="HN16" s="19">
        <v>2000</v>
      </c>
      <c r="HO16" s="19">
        <v>725122526</v>
      </c>
      <c r="HP16" s="19">
        <v>168871542</v>
      </c>
      <c r="HQ16" s="19">
        <v>3407500</v>
      </c>
      <c r="HR16" s="19">
        <v>60895180</v>
      </c>
      <c r="HS16" s="19">
        <v>73003940</v>
      </c>
      <c r="HT16" s="19">
        <v>12875261</v>
      </c>
      <c r="HU16" s="19">
        <v>11056998</v>
      </c>
      <c r="HV16" s="19">
        <v>49178607</v>
      </c>
      <c r="HW16" s="19" t="s">
        <v>172</v>
      </c>
      <c r="HX16" s="19">
        <v>2697122494</v>
      </c>
      <c r="HY16" s="19" t="s">
        <v>172</v>
      </c>
      <c r="HZ16" s="19">
        <v>7088385427</v>
      </c>
      <c r="IA16" s="19">
        <v>532144028</v>
      </c>
      <c r="IB16" s="19">
        <v>6459038266</v>
      </c>
      <c r="IC16" s="19">
        <v>796397131</v>
      </c>
      <c r="ID16" s="19">
        <v>1306158</v>
      </c>
      <c r="IE16" s="19" t="s">
        <v>172</v>
      </c>
      <c r="IF16" s="19">
        <v>6693249</v>
      </c>
      <c r="IG16" s="19">
        <v>774068</v>
      </c>
      <c r="IH16" s="19">
        <v>51102659</v>
      </c>
      <c r="II16" s="19">
        <v>213232795</v>
      </c>
      <c r="IJ16" s="19">
        <v>318204710</v>
      </c>
      <c r="IK16" s="19">
        <v>184250829</v>
      </c>
      <c r="IL16" s="19">
        <v>1648477300</v>
      </c>
      <c r="IM16" s="19">
        <v>39608269</v>
      </c>
      <c r="IN16" s="19">
        <v>2042528464</v>
      </c>
      <c r="IO16" s="19">
        <v>4196194</v>
      </c>
      <c r="IP16" s="19">
        <v>10378302</v>
      </c>
      <c r="IQ16" s="19">
        <v>116115912</v>
      </c>
      <c r="IR16" s="19">
        <v>90991810</v>
      </c>
      <c r="IS16" s="19">
        <v>10464953176</v>
      </c>
      <c r="IT16" s="19">
        <v>1080931311</v>
      </c>
      <c r="IU16" s="19">
        <v>7497628</v>
      </c>
      <c r="IV16" s="19">
        <v>160973955</v>
      </c>
      <c r="IW16" s="19">
        <v>29752848</v>
      </c>
      <c r="IX16" s="19">
        <v>925075057</v>
      </c>
      <c r="IY16" s="19">
        <v>2725074276</v>
      </c>
      <c r="IZ16" s="19">
        <v>78813997</v>
      </c>
      <c r="JA16" s="19">
        <v>73991619</v>
      </c>
      <c r="JB16" s="19">
        <v>21777917</v>
      </c>
      <c r="JC16" s="19">
        <v>2221035762</v>
      </c>
      <c r="JD16" s="19">
        <v>1647448</v>
      </c>
      <c r="JE16" s="19">
        <v>18757242</v>
      </c>
      <c r="JF16" s="19">
        <v>19192000</v>
      </c>
      <c r="JG16" s="19">
        <v>5622090</v>
      </c>
      <c r="JH16" s="19">
        <v>50537082</v>
      </c>
      <c r="JI16" s="19">
        <v>6490891</v>
      </c>
      <c r="JJ16" s="19">
        <v>219215356</v>
      </c>
      <c r="JK16" s="19">
        <v>182539813</v>
      </c>
      <c r="JL16" s="19">
        <v>2462095477</v>
      </c>
      <c r="JM16" s="19">
        <v>619344660</v>
      </c>
      <c r="JN16" s="19">
        <v>1471998826</v>
      </c>
      <c r="JO16" s="19">
        <v>2313810</v>
      </c>
      <c r="JP16" s="19">
        <v>891234</v>
      </c>
      <c r="JQ16" s="19" t="s">
        <v>175</v>
      </c>
      <c r="JR16" s="19">
        <v>124621650</v>
      </c>
      <c r="JS16" s="19">
        <v>45915576</v>
      </c>
      <c r="JT16" s="19">
        <v>4166511</v>
      </c>
      <c r="JU16" s="19">
        <v>140958616</v>
      </c>
      <c r="JV16" s="19">
        <v>39715965</v>
      </c>
      <c r="JW16" s="19"/>
      <c r="JX16" s="19">
        <v>3288246</v>
      </c>
      <c r="JY16" s="19">
        <v>66626537</v>
      </c>
      <c r="JZ16" s="19">
        <v>25882445</v>
      </c>
      <c r="KA16" s="19">
        <v>7975000</v>
      </c>
      <c r="KB16" s="19">
        <v>5477570588</v>
      </c>
      <c r="KC16" s="19">
        <v>26544215</v>
      </c>
      <c r="KD16" s="19">
        <v>15759087</v>
      </c>
      <c r="KE16" s="19">
        <v>57163254</v>
      </c>
      <c r="KF16" s="19">
        <v>264628530</v>
      </c>
      <c r="KG16" s="19">
        <v>3300040</v>
      </c>
      <c r="KH16" s="19">
        <v>3100916</v>
      </c>
      <c r="KI16" s="19">
        <v>2380000</v>
      </c>
      <c r="KJ16" s="19">
        <v>1247258506</v>
      </c>
      <c r="KK16" s="19">
        <v>6635885883</v>
      </c>
      <c r="KL16" s="19">
        <v>10968821281</v>
      </c>
      <c r="KM16" s="19">
        <v>43997837</v>
      </c>
      <c r="KN16" s="19">
        <v>86132155</v>
      </c>
      <c r="KO16" s="19">
        <v>4140536144</v>
      </c>
      <c r="KP16" s="19">
        <v>420967</v>
      </c>
      <c r="KQ16" s="19">
        <v>0</v>
      </c>
      <c r="KR16" s="19">
        <v>22437100</v>
      </c>
      <c r="KS16" s="19">
        <v>1020314507</v>
      </c>
      <c r="KT16" s="19">
        <v>928240932</v>
      </c>
      <c r="KU16" s="19">
        <v>1963478632</v>
      </c>
      <c r="KV16" s="19">
        <v>17586377</v>
      </c>
      <c r="KW16" s="19">
        <v>93226154</v>
      </c>
      <c r="KX16" s="19">
        <v>49876819</v>
      </c>
      <c r="KY16" s="19">
        <v>538668277</v>
      </c>
      <c r="KZ16" s="58">
        <v>469420507</v>
      </c>
      <c r="LA16" s="76">
        <v>0</v>
      </c>
      <c r="LB16" s="76">
        <v>14121181</v>
      </c>
    </row>
    <row r="17" spans="1:314">
      <c r="A17" s="7" t="s">
        <v>100</v>
      </c>
      <c r="B17" s="11" t="s">
        <v>27</v>
      </c>
      <c r="C17" s="19">
        <f>SUM(C18:C21)</f>
        <v>49103000</v>
      </c>
      <c r="D17" s="19">
        <f>SUM(D18:D21)</f>
        <v>0</v>
      </c>
      <c r="E17" s="19">
        <f>SUM(E18:E21)</f>
        <v>0</v>
      </c>
      <c r="F17" s="19">
        <f>SUM(F18:F21)</f>
        <v>35040240</v>
      </c>
      <c r="G17" s="19" t="s">
        <v>130</v>
      </c>
      <c r="H17" s="19">
        <f>SUM(H18:H21)</f>
        <v>80000</v>
      </c>
      <c r="I17" s="19">
        <f>SUM(I18:I21)</f>
        <v>127380000</v>
      </c>
      <c r="J17" s="19" t="s">
        <v>176</v>
      </c>
      <c r="K17" s="19">
        <f>SUM(K18:K21)</f>
        <v>106800</v>
      </c>
      <c r="L17" s="19" t="s">
        <v>96</v>
      </c>
      <c r="M17" s="19" t="s">
        <v>96</v>
      </c>
      <c r="N17" s="19">
        <f t="shared" ref="N17:S17" si="42">SUM(N18:N21)</f>
        <v>57350550</v>
      </c>
      <c r="O17" s="19">
        <f t="shared" si="42"/>
        <v>13594591</v>
      </c>
      <c r="P17" s="19">
        <f t="shared" si="42"/>
        <v>34382062</v>
      </c>
      <c r="Q17" s="19">
        <f t="shared" si="42"/>
        <v>3000</v>
      </c>
      <c r="R17" s="19">
        <f t="shared" si="42"/>
        <v>2799861</v>
      </c>
      <c r="S17" s="19">
        <f t="shared" si="42"/>
        <v>87577832</v>
      </c>
      <c r="T17" s="19" t="s">
        <v>96</v>
      </c>
      <c r="U17" s="19" t="s">
        <v>96</v>
      </c>
      <c r="V17" s="19" t="s">
        <v>172</v>
      </c>
      <c r="W17" s="19">
        <f t="shared" ref="W17:AE17" si="43">SUM(W18:W21)</f>
        <v>130165407</v>
      </c>
      <c r="X17" s="19">
        <f t="shared" si="43"/>
        <v>0</v>
      </c>
      <c r="Y17" s="19">
        <f t="shared" si="43"/>
        <v>155102799</v>
      </c>
      <c r="Z17" s="19">
        <f t="shared" si="43"/>
        <v>921860222</v>
      </c>
      <c r="AA17" s="19">
        <f t="shared" si="43"/>
        <v>561044</v>
      </c>
      <c r="AB17" s="19">
        <f t="shared" si="43"/>
        <v>1000</v>
      </c>
      <c r="AC17" s="19">
        <f t="shared" si="43"/>
        <v>440240</v>
      </c>
      <c r="AD17" s="19">
        <f t="shared" si="43"/>
        <v>1628400</v>
      </c>
      <c r="AE17" s="19">
        <f t="shared" si="43"/>
        <v>153164126</v>
      </c>
      <c r="AF17" s="56" t="s">
        <v>172</v>
      </c>
      <c r="AG17" s="19">
        <f>SUM(AG18:AG21)</f>
        <v>349551998</v>
      </c>
      <c r="AH17" s="19" t="s">
        <v>167</v>
      </c>
      <c r="AI17" s="19">
        <f>SUM(AI18:AI21)</f>
        <v>211499286</v>
      </c>
      <c r="AJ17" s="19">
        <f>SUM(AJ18:AJ21)</f>
        <v>139320740</v>
      </c>
      <c r="AK17" s="19">
        <f>SUM(AK18:AK21)</f>
        <v>0</v>
      </c>
      <c r="AL17" s="19">
        <f>SUM(AL18:AL21)</f>
        <v>188516000</v>
      </c>
      <c r="AM17" s="19" t="s">
        <v>4</v>
      </c>
      <c r="AN17" s="19">
        <f>SUM(AN18:AN21)</f>
        <v>4881941</v>
      </c>
      <c r="AO17" s="19">
        <f>SUM(AO18:AO21)</f>
        <v>264373646</v>
      </c>
      <c r="AP17" s="19">
        <f>SUM(AP18:AP21)</f>
        <v>0</v>
      </c>
      <c r="AQ17" s="19" t="s">
        <v>172</v>
      </c>
      <c r="AR17" s="19">
        <f>SUM(AR18:AR21)</f>
        <v>23627233</v>
      </c>
      <c r="AS17" s="19">
        <f>SUM(AS18:AS21)</f>
        <v>4000</v>
      </c>
      <c r="AT17" s="19" t="s">
        <v>172</v>
      </c>
      <c r="AU17" s="19">
        <f>SUM(AU18:AU21)</f>
        <v>0</v>
      </c>
      <c r="AV17" s="19">
        <f>SUM(AV18:AV21)</f>
        <v>0</v>
      </c>
      <c r="AW17" s="19">
        <f>SUM(AW18:AW21)</f>
        <v>0</v>
      </c>
      <c r="AX17" s="19" t="s">
        <v>4</v>
      </c>
      <c r="AY17" s="19">
        <f>SUM(AY18:AY21)</f>
        <v>33190756</v>
      </c>
      <c r="AZ17" s="19">
        <f>SUM(AZ18:AZ21)</f>
        <v>5500001</v>
      </c>
      <c r="BA17" s="19" t="s">
        <v>167</v>
      </c>
      <c r="BB17" s="19">
        <f>SUM(BB18:BB21)</f>
        <v>10715156</v>
      </c>
      <c r="BC17" s="19" t="s">
        <v>4</v>
      </c>
      <c r="BD17" s="19" t="s">
        <v>172</v>
      </c>
      <c r="BE17" s="19">
        <f>SUM(BE18:BE21)</f>
        <v>1007279955</v>
      </c>
      <c r="BF17" s="19" t="s">
        <v>96</v>
      </c>
      <c r="BG17" s="19">
        <f t="shared" ref="BG17:BN17" si="44">SUM(BG18:BG21)</f>
        <v>14433433</v>
      </c>
      <c r="BH17" s="19">
        <f t="shared" si="44"/>
        <v>4000</v>
      </c>
      <c r="BI17" s="19">
        <f t="shared" si="44"/>
        <v>460124</v>
      </c>
      <c r="BJ17" s="19">
        <f t="shared" si="44"/>
        <v>8025001</v>
      </c>
      <c r="BK17" s="19">
        <f t="shared" si="44"/>
        <v>85344123</v>
      </c>
      <c r="BL17" s="19">
        <f t="shared" si="44"/>
        <v>2012500</v>
      </c>
      <c r="BM17" s="19">
        <f t="shared" si="44"/>
        <v>5896897</v>
      </c>
      <c r="BN17" s="19">
        <f t="shared" si="44"/>
        <v>70911</v>
      </c>
      <c r="BO17" s="19" t="s">
        <v>96</v>
      </c>
      <c r="BP17" s="19" t="s">
        <v>96</v>
      </c>
      <c r="BQ17" s="19" t="s">
        <v>175</v>
      </c>
      <c r="BR17" s="19">
        <f>SUM(BR18:BR21)</f>
        <v>15492736</v>
      </c>
      <c r="BS17" s="19" t="s">
        <v>172</v>
      </c>
      <c r="BT17" s="19">
        <f t="shared" ref="BT17:CD17" si="45">SUM(BT18:BT21)</f>
        <v>0</v>
      </c>
      <c r="BU17" s="19">
        <f t="shared" si="45"/>
        <v>613735469</v>
      </c>
      <c r="BV17" s="19">
        <f t="shared" si="45"/>
        <v>0</v>
      </c>
      <c r="BW17" s="19">
        <f t="shared" si="45"/>
        <v>0</v>
      </c>
      <c r="BX17" s="19">
        <f t="shared" si="45"/>
        <v>36180000</v>
      </c>
      <c r="BY17" s="19">
        <f t="shared" si="45"/>
        <v>11742383</v>
      </c>
      <c r="BZ17" s="19">
        <f t="shared" si="45"/>
        <v>1039500</v>
      </c>
      <c r="CA17" s="19">
        <f t="shared" si="45"/>
        <v>361577481</v>
      </c>
      <c r="CB17" s="19">
        <f t="shared" si="45"/>
        <v>19000</v>
      </c>
      <c r="CC17" s="19">
        <f t="shared" si="45"/>
        <v>0</v>
      </c>
      <c r="CD17" s="19">
        <f t="shared" si="45"/>
        <v>0</v>
      </c>
      <c r="CE17" s="19" t="s">
        <v>172</v>
      </c>
      <c r="CF17" s="19">
        <f>SUM(CF18:CF21)</f>
        <v>378076909</v>
      </c>
      <c r="CG17" s="19">
        <f>SUM(CG18:CG21)</f>
        <v>0</v>
      </c>
      <c r="CH17" s="19">
        <f>SUM(CH18:CH21)</f>
        <v>3772943</v>
      </c>
      <c r="CI17" s="19" t="s">
        <v>172</v>
      </c>
      <c r="CJ17" s="19">
        <f t="shared" ref="CJ17:CP17" si="46">SUM(CJ18:CJ21)</f>
        <v>38400800</v>
      </c>
      <c r="CK17" s="19">
        <f t="shared" si="46"/>
        <v>3145454</v>
      </c>
      <c r="CL17" s="19">
        <f t="shared" si="46"/>
        <v>30387910</v>
      </c>
      <c r="CM17" s="19">
        <f t="shared" si="46"/>
        <v>0</v>
      </c>
      <c r="CN17" s="19">
        <f t="shared" si="46"/>
        <v>5000</v>
      </c>
      <c r="CO17" s="19">
        <f t="shared" si="46"/>
        <v>6003000</v>
      </c>
      <c r="CP17" s="19">
        <f t="shared" si="46"/>
        <v>134963636</v>
      </c>
      <c r="CQ17" s="19" t="s">
        <v>96</v>
      </c>
      <c r="CR17" s="19">
        <f>SUM(CR18:CR21)</f>
        <v>0</v>
      </c>
      <c r="CS17" s="56" t="s">
        <v>172</v>
      </c>
      <c r="CT17" s="19">
        <f>SUM(CT18:CT21)</f>
        <v>7150080</v>
      </c>
      <c r="CU17" s="19">
        <f>SUM(CU18:CU21)</f>
        <v>0</v>
      </c>
      <c r="CV17" s="19">
        <v>3750000</v>
      </c>
      <c r="CW17" s="19">
        <f>SUM(CW18:CW21)</f>
        <v>0</v>
      </c>
      <c r="CX17" s="19">
        <f>SUM(CX18:CX21)</f>
        <v>11838928</v>
      </c>
      <c r="CY17" s="19" t="s">
        <v>96</v>
      </c>
      <c r="CZ17" s="19">
        <f>SUM(CZ18:CZ21)</f>
        <v>0</v>
      </c>
      <c r="DA17" s="19" t="s">
        <v>175</v>
      </c>
      <c r="DB17" s="19">
        <f t="shared" ref="DB17:DR17" si="47">SUM(DB18:DB21)</f>
        <v>0</v>
      </c>
      <c r="DC17" s="19">
        <f t="shared" si="47"/>
        <v>0</v>
      </c>
      <c r="DD17" s="19">
        <f t="shared" si="47"/>
        <v>0</v>
      </c>
      <c r="DE17" s="19">
        <f t="shared" si="47"/>
        <v>0</v>
      </c>
      <c r="DF17" s="19">
        <f t="shared" si="47"/>
        <v>0</v>
      </c>
      <c r="DG17" s="19">
        <f t="shared" si="47"/>
        <v>146082576</v>
      </c>
      <c r="DH17" s="19">
        <f t="shared" si="47"/>
        <v>263921002</v>
      </c>
      <c r="DI17" s="19">
        <f t="shared" si="47"/>
        <v>102515876</v>
      </c>
      <c r="DJ17" s="19">
        <f t="shared" si="47"/>
        <v>25292200</v>
      </c>
      <c r="DK17" s="19">
        <f t="shared" si="47"/>
        <v>12522985</v>
      </c>
      <c r="DL17" s="19">
        <f t="shared" si="47"/>
        <v>30577172</v>
      </c>
      <c r="DM17" s="19">
        <f t="shared" si="47"/>
        <v>0</v>
      </c>
      <c r="DN17" s="19">
        <f t="shared" si="47"/>
        <v>185711904</v>
      </c>
      <c r="DO17" s="19">
        <f t="shared" si="47"/>
        <v>312000</v>
      </c>
      <c r="DP17" s="19">
        <f t="shared" si="47"/>
        <v>1314137</v>
      </c>
      <c r="DQ17" s="19">
        <f t="shared" si="47"/>
        <v>0</v>
      </c>
      <c r="DR17" s="19">
        <f t="shared" si="47"/>
        <v>14449264</v>
      </c>
      <c r="DS17" s="19">
        <f>SUM(DS18:DS21)</f>
        <v>0</v>
      </c>
      <c r="DT17" s="19">
        <f t="shared" ref="DT17:FF17" si="48">SUM(DT18:DT21)</f>
        <v>54356730</v>
      </c>
      <c r="DU17" s="19">
        <f t="shared" si="48"/>
        <v>4000</v>
      </c>
      <c r="DV17" s="19">
        <f t="shared" si="48"/>
        <v>0</v>
      </c>
      <c r="DW17" s="19">
        <f t="shared" si="48"/>
        <v>14617894</v>
      </c>
      <c r="DX17" s="19">
        <f t="shared" si="48"/>
        <v>155191660</v>
      </c>
      <c r="DY17" s="19">
        <f t="shared" si="48"/>
        <v>0</v>
      </c>
      <c r="DZ17" s="19">
        <f t="shared" si="48"/>
        <v>0</v>
      </c>
      <c r="EA17" s="19">
        <f t="shared" si="48"/>
        <v>0</v>
      </c>
      <c r="EB17" s="19">
        <f t="shared" si="48"/>
        <v>248400</v>
      </c>
      <c r="EC17" s="19">
        <f t="shared" si="48"/>
        <v>5617427</v>
      </c>
      <c r="ED17" s="19">
        <f t="shared" si="48"/>
        <v>2347918</v>
      </c>
      <c r="EE17" s="19">
        <f t="shared" si="48"/>
        <v>0</v>
      </c>
      <c r="EF17" s="19">
        <f t="shared" si="48"/>
        <v>174000</v>
      </c>
      <c r="EG17" s="19">
        <f t="shared" si="48"/>
        <v>321854380</v>
      </c>
      <c r="EH17" s="19">
        <f t="shared" si="48"/>
        <v>5995638</v>
      </c>
      <c r="EI17" s="19">
        <f t="shared" si="48"/>
        <v>71994742</v>
      </c>
      <c r="EJ17" s="19">
        <f t="shared" si="48"/>
        <v>1000</v>
      </c>
      <c r="EK17" s="19">
        <f t="shared" si="48"/>
        <v>131195000</v>
      </c>
      <c r="EL17" s="19">
        <f t="shared" si="48"/>
        <v>0</v>
      </c>
      <c r="EM17" s="19">
        <f t="shared" si="48"/>
        <v>0</v>
      </c>
      <c r="EN17" s="19">
        <f t="shared" si="48"/>
        <v>5502000</v>
      </c>
      <c r="EO17" s="19">
        <f t="shared" si="48"/>
        <v>1000</v>
      </c>
      <c r="EP17" s="19">
        <f t="shared" si="48"/>
        <v>0</v>
      </c>
      <c r="EQ17" s="19">
        <f t="shared" si="48"/>
        <v>0</v>
      </c>
      <c r="ER17" s="19">
        <f t="shared" si="48"/>
        <v>5259000</v>
      </c>
      <c r="ES17" s="19">
        <f t="shared" si="48"/>
        <v>661268</v>
      </c>
      <c r="ET17" s="19">
        <f t="shared" si="48"/>
        <v>1766756804</v>
      </c>
      <c r="EU17" s="19">
        <f t="shared" si="48"/>
        <v>19000</v>
      </c>
      <c r="EV17" s="19">
        <f t="shared" si="48"/>
        <v>0</v>
      </c>
      <c r="EW17" s="19">
        <f t="shared" si="48"/>
        <v>23048320</v>
      </c>
      <c r="EX17" s="19">
        <f t="shared" si="48"/>
        <v>36099000</v>
      </c>
      <c r="EY17" s="19">
        <f t="shared" si="48"/>
        <v>0</v>
      </c>
      <c r="EZ17" s="19">
        <f t="shared" si="48"/>
        <v>23657217</v>
      </c>
      <c r="FA17" s="19">
        <f t="shared" si="48"/>
        <v>22650000</v>
      </c>
      <c r="FB17" s="19">
        <f t="shared" si="48"/>
        <v>8244205</v>
      </c>
      <c r="FC17" s="19">
        <f t="shared" si="48"/>
        <v>40900000</v>
      </c>
      <c r="FD17" s="19">
        <f t="shared" si="48"/>
        <v>0</v>
      </c>
      <c r="FE17" s="19">
        <f t="shared" si="48"/>
        <v>14733818</v>
      </c>
      <c r="FF17" s="19">
        <f t="shared" si="48"/>
        <v>0</v>
      </c>
      <c r="FG17" s="19" t="s">
        <v>172</v>
      </c>
      <c r="FH17" s="19">
        <f>SUM(FH18:FH21)</f>
        <v>72294492</v>
      </c>
      <c r="FI17" s="19" t="s">
        <v>172</v>
      </c>
      <c r="FJ17" s="19">
        <f>SUM(FJ18:FJ21)</f>
        <v>0</v>
      </c>
      <c r="FK17" s="19">
        <f>SUM(FK18:FK21)</f>
        <v>0</v>
      </c>
      <c r="FL17" s="19">
        <f>SUM(FL18:FL21)</f>
        <v>51526626</v>
      </c>
      <c r="FM17" s="19">
        <f>SUM(FM18:FM21)</f>
        <v>265989166</v>
      </c>
      <c r="FN17" s="19">
        <f>SUM(FN18:FN21)</f>
        <v>641830939</v>
      </c>
      <c r="FO17" s="56" t="s">
        <v>172</v>
      </c>
      <c r="FP17" s="19">
        <f t="shared" ref="FP17:FU17" si="49">SUM(FP18:FP21)</f>
        <v>352489258</v>
      </c>
      <c r="FQ17" s="19">
        <f t="shared" si="49"/>
        <v>14795600</v>
      </c>
      <c r="FR17" s="19">
        <f t="shared" si="49"/>
        <v>89835738</v>
      </c>
      <c r="FS17" s="19">
        <f t="shared" si="49"/>
        <v>173546055</v>
      </c>
      <c r="FT17" s="19">
        <f t="shared" si="49"/>
        <v>65218689</v>
      </c>
      <c r="FU17" s="19">
        <f t="shared" si="49"/>
        <v>0</v>
      </c>
      <c r="FV17" s="19" t="s">
        <v>172</v>
      </c>
      <c r="FW17" s="19">
        <f>SUM(FW18:FW21)</f>
        <v>10800000</v>
      </c>
      <c r="FX17" s="19">
        <f>SUM(FX18:FX21)</f>
        <v>110487320</v>
      </c>
      <c r="FY17" s="19" t="s">
        <v>172</v>
      </c>
      <c r="FZ17" s="19" t="s">
        <v>175</v>
      </c>
      <c r="GA17" s="19">
        <f>SUM(GA18:GA21)</f>
        <v>10982429</v>
      </c>
      <c r="GB17" s="19">
        <f>SUM(GB18:GB21)</f>
        <v>199780778</v>
      </c>
      <c r="GC17" s="19">
        <f>SUM(GC18:GC21)</f>
        <v>33481980</v>
      </c>
      <c r="GD17" s="19" t="s">
        <v>172</v>
      </c>
      <c r="GE17" s="19" t="s">
        <v>172</v>
      </c>
      <c r="GF17" s="19">
        <f>SUM(GF18:GF21)</f>
        <v>2694894</v>
      </c>
      <c r="GG17" s="19">
        <f>SUM(GG18:GG21)</f>
        <v>8541325</v>
      </c>
      <c r="GH17" s="19" t="s">
        <v>172</v>
      </c>
      <c r="GI17" s="19">
        <f t="shared" ref="GI17:KH17" si="50">SUM(GI18:GI21)</f>
        <v>14574153</v>
      </c>
      <c r="GJ17" s="19" t="s">
        <v>172</v>
      </c>
      <c r="GK17" s="19">
        <f t="shared" si="50"/>
        <v>9254686</v>
      </c>
      <c r="GL17" s="19" t="s">
        <v>172</v>
      </c>
      <c r="GM17" s="19">
        <f t="shared" si="50"/>
        <v>0</v>
      </c>
      <c r="GN17" s="19">
        <f t="shared" si="50"/>
        <v>80136363</v>
      </c>
      <c r="GO17" s="19" t="s">
        <v>172</v>
      </c>
      <c r="GP17" s="19">
        <f t="shared" si="50"/>
        <v>30635108</v>
      </c>
      <c r="GQ17" s="19">
        <f t="shared" si="50"/>
        <v>47898769</v>
      </c>
      <c r="GR17" s="19">
        <f t="shared" si="50"/>
        <v>1045527923</v>
      </c>
      <c r="GS17" s="19">
        <f t="shared" si="50"/>
        <v>80074831</v>
      </c>
      <c r="GT17" s="19">
        <f t="shared" si="50"/>
        <v>0</v>
      </c>
      <c r="GU17" s="19">
        <f t="shared" si="50"/>
        <v>0</v>
      </c>
      <c r="GV17" s="19">
        <f>SUM(GV18:GV21)</f>
        <v>6000</v>
      </c>
      <c r="GW17" s="19">
        <f>SUM(GW18:GW21)</f>
        <v>213581985</v>
      </c>
      <c r="GX17" s="19">
        <f t="shared" si="50"/>
        <v>425949395</v>
      </c>
      <c r="GY17" s="19">
        <f t="shared" si="50"/>
        <v>26871941</v>
      </c>
      <c r="GZ17" s="19">
        <f t="shared" si="50"/>
        <v>16443127</v>
      </c>
      <c r="HA17" s="19" t="s">
        <v>172</v>
      </c>
      <c r="HB17" s="19">
        <f t="shared" si="50"/>
        <v>0</v>
      </c>
      <c r="HC17" s="19">
        <f t="shared" si="50"/>
        <v>131563636</v>
      </c>
      <c r="HD17" s="19">
        <f t="shared" si="50"/>
        <v>1143240</v>
      </c>
      <c r="HE17" s="19" t="s">
        <v>172</v>
      </c>
      <c r="HF17" s="19">
        <f t="shared" si="50"/>
        <v>0</v>
      </c>
      <c r="HG17" s="19">
        <f t="shared" si="50"/>
        <v>1935143</v>
      </c>
      <c r="HH17" s="19" t="s">
        <v>172</v>
      </c>
      <c r="HI17" s="19">
        <f t="shared" si="50"/>
        <v>563047659</v>
      </c>
      <c r="HJ17" s="19" t="s">
        <v>172</v>
      </c>
      <c r="HK17" s="19">
        <f t="shared" si="50"/>
        <v>34799293</v>
      </c>
      <c r="HL17" s="19">
        <f t="shared" si="50"/>
        <v>54966366</v>
      </c>
      <c r="HM17" s="19">
        <f t="shared" si="50"/>
        <v>0</v>
      </c>
      <c r="HN17" s="19">
        <f t="shared" si="50"/>
        <v>26335834</v>
      </c>
      <c r="HO17" s="19">
        <f t="shared" si="50"/>
        <v>5040000</v>
      </c>
      <c r="HP17" s="19">
        <f t="shared" si="50"/>
        <v>27336376</v>
      </c>
      <c r="HQ17" s="19">
        <f t="shared" si="50"/>
        <v>29982334</v>
      </c>
      <c r="HR17" s="19">
        <f t="shared" si="50"/>
        <v>1000</v>
      </c>
      <c r="HS17" s="19">
        <f t="shared" si="50"/>
        <v>255023080</v>
      </c>
      <c r="HT17" s="19">
        <f t="shared" si="50"/>
        <v>0</v>
      </c>
      <c r="HU17" s="19">
        <f t="shared" si="50"/>
        <v>261735899</v>
      </c>
      <c r="HV17" s="19">
        <f t="shared" si="50"/>
        <v>1152240</v>
      </c>
      <c r="HW17" s="19" t="s">
        <v>172</v>
      </c>
      <c r="HX17" s="19">
        <f t="shared" si="50"/>
        <v>680471389</v>
      </c>
      <c r="HY17" s="19" t="s">
        <v>172</v>
      </c>
      <c r="HZ17" s="19">
        <f t="shared" si="50"/>
        <v>0</v>
      </c>
      <c r="IA17" s="19">
        <f t="shared" si="50"/>
        <v>0</v>
      </c>
      <c r="IB17" s="19">
        <f t="shared" si="50"/>
        <v>128685075</v>
      </c>
      <c r="IC17" s="19">
        <f t="shared" si="50"/>
        <v>292919215</v>
      </c>
      <c r="ID17" s="19">
        <f t="shared" si="50"/>
        <v>0</v>
      </c>
      <c r="IE17" s="19" t="s">
        <v>172</v>
      </c>
      <c r="IF17" s="19">
        <f t="shared" si="50"/>
        <v>0</v>
      </c>
      <c r="IG17" s="19">
        <f t="shared" si="50"/>
        <v>1463475</v>
      </c>
      <c r="IH17" s="19">
        <f t="shared" si="50"/>
        <v>107383687</v>
      </c>
      <c r="II17" s="19">
        <f t="shared" si="50"/>
        <v>145522979</v>
      </c>
      <c r="IJ17" s="19">
        <f t="shared" si="50"/>
        <v>0</v>
      </c>
      <c r="IK17" s="19">
        <f t="shared" si="50"/>
        <v>2375000</v>
      </c>
      <c r="IL17" s="19">
        <f t="shared" si="50"/>
        <v>20525881</v>
      </c>
      <c r="IM17" s="19">
        <f>SUM(IM18:IM21)</f>
        <v>5400001</v>
      </c>
      <c r="IN17" s="19">
        <f t="shared" si="50"/>
        <v>0</v>
      </c>
      <c r="IO17" s="19">
        <f t="shared" si="50"/>
        <v>0</v>
      </c>
      <c r="IP17" s="19">
        <f t="shared" si="50"/>
        <v>1000</v>
      </c>
      <c r="IQ17" s="19">
        <f t="shared" si="50"/>
        <v>0</v>
      </c>
      <c r="IR17" s="19">
        <f t="shared" si="50"/>
        <v>0</v>
      </c>
      <c r="IS17" s="19">
        <f t="shared" si="50"/>
        <v>2149330</v>
      </c>
      <c r="IT17" s="19">
        <f t="shared" si="50"/>
        <v>17118904</v>
      </c>
      <c r="IU17" s="19">
        <f t="shared" si="50"/>
        <v>0</v>
      </c>
      <c r="IV17" s="19">
        <f t="shared" si="50"/>
        <v>0</v>
      </c>
      <c r="IW17" s="19">
        <f t="shared" si="50"/>
        <v>40125947</v>
      </c>
      <c r="IX17" s="19">
        <f t="shared" si="50"/>
        <v>1487722</v>
      </c>
      <c r="IY17" s="19">
        <f t="shared" si="50"/>
        <v>365276363</v>
      </c>
      <c r="IZ17" s="19">
        <f t="shared" si="50"/>
        <v>196191485</v>
      </c>
      <c r="JA17" s="19">
        <f t="shared" si="50"/>
        <v>74679155</v>
      </c>
      <c r="JB17" s="19">
        <f t="shared" si="50"/>
        <v>3721667</v>
      </c>
      <c r="JC17" s="19">
        <f t="shared" si="50"/>
        <v>0</v>
      </c>
      <c r="JD17" s="19">
        <f t="shared" si="50"/>
        <v>3621334</v>
      </c>
      <c r="JE17" s="19">
        <f t="shared" si="50"/>
        <v>5439676</v>
      </c>
      <c r="JF17" s="19">
        <f t="shared" si="50"/>
        <v>746568314</v>
      </c>
      <c r="JG17" s="19">
        <f t="shared" si="50"/>
        <v>5780000</v>
      </c>
      <c r="JH17" s="19">
        <f t="shared" si="50"/>
        <v>0</v>
      </c>
      <c r="JI17" s="19">
        <f t="shared" si="50"/>
        <v>0</v>
      </c>
      <c r="JJ17" s="19">
        <f t="shared" si="50"/>
        <v>0</v>
      </c>
      <c r="JK17" s="19">
        <f t="shared" si="50"/>
        <v>856480</v>
      </c>
      <c r="JL17" s="19">
        <f t="shared" si="50"/>
        <v>0</v>
      </c>
      <c r="JM17" s="19">
        <f t="shared" si="50"/>
        <v>0</v>
      </c>
      <c r="JN17" s="19">
        <f t="shared" si="50"/>
        <v>497413245</v>
      </c>
      <c r="JO17" s="19">
        <f t="shared" si="50"/>
        <v>3520000</v>
      </c>
      <c r="JP17" s="19">
        <f t="shared" si="50"/>
        <v>4000</v>
      </c>
      <c r="JQ17" s="19" t="s">
        <v>175</v>
      </c>
      <c r="JR17" s="19">
        <f t="shared" si="50"/>
        <v>0</v>
      </c>
      <c r="JS17" s="19">
        <f t="shared" si="50"/>
        <v>0</v>
      </c>
      <c r="JT17" s="19">
        <f t="shared" si="50"/>
        <v>4026000</v>
      </c>
      <c r="JU17" s="19">
        <f t="shared" si="50"/>
        <v>40678168</v>
      </c>
      <c r="JV17" s="19">
        <f t="shared" si="50"/>
        <v>0</v>
      </c>
      <c r="JW17" s="19">
        <f t="shared" si="50"/>
        <v>0</v>
      </c>
      <c r="JX17" s="19">
        <f t="shared" si="50"/>
        <v>0</v>
      </c>
      <c r="JY17" s="19">
        <f t="shared" si="50"/>
        <v>0</v>
      </c>
      <c r="JZ17" s="19">
        <f t="shared" si="50"/>
        <v>4300200</v>
      </c>
      <c r="KA17" s="19">
        <f t="shared" si="50"/>
        <v>0</v>
      </c>
      <c r="KB17" s="19">
        <f t="shared" si="50"/>
        <v>89315418</v>
      </c>
      <c r="KC17" s="19">
        <f t="shared" si="50"/>
        <v>280000</v>
      </c>
      <c r="KD17" s="19">
        <f t="shared" si="50"/>
        <v>0</v>
      </c>
      <c r="KE17" s="19">
        <f t="shared" si="50"/>
        <v>0</v>
      </c>
      <c r="KF17" s="19">
        <f t="shared" si="50"/>
        <v>82906061</v>
      </c>
      <c r="KG17" s="19">
        <f t="shared" si="50"/>
        <v>3663126</v>
      </c>
      <c r="KH17" s="19">
        <f t="shared" si="50"/>
        <v>788403566</v>
      </c>
      <c r="KI17" s="19">
        <v>0</v>
      </c>
      <c r="KJ17" s="19">
        <f t="shared" ref="KJ17:KY17" si="51">SUM(KJ18:KJ21)</f>
        <v>8500000</v>
      </c>
      <c r="KK17" s="19">
        <f t="shared" si="51"/>
        <v>3103577</v>
      </c>
      <c r="KL17" s="19">
        <v>256024590</v>
      </c>
      <c r="KM17" s="19">
        <f t="shared" si="51"/>
        <v>2494343</v>
      </c>
      <c r="KN17" s="19">
        <f t="shared" si="51"/>
        <v>3259600</v>
      </c>
      <c r="KO17" s="19">
        <f t="shared" si="51"/>
        <v>72179394</v>
      </c>
      <c r="KP17" s="19">
        <f t="shared" si="51"/>
        <v>0</v>
      </c>
      <c r="KQ17" s="19">
        <v>0</v>
      </c>
      <c r="KR17" s="19">
        <f t="shared" si="51"/>
        <v>126636364</v>
      </c>
      <c r="KS17" s="19">
        <f t="shared" si="51"/>
        <v>494067</v>
      </c>
      <c r="KT17" s="19"/>
      <c r="KU17" s="19">
        <f t="shared" si="51"/>
        <v>855924193</v>
      </c>
      <c r="KV17" s="19">
        <f t="shared" si="51"/>
        <v>476667</v>
      </c>
      <c r="KW17" s="19">
        <f t="shared" si="51"/>
        <v>112566428</v>
      </c>
      <c r="KX17" s="19">
        <f t="shared" si="51"/>
        <v>2690910</v>
      </c>
      <c r="KY17" s="19">
        <f t="shared" si="51"/>
        <v>49833334</v>
      </c>
      <c r="KZ17" s="58">
        <v>20506200</v>
      </c>
      <c r="LA17" s="76">
        <v>0</v>
      </c>
      <c r="LB17" s="76">
        <v>6403757</v>
      </c>
    </row>
    <row r="18" spans="1:314">
      <c r="A18" s="7" t="s">
        <v>100</v>
      </c>
      <c r="B18" s="12" t="s">
        <v>54</v>
      </c>
      <c r="C18" s="19">
        <v>49103000</v>
      </c>
      <c r="D18" s="19"/>
      <c r="E18" s="19"/>
      <c r="F18" s="19"/>
      <c r="G18" s="19" t="s">
        <v>130</v>
      </c>
      <c r="H18" s="19">
        <v>80000</v>
      </c>
      <c r="I18" s="19"/>
      <c r="J18" s="19" t="s">
        <v>176</v>
      </c>
      <c r="K18" s="19"/>
      <c r="L18" s="19" t="s">
        <v>96</v>
      </c>
      <c r="M18" s="19" t="s">
        <v>96</v>
      </c>
      <c r="N18" s="19">
        <v>57350550</v>
      </c>
      <c r="O18" s="19">
        <v>13594591</v>
      </c>
      <c r="P18" s="19">
        <v>34381062</v>
      </c>
      <c r="Q18" s="19">
        <v>1000</v>
      </c>
      <c r="R18" s="19"/>
      <c r="S18" s="19"/>
      <c r="T18" s="19" t="s">
        <v>96</v>
      </c>
      <c r="U18" s="19" t="s">
        <v>96</v>
      </c>
      <c r="V18" s="19" t="s">
        <v>172</v>
      </c>
      <c r="W18" s="19"/>
      <c r="X18" s="19"/>
      <c r="Y18" s="19">
        <v>20305789</v>
      </c>
      <c r="Z18" s="19"/>
      <c r="AA18" s="19"/>
      <c r="AB18" s="19">
        <v>1000</v>
      </c>
      <c r="AC18" s="19"/>
      <c r="AD18" s="19"/>
      <c r="AE18" s="19"/>
      <c r="AF18" s="56" t="s">
        <v>172</v>
      </c>
      <c r="AG18" s="19">
        <v>208449998</v>
      </c>
      <c r="AH18" s="19" t="s">
        <v>167</v>
      </c>
      <c r="AI18" s="19">
        <v>92631486</v>
      </c>
      <c r="AJ18" s="19"/>
      <c r="AK18" s="19"/>
      <c r="AL18" s="19"/>
      <c r="AM18" s="19" t="s">
        <v>4</v>
      </c>
      <c r="AN18" s="19">
        <v>4000</v>
      </c>
      <c r="AO18" s="19">
        <v>574334</v>
      </c>
      <c r="AP18" s="19"/>
      <c r="AQ18" s="19" t="s">
        <v>172</v>
      </c>
      <c r="AR18" s="19"/>
      <c r="AS18" s="19"/>
      <c r="AT18" s="19" t="s">
        <v>172</v>
      </c>
      <c r="AU18" s="19"/>
      <c r="AV18" s="19"/>
      <c r="AW18" s="19"/>
      <c r="AX18" s="19" t="s">
        <v>4</v>
      </c>
      <c r="AY18" s="19"/>
      <c r="AZ18" s="19"/>
      <c r="BA18" s="19" t="s">
        <v>167</v>
      </c>
      <c r="BB18" s="19"/>
      <c r="BC18" s="19" t="s">
        <v>4</v>
      </c>
      <c r="BD18" s="19" t="s">
        <v>172</v>
      </c>
      <c r="BE18" s="19">
        <v>17609457</v>
      </c>
      <c r="BF18" s="19" t="s">
        <v>96</v>
      </c>
      <c r="BG18" s="19">
        <v>5283123</v>
      </c>
      <c r="BH18" s="19">
        <v>3000</v>
      </c>
      <c r="BI18" s="19">
        <v>2000</v>
      </c>
      <c r="BJ18" s="19"/>
      <c r="BK18" s="19"/>
      <c r="BL18" s="19"/>
      <c r="BM18" s="19"/>
      <c r="BN18" s="19"/>
      <c r="BO18" s="19" t="s">
        <v>96</v>
      </c>
      <c r="BP18" s="19" t="s">
        <v>96</v>
      </c>
      <c r="BQ18" s="19" t="s">
        <v>175</v>
      </c>
      <c r="BR18" s="19">
        <v>11818900</v>
      </c>
      <c r="BS18" s="19" t="s">
        <v>172</v>
      </c>
      <c r="BT18" s="19"/>
      <c r="BU18" s="19"/>
      <c r="BV18" s="19"/>
      <c r="BW18" s="19"/>
      <c r="BX18" s="19">
        <v>36180000</v>
      </c>
      <c r="BY18" s="19">
        <v>7764837</v>
      </c>
      <c r="BZ18" s="19"/>
      <c r="CA18" s="19"/>
      <c r="CB18" s="19"/>
      <c r="CC18" s="19"/>
      <c r="CD18" s="19"/>
      <c r="CE18" s="19" t="s">
        <v>172</v>
      </c>
      <c r="CF18" s="19"/>
      <c r="CG18" s="19"/>
      <c r="CH18" s="19"/>
      <c r="CI18" s="19" t="s">
        <v>172</v>
      </c>
      <c r="CJ18" s="19"/>
      <c r="CK18" s="19"/>
      <c r="CL18" s="19"/>
      <c r="CM18" s="19"/>
      <c r="CN18" s="19"/>
      <c r="CO18" s="19">
        <v>-19800000</v>
      </c>
      <c r="CP18" s="19">
        <f>172763636-103000000</f>
        <v>69763636</v>
      </c>
      <c r="CQ18" s="19" t="s">
        <v>96</v>
      </c>
      <c r="CR18" s="19"/>
      <c r="CS18" s="56" t="s">
        <v>172</v>
      </c>
      <c r="CT18" s="19">
        <v>6063226</v>
      </c>
      <c r="CU18" s="19"/>
      <c r="CV18" s="19">
        <v>3750000</v>
      </c>
      <c r="CW18" s="19"/>
      <c r="CX18" s="19">
        <v>5718124</v>
      </c>
      <c r="CY18" s="19" t="s">
        <v>96</v>
      </c>
      <c r="CZ18" s="19"/>
      <c r="DA18" s="19" t="s">
        <v>175</v>
      </c>
      <c r="DB18" s="19"/>
      <c r="DC18" s="19"/>
      <c r="DD18" s="19"/>
      <c r="DE18" s="19"/>
      <c r="DF18" s="19"/>
      <c r="DG18" s="19"/>
      <c r="DH18" s="19"/>
      <c r="DI18" s="19">
        <v>24303031</v>
      </c>
      <c r="DJ18" s="19"/>
      <c r="DK18" s="19"/>
      <c r="DL18" s="19"/>
      <c r="DM18" s="19"/>
      <c r="DN18" s="19"/>
      <c r="DO18" s="19"/>
      <c r="DP18" s="19"/>
      <c r="DQ18" s="19"/>
      <c r="DR18" s="19"/>
      <c r="DS18" s="19"/>
      <c r="DT18" s="19">
        <v>290000</v>
      </c>
      <c r="DU18" s="19"/>
      <c r="DV18" s="19"/>
      <c r="DW18" s="19"/>
      <c r="DX18" s="19">
        <f>334539160-179347500</f>
        <v>155191660</v>
      </c>
      <c r="DY18" s="19"/>
      <c r="DZ18" s="19"/>
      <c r="EA18" s="19"/>
      <c r="EB18" s="19"/>
      <c r="EC18" s="19">
        <v>275000</v>
      </c>
      <c r="ED18" s="19">
        <v>2347918</v>
      </c>
      <c r="EE18" s="19"/>
      <c r="EF18" s="19"/>
      <c r="EG18" s="19"/>
      <c r="EH18" s="19">
        <v>5995638</v>
      </c>
      <c r="EI18" s="19">
        <v>52357608</v>
      </c>
      <c r="EJ18" s="19">
        <v>1000</v>
      </c>
      <c r="EK18" s="19"/>
      <c r="EL18" s="19"/>
      <c r="EM18" s="19"/>
      <c r="EN18" s="19"/>
      <c r="EO18" s="19"/>
      <c r="EP18" s="19"/>
      <c r="EQ18" s="19"/>
      <c r="ER18" s="19"/>
      <c r="ES18" s="19">
        <v>422400</v>
      </c>
      <c r="ET18" s="19">
        <v>293797099</v>
      </c>
      <c r="EU18" s="19">
        <v>19000</v>
      </c>
      <c r="EV18" s="19"/>
      <c r="EW18" s="19"/>
      <c r="EX18" s="19"/>
      <c r="EY18" s="19"/>
      <c r="EZ18" s="19">
        <v>2847219</v>
      </c>
      <c r="FA18" s="19"/>
      <c r="FB18" s="19"/>
      <c r="FC18" s="19"/>
      <c r="FD18" s="19"/>
      <c r="FE18" s="19">
        <v>2232818</v>
      </c>
      <c r="FF18" s="19"/>
      <c r="FG18" s="19" t="s">
        <v>172</v>
      </c>
      <c r="FH18" s="19">
        <v>72294492</v>
      </c>
      <c r="FI18" s="19" t="s">
        <v>172</v>
      </c>
      <c r="FJ18" s="19"/>
      <c r="FK18" s="19"/>
      <c r="FL18" s="19"/>
      <c r="FM18" s="19"/>
      <c r="FN18" s="19">
        <v>11770816</v>
      </c>
      <c r="FO18" s="56" t="s">
        <v>172</v>
      </c>
      <c r="FP18" s="19">
        <v>98394397</v>
      </c>
      <c r="FQ18" s="19"/>
      <c r="FR18" s="19"/>
      <c r="FS18" s="19">
        <v>25181815</v>
      </c>
      <c r="FT18" s="19">
        <v>57336826</v>
      </c>
      <c r="FU18" s="19"/>
      <c r="FV18" s="19" t="s">
        <v>172</v>
      </c>
      <c r="FW18" s="19"/>
      <c r="FX18" s="19"/>
      <c r="FY18" s="19" t="s">
        <v>172</v>
      </c>
      <c r="FZ18" s="19" t="s">
        <v>175</v>
      </c>
      <c r="GA18" s="19"/>
      <c r="GB18" s="19">
        <v>12000000</v>
      </c>
      <c r="GC18" s="19"/>
      <c r="GD18" s="19" t="s">
        <v>172</v>
      </c>
      <c r="GE18" s="19" t="s">
        <v>172</v>
      </c>
      <c r="GF18" s="19"/>
      <c r="GG18" s="19"/>
      <c r="GH18" s="19" t="s">
        <v>172</v>
      </c>
      <c r="GI18" s="19">
        <v>3437500</v>
      </c>
      <c r="GJ18" s="19" t="s">
        <v>172</v>
      </c>
      <c r="GK18" s="19"/>
      <c r="GL18" s="19" t="s">
        <v>172</v>
      </c>
      <c r="GM18" s="19"/>
      <c r="GN18" s="19">
        <v>21136363</v>
      </c>
      <c r="GO18" s="19" t="s">
        <v>172</v>
      </c>
      <c r="GP18" s="19">
        <v>26345108</v>
      </c>
      <c r="GQ18" s="19"/>
      <c r="GR18" s="19">
        <v>115950984</v>
      </c>
      <c r="GS18" s="19">
        <v>67308170</v>
      </c>
      <c r="GT18" s="19"/>
      <c r="GU18" s="19"/>
      <c r="GV18" s="19">
        <v>1000</v>
      </c>
      <c r="GW18" s="19">
        <v>91432150</v>
      </c>
      <c r="GX18" s="19"/>
      <c r="GY18" s="19"/>
      <c r="GZ18" s="19"/>
      <c r="HA18" s="19" t="s">
        <v>172</v>
      </c>
      <c r="HB18" s="19"/>
      <c r="HC18" s="19"/>
      <c r="HD18" s="19"/>
      <c r="HE18" s="19" t="s">
        <v>172</v>
      </c>
      <c r="HF18" s="19"/>
      <c r="HG18" s="19"/>
      <c r="HH18" s="19" t="s">
        <v>172</v>
      </c>
      <c r="HI18" s="19">
        <v>335864272</v>
      </c>
      <c r="HJ18" s="19" t="s">
        <v>172</v>
      </c>
      <c r="HK18" s="19">
        <v>2845999</v>
      </c>
      <c r="HL18" s="19">
        <v>54966366</v>
      </c>
      <c r="HM18" s="19"/>
      <c r="HN18" s="19">
        <v>3333334</v>
      </c>
      <c r="HO18" s="19"/>
      <c r="HP18" s="19">
        <v>27336376</v>
      </c>
      <c r="HQ18" s="19">
        <v>29982334</v>
      </c>
      <c r="HR18" s="19"/>
      <c r="HS18" s="19"/>
      <c r="HT18" s="19"/>
      <c r="HU18" s="19"/>
      <c r="HV18" s="19"/>
      <c r="HW18" s="19" t="s">
        <v>172</v>
      </c>
      <c r="HX18" s="19"/>
      <c r="HY18" s="19" t="s">
        <v>172</v>
      </c>
      <c r="HZ18" s="19"/>
      <c r="IA18" s="19"/>
      <c r="IB18" s="19">
        <v>91363826</v>
      </c>
      <c r="IC18" s="19">
        <v>205058150</v>
      </c>
      <c r="ID18" s="19"/>
      <c r="IE18" s="19" t="s">
        <v>172</v>
      </c>
      <c r="IF18" s="19"/>
      <c r="IG18" s="19"/>
      <c r="IH18" s="19">
        <v>3386365</v>
      </c>
      <c r="II18" s="19"/>
      <c r="IJ18" s="19"/>
      <c r="IK18" s="19">
        <v>2375000</v>
      </c>
      <c r="IL18" s="19"/>
      <c r="IM18" s="19"/>
      <c r="IN18" s="19"/>
      <c r="IO18" s="19"/>
      <c r="IP18" s="19">
        <v>1000</v>
      </c>
      <c r="IQ18" s="19"/>
      <c r="IR18" s="19"/>
      <c r="IS18" s="19">
        <v>894547</v>
      </c>
      <c r="IT18" s="19">
        <v>14750000</v>
      </c>
      <c r="IU18" s="19"/>
      <c r="IV18" s="19"/>
      <c r="IW18" s="19">
        <v>2058183</v>
      </c>
      <c r="IX18" s="19">
        <v>1181819</v>
      </c>
      <c r="IY18" s="19"/>
      <c r="IZ18" s="19">
        <v>157982726</v>
      </c>
      <c r="JA18" s="19"/>
      <c r="JB18" s="19">
        <v>3721667</v>
      </c>
      <c r="JC18" s="19"/>
      <c r="JD18" s="19"/>
      <c r="JE18" s="19"/>
      <c r="JF18" s="19"/>
      <c r="JG18" s="19"/>
      <c r="JH18" s="19"/>
      <c r="JI18" s="19"/>
      <c r="JJ18" s="19"/>
      <c r="JK18" s="19"/>
      <c r="JL18" s="19"/>
      <c r="JM18" s="19"/>
      <c r="JN18" s="19">
        <v>1160000</v>
      </c>
      <c r="JO18" s="19"/>
      <c r="JP18" s="19">
        <v>4000</v>
      </c>
      <c r="JQ18" s="19" t="s">
        <v>175</v>
      </c>
      <c r="JR18" s="19"/>
      <c r="JS18" s="19"/>
      <c r="JT18" s="19"/>
      <c r="JU18" s="19">
        <v>28357334</v>
      </c>
      <c r="JV18" s="19"/>
      <c r="JW18" s="19"/>
      <c r="JX18" s="19"/>
      <c r="JY18" s="19"/>
      <c r="JZ18" s="19"/>
      <c r="KA18" s="19"/>
      <c r="KB18" s="19"/>
      <c r="KC18" s="19"/>
      <c r="KD18" s="19"/>
      <c r="KE18" s="19"/>
      <c r="KF18" s="19"/>
      <c r="KG18" s="19"/>
      <c r="KH18" s="19">
        <v>50000000</v>
      </c>
      <c r="KI18" s="19"/>
      <c r="KJ18" s="19"/>
      <c r="KK18" s="19"/>
      <c r="KL18" s="19"/>
      <c r="KM18" s="19"/>
      <c r="KN18" s="19">
        <v>3259600</v>
      </c>
      <c r="KO18" s="19"/>
      <c r="KP18" s="19"/>
      <c r="KQ18" s="19"/>
      <c r="KR18" s="19"/>
      <c r="KS18" s="19">
        <v>422000</v>
      </c>
      <c r="KT18" s="19"/>
      <c r="KU18" s="19"/>
      <c r="KV18" s="19"/>
      <c r="KW18" s="19"/>
      <c r="KX18" s="19"/>
      <c r="KY18" s="19"/>
      <c r="KZ18" s="58"/>
      <c r="LA18" s="76"/>
      <c r="LB18" s="76"/>
    </row>
    <row r="19" spans="1:314">
      <c r="A19" s="7" t="s">
        <v>100</v>
      </c>
      <c r="B19" s="12" t="s">
        <v>74</v>
      </c>
      <c r="C19" s="19"/>
      <c r="D19" s="19"/>
      <c r="E19" s="19"/>
      <c r="F19" s="19"/>
      <c r="G19" s="19" t="s">
        <v>130</v>
      </c>
      <c r="H19" s="19"/>
      <c r="I19" s="19"/>
      <c r="J19" s="19" t="s">
        <v>176</v>
      </c>
      <c r="K19" s="19">
        <v>106800</v>
      </c>
      <c r="L19" s="19" t="s">
        <v>96</v>
      </c>
      <c r="M19" s="19" t="s">
        <v>96</v>
      </c>
      <c r="N19" s="19"/>
      <c r="O19" s="19"/>
      <c r="P19" s="19"/>
      <c r="Q19" s="19">
        <v>1000</v>
      </c>
      <c r="R19" s="19">
        <v>2799861</v>
      </c>
      <c r="S19" s="19">
        <f>5148304+1000</f>
        <v>5149304</v>
      </c>
      <c r="T19" s="19" t="s">
        <v>96</v>
      </c>
      <c r="U19" s="19" t="s">
        <v>96</v>
      </c>
      <c r="V19" s="19" t="s">
        <v>172</v>
      </c>
      <c r="W19" s="19">
        <v>5702513</v>
      </c>
      <c r="X19" s="19"/>
      <c r="Y19" s="19"/>
      <c r="Z19" s="19"/>
      <c r="AA19" s="19">
        <v>561044</v>
      </c>
      <c r="AB19" s="19"/>
      <c r="AC19" s="19">
        <v>440240</v>
      </c>
      <c r="AD19" s="19">
        <v>1628400</v>
      </c>
      <c r="AE19" s="19">
        <v>1000</v>
      </c>
      <c r="AF19" s="56" t="s">
        <v>172</v>
      </c>
      <c r="AG19" s="19">
        <v>2452000</v>
      </c>
      <c r="AH19" s="19" t="s">
        <v>167</v>
      </c>
      <c r="AI19" s="19">
        <f>9357900+3156680</f>
        <v>12514580</v>
      </c>
      <c r="AJ19" s="19"/>
      <c r="AK19" s="19"/>
      <c r="AL19" s="19"/>
      <c r="AM19" s="19" t="s">
        <v>4</v>
      </c>
      <c r="AN19" s="19">
        <v>763941</v>
      </c>
      <c r="AO19" s="19">
        <f>10912977+4247656</f>
        <v>15160633</v>
      </c>
      <c r="AP19" s="19"/>
      <c r="AQ19" s="19" t="s">
        <v>172</v>
      </c>
      <c r="AR19" s="19">
        <v>627233</v>
      </c>
      <c r="AS19" s="19">
        <v>4000</v>
      </c>
      <c r="AT19" s="19" t="s">
        <v>172</v>
      </c>
      <c r="AU19" s="19"/>
      <c r="AV19" s="19"/>
      <c r="AW19" s="19"/>
      <c r="AX19" s="19" t="s">
        <v>4</v>
      </c>
      <c r="AY19" s="19">
        <v>1277125</v>
      </c>
      <c r="AZ19" s="19">
        <v>5500001</v>
      </c>
      <c r="BA19" s="19" t="s">
        <v>167</v>
      </c>
      <c r="BB19" s="19"/>
      <c r="BC19" s="19" t="s">
        <v>4</v>
      </c>
      <c r="BD19" s="19" t="s">
        <v>172</v>
      </c>
      <c r="BE19" s="19">
        <v>6279617</v>
      </c>
      <c r="BF19" s="19" t="s">
        <v>96</v>
      </c>
      <c r="BG19" s="19">
        <f>1469126+614517</f>
        <v>2083643</v>
      </c>
      <c r="BH19" s="19"/>
      <c r="BI19" s="19">
        <f>339424+115700</f>
        <v>455124</v>
      </c>
      <c r="BJ19" s="19"/>
      <c r="BK19" s="19">
        <v>85344123</v>
      </c>
      <c r="BL19" s="19"/>
      <c r="BM19" s="19">
        <v>5896897</v>
      </c>
      <c r="BN19" s="19">
        <f>5732000-5724000</f>
        <v>8000</v>
      </c>
      <c r="BO19" s="19" t="s">
        <v>96</v>
      </c>
      <c r="BP19" s="19" t="s">
        <v>96</v>
      </c>
      <c r="BQ19" s="19" t="s">
        <v>175</v>
      </c>
      <c r="BR19" s="19">
        <v>7169</v>
      </c>
      <c r="BS19" s="19" t="s">
        <v>172</v>
      </c>
      <c r="BT19" s="19"/>
      <c r="BU19" s="19">
        <v>21260292</v>
      </c>
      <c r="BV19" s="19"/>
      <c r="BW19" s="19"/>
      <c r="BX19" s="19"/>
      <c r="BY19" s="19">
        <v>3976546</v>
      </c>
      <c r="BZ19" s="19">
        <v>1039500</v>
      </c>
      <c r="CA19" s="19">
        <v>2143800</v>
      </c>
      <c r="CB19" s="19">
        <v>1000</v>
      </c>
      <c r="CC19" s="19"/>
      <c r="CD19" s="19"/>
      <c r="CE19" s="19" t="s">
        <v>172</v>
      </c>
      <c r="CF19" s="19">
        <v>2258792</v>
      </c>
      <c r="CG19" s="19"/>
      <c r="CH19" s="19">
        <v>3772943</v>
      </c>
      <c r="CI19" s="19" t="s">
        <v>172</v>
      </c>
      <c r="CJ19" s="19"/>
      <c r="CK19" s="19"/>
      <c r="CL19" s="19">
        <v>4397000</v>
      </c>
      <c r="CM19" s="19"/>
      <c r="CN19" s="19">
        <v>5000</v>
      </c>
      <c r="CO19" s="19"/>
      <c r="CP19" s="19">
        <v>200000</v>
      </c>
      <c r="CQ19" s="19" t="s">
        <v>96</v>
      </c>
      <c r="CR19" s="19"/>
      <c r="CS19" s="56" t="s">
        <v>172</v>
      </c>
      <c r="CT19" s="19">
        <v>1086854</v>
      </c>
      <c r="CU19" s="19"/>
      <c r="CV19" s="19"/>
      <c r="CW19" s="19"/>
      <c r="CX19" s="19">
        <v>6120804</v>
      </c>
      <c r="CY19" s="19" t="s">
        <v>96</v>
      </c>
      <c r="CZ19" s="19"/>
      <c r="DA19" s="19" t="s">
        <v>175</v>
      </c>
      <c r="DB19" s="19"/>
      <c r="DC19" s="19"/>
      <c r="DD19" s="19"/>
      <c r="DE19" s="19"/>
      <c r="DF19" s="19"/>
      <c r="DG19" s="19"/>
      <c r="DH19" s="19">
        <v>1082860</v>
      </c>
      <c r="DI19" s="19">
        <v>13034744</v>
      </c>
      <c r="DJ19" s="19"/>
      <c r="DK19" s="19">
        <v>12522985</v>
      </c>
      <c r="DL19" s="19"/>
      <c r="DM19" s="19"/>
      <c r="DN19" s="19">
        <v>68334</v>
      </c>
      <c r="DO19" s="19">
        <v>312000</v>
      </c>
      <c r="DP19" s="19">
        <v>1314137</v>
      </c>
      <c r="DQ19" s="19"/>
      <c r="DR19" s="19">
        <v>14449264</v>
      </c>
      <c r="DS19" s="19"/>
      <c r="DT19" s="19">
        <f>201253+368096</f>
        <v>569349</v>
      </c>
      <c r="DU19" s="19"/>
      <c r="DV19" s="19"/>
      <c r="DW19" s="19">
        <v>14617894</v>
      </c>
      <c r="DX19" s="19"/>
      <c r="DY19" s="19"/>
      <c r="DZ19" s="19"/>
      <c r="EA19" s="19"/>
      <c r="EB19" s="19">
        <v>248400</v>
      </c>
      <c r="EC19" s="19">
        <v>5342427</v>
      </c>
      <c r="ED19" s="19"/>
      <c r="EE19" s="19"/>
      <c r="EF19" s="19">
        <v>171000</v>
      </c>
      <c r="EG19" s="19">
        <v>321854380</v>
      </c>
      <c r="EH19" s="19"/>
      <c r="EI19" s="19">
        <v>1870467</v>
      </c>
      <c r="EJ19" s="19"/>
      <c r="EK19" s="19"/>
      <c r="EL19" s="19"/>
      <c r="EM19" s="19"/>
      <c r="EN19" s="19"/>
      <c r="EO19" s="19"/>
      <c r="EP19" s="19"/>
      <c r="EQ19" s="19"/>
      <c r="ER19" s="19"/>
      <c r="ES19" s="19">
        <v>237868</v>
      </c>
      <c r="ET19" s="19">
        <f>5484840+10392695+2400000</f>
        <v>18277535</v>
      </c>
      <c r="EU19" s="19"/>
      <c r="EV19" s="19"/>
      <c r="EW19" s="19">
        <v>23048320</v>
      </c>
      <c r="EX19" s="19"/>
      <c r="EY19" s="19"/>
      <c r="EZ19" s="19"/>
      <c r="FA19" s="19">
        <v>400000</v>
      </c>
      <c r="FB19" s="19">
        <f>405672+1438533</f>
        <v>1844205</v>
      </c>
      <c r="FC19" s="19"/>
      <c r="FD19" s="19"/>
      <c r="FE19" s="19"/>
      <c r="FF19" s="19"/>
      <c r="FG19" s="19" t="s">
        <v>172</v>
      </c>
      <c r="FH19" s="19"/>
      <c r="FI19" s="19" t="s">
        <v>172</v>
      </c>
      <c r="FJ19" s="19"/>
      <c r="FK19" s="19"/>
      <c r="FL19" s="19">
        <v>11170124</v>
      </c>
      <c r="FM19" s="19">
        <v>7421001</v>
      </c>
      <c r="FN19" s="19">
        <v>29600463</v>
      </c>
      <c r="FO19" s="56" t="s">
        <v>172</v>
      </c>
      <c r="FP19" s="19">
        <v>6081671</v>
      </c>
      <c r="FQ19" s="19">
        <v>14795600</v>
      </c>
      <c r="FR19" s="19"/>
      <c r="FS19" s="19">
        <v>3164240</v>
      </c>
      <c r="FT19" s="19">
        <v>7881863</v>
      </c>
      <c r="FU19" s="19"/>
      <c r="FV19" s="19" t="s">
        <v>172</v>
      </c>
      <c r="FW19" s="19"/>
      <c r="FX19" s="19"/>
      <c r="FY19" s="19" t="s">
        <v>172</v>
      </c>
      <c r="FZ19" s="19" t="s">
        <v>175</v>
      </c>
      <c r="GA19" s="19">
        <v>10982429</v>
      </c>
      <c r="GB19" s="19">
        <v>900630</v>
      </c>
      <c r="GC19" s="19">
        <v>479340</v>
      </c>
      <c r="GD19" s="19" t="s">
        <v>172</v>
      </c>
      <c r="GE19" s="19" t="s">
        <v>172</v>
      </c>
      <c r="GF19" s="19">
        <v>2694894</v>
      </c>
      <c r="GG19" s="19">
        <v>8541325</v>
      </c>
      <c r="GH19" s="19" t="s">
        <v>172</v>
      </c>
      <c r="GI19" s="19">
        <v>1424153</v>
      </c>
      <c r="GJ19" s="19" t="s">
        <v>172</v>
      </c>
      <c r="GK19" s="19">
        <v>9254686</v>
      </c>
      <c r="GL19" s="19" t="s">
        <v>172</v>
      </c>
      <c r="GM19" s="19"/>
      <c r="GN19" s="19"/>
      <c r="GO19" s="19" t="s">
        <v>172</v>
      </c>
      <c r="GP19" s="19">
        <v>4290000</v>
      </c>
      <c r="GQ19" s="19">
        <v>47898769</v>
      </c>
      <c r="GR19" s="19">
        <v>1287000</v>
      </c>
      <c r="GS19" s="19"/>
      <c r="GT19" s="19"/>
      <c r="GU19" s="19"/>
      <c r="GV19" s="19">
        <v>5000</v>
      </c>
      <c r="GW19" s="19">
        <v>19105146</v>
      </c>
      <c r="GX19" s="19"/>
      <c r="GY19" s="19">
        <v>14391563</v>
      </c>
      <c r="GZ19" s="19">
        <v>5717126</v>
      </c>
      <c r="HA19" s="19" t="s">
        <v>172</v>
      </c>
      <c r="HB19" s="19"/>
      <c r="HC19" s="19"/>
      <c r="HD19" s="19">
        <v>1143240</v>
      </c>
      <c r="HE19" s="19" t="s">
        <v>172</v>
      </c>
      <c r="HF19" s="19"/>
      <c r="HG19" s="19">
        <v>735143</v>
      </c>
      <c r="HH19" s="19" t="s">
        <v>172</v>
      </c>
      <c r="HI19" s="19">
        <v>3475053</v>
      </c>
      <c r="HJ19" s="19" t="s">
        <v>172</v>
      </c>
      <c r="HK19" s="19">
        <f>30942953+1010341</f>
        <v>31953294</v>
      </c>
      <c r="HL19" s="19"/>
      <c r="HM19" s="19"/>
      <c r="HN19" s="19"/>
      <c r="HO19" s="19"/>
      <c r="HP19" s="19"/>
      <c r="HQ19" s="19"/>
      <c r="HR19" s="19"/>
      <c r="HS19" s="19">
        <f>92310+3306541+2000000</f>
        <v>5398851</v>
      </c>
      <c r="HT19" s="19"/>
      <c r="HU19" s="19">
        <f>50060843+397759</f>
        <v>50458602</v>
      </c>
      <c r="HV19" s="19">
        <v>1152240</v>
      </c>
      <c r="HW19" s="19" t="s">
        <v>172</v>
      </c>
      <c r="HX19" s="19">
        <f>337956858+1636640</f>
        <v>339593498</v>
      </c>
      <c r="HY19" s="19" t="s">
        <v>172</v>
      </c>
      <c r="HZ19" s="19"/>
      <c r="IA19" s="19"/>
      <c r="IB19" s="19"/>
      <c r="IC19" s="19">
        <f>242400+720000</f>
        <v>962400</v>
      </c>
      <c r="ID19" s="19"/>
      <c r="IE19" s="19" t="s">
        <v>172</v>
      </c>
      <c r="IF19" s="19"/>
      <c r="IG19" s="19">
        <v>1463475</v>
      </c>
      <c r="IH19" s="19">
        <v>311154</v>
      </c>
      <c r="II19" s="19">
        <v>4588830</v>
      </c>
      <c r="IJ19" s="19"/>
      <c r="IK19" s="19"/>
      <c r="IL19" s="19">
        <f>1465428+4362790+1907663</f>
        <v>7735881</v>
      </c>
      <c r="IM19" s="19"/>
      <c r="IN19" s="19"/>
      <c r="IO19" s="19"/>
      <c r="IP19" s="19"/>
      <c r="IQ19" s="19"/>
      <c r="IR19" s="19"/>
      <c r="IS19" s="19">
        <v>1254783</v>
      </c>
      <c r="IT19" s="19">
        <f>404733+1571296+392875</f>
        <v>2368904</v>
      </c>
      <c r="IU19" s="19"/>
      <c r="IV19" s="19"/>
      <c r="IW19" s="19">
        <v>38067764</v>
      </c>
      <c r="IX19" s="19">
        <v>305903</v>
      </c>
      <c r="IY19" s="19">
        <v>158640000</v>
      </c>
      <c r="IZ19" s="19">
        <f>706750+1111100</f>
        <v>1817850</v>
      </c>
      <c r="JA19" s="19">
        <v>7552609</v>
      </c>
      <c r="JB19" s="19"/>
      <c r="JC19" s="19"/>
      <c r="JD19" s="19">
        <v>3621334</v>
      </c>
      <c r="JE19" s="19">
        <v>894221</v>
      </c>
      <c r="JF19" s="19">
        <f>3074900+724000</f>
        <v>3798900</v>
      </c>
      <c r="JG19" s="19"/>
      <c r="JH19" s="19"/>
      <c r="JI19" s="19"/>
      <c r="JJ19" s="19"/>
      <c r="JK19" s="19">
        <v>856480</v>
      </c>
      <c r="JL19" s="19"/>
      <c r="JM19" s="19"/>
      <c r="JN19" s="19">
        <v>405556320</v>
      </c>
      <c r="JO19" s="19"/>
      <c r="JP19" s="19"/>
      <c r="JQ19" s="19" t="s">
        <v>175</v>
      </c>
      <c r="JR19" s="19"/>
      <c r="JS19" s="19"/>
      <c r="JT19" s="19"/>
      <c r="JU19" s="19"/>
      <c r="JV19" s="19"/>
      <c r="JW19" s="19"/>
      <c r="JX19" s="19"/>
      <c r="JY19" s="19"/>
      <c r="JZ19" s="19"/>
      <c r="KA19" s="19"/>
      <c r="KB19" s="19"/>
      <c r="KC19" s="19">
        <v>280000</v>
      </c>
      <c r="KD19" s="19"/>
      <c r="KE19" s="19"/>
      <c r="KF19" s="19"/>
      <c r="KG19" s="19">
        <v>3663126</v>
      </c>
      <c r="KH19" s="19">
        <v>31312132</v>
      </c>
      <c r="KI19" s="19"/>
      <c r="KJ19" s="19"/>
      <c r="KK19" s="19">
        <v>3103577</v>
      </c>
      <c r="KL19" s="19"/>
      <c r="KM19" s="19">
        <v>2494343</v>
      </c>
      <c r="KN19" s="19"/>
      <c r="KO19" s="19">
        <v>5827138</v>
      </c>
      <c r="KP19" s="19"/>
      <c r="KQ19" s="19"/>
      <c r="KR19" s="19">
        <v>3000000</v>
      </c>
      <c r="KS19" s="19">
        <v>72067</v>
      </c>
      <c r="KT19" s="19"/>
      <c r="KU19" s="19">
        <v>265125000</v>
      </c>
      <c r="KV19" s="19"/>
      <c r="KW19" s="19">
        <f>238334+485334</f>
        <v>723668</v>
      </c>
      <c r="KX19" s="19">
        <v>2690910</v>
      </c>
      <c r="KY19" s="19"/>
      <c r="KZ19" s="58">
        <v>2050600</v>
      </c>
      <c r="LA19" s="76"/>
      <c r="LB19" s="76">
        <v>6403757</v>
      </c>
    </row>
    <row r="20" spans="1:314">
      <c r="A20" s="7" t="s">
        <v>100</v>
      </c>
      <c r="B20" s="12" t="s">
        <v>137</v>
      </c>
      <c r="C20" s="19"/>
      <c r="D20" s="19"/>
      <c r="E20" s="19"/>
      <c r="F20" s="19">
        <v>8000</v>
      </c>
      <c r="G20" s="19" t="s">
        <v>130</v>
      </c>
      <c r="H20" s="19"/>
      <c r="I20" s="19">
        <v>127380000</v>
      </c>
      <c r="J20" s="19" t="s">
        <v>176</v>
      </c>
      <c r="K20" s="19"/>
      <c r="L20" s="19" t="s">
        <v>96</v>
      </c>
      <c r="M20" s="19" t="s">
        <v>96</v>
      </c>
      <c r="N20" s="19"/>
      <c r="O20" s="19"/>
      <c r="P20" s="19"/>
      <c r="Q20" s="19">
        <v>1000</v>
      </c>
      <c r="R20" s="19"/>
      <c r="S20" s="19">
        <v>74086955</v>
      </c>
      <c r="T20" s="19" t="s">
        <v>96</v>
      </c>
      <c r="U20" s="19" t="s">
        <v>96</v>
      </c>
      <c r="V20" s="19" t="s">
        <v>172</v>
      </c>
      <c r="W20" s="19">
        <v>124462894</v>
      </c>
      <c r="X20" s="19"/>
      <c r="Y20" s="19">
        <v>134797010</v>
      </c>
      <c r="Z20" s="19">
        <v>921860222</v>
      </c>
      <c r="AA20" s="19"/>
      <c r="AB20" s="19"/>
      <c r="AC20" s="19"/>
      <c r="AD20" s="19"/>
      <c r="AE20" s="19">
        <v>153163126</v>
      </c>
      <c r="AF20" s="56" t="s">
        <v>172</v>
      </c>
      <c r="AG20" s="19">
        <v>88650000</v>
      </c>
      <c r="AH20" s="19" t="s">
        <v>167</v>
      </c>
      <c r="AI20" s="19">
        <v>106353220</v>
      </c>
      <c r="AJ20" s="19">
        <v>139320740</v>
      </c>
      <c r="AK20" s="19"/>
      <c r="AL20" s="19">
        <v>188516000</v>
      </c>
      <c r="AM20" s="19" t="s">
        <v>4</v>
      </c>
      <c r="AN20" s="19">
        <f>13704000-9590000</f>
        <v>4114000</v>
      </c>
      <c r="AO20" s="19">
        <v>248638679</v>
      </c>
      <c r="AP20" s="19"/>
      <c r="AQ20" s="19" t="s">
        <v>172</v>
      </c>
      <c r="AR20" s="19">
        <f>37400000-14400000</f>
        <v>23000000</v>
      </c>
      <c r="AS20" s="19"/>
      <c r="AT20" s="19" t="s">
        <v>172</v>
      </c>
      <c r="AU20" s="19"/>
      <c r="AV20" s="19"/>
      <c r="AW20" s="19"/>
      <c r="AX20" s="19" t="s">
        <v>4</v>
      </c>
      <c r="AY20" s="19">
        <v>31913631</v>
      </c>
      <c r="AZ20" s="19"/>
      <c r="BA20" s="19" t="s">
        <v>167</v>
      </c>
      <c r="BB20" s="19"/>
      <c r="BC20" s="19" t="s">
        <v>4</v>
      </c>
      <c r="BD20" s="19" t="s">
        <v>172</v>
      </c>
      <c r="BE20" s="19">
        <v>983390881</v>
      </c>
      <c r="BF20" s="19" t="s">
        <v>96</v>
      </c>
      <c r="BG20" s="19"/>
      <c r="BH20" s="19">
        <v>1000</v>
      </c>
      <c r="BI20" s="19">
        <v>3000</v>
      </c>
      <c r="BJ20" s="19">
        <v>8025001</v>
      </c>
      <c r="BK20" s="19"/>
      <c r="BL20" s="19"/>
      <c r="BM20" s="19"/>
      <c r="BN20" s="19">
        <v>62911</v>
      </c>
      <c r="BO20" s="19" t="s">
        <v>96</v>
      </c>
      <c r="BP20" s="19" t="s">
        <v>96</v>
      </c>
      <c r="BQ20" s="19" t="s">
        <v>175</v>
      </c>
      <c r="BR20" s="19"/>
      <c r="BS20" s="19" t="s">
        <v>172</v>
      </c>
      <c r="BT20" s="19"/>
      <c r="BU20" s="19">
        <v>592475177</v>
      </c>
      <c r="BV20" s="19"/>
      <c r="BW20" s="19"/>
      <c r="BX20" s="19"/>
      <c r="BY20" s="19"/>
      <c r="BZ20" s="19"/>
      <c r="CA20" s="19">
        <f>481603681-122170000</f>
        <v>359433681</v>
      </c>
      <c r="CB20" s="19">
        <v>18000</v>
      </c>
      <c r="CC20" s="19"/>
      <c r="CD20" s="19"/>
      <c r="CE20" s="19" t="s">
        <v>172</v>
      </c>
      <c r="CF20" s="19">
        <v>375818117</v>
      </c>
      <c r="CG20" s="19"/>
      <c r="CH20" s="19"/>
      <c r="CI20" s="19" t="s">
        <v>172</v>
      </c>
      <c r="CJ20" s="19">
        <v>38400800</v>
      </c>
      <c r="CK20" s="19">
        <v>3145454</v>
      </c>
      <c r="CL20" s="19">
        <v>25990910</v>
      </c>
      <c r="CM20" s="19"/>
      <c r="CN20" s="19"/>
      <c r="CO20" s="19">
        <v>25803000</v>
      </c>
      <c r="CP20" s="19">
        <v>65000000</v>
      </c>
      <c r="CQ20" s="19" t="s">
        <v>96</v>
      </c>
      <c r="CR20" s="19"/>
      <c r="CS20" s="56" t="s">
        <v>172</v>
      </c>
      <c r="CT20" s="19"/>
      <c r="CU20" s="19"/>
      <c r="CV20" s="19"/>
      <c r="CW20" s="19"/>
      <c r="CX20" s="19"/>
      <c r="CY20" s="19" t="s">
        <v>96</v>
      </c>
      <c r="CZ20" s="19"/>
      <c r="DA20" s="19" t="s">
        <v>175</v>
      </c>
      <c r="DB20" s="19"/>
      <c r="DC20" s="19"/>
      <c r="DD20" s="19"/>
      <c r="DE20" s="19"/>
      <c r="DF20" s="19"/>
      <c r="DG20" s="19">
        <v>146082576</v>
      </c>
      <c r="DH20" s="19">
        <v>262838142</v>
      </c>
      <c r="DI20" s="19">
        <v>65178101</v>
      </c>
      <c r="DJ20" s="19">
        <v>25292200</v>
      </c>
      <c r="DK20" s="19"/>
      <c r="DL20" s="19">
        <v>30577172</v>
      </c>
      <c r="DM20" s="19"/>
      <c r="DN20" s="19">
        <v>185643570</v>
      </c>
      <c r="DO20" s="19"/>
      <c r="DP20" s="19"/>
      <c r="DQ20" s="19"/>
      <c r="DR20" s="19"/>
      <c r="DS20" s="19"/>
      <c r="DT20" s="19">
        <v>53497381</v>
      </c>
      <c r="DU20" s="19">
        <v>4000</v>
      </c>
      <c r="DV20" s="19"/>
      <c r="DW20" s="19"/>
      <c r="DX20" s="19"/>
      <c r="DY20" s="19"/>
      <c r="DZ20" s="19"/>
      <c r="EA20" s="19"/>
      <c r="EB20" s="19"/>
      <c r="EC20" s="19"/>
      <c r="ED20" s="19"/>
      <c r="EE20" s="19"/>
      <c r="EF20" s="19">
        <v>3000</v>
      </c>
      <c r="EG20" s="19"/>
      <c r="EH20" s="19"/>
      <c r="EI20" s="19"/>
      <c r="EJ20" s="19"/>
      <c r="EK20" s="19">
        <v>131195000</v>
      </c>
      <c r="EL20" s="19"/>
      <c r="EM20" s="19"/>
      <c r="EN20" s="19">
        <v>5502000</v>
      </c>
      <c r="EO20" s="19"/>
      <c r="EP20" s="19"/>
      <c r="EQ20" s="19"/>
      <c r="ER20" s="19">
        <v>5259000</v>
      </c>
      <c r="ES20" s="19"/>
      <c r="ET20" s="19">
        <v>1454682170</v>
      </c>
      <c r="EU20" s="19"/>
      <c r="EV20" s="19"/>
      <c r="EW20" s="19"/>
      <c r="EX20" s="19">
        <v>16099000</v>
      </c>
      <c r="EY20" s="19"/>
      <c r="EZ20" s="19"/>
      <c r="FA20" s="19">
        <v>2250000</v>
      </c>
      <c r="FB20" s="19">
        <v>2400000</v>
      </c>
      <c r="FC20" s="19">
        <v>40900000</v>
      </c>
      <c r="FD20" s="19"/>
      <c r="FE20" s="19"/>
      <c r="FF20" s="19"/>
      <c r="FG20" s="19" t="s">
        <v>172</v>
      </c>
      <c r="FH20" s="19"/>
      <c r="FI20" s="19" t="s">
        <v>172</v>
      </c>
      <c r="FJ20" s="19"/>
      <c r="FK20" s="19"/>
      <c r="FL20" s="19"/>
      <c r="FM20" s="19">
        <v>258568165</v>
      </c>
      <c r="FN20" s="19">
        <v>600459660</v>
      </c>
      <c r="FO20" s="56" t="s">
        <v>172</v>
      </c>
      <c r="FP20" s="19">
        <v>248013190</v>
      </c>
      <c r="FQ20" s="19"/>
      <c r="FR20" s="19">
        <v>89835738</v>
      </c>
      <c r="FS20" s="19">
        <v>145200000</v>
      </c>
      <c r="FT20" s="19"/>
      <c r="FU20" s="19"/>
      <c r="FV20" s="19" t="s">
        <v>172</v>
      </c>
      <c r="FW20" s="19">
        <v>10800000</v>
      </c>
      <c r="FX20" s="19">
        <v>110487320</v>
      </c>
      <c r="FY20" s="19" t="s">
        <v>172</v>
      </c>
      <c r="FZ20" s="19" t="s">
        <v>175</v>
      </c>
      <c r="GA20" s="19"/>
      <c r="GB20" s="19">
        <v>186880148</v>
      </c>
      <c r="GC20" s="19">
        <v>33002640</v>
      </c>
      <c r="GD20" s="19" t="s">
        <v>172</v>
      </c>
      <c r="GE20" s="19" t="s">
        <v>172</v>
      </c>
      <c r="GF20" s="19"/>
      <c r="GG20" s="19"/>
      <c r="GH20" s="19" t="s">
        <v>172</v>
      </c>
      <c r="GI20" s="19">
        <v>9712500</v>
      </c>
      <c r="GJ20" s="19" t="s">
        <v>172</v>
      </c>
      <c r="GK20" s="19"/>
      <c r="GL20" s="19" t="s">
        <v>172</v>
      </c>
      <c r="GM20" s="19"/>
      <c r="GN20" s="19"/>
      <c r="GO20" s="19" t="s">
        <v>172</v>
      </c>
      <c r="GP20" s="19"/>
      <c r="GQ20" s="19"/>
      <c r="GR20" s="19">
        <v>908289939</v>
      </c>
      <c r="GS20" s="19"/>
      <c r="GT20" s="19"/>
      <c r="GU20" s="19"/>
      <c r="GV20" s="19"/>
      <c r="GW20" s="19"/>
      <c r="GX20" s="19">
        <v>425949395</v>
      </c>
      <c r="GY20" s="19">
        <v>12480378</v>
      </c>
      <c r="GZ20" s="19">
        <v>10726001</v>
      </c>
      <c r="HA20" s="19" t="s">
        <v>172</v>
      </c>
      <c r="HB20" s="19"/>
      <c r="HC20" s="19">
        <v>131563636</v>
      </c>
      <c r="HD20" s="19"/>
      <c r="HE20" s="19" t="s">
        <v>172</v>
      </c>
      <c r="HF20" s="19"/>
      <c r="HG20" s="19">
        <f>14400000-13200000</f>
        <v>1200000</v>
      </c>
      <c r="HH20" s="19" t="s">
        <v>172</v>
      </c>
      <c r="HI20" s="19">
        <v>223708334</v>
      </c>
      <c r="HJ20" s="19" t="s">
        <v>172</v>
      </c>
      <c r="HK20" s="19"/>
      <c r="HL20" s="19"/>
      <c r="HM20" s="19"/>
      <c r="HN20" s="19">
        <v>23002500</v>
      </c>
      <c r="HO20" s="19">
        <v>5040000</v>
      </c>
      <c r="HP20" s="19"/>
      <c r="HQ20" s="19"/>
      <c r="HR20" s="19"/>
      <c r="HS20" s="19">
        <v>249624229</v>
      </c>
      <c r="HT20" s="19"/>
      <c r="HU20" s="19">
        <v>211277297</v>
      </c>
      <c r="HV20" s="19"/>
      <c r="HW20" s="19" t="s">
        <v>172</v>
      </c>
      <c r="HX20" s="19">
        <v>340877891</v>
      </c>
      <c r="HY20" s="19" t="s">
        <v>172</v>
      </c>
      <c r="HZ20" s="19"/>
      <c r="IA20" s="19"/>
      <c r="IB20" s="19">
        <v>32821249</v>
      </c>
      <c r="IC20" s="19">
        <v>86898665</v>
      </c>
      <c r="ID20" s="19"/>
      <c r="IE20" s="19" t="s">
        <v>172</v>
      </c>
      <c r="IF20" s="19"/>
      <c r="IG20" s="19"/>
      <c r="IH20" s="19">
        <v>12686168</v>
      </c>
      <c r="II20" s="19">
        <v>140934149</v>
      </c>
      <c r="IJ20" s="19"/>
      <c r="IK20" s="19"/>
      <c r="IL20" s="19"/>
      <c r="IM20" s="19">
        <v>5400001</v>
      </c>
      <c r="IN20" s="19"/>
      <c r="IO20" s="19"/>
      <c r="IP20" s="19"/>
      <c r="IQ20" s="19"/>
      <c r="IR20" s="19"/>
      <c r="IS20" s="19"/>
      <c r="IT20" s="19"/>
      <c r="IU20" s="19"/>
      <c r="IV20" s="19"/>
      <c r="IW20" s="19"/>
      <c r="IX20" s="19"/>
      <c r="IY20" s="19">
        <v>206636363</v>
      </c>
      <c r="IZ20" s="19">
        <v>36390909</v>
      </c>
      <c r="JA20" s="19">
        <v>67126546</v>
      </c>
      <c r="JB20" s="19"/>
      <c r="JC20" s="19"/>
      <c r="JD20" s="19"/>
      <c r="JE20" s="19">
        <v>4545455</v>
      </c>
      <c r="JF20" s="19">
        <v>742769414</v>
      </c>
      <c r="JG20" s="19">
        <v>5780000</v>
      </c>
      <c r="JH20" s="19"/>
      <c r="JI20" s="19"/>
      <c r="JJ20" s="19"/>
      <c r="JK20" s="19"/>
      <c r="JL20" s="19"/>
      <c r="JM20" s="19"/>
      <c r="JN20" s="19">
        <v>89373325</v>
      </c>
      <c r="JO20" s="19">
        <v>3520000</v>
      </c>
      <c r="JP20" s="19"/>
      <c r="JQ20" s="19" t="s">
        <v>175</v>
      </c>
      <c r="JR20" s="19"/>
      <c r="JS20" s="19"/>
      <c r="JT20" s="19">
        <v>4026000</v>
      </c>
      <c r="JU20" s="19">
        <v>12320834</v>
      </c>
      <c r="JV20" s="19"/>
      <c r="JW20" s="19"/>
      <c r="JX20" s="19"/>
      <c r="JY20" s="19"/>
      <c r="JZ20" s="19">
        <v>4300200</v>
      </c>
      <c r="KA20" s="19"/>
      <c r="KB20" s="19">
        <v>89315418</v>
      </c>
      <c r="KC20" s="19"/>
      <c r="KD20" s="19"/>
      <c r="KE20" s="19"/>
      <c r="KF20" s="19">
        <v>82906061</v>
      </c>
      <c r="KG20" s="19"/>
      <c r="KH20" s="19">
        <v>707091434</v>
      </c>
      <c r="KI20" s="19"/>
      <c r="KJ20" s="19"/>
      <c r="KK20" s="19"/>
      <c r="KL20" s="19"/>
      <c r="KM20" s="19"/>
      <c r="KN20" s="19"/>
      <c r="KO20" s="19">
        <v>66352256</v>
      </c>
      <c r="KP20" s="19"/>
      <c r="KQ20" s="19"/>
      <c r="KR20" s="19">
        <v>123636364</v>
      </c>
      <c r="KS20" s="19"/>
      <c r="KT20" s="19"/>
      <c r="KU20" s="19">
        <v>590799193</v>
      </c>
      <c r="KV20" s="19">
        <v>476667</v>
      </c>
      <c r="KW20" s="19">
        <v>111842760</v>
      </c>
      <c r="KX20" s="19"/>
      <c r="KY20" s="19"/>
      <c r="KZ20" s="58"/>
      <c r="LA20" s="76"/>
      <c r="LB20" s="76"/>
    </row>
    <row r="21" spans="1:314" ht="16.8" customHeight="1">
      <c r="A21" s="7" t="s">
        <v>100</v>
      </c>
      <c r="B21" s="12" t="s">
        <v>39</v>
      </c>
      <c r="C21" s="19"/>
      <c r="D21" s="19"/>
      <c r="E21" s="19"/>
      <c r="F21" s="19">
        <v>35032240</v>
      </c>
      <c r="G21" s="19" t="s">
        <v>130</v>
      </c>
      <c r="H21" s="19"/>
      <c r="I21" s="19"/>
      <c r="J21" s="19" t="s">
        <v>176</v>
      </c>
      <c r="K21" s="19"/>
      <c r="L21" s="19" t="s">
        <v>96</v>
      </c>
      <c r="M21" s="19" t="s">
        <v>96</v>
      </c>
      <c r="N21" s="19"/>
      <c r="O21" s="19"/>
      <c r="P21" s="19">
        <v>1000</v>
      </c>
      <c r="Q21" s="19"/>
      <c r="R21" s="19"/>
      <c r="S21" s="19">
        <v>8341573</v>
      </c>
      <c r="T21" s="19" t="s">
        <v>96</v>
      </c>
      <c r="U21" s="19" t="s">
        <v>96</v>
      </c>
      <c r="V21" s="19" t="s">
        <v>172</v>
      </c>
      <c r="W21" s="19"/>
      <c r="X21" s="19"/>
      <c r="Y21" s="19"/>
      <c r="Z21" s="19"/>
      <c r="AA21" s="19"/>
      <c r="AB21" s="19"/>
      <c r="AC21" s="19"/>
      <c r="AD21" s="19"/>
      <c r="AE21" s="19"/>
      <c r="AF21" s="56" t="s">
        <v>172</v>
      </c>
      <c r="AG21" s="19">
        <v>50000000</v>
      </c>
      <c r="AH21" s="19" t="s">
        <v>167</v>
      </c>
      <c r="AI21" s="19"/>
      <c r="AJ21" s="19"/>
      <c r="AK21" s="19"/>
      <c r="AL21" s="19"/>
      <c r="AM21" s="19" t="s">
        <v>4</v>
      </c>
      <c r="AN21" s="19"/>
      <c r="AO21" s="19"/>
      <c r="AP21" s="19"/>
      <c r="AQ21" s="19" t="s">
        <v>172</v>
      </c>
      <c r="AR21" s="19"/>
      <c r="AS21" s="19"/>
      <c r="AT21" s="19" t="s">
        <v>172</v>
      </c>
      <c r="AU21" s="19"/>
      <c r="AV21" s="19"/>
      <c r="AW21" s="19"/>
      <c r="AX21" s="19" t="s">
        <v>4</v>
      </c>
      <c r="AY21" s="19"/>
      <c r="AZ21" s="19"/>
      <c r="BA21" s="19" t="s">
        <v>167</v>
      </c>
      <c r="BB21" s="19">
        <v>10715156</v>
      </c>
      <c r="BC21" s="19" t="s">
        <v>4</v>
      </c>
      <c r="BD21" s="19" t="s">
        <v>172</v>
      </c>
      <c r="BE21" s="19"/>
      <c r="BF21" s="19" t="s">
        <v>96</v>
      </c>
      <c r="BG21" s="19">
        <v>7066667</v>
      </c>
      <c r="BH21" s="19"/>
      <c r="BI21" s="19"/>
      <c r="BJ21" s="19"/>
      <c r="BK21" s="19"/>
      <c r="BL21" s="19">
        <v>2012500</v>
      </c>
      <c r="BM21" s="19"/>
      <c r="BN21" s="19"/>
      <c r="BO21" s="19" t="s">
        <v>96</v>
      </c>
      <c r="BP21" s="19" t="s">
        <v>96</v>
      </c>
      <c r="BQ21" s="19" t="s">
        <v>175</v>
      </c>
      <c r="BR21" s="19">
        <v>3666667</v>
      </c>
      <c r="BS21" s="19" t="s">
        <v>172</v>
      </c>
      <c r="BT21" s="19"/>
      <c r="BU21" s="19"/>
      <c r="BV21" s="19"/>
      <c r="BW21" s="19"/>
      <c r="BX21" s="19"/>
      <c r="BY21" s="19">
        <v>1000</v>
      </c>
      <c r="BZ21" s="19"/>
      <c r="CA21" s="19"/>
      <c r="CB21" s="19"/>
      <c r="CC21" s="19"/>
      <c r="CD21" s="19"/>
      <c r="CE21" s="19" t="s">
        <v>172</v>
      </c>
      <c r="CF21" s="19"/>
      <c r="CG21" s="19"/>
      <c r="CH21" s="19"/>
      <c r="CI21" s="19" t="s">
        <v>172</v>
      </c>
      <c r="CJ21" s="19"/>
      <c r="CK21" s="19"/>
      <c r="CL21" s="19"/>
      <c r="CM21" s="19"/>
      <c r="CN21" s="19"/>
      <c r="CO21" s="19"/>
      <c r="CP21" s="19"/>
      <c r="CQ21" s="19" t="s">
        <v>96</v>
      </c>
      <c r="CR21" s="19"/>
      <c r="CS21" s="56" t="s">
        <v>172</v>
      </c>
      <c r="CT21" s="19"/>
      <c r="CU21" s="19"/>
      <c r="CV21" s="19"/>
      <c r="CW21" s="19"/>
      <c r="CX21" s="19"/>
      <c r="CY21" s="19" t="s">
        <v>96</v>
      </c>
      <c r="CZ21" s="19"/>
      <c r="DA21" s="19" t="s">
        <v>175</v>
      </c>
      <c r="DB21" s="19"/>
      <c r="DC21" s="19"/>
      <c r="DD21" s="19"/>
      <c r="DE21" s="19"/>
      <c r="DF21" s="19"/>
      <c r="DG21" s="19"/>
      <c r="DH21" s="19"/>
      <c r="DI21" s="19"/>
      <c r="DJ21" s="19"/>
      <c r="DK21" s="19"/>
      <c r="DL21" s="19"/>
      <c r="DM21" s="19"/>
      <c r="DN21" s="19"/>
      <c r="DO21" s="19"/>
      <c r="DP21" s="19"/>
      <c r="DQ21" s="19"/>
      <c r="DR21" s="19"/>
      <c r="DS21" s="19"/>
      <c r="DT21" s="19"/>
      <c r="DU21" s="19"/>
      <c r="DV21" s="19"/>
      <c r="DW21" s="19"/>
      <c r="DX21" s="19"/>
      <c r="DY21" s="19"/>
      <c r="DZ21" s="19"/>
      <c r="EA21" s="19"/>
      <c r="EB21" s="19"/>
      <c r="EC21" s="19"/>
      <c r="ED21" s="19"/>
      <c r="EE21" s="19"/>
      <c r="EF21" s="19"/>
      <c r="EG21" s="19"/>
      <c r="EH21" s="19"/>
      <c r="EI21" s="19">
        <v>17766667</v>
      </c>
      <c r="EJ21" s="19"/>
      <c r="EK21" s="19"/>
      <c r="EL21" s="19"/>
      <c r="EM21" s="19"/>
      <c r="EN21" s="19"/>
      <c r="EO21" s="19">
        <v>1000</v>
      </c>
      <c r="EP21" s="19"/>
      <c r="EQ21" s="19"/>
      <c r="ER21" s="19"/>
      <c r="ES21" s="19">
        <v>1000</v>
      </c>
      <c r="ET21" s="19"/>
      <c r="EU21" s="19"/>
      <c r="EV21" s="19"/>
      <c r="EW21" s="19"/>
      <c r="EX21" s="19">
        <v>20000000</v>
      </c>
      <c r="EY21" s="19"/>
      <c r="EZ21" s="19">
        <v>20809998</v>
      </c>
      <c r="FA21" s="19">
        <v>20000000</v>
      </c>
      <c r="FB21" s="19">
        <v>4000000</v>
      </c>
      <c r="FC21" s="19"/>
      <c r="FD21" s="19"/>
      <c r="FE21" s="19">
        <v>12501000</v>
      </c>
      <c r="FF21" s="19"/>
      <c r="FG21" s="19" t="s">
        <v>172</v>
      </c>
      <c r="FH21" s="19"/>
      <c r="FI21" s="19" t="s">
        <v>172</v>
      </c>
      <c r="FJ21" s="19"/>
      <c r="FK21" s="19"/>
      <c r="FL21" s="19">
        <v>40356502</v>
      </c>
      <c r="FM21" s="19"/>
      <c r="FN21" s="19"/>
      <c r="FO21" s="56" t="s">
        <v>172</v>
      </c>
      <c r="FP21" s="19"/>
      <c r="FQ21" s="19"/>
      <c r="FR21" s="19"/>
      <c r="FS21" s="19"/>
      <c r="FT21" s="19"/>
      <c r="FU21" s="19"/>
      <c r="FV21" s="19" t="s">
        <v>172</v>
      </c>
      <c r="FW21" s="19"/>
      <c r="FX21" s="19"/>
      <c r="FY21" s="19" t="s">
        <v>172</v>
      </c>
      <c r="FZ21" s="19" t="s">
        <v>175</v>
      </c>
      <c r="GA21" s="19"/>
      <c r="GB21" s="19"/>
      <c r="GC21" s="19"/>
      <c r="GD21" s="19" t="s">
        <v>172</v>
      </c>
      <c r="GE21" s="19" t="s">
        <v>172</v>
      </c>
      <c r="GF21" s="19"/>
      <c r="GG21" s="19"/>
      <c r="GH21" s="19" t="s">
        <v>172</v>
      </c>
      <c r="GI21" s="19"/>
      <c r="GJ21" s="19" t="s">
        <v>172</v>
      </c>
      <c r="GK21" s="19"/>
      <c r="GL21" s="19" t="s">
        <v>172</v>
      </c>
      <c r="GM21" s="19"/>
      <c r="GN21" s="19">
        <v>59000000</v>
      </c>
      <c r="GO21" s="19" t="s">
        <v>172</v>
      </c>
      <c r="GP21" s="19"/>
      <c r="GQ21" s="19"/>
      <c r="GR21" s="19">
        <v>20000000</v>
      </c>
      <c r="GS21" s="19">
        <v>12766661</v>
      </c>
      <c r="GT21" s="19"/>
      <c r="GU21" s="19"/>
      <c r="GV21" s="19"/>
      <c r="GW21" s="19">
        <v>103044689</v>
      </c>
      <c r="GX21" s="19"/>
      <c r="GY21" s="19"/>
      <c r="GZ21" s="19"/>
      <c r="HA21" s="19" t="s">
        <v>172</v>
      </c>
      <c r="HB21" s="19"/>
      <c r="HC21" s="19"/>
      <c r="HD21" s="19"/>
      <c r="HE21" s="19" t="s">
        <v>172</v>
      </c>
      <c r="HF21" s="19"/>
      <c r="HG21" s="19"/>
      <c r="HH21" s="19" t="s">
        <v>172</v>
      </c>
      <c r="HI21" s="19"/>
      <c r="HJ21" s="19" t="s">
        <v>172</v>
      </c>
      <c r="HK21" s="19"/>
      <c r="HL21" s="19"/>
      <c r="HM21" s="19"/>
      <c r="HN21" s="19"/>
      <c r="HO21" s="19"/>
      <c r="HP21" s="19"/>
      <c r="HQ21" s="19"/>
      <c r="HR21" s="19">
        <v>1000</v>
      </c>
      <c r="HS21" s="19"/>
      <c r="HT21" s="19"/>
      <c r="HU21" s="19"/>
      <c r="HV21" s="19"/>
      <c r="HW21" s="19" t="s">
        <v>172</v>
      </c>
      <c r="HX21" s="19"/>
      <c r="HY21" s="19" t="s">
        <v>172</v>
      </c>
      <c r="HZ21" s="19"/>
      <c r="IA21" s="19"/>
      <c r="IB21" s="19">
        <v>4500000</v>
      </c>
      <c r="IC21" s="19"/>
      <c r="ID21" s="19"/>
      <c r="IE21" s="19" t="s">
        <v>172</v>
      </c>
      <c r="IF21" s="19"/>
      <c r="IG21" s="19"/>
      <c r="IH21" s="19">
        <v>91000000</v>
      </c>
      <c r="II21" s="19"/>
      <c r="IJ21" s="19"/>
      <c r="IK21" s="19"/>
      <c r="IL21" s="19">
        <v>12790000</v>
      </c>
      <c r="IM21" s="19"/>
      <c r="IN21" s="19"/>
      <c r="IO21" s="19"/>
      <c r="IP21" s="19"/>
      <c r="IQ21" s="19"/>
      <c r="IR21" s="19"/>
      <c r="IS21" s="19"/>
      <c r="IT21" s="19"/>
      <c r="IU21" s="19"/>
      <c r="IV21" s="19"/>
      <c r="IW21" s="19"/>
      <c r="IX21" s="19"/>
      <c r="IY21" s="19"/>
      <c r="IZ21" s="19"/>
      <c r="JA21" s="19"/>
      <c r="JB21" s="19"/>
      <c r="JC21" s="19"/>
      <c r="JD21" s="19"/>
      <c r="JE21" s="19"/>
      <c r="JF21" s="19"/>
      <c r="JG21" s="19"/>
      <c r="JH21" s="19"/>
      <c r="JI21" s="19"/>
      <c r="JJ21" s="19"/>
      <c r="JK21" s="19"/>
      <c r="JL21" s="19"/>
      <c r="JM21" s="19"/>
      <c r="JN21" s="19">
        <v>1323600</v>
      </c>
      <c r="JO21" s="19"/>
      <c r="JP21" s="19"/>
      <c r="JQ21" s="19" t="s">
        <v>175</v>
      </c>
      <c r="JR21" s="19"/>
      <c r="JS21" s="19"/>
      <c r="JT21" s="19"/>
      <c r="JU21" s="19"/>
      <c r="JV21" s="19"/>
      <c r="JW21" s="19"/>
      <c r="JX21" s="19"/>
      <c r="JY21" s="19"/>
      <c r="JZ21" s="19"/>
      <c r="KA21" s="19"/>
      <c r="KB21" s="19"/>
      <c r="KC21" s="19"/>
      <c r="KD21" s="19"/>
      <c r="KE21" s="19"/>
      <c r="KF21" s="19"/>
      <c r="KG21" s="19"/>
      <c r="KH21" s="19"/>
      <c r="KI21" s="19"/>
      <c r="KJ21" s="19">
        <v>8500000</v>
      </c>
      <c r="KK21" s="19"/>
      <c r="KL21" s="19"/>
      <c r="KM21" s="19"/>
      <c r="KN21" s="19"/>
      <c r="KO21" s="19"/>
      <c r="KP21" s="19"/>
      <c r="KQ21" s="19"/>
      <c r="KR21" s="19"/>
      <c r="KS21" s="19"/>
      <c r="KT21" s="19"/>
      <c r="KU21" s="19"/>
      <c r="KV21" s="19"/>
      <c r="KW21" s="19"/>
      <c r="KX21" s="19"/>
      <c r="KY21" s="19">
        <v>49833334</v>
      </c>
      <c r="KZ21" s="58"/>
      <c r="LA21" s="76"/>
      <c r="LB21" s="76"/>
    </row>
    <row r="22" spans="1:314">
      <c r="A22" s="7" t="s">
        <v>100</v>
      </c>
      <c r="B22" s="11" t="s">
        <v>68</v>
      </c>
      <c r="C22" s="19">
        <v>65300000</v>
      </c>
      <c r="D22" s="19"/>
      <c r="E22" s="19">
        <v>20000000</v>
      </c>
      <c r="F22" s="19"/>
      <c r="G22" s="19" t="s">
        <v>130</v>
      </c>
      <c r="H22" s="19">
        <v>516502000</v>
      </c>
      <c r="I22" s="19">
        <v>495687600</v>
      </c>
      <c r="J22" s="19" t="s">
        <v>176</v>
      </c>
      <c r="K22" s="19">
        <v>6061000</v>
      </c>
      <c r="L22" s="19" t="s">
        <v>96</v>
      </c>
      <c r="M22" s="19" t="s">
        <v>96</v>
      </c>
      <c r="N22" s="19">
        <v>23980000</v>
      </c>
      <c r="O22" s="19">
        <v>202842120</v>
      </c>
      <c r="P22" s="19">
        <v>146269930</v>
      </c>
      <c r="Q22" s="19">
        <v>16000000</v>
      </c>
      <c r="R22" s="19">
        <v>36120000</v>
      </c>
      <c r="S22" s="19">
        <v>96655000</v>
      </c>
      <c r="T22" s="19" t="s">
        <v>96</v>
      </c>
      <c r="U22" s="19" t="s">
        <v>96</v>
      </c>
      <c r="V22" s="19" t="s">
        <v>172</v>
      </c>
      <c r="W22" s="19">
        <v>120330000</v>
      </c>
      <c r="X22" s="19">
        <v>20000000</v>
      </c>
      <c r="Y22" s="19">
        <v>22070460</v>
      </c>
      <c r="Z22" s="19">
        <v>770000000</v>
      </c>
      <c r="AA22" s="19">
        <v>525000000</v>
      </c>
      <c r="AB22" s="19">
        <v>50500000</v>
      </c>
      <c r="AC22" s="19"/>
      <c r="AD22" s="19">
        <v>79419000</v>
      </c>
      <c r="AE22" s="19">
        <v>58317000</v>
      </c>
      <c r="AF22" s="56" t="s">
        <v>172</v>
      </c>
      <c r="AG22" s="19">
        <v>7189000</v>
      </c>
      <c r="AH22" s="19" t="s">
        <v>167</v>
      </c>
      <c r="AI22" s="19">
        <v>57355000</v>
      </c>
      <c r="AJ22" s="19">
        <v>47200000</v>
      </c>
      <c r="AK22" s="19">
        <v>34162400</v>
      </c>
      <c r="AL22" s="19">
        <v>95035883</v>
      </c>
      <c r="AM22" s="19" t="s">
        <v>4</v>
      </c>
      <c r="AN22" s="19">
        <v>34536000</v>
      </c>
      <c r="AO22" s="19">
        <v>22000000</v>
      </c>
      <c r="AP22" s="19"/>
      <c r="AQ22" s="19" t="s">
        <v>172</v>
      </c>
      <c r="AR22" s="19">
        <v>500120000</v>
      </c>
      <c r="AS22" s="19">
        <v>445180000</v>
      </c>
      <c r="AT22" s="19" t="s">
        <v>172</v>
      </c>
      <c r="AU22" s="19">
        <v>218540000</v>
      </c>
      <c r="AV22" s="19">
        <v>50000000</v>
      </c>
      <c r="AW22" s="19">
        <v>1000000</v>
      </c>
      <c r="AX22" s="19" t="s">
        <v>4</v>
      </c>
      <c r="AY22" s="19">
        <v>500000</v>
      </c>
      <c r="AZ22" s="19">
        <v>200000000</v>
      </c>
      <c r="BA22" s="19" t="s">
        <v>167</v>
      </c>
      <c r="BB22" s="19"/>
      <c r="BC22" s="19" t="s">
        <v>4</v>
      </c>
      <c r="BD22" s="19" t="s">
        <v>172</v>
      </c>
      <c r="BE22" s="19">
        <v>99548000</v>
      </c>
      <c r="BF22" s="19" t="s">
        <v>96</v>
      </c>
      <c r="BG22" s="19">
        <v>64388342</v>
      </c>
      <c r="BH22" s="19"/>
      <c r="BI22" s="19">
        <v>32095000</v>
      </c>
      <c r="BJ22" s="19">
        <v>109484834</v>
      </c>
      <c r="BK22" s="19">
        <v>110450000</v>
      </c>
      <c r="BL22" s="19">
        <v>104000000</v>
      </c>
      <c r="BM22" s="19">
        <v>78018006</v>
      </c>
      <c r="BN22" s="19">
        <v>100000000</v>
      </c>
      <c r="BO22" s="19" t="s">
        <v>96</v>
      </c>
      <c r="BP22" s="19" t="s">
        <v>96</v>
      </c>
      <c r="BQ22" s="19" t="s">
        <v>175</v>
      </c>
      <c r="BR22" s="19">
        <v>180537000</v>
      </c>
      <c r="BS22" s="19" t="s">
        <v>172</v>
      </c>
      <c r="BT22" s="19">
        <v>2000000</v>
      </c>
      <c r="BU22" s="19">
        <v>41005000</v>
      </c>
      <c r="BV22" s="19"/>
      <c r="BW22" s="19"/>
      <c r="BX22" s="19">
        <v>1200000</v>
      </c>
      <c r="BY22" s="19">
        <v>183400000</v>
      </c>
      <c r="BZ22" s="19">
        <v>10000000</v>
      </c>
      <c r="CA22" s="19">
        <v>311335700</v>
      </c>
      <c r="CB22" s="19"/>
      <c r="CC22" s="19"/>
      <c r="CD22" s="19"/>
      <c r="CE22" s="19" t="s">
        <v>172</v>
      </c>
      <c r="CF22" s="19">
        <v>300000</v>
      </c>
      <c r="CG22" s="19">
        <v>10000000</v>
      </c>
      <c r="CH22" s="19">
        <v>60620000</v>
      </c>
      <c r="CI22" s="19" t="s">
        <v>172</v>
      </c>
      <c r="CJ22" s="19">
        <v>13000000</v>
      </c>
      <c r="CK22" s="19">
        <v>1395000</v>
      </c>
      <c r="CL22" s="19">
        <v>500000</v>
      </c>
      <c r="CM22" s="19">
        <v>210000000</v>
      </c>
      <c r="CN22" s="19">
        <v>7102400</v>
      </c>
      <c r="CO22" s="19"/>
      <c r="CP22" s="19">
        <v>259121000</v>
      </c>
      <c r="CQ22" s="19" t="s">
        <v>96</v>
      </c>
      <c r="CR22" s="19">
        <v>136749230</v>
      </c>
      <c r="CS22" s="56" t="s">
        <v>172</v>
      </c>
      <c r="CT22" s="19">
        <v>726479000</v>
      </c>
      <c r="CU22" s="19">
        <v>34250550</v>
      </c>
      <c r="CV22" s="19"/>
      <c r="CW22" s="19">
        <v>378015600</v>
      </c>
      <c r="CX22" s="19">
        <v>206742000</v>
      </c>
      <c r="CY22" s="19" t="s">
        <v>96</v>
      </c>
      <c r="CZ22" s="19">
        <v>39624000</v>
      </c>
      <c r="DA22" s="19" t="s">
        <v>175</v>
      </c>
      <c r="DB22" s="19">
        <v>930000</v>
      </c>
      <c r="DC22" s="19"/>
      <c r="DD22" s="19">
        <v>20000000</v>
      </c>
      <c r="DE22" s="19">
        <v>34880600</v>
      </c>
      <c r="DF22" s="19">
        <v>12000000</v>
      </c>
      <c r="DG22" s="19">
        <v>300000</v>
      </c>
      <c r="DH22" s="19"/>
      <c r="DI22" s="19">
        <v>300000</v>
      </c>
      <c r="DJ22" s="19"/>
      <c r="DK22" s="19">
        <v>50103200</v>
      </c>
      <c r="DL22" s="19">
        <v>13162000</v>
      </c>
      <c r="DM22" s="19">
        <v>740107416</v>
      </c>
      <c r="DN22" s="19">
        <v>24551000</v>
      </c>
      <c r="DO22" s="19">
        <v>70000000</v>
      </c>
      <c r="DP22" s="19">
        <v>256999500</v>
      </c>
      <c r="DQ22" s="19">
        <v>20000000</v>
      </c>
      <c r="DR22" s="19">
        <v>85051940</v>
      </c>
      <c r="DS22" s="19"/>
      <c r="DT22" s="19">
        <v>42073216</v>
      </c>
      <c r="DU22" s="19">
        <v>40000000</v>
      </c>
      <c r="DV22" s="19">
        <v>75440000</v>
      </c>
      <c r="DW22" s="19">
        <v>383995000</v>
      </c>
      <c r="DX22" s="19">
        <v>713809450</v>
      </c>
      <c r="DY22" s="19"/>
      <c r="DZ22" s="19">
        <v>47861395</v>
      </c>
      <c r="EA22" s="19">
        <v>10000000</v>
      </c>
      <c r="EB22" s="19"/>
      <c r="EC22" s="19">
        <v>1162000</v>
      </c>
      <c r="ED22" s="19"/>
      <c r="EE22" s="19">
        <v>100000000</v>
      </c>
      <c r="EF22" s="19"/>
      <c r="EG22" s="19">
        <v>563877800</v>
      </c>
      <c r="EH22" s="19"/>
      <c r="EI22" s="19">
        <v>2159410790</v>
      </c>
      <c r="EJ22" s="19">
        <v>10350000</v>
      </c>
      <c r="EK22" s="19">
        <v>60819000</v>
      </c>
      <c r="EL22" s="19">
        <v>148560000</v>
      </c>
      <c r="EM22" s="19">
        <v>310000000</v>
      </c>
      <c r="EN22" s="19">
        <v>502000000</v>
      </c>
      <c r="EO22" s="19">
        <v>20794000</v>
      </c>
      <c r="EP22" s="19"/>
      <c r="EQ22" s="19">
        <v>10000000</v>
      </c>
      <c r="ER22" s="19">
        <v>79450000</v>
      </c>
      <c r="ES22" s="19">
        <v>300467000</v>
      </c>
      <c r="ET22" s="19">
        <v>576734000</v>
      </c>
      <c r="EU22" s="19">
        <v>333876700</v>
      </c>
      <c r="EV22" s="19">
        <v>5100000</v>
      </c>
      <c r="EW22" s="19">
        <v>3500000</v>
      </c>
      <c r="EX22" s="19">
        <v>294980000</v>
      </c>
      <c r="EY22" s="19">
        <v>19888000</v>
      </c>
      <c r="EZ22" s="19">
        <v>101650000</v>
      </c>
      <c r="FA22" s="19">
        <v>200000</v>
      </c>
      <c r="FB22" s="19">
        <v>2780000</v>
      </c>
      <c r="FC22" s="19">
        <v>69818120</v>
      </c>
      <c r="FD22" s="19">
        <v>5000000</v>
      </c>
      <c r="FE22" s="19">
        <v>586406500</v>
      </c>
      <c r="FF22" s="19"/>
      <c r="FG22" s="19" t="s">
        <v>172</v>
      </c>
      <c r="FH22" s="19">
        <v>128488000</v>
      </c>
      <c r="FI22" s="19" t="s">
        <v>172</v>
      </c>
      <c r="FJ22" s="19">
        <v>60590000</v>
      </c>
      <c r="FK22" s="19">
        <v>112386000</v>
      </c>
      <c r="FL22" s="19">
        <v>58276000</v>
      </c>
      <c r="FM22" s="19"/>
      <c r="FN22" s="19">
        <v>143630000</v>
      </c>
      <c r="FO22" s="56" t="s">
        <v>172</v>
      </c>
      <c r="FP22" s="19"/>
      <c r="FQ22" s="19">
        <v>10059800</v>
      </c>
      <c r="FR22" s="19">
        <v>58430577</v>
      </c>
      <c r="FS22" s="19">
        <v>26200000</v>
      </c>
      <c r="FT22" s="19">
        <v>103798500</v>
      </c>
      <c r="FU22" s="19"/>
      <c r="FV22" s="19" t="s">
        <v>172</v>
      </c>
      <c r="FW22" s="19"/>
      <c r="FX22" s="19"/>
      <c r="FY22" s="19" t="s">
        <v>172</v>
      </c>
      <c r="FZ22" s="19" t="s">
        <v>175</v>
      </c>
      <c r="GA22" s="19">
        <v>415012800</v>
      </c>
      <c r="GB22" s="19">
        <v>657000</v>
      </c>
      <c r="GC22" s="19">
        <v>200000</v>
      </c>
      <c r="GD22" s="19" t="s">
        <v>172</v>
      </c>
      <c r="GE22" s="19" t="s">
        <v>172</v>
      </c>
      <c r="GF22" s="19">
        <v>175000000</v>
      </c>
      <c r="GG22" s="19">
        <v>74610000</v>
      </c>
      <c r="GH22" s="19" t="s">
        <v>172</v>
      </c>
      <c r="GI22" s="19">
        <v>20000000</v>
      </c>
      <c r="GJ22" s="19" t="s">
        <v>172</v>
      </c>
      <c r="GK22" s="19">
        <v>100200000</v>
      </c>
      <c r="GL22" s="19" t="s">
        <v>172</v>
      </c>
      <c r="GM22" s="19">
        <v>16000000</v>
      </c>
      <c r="GN22" s="19">
        <v>153440000</v>
      </c>
      <c r="GO22" s="19" t="s">
        <v>172</v>
      </c>
      <c r="GP22" s="19">
        <v>117393379</v>
      </c>
      <c r="GQ22" s="19">
        <v>9259900</v>
      </c>
      <c r="GR22" s="19">
        <v>134420000</v>
      </c>
      <c r="GS22" s="19">
        <v>21100000</v>
      </c>
      <c r="GT22" s="19"/>
      <c r="GU22" s="19">
        <v>30000000</v>
      </c>
      <c r="GV22" s="19">
        <v>200000</v>
      </c>
      <c r="GW22" s="19">
        <v>1143638920</v>
      </c>
      <c r="GX22" s="19">
        <v>14268000</v>
      </c>
      <c r="GY22" s="19">
        <v>45000000</v>
      </c>
      <c r="GZ22" s="19">
        <v>11755426</v>
      </c>
      <c r="HA22" s="19" t="s">
        <v>172</v>
      </c>
      <c r="HB22" s="19">
        <v>9015000</v>
      </c>
      <c r="HC22" s="19">
        <v>28525600</v>
      </c>
      <c r="HD22" s="19">
        <v>20000000</v>
      </c>
      <c r="HE22" s="19" t="s">
        <v>172</v>
      </c>
      <c r="HF22" s="19">
        <v>30000000</v>
      </c>
      <c r="HG22" s="19">
        <v>300000</v>
      </c>
      <c r="HH22" s="19" t="s">
        <v>172</v>
      </c>
      <c r="HI22" s="19">
        <v>188840000</v>
      </c>
      <c r="HJ22" s="19" t="s">
        <v>172</v>
      </c>
      <c r="HK22" s="19">
        <v>438121027</v>
      </c>
      <c r="HL22" s="19">
        <v>49559000</v>
      </c>
      <c r="HM22" s="19">
        <v>117128000</v>
      </c>
      <c r="HN22" s="19">
        <v>5000000</v>
      </c>
      <c r="HO22" s="19"/>
      <c r="HP22" s="19">
        <v>305000000</v>
      </c>
      <c r="HQ22" s="19">
        <v>23573000</v>
      </c>
      <c r="HR22" s="19">
        <v>242783900</v>
      </c>
      <c r="HS22" s="19"/>
      <c r="HT22" s="19">
        <v>19532580</v>
      </c>
      <c r="HU22" s="19">
        <v>81115300</v>
      </c>
      <c r="HV22" s="19">
        <v>10030000</v>
      </c>
      <c r="HW22" s="19" t="s">
        <v>172</v>
      </c>
      <c r="HX22" s="19">
        <v>28100000</v>
      </c>
      <c r="HY22" s="19" t="s">
        <v>172</v>
      </c>
      <c r="HZ22" s="19">
        <v>111700000</v>
      </c>
      <c r="IA22" s="19"/>
      <c r="IB22" s="19">
        <v>37450630</v>
      </c>
      <c r="IC22" s="19">
        <v>3568900</v>
      </c>
      <c r="ID22" s="19">
        <v>200000</v>
      </c>
      <c r="IE22" s="19" t="s">
        <v>172</v>
      </c>
      <c r="IF22" s="19">
        <v>30000000</v>
      </c>
      <c r="IG22" s="19"/>
      <c r="IH22" s="19">
        <v>150000000</v>
      </c>
      <c r="II22" s="19">
        <v>46418363</v>
      </c>
      <c r="IJ22" s="19">
        <v>1036000</v>
      </c>
      <c r="IK22" s="19">
        <v>4580000</v>
      </c>
      <c r="IL22" s="19">
        <v>21065550</v>
      </c>
      <c r="IM22" s="19">
        <v>115310427</v>
      </c>
      <c r="IN22" s="19">
        <v>201130000</v>
      </c>
      <c r="IO22" s="19">
        <v>77999000</v>
      </c>
      <c r="IP22" s="19">
        <v>87807000</v>
      </c>
      <c r="IQ22" s="19">
        <v>10300000</v>
      </c>
      <c r="IR22" s="19">
        <v>30000000</v>
      </c>
      <c r="IS22" s="19">
        <v>10000000</v>
      </c>
      <c r="IT22" s="19">
        <v>5000000</v>
      </c>
      <c r="IU22" s="19">
        <v>30000000</v>
      </c>
      <c r="IV22" s="19">
        <v>115000000</v>
      </c>
      <c r="IW22" s="19">
        <v>31339953</v>
      </c>
      <c r="IX22" s="19">
        <v>33141000</v>
      </c>
      <c r="IY22" s="19">
        <v>107290900</v>
      </c>
      <c r="IZ22" s="19"/>
      <c r="JA22" s="19">
        <v>60058800</v>
      </c>
      <c r="JB22" s="19">
        <v>50000000</v>
      </c>
      <c r="JC22" s="19">
        <v>4877400</v>
      </c>
      <c r="JD22" s="19">
        <v>41824530</v>
      </c>
      <c r="JE22" s="19"/>
      <c r="JF22" s="19">
        <v>20034000</v>
      </c>
      <c r="JG22" s="19"/>
      <c r="JH22" s="19">
        <v>16920000</v>
      </c>
      <c r="JI22" s="19">
        <v>55000000</v>
      </c>
      <c r="JJ22" s="19">
        <v>20750000</v>
      </c>
      <c r="JK22" s="19">
        <v>40000000</v>
      </c>
      <c r="JL22" s="19">
        <v>100000000</v>
      </c>
      <c r="JM22" s="19"/>
      <c r="JN22" s="19">
        <v>361111640</v>
      </c>
      <c r="JO22" s="19">
        <v>40000000</v>
      </c>
      <c r="JP22" s="19">
        <v>30000000</v>
      </c>
      <c r="JQ22" s="19" t="s">
        <v>175</v>
      </c>
      <c r="JR22" s="19">
        <v>72310000</v>
      </c>
      <c r="JS22" s="19"/>
      <c r="JT22" s="19">
        <v>524500</v>
      </c>
      <c r="JU22" s="19">
        <v>43216500</v>
      </c>
      <c r="JV22" s="19">
        <v>48350000</v>
      </c>
      <c r="JW22" s="19">
        <v>69000000</v>
      </c>
      <c r="JX22" s="19">
        <v>230000000</v>
      </c>
      <c r="JY22" s="19">
        <v>254059900</v>
      </c>
      <c r="JZ22" s="19">
        <v>14500000</v>
      </c>
      <c r="KA22" s="19">
        <v>5000000</v>
      </c>
      <c r="KB22" s="19">
        <v>194508470</v>
      </c>
      <c r="KC22" s="19">
        <v>3300000</v>
      </c>
      <c r="KD22" s="19">
        <v>33719280</v>
      </c>
      <c r="KE22" s="19">
        <v>30000000</v>
      </c>
      <c r="KF22" s="19">
        <v>57929001</v>
      </c>
      <c r="KG22" s="19">
        <v>65000000</v>
      </c>
      <c r="KH22" s="19">
        <v>10831900</v>
      </c>
      <c r="KI22" s="19">
        <v>0</v>
      </c>
      <c r="KJ22" s="19">
        <f>40000000</f>
        <v>40000000</v>
      </c>
      <c r="KK22" s="19">
        <v>12000000</v>
      </c>
      <c r="KL22" s="19">
        <f>553047209+200000</f>
        <v>553247209</v>
      </c>
      <c r="KM22" s="19">
        <v>85000000</v>
      </c>
      <c r="KN22" s="19">
        <v>207000735</v>
      </c>
      <c r="KO22" s="19">
        <v>76489349</v>
      </c>
      <c r="KP22" s="19">
        <v>50000000</v>
      </c>
      <c r="KQ22" s="19">
        <v>45000000</v>
      </c>
      <c r="KR22" s="19">
        <v>9090000</v>
      </c>
      <c r="KS22" s="19">
        <v>24841000</v>
      </c>
      <c r="KT22" s="19">
        <v>1350000</v>
      </c>
      <c r="KU22" s="19">
        <v>19966370</v>
      </c>
      <c r="KV22" s="19">
        <v>5670000</v>
      </c>
      <c r="KW22" s="19">
        <v>5000000</v>
      </c>
      <c r="KX22" s="19">
        <v>15000000</v>
      </c>
      <c r="KY22" s="19">
        <v>84650000</v>
      </c>
      <c r="KZ22" s="58">
        <v>48000000</v>
      </c>
      <c r="LA22" s="76">
        <v>22700000</v>
      </c>
      <c r="LB22" s="76">
        <v>20000000</v>
      </c>
    </row>
    <row r="23" spans="1:314">
      <c r="A23" s="7" t="s">
        <v>100</v>
      </c>
      <c r="B23" s="8" t="s">
        <v>109</v>
      </c>
      <c r="C23" s="19">
        <f>C24+C31</f>
        <v>149489977</v>
      </c>
      <c r="D23" s="19">
        <f>D24+D31</f>
        <v>734234899</v>
      </c>
      <c r="E23" s="19">
        <f>E24+E31</f>
        <v>525479084</v>
      </c>
      <c r="F23" s="19">
        <f>F24+F31</f>
        <v>740385511</v>
      </c>
      <c r="G23" s="19" t="s">
        <v>130</v>
      </c>
      <c r="H23" s="19">
        <f>H24+H31</f>
        <v>3466141765</v>
      </c>
      <c r="I23" s="19">
        <f>I24+I31</f>
        <v>3720001157</v>
      </c>
      <c r="J23" s="19" t="s">
        <v>176</v>
      </c>
      <c r="K23" s="19">
        <f>K24+K31</f>
        <v>219493687</v>
      </c>
      <c r="L23" s="19" t="s">
        <v>96</v>
      </c>
      <c r="M23" s="19" t="s">
        <v>96</v>
      </c>
      <c r="N23" s="19">
        <f t="shared" ref="N23:S23" si="52">N24+N31</f>
        <v>450886688</v>
      </c>
      <c r="O23" s="19">
        <f t="shared" si="52"/>
        <v>6058422727</v>
      </c>
      <c r="P23" s="19">
        <f t="shared" si="52"/>
        <v>5411771133</v>
      </c>
      <c r="Q23" s="19">
        <f t="shared" si="52"/>
        <v>148059763</v>
      </c>
      <c r="R23" s="19">
        <f t="shared" si="52"/>
        <v>268062546</v>
      </c>
      <c r="S23" s="19">
        <f t="shared" si="52"/>
        <v>13522542529</v>
      </c>
      <c r="T23" s="19" t="s">
        <v>96</v>
      </c>
      <c r="U23" s="19" t="s">
        <v>96</v>
      </c>
      <c r="V23" s="19" t="s">
        <v>172</v>
      </c>
      <c r="W23" s="19">
        <f t="shared" ref="W23:AE23" si="53">W24+W31</f>
        <v>1379435957</v>
      </c>
      <c r="X23" s="19">
        <f t="shared" si="53"/>
        <v>3462537660</v>
      </c>
      <c r="Y23" s="19">
        <f t="shared" si="53"/>
        <v>167817021</v>
      </c>
      <c r="Z23" s="19">
        <f t="shared" si="53"/>
        <v>10175567408</v>
      </c>
      <c r="AA23" s="19">
        <f t="shared" si="53"/>
        <v>3568813977</v>
      </c>
      <c r="AB23" s="19">
        <f t="shared" si="53"/>
        <v>16848240</v>
      </c>
      <c r="AC23" s="19">
        <f t="shared" si="53"/>
        <v>635053781</v>
      </c>
      <c r="AD23" s="19">
        <f t="shared" si="53"/>
        <v>2282931697</v>
      </c>
      <c r="AE23" s="19">
        <f t="shared" si="53"/>
        <v>5132380052</v>
      </c>
      <c r="AF23" s="56" t="s">
        <v>172</v>
      </c>
      <c r="AG23" s="19">
        <f>AG24+AG31</f>
        <v>1772485142</v>
      </c>
      <c r="AH23" s="19" t="s">
        <v>167</v>
      </c>
      <c r="AI23" s="19">
        <f>AI24+AI31</f>
        <v>891833125</v>
      </c>
      <c r="AJ23" s="19">
        <f>AJ24+AJ31</f>
        <v>399520895</v>
      </c>
      <c r="AK23" s="19">
        <f>AK24+AK31</f>
        <v>742980296</v>
      </c>
      <c r="AL23" s="19">
        <f>AL24+AL31</f>
        <v>542706833</v>
      </c>
      <c r="AM23" s="19" t="s">
        <v>4</v>
      </c>
      <c r="AN23" s="19">
        <f>AN24+AN31</f>
        <v>1543279090</v>
      </c>
      <c r="AO23" s="19">
        <f>AO24+AO31</f>
        <v>922370219</v>
      </c>
      <c r="AP23" s="19">
        <f>AP24+AP31</f>
        <v>259016059</v>
      </c>
      <c r="AQ23" s="19" t="s">
        <v>172</v>
      </c>
      <c r="AR23" s="19">
        <f>AR24+AR31</f>
        <v>2805607462</v>
      </c>
      <c r="AS23" s="19">
        <f>AS24+AS31</f>
        <v>1003600691</v>
      </c>
      <c r="AT23" s="19" t="s">
        <v>172</v>
      </c>
      <c r="AU23" s="19">
        <f>AU24+AU31</f>
        <v>23695829781</v>
      </c>
      <c r="AV23" s="19">
        <f>AV24+AV31</f>
        <v>87238843</v>
      </c>
      <c r="AW23" s="19">
        <f>AW24+AW31</f>
        <v>488895672</v>
      </c>
      <c r="AX23" s="19" t="s">
        <v>4</v>
      </c>
      <c r="AY23" s="19">
        <f>AY24+AY31</f>
        <v>329996942</v>
      </c>
      <c r="AZ23" s="19">
        <f>AZ24+AZ31</f>
        <v>355160245</v>
      </c>
      <c r="BA23" s="19" t="s">
        <v>167</v>
      </c>
      <c r="BB23" s="19">
        <f>BB24+BB31</f>
        <v>50296835</v>
      </c>
      <c r="BC23" s="19" t="s">
        <v>4</v>
      </c>
      <c r="BD23" s="19" t="s">
        <v>172</v>
      </c>
      <c r="BE23" s="19">
        <f>BE24+BE31</f>
        <v>1248568512</v>
      </c>
      <c r="BF23" s="19" t="s">
        <v>96</v>
      </c>
      <c r="BG23" s="19">
        <f t="shared" ref="BG23:BN23" si="54">BG24+BG31</f>
        <v>1162555613</v>
      </c>
      <c r="BH23" s="19">
        <f t="shared" si="54"/>
        <v>721901763</v>
      </c>
      <c r="BI23" s="19">
        <f t="shared" si="54"/>
        <v>63975932</v>
      </c>
      <c r="BJ23" s="19">
        <f t="shared" si="54"/>
        <v>852731098</v>
      </c>
      <c r="BK23" s="19">
        <f t="shared" si="54"/>
        <v>2639850437</v>
      </c>
      <c r="BL23" s="19">
        <f t="shared" si="54"/>
        <v>120305927</v>
      </c>
      <c r="BM23" s="19">
        <f t="shared" si="54"/>
        <v>1092980705</v>
      </c>
      <c r="BN23" s="19">
        <f t="shared" si="54"/>
        <v>82887078</v>
      </c>
      <c r="BO23" s="19" t="s">
        <v>96</v>
      </c>
      <c r="BP23" s="19" t="s">
        <v>96</v>
      </c>
      <c r="BQ23" s="19" t="s">
        <v>175</v>
      </c>
      <c r="BR23" s="19">
        <f>BR24+BR31</f>
        <v>4556802597</v>
      </c>
      <c r="BS23" s="19" t="s">
        <v>172</v>
      </c>
      <c r="BT23" s="19">
        <f t="shared" ref="BT23:CD23" si="55">BT24+BT31</f>
        <v>99164872</v>
      </c>
      <c r="BU23" s="19">
        <f t="shared" si="55"/>
        <v>1554065122</v>
      </c>
      <c r="BV23" s="19">
        <f t="shared" si="55"/>
        <v>508217166</v>
      </c>
      <c r="BW23" s="19">
        <f t="shared" si="55"/>
        <v>15621100</v>
      </c>
      <c r="BX23" s="19">
        <f t="shared" si="55"/>
        <v>131496070</v>
      </c>
      <c r="BY23" s="19">
        <f t="shared" si="55"/>
        <v>2242508138</v>
      </c>
      <c r="BZ23" s="19">
        <f t="shared" si="55"/>
        <v>198491478</v>
      </c>
      <c r="CA23" s="19">
        <f t="shared" si="55"/>
        <v>1928890592</v>
      </c>
      <c r="CB23" s="19">
        <f t="shared" si="55"/>
        <v>1638377697</v>
      </c>
      <c r="CC23" s="19">
        <f t="shared" si="55"/>
        <v>171636765</v>
      </c>
      <c r="CD23" s="19">
        <f t="shared" si="55"/>
        <v>923067352</v>
      </c>
      <c r="CE23" s="19" t="s">
        <v>172</v>
      </c>
      <c r="CF23" s="19">
        <f>CF24+CF31</f>
        <v>1871535234</v>
      </c>
      <c r="CG23" s="19">
        <f>CG24+CG31</f>
        <v>5148425</v>
      </c>
      <c r="CH23" s="19">
        <f>CH24+CH31</f>
        <v>109603896</v>
      </c>
      <c r="CI23" s="19" t="s">
        <v>172</v>
      </c>
      <c r="CJ23" s="19">
        <f t="shared" ref="CJ23:CP23" si="56">CJ24+CJ31</f>
        <v>472654693</v>
      </c>
      <c r="CK23" s="19">
        <f t="shared" si="56"/>
        <v>7130742539</v>
      </c>
      <c r="CL23" s="19">
        <f t="shared" si="56"/>
        <v>750902531</v>
      </c>
      <c r="CM23" s="19">
        <f t="shared" si="56"/>
        <v>2966714978</v>
      </c>
      <c r="CN23" s="19">
        <f t="shared" si="56"/>
        <v>112106298</v>
      </c>
      <c r="CO23" s="19">
        <f t="shared" si="56"/>
        <v>5519555</v>
      </c>
      <c r="CP23" s="19">
        <f t="shared" si="56"/>
        <v>1763996953</v>
      </c>
      <c r="CQ23" s="19" t="s">
        <v>96</v>
      </c>
      <c r="CR23" s="19">
        <f>CR24+CR31</f>
        <v>123475676</v>
      </c>
      <c r="CS23" s="56" t="s">
        <v>172</v>
      </c>
      <c r="CT23" s="19">
        <f>CT24+CT31</f>
        <v>6734618898</v>
      </c>
      <c r="CU23" s="19">
        <f>CU24+CU31</f>
        <v>57392001</v>
      </c>
      <c r="CV23" s="19">
        <v>295812996</v>
      </c>
      <c r="CW23" s="19">
        <f>CW24+CW31</f>
        <v>1750692823</v>
      </c>
      <c r="CX23" s="19">
        <f>CX24+CX31</f>
        <v>4382598196</v>
      </c>
      <c r="CY23" s="19" t="s">
        <v>96</v>
      </c>
      <c r="CZ23" s="19">
        <f>CZ24+CZ31</f>
        <v>4596270917</v>
      </c>
      <c r="DA23" s="19" t="s">
        <v>175</v>
      </c>
      <c r="DB23" s="19">
        <f t="shared" ref="DB23:DR23" si="57">DB24+DB31</f>
        <v>24193932</v>
      </c>
      <c r="DC23" s="19">
        <f t="shared" si="57"/>
        <v>63661960</v>
      </c>
      <c r="DD23" s="19">
        <f t="shared" si="57"/>
        <v>242083037</v>
      </c>
      <c r="DE23" s="19">
        <f t="shared" si="57"/>
        <v>0</v>
      </c>
      <c r="DF23" s="19">
        <f t="shared" si="57"/>
        <v>38716203</v>
      </c>
      <c r="DG23" s="19">
        <f t="shared" si="57"/>
        <v>872183369</v>
      </c>
      <c r="DH23" s="19">
        <f t="shared" si="57"/>
        <v>1660005510</v>
      </c>
      <c r="DI23" s="19">
        <f t="shared" si="57"/>
        <v>5583499077</v>
      </c>
      <c r="DJ23" s="19">
        <f t="shared" si="57"/>
        <v>14088754</v>
      </c>
      <c r="DK23" s="19">
        <f t="shared" si="57"/>
        <v>9382888628</v>
      </c>
      <c r="DL23" s="19">
        <f t="shared" si="57"/>
        <v>470139420</v>
      </c>
      <c r="DM23" s="19">
        <f t="shared" si="57"/>
        <v>1411368154</v>
      </c>
      <c r="DN23" s="19">
        <f t="shared" si="57"/>
        <v>1145324174</v>
      </c>
      <c r="DO23" s="19">
        <f t="shared" si="57"/>
        <v>112833827</v>
      </c>
      <c r="DP23" s="19">
        <f t="shared" si="57"/>
        <v>2467367250</v>
      </c>
      <c r="DQ23" s="19">
        <f t="shared" si="57"/>
        <v>343688335</v>
      </c>
      <c r="DR23" s="19">
        <f t="shared" si="57"/>
        <v>5352646461</v>
      </c>
      <c r="DS23" s="19">
        <f>DS24+DS31</f>
        <v>120231128</v>
      </c>
      <c r="DT23" s="19">
        <f t="shared" ref="DT23:FF23" si="58">DT24+DT31</f>
        <v>2870396088</v>
      </c>
      <c r="DU23" s="19">
        <f t="shared" si="58"/>
        <v>117268121</v>
      </c>
      <c r="DV23" s="19">
        <f t="shared" si="58"/>
        <v>969789231</v>
      </c>
      <c r="DW23" s="19">
        <f t="shared" si="58"/>
        <v>639427051</v>
      </c>
      <c r="DX23" s="19">
        <f t="shared" si="58"/>
        <v>4096364374</v>
      </c>
      <c r="DY23" s="19">
        <f t="shared" si="58"/>
        <v>984493346</v>
      </c>
      <c r="DZ23" s="19">
        <f t="shared" si="58"/>
        <v>262055507</v>
      </c>
      <c r="EA23" s="19">
        <f t="shared" si="58"/>
        <v>29818750</v>
      </c>
      <c r="EB23" s="19">
        <f t="shared" si="58"/>
        <v>4821470507</v>
      </c>
      <c r="EC23" s="19">
        <f t="shared" si="58"/>
        <v>516244545</v>
      </c>
      <c r="ED23" s="19">
        <f t="shared" si="58"/>
        <v>174090335</v>
      </c>
      <c r="EE23" s="19">
        <f t="shared" si="58"/>
        <v>84030668</v>
      </c>
      <c r="EF23" s="19">
        <f t="shared" si="58"/>
        <v>2948293983</v>
      </c>
      <c r="EG23" s="19">
        <f t="shared" si="58"/>
        <v>3239516932</v>
      </c>
      <c r="EH23" s="19">
        <f t="shared" si="58"/>
        <v>3098313560</v>
      </c>
      <c r="EI23" s="19">
        <f t="shared" si="58"/>
        <v>4674912545</v>
      </c>
      <c r="EJ23" s="19">
        <f t="shared" si="58"/>
        <v>160593048</v>
      </c>
      <c r="EK23" s="19">
        <f t="shared" si="58"/>
        <v>405249429</v>
      </c>
      <c r="EL23" s="19">
        <f t="shared" si="58"/>
        <v>630523871</v>
      </c>
      <c r="EM23" s="19">
        <f t="shared" si="58"/>
        <v>50966687</v>
      </c>
      <c r="EN23" s="19">
        <f t="shared" si="58"/>
        <v>3267908558</v>
      </c>
      <c r="EO23" s="19">
        <f t="shared" si="58"/>
        <v>97874246</v>
      </c>
      <c r="EP23" s="19">
        <f t="shared" si="58"/>
        <v>19447440</v>
      </c>
      <c r="EQ23" s="19">
        <f t="shared" si="58"/>
        <v>0</v>
      </c>
      <c r="ER23" s="19">
        <f t="shared" si="58"/>
        <v>1620113491</v>
      </c>
      <c r="ES23" s="19">
        <f t="shared" si="58"/>
        <v>517940599</v>
      </c>
      <c r="ET23" s="19">
        <f t="shared" si="58"/>
        <v>613134954</v>
      </c>
      <c r="EU23" s="19">
        <f t="shared" si="58"/>
        <v>1840052187</v>
      </c>
      <c r="EV23" s="19">
        <f t="shared" si="58"/>
        <v>177489844</v>
      </c>
      <c r="EW23" s="19">
        <f t="shared" si="58"/>
        <v>1173126118</v>
      </c>
      <c r="EX23" s="19">
        <f t="shared" si="58"/>
        <v>2123077319</v>
      </c>
      <c r="EY23" s="19">
        <f t="shared" si="58"/>
        <v>2272441483</v>
      </c>
      <c r="EZ23" s="19">
        <f t="shared" si="58"/>
        <v>380961504</v>
      </c>
      <c r="FA23" s="19">
        <f t="shared" si="58"/>
        <v>2528135470</v>
      </c>
      <c r="FB23" s="19">
        <f t="shared" si="58"/>
        <v>173381220</v>
      </c>
      <c r="FC23" s="19">
        <f t="shared" si="58"/>
        <v>1004456008</v>
      </c>
      <c r="FD23" s="19">
        <f t="shared" si="58"/>
        <v>1584330757</v>
      </c>
      <c r="FE23" s="19">
        <f t="shared" si="58"/>
        <v>5255374057</v>
      </c>
      <c r="FF23" s="19">
        <f t="shared" si="58"/>
        <v>20206139</v>
      </c>
      <c r="FG23" s="19" t="s">
        <v>172</v>
      </c>
      <c r="FH23" s="19">
        <f>FH24+FH31</f>
        <v>1336585431</v>
      </c>
      <c r="FI23" s="19" t="s">
        <v>172</v>
      </c>
      <c r="FJ23" s="19">
        <f>FJ24+FJ31</f>
        <v>48503845</v>
      </c>
      <c r="FK23" s="19">
        <f>FK24+FK31</f>
        <v>638530065</v>
      </c>
      <c r="FL23" s="19">
        <f>FL24+FL31</f>
        <v>416282127</v>
      </c>
      <c r="FM23" s="19">
        <f>FM24+FM31</f>
        <v>578655901</v>
      </c>
      <c r="FN23" s="19">
        <f>FN24+FN31</f>
        <v>2697879762</v>
      </c>
      <c r="FO23" s="56" t="s">
        <v>172</v>
      </c>
      <c r="FP23" s="19">
        <f t="shared" ref="FP23:FU23" si="59">FP24+FP31</f>
        <v>576025489</v>
      </c>
      <c r="FQ23" s="19">
        <f t="shared" si="59"/>
        <v>235397140</v>
      </c>
      <c r="FR23" s="19">
        <f t="shared" si="59"/>
        <v>274135682</v>
      </c>
      <c r="FS23" s="19">
        <f t="shared" si="59"/>
        <v>928208951</v>
      </c>
      <c r="FT23" s="19">
        <f t="shared" si="59"/>
        <v>7229766641</v>
      </c>
      <c r="FU23" s="19">
        <f t="shared" si="59"/>
        <v>96485230</v>
      </c>
      <c r="FV23" s="19" t="s">
        <v>172</v>
      </c>
      <c r="FW23" s="19">
        <f>FW24+FW31</f>
        <v>220490445</v>
      </c>
      <c r="FX23" s="19">
        <f>FX24+FX31</f>
        <v>539977865</v>
      </c>
      <c r="FY23" s="19" t="s">
        <v>172</v>
      </c>
      <c r="FZ23" s="19" t="s">
        <v>175</v>
      </c>
      <c r="GA23" s="19">
        <f>GA24+GA31</f>
        <v>667936422</v>
      </c>
      <c r="GB23" s="19">
        <f>GB24+GB31</f>
        <v>437193231</v>
      </c>
      <c r="GC23" s="19">
        <f>GC24+GC31</f>
        <v>71565809</v>
      </c>
      <c r="GD23" s="19" t="s">
        <v>172</v>
      </c>
      <c r="GE23" s="19" t="s">
        <v>172</v>
      </c>
      <c r="GF23" s="19">
        <f>GF24+GF31</f>
        <v>1109931881</v>
      </c>
      <c r="GG23" s="19">
        <f>GG24+GG31</f>
        <v>2279457732</v>
      </c>
      <c r="GH23" s="19" t="s">
        <v>172</v>
      </c>
      <c r="GI23" s="19">
        <f t="shared" ref="GI23:KH23" si="60">GI24+GI31</f>
        <v>154088562</v>
      </c>
      <c r="GJ23" s="19" t="s">
        <v>172</v>
      </c>
      <c r="GK23" s="19">
        <f t="shared" si="60"/>
        <v>224206157</v>
      </c>
      <c r="GL23" s="19" t="s">
        <v>172</v>
      </c>
      <c r="GM23" s="19">
        <f t="shared" si="60"/>
        <v>47031394</v>
      </c>
      <c r="GN23" s="19">
        <f t="shared" si="60"/>
        <v>1114940280</v>
      </c>
      <c r="GO23" s="19" t="s">
        <v>172</v>
      </c>
      <c r="GP23" s="19">
        <f t="shared" si="60"/>
        <v>5899104310</v>
      </c>
      <c r="GQ23" s="19">
        <f t="shared" si="60"/>
        <v>62381607</v>
      </c>
      <c r="GR23" s="19">
        <f t="shared" si="60"/>
        <v>1237762083</v>
      </c>
      <c r="GS23" s="19">
        <f t="shared" si="60"/>
        <v>256065815</v>
      </c>
      <c r="GT23" s="19">
        <f t="shared" si="60"/>
        <v>732755392</v>
      </c>
      <c r="GU23" s="19">
        <f t="shared" si="60"/>
        <v>2307240</v>
      </c>
      <c r="GV23" s="19">
        <f>GV24+GV31</f>
        <v>2527490412</v>
      </c>
      <c r="GW23" s="19">
        <f>GW24+GW31</f>
        <v>11197679354</v>
      </c>
      <c r="GX23" s="19">
        <f t="shared" si="60"/>
        <v>2504511050</v>
      </c>
      <c r="GY23" s="19">
        <f t="shared" si="60"/>
        <v>1039708457</v>
      </c>
      <c r="GZ23" s="19">
        <f t="shared" si="60"/>
        <v>4200902933</v>
      </c>
      <c r="HA23" s="19" t="s">
        <v>172</v>
      </c>
      <c r="HB23" s="19">
        <f t="shared" si="60"/>
        <v>134776805</v>
      </c>
      <c r="HC23" s="19">
        <f t="shared" si="60"/>
        <v>951838624</v>
      </c>
      <c r="HD23" s="19">
        <f t="shared" si="60"/>
        <v>91623952</v>
      </c>
      <c r="HE23" s="19" t="s">
        <v>172</v>
      </c>
      <c r="HF23" s="19">
        <f t="shared" si="60"/>
        <v>1347426260</v>
      </c>
      <c r="HG23" s="19">
        <f t="shared" si="60"/>
        <v>625743969</v>
      </c>
      <c r="HH23" s="19" t="s">
        <v>172</v>
      </c>
      <c r="HI23" s="19">
        <f t="shared" si="60"/>
        <v>960957104</v>
      </c>
      <c r="HJ23" s="19" t="s">
        <v>172</v>
      </c>
      <c r="HK23" s="19">
        <f t="shared" si="60"/>
        <v>991746763</v>
      </c>
      <c r="HL23" s="19">
        <f t="shared" si="60"/>
        <v>22303633</v>
      </c>
      <c r="HM23" s="19">
        <f t="shared" si="60"/>
        <v>934865995</v>
      </c>
      <c r="HN23" s="19">
        <f t="shared" si="60"/>
        <v>13116347</v>
      </c>
      <c r="HO23" s="19">
        <f t="shared" si="60"/>
        <v>458168985</v>
      </c>
      <c r="HP23" s="19">
        <f t="shared" si="60"/>
        <v>471145644</v>
      </c>
      <c r="HQ23" s="19">
        <f t="shared" si="60"/>
        <v>203835299</v>
      </c>
      <c r="HR23" s="19">
        <f t="shared" si="60"/>
        <v>2689041990</v>
      </c>
      <c r="HS23" s="19">
        <f t="shared" si="60"/>
        <v>422356052</v>
      </c>
      <c r="HT23" s="19">
        <f t="shared" si="60"/>
        <v>442056708</v>
      </c>
      <c r="HU23" s="19">
        <f t="shared" si="60"/>
        <v>2705430598</v>
      </c>
      <c r="HV23" s="19">
        <f t="shared" si="60"/>
        <v>143817363</v>
      </c>
      <c r="HW23" s="19" t="s">
        <v>172</v>
      </c>
      <c r="HX23" s="19">
        <f t="shared" si="60"/>
        <v>3410012519</v>
      </c>
      <c r="HY23" s="19" t="s">
        <v>172</v>
      </c>
      <c r="HZ23" s="19">
        <f t="shared" si="60"/>
        <v>4650405807</v>
      </c>
      <c r="IA23" s="19">
        <f t="shared" si="60"/>
        <v>362475645</v>
      </c>
      <c r="IB23" s="19">
        <f t="shared" si="60"/>
        <v>5554309272</v>
      </c>
      <c r="IC23" s="19">
        <f t="shared" si="60"/>
        <v>3238899799</v>
      </c>
      <c r="ID23" s="19">
        <f t="shared" si="60"/>
        <v>30828827</v>
      </c>
      <c r="IE23" s="19" t="s">
        <v>172</v>
      </c>
      <c r="IF23" s="19">
        <f t="shared" si="60"/>
        <v>40884883</v>
      </c>
      <c r="IG23" s="19">
        <f t="shared" si="60"/>
        <v>44407391</v>
      </c>
      <c r="IH23" s="19">
        <f t="shared" si="60"/>
        <v>254302436</v>
      </c>
      <c r="II23" s="19">
        <f t="shared" si="60"/>
        <v>296539730</v>
      </c>
      <c r="IJ23" s="19">
        <f t="shared" si="60"/>
        <v>301081599</v>
      </c>
      <c r="IK23" s="19">
        <f t="shared" si="60"/>
        <v>599063932</v>
      </c>
      <c r="IL23" s="19">
        <f t="shared" si="60"/>
        <v>1824180153</v>
      </c>
      <c r="IM23" s="19">
        <f>IM24+IM31</f>
        <v>569192305</v>
      </c>
      <c r="IN23" s="19">
        <f t="shared" si="60"/>
        <v>576827418</v>
      </c>
      <c r="IO23" s="19">
        <f t="shared" si="60"/>
        <v>850042116</v>
      </c>
      <c r="IP23" s="19">
        <f t="shared" si="60"/>
        <v>289142940</v>
      </c>
      <c r="IQ23" s="19">
        <f t="shared" si="60"/>
        <v>540666609</v>
      </c>
      <c r="IR23" s="19">
        <f t="shared" si="60"/>
        <v>287825399</v>
      </c>
      <c r="IS23" s="19">
        <f t="shared" si="60"/>
        <v>4109194688</v>
      </c>
      <c r="IT23" s="19">
        <f t="shared" si="60"/>
        <v>1085124724</v>
      </c>
      <c r="IU23" s="19">
        <f t="shared" si="60"/>
        <v>921648030</v>
      </c>
      <c r="IV23" s="19">
        <f t="shared" si="60"/>
        <v>181823405</v>
      </c>
      <c r="IW23" s="19">
        <f t="shared" si="60"/>
        <v>663754066</v>
      </c>
      <c r="IX23" s="19">
        <f t="shared" si="60"/>
        <v>1324652502</v>
      </c>
      <c r="IY23" s="19">
        <f t="shared" si="60"/>
        <v>2318158618</v>
      </c>
      <c r="IZ23" s="19">
        <f t="shared" si="60"/>
        <v>589749679</v>
      </c>
      <c r="JA23" s="19">
        <f t="shared" si="60"/>
        <v>423392701</v>
      </c>
      <c r="JB23" s="19">
        <f t="shared" si="60"/>
        <v>723960140</v>
      </c>
      <c r="JC23" s="19">
        <f t="shared" si="60"/>
        <v>2378815677</v>
      </c>
      <c r="JD23" s="19">
        <f t="shared" si="60"/>
        <v>65872245</v>
      </c>
      <c r="JE23" s="19">
        <f t="shared" si="60"/>
        <v>26488182</v>
      </c>
      <c r="JF23" s="19">
        <f t="shared" si="60"/>
        <v>1085033757</v>
      </c>
      <c r="JG23" s="19">
        <f t="shared" si="60"/>
        <v>58029797</v>
      </c>
      <c r="JH23" s="19">
        <f t="shared" si="60"/>
        <v>143290102</v>
      </c>
      <c r="JI23" s="19">
        <f t="shared" si="60"/>
        <v>134908649</v>
      </c>
      <c r="JJ23" s="19">
        <f t="shared" si="60"/>
        <v>209248395</v>
      </c>
      <c r="JK23" s="19">
        <f t="shared" si="60"/>
        <v>427678838</v>
      </c>
      <c r="JL23" s="19">
        <f t="shared" si="60"/>
        <v>2063553633</v>
      </c>
      <c r="JM23" s="19">
        <f t="shared" si="60"/>
        <v>529501976</v>
      </c>
      <c r="JN23" s="19">
        <f t="shared" si="60"/>
        <v>3550859539</v>
      </c>
      <c r="JO23" s="19">
        <f t="shared" si="60"/>
        <v>131760975</v>
      </c>
      <c r="JP23" s="19">
        <f t="shared" si="60"/>
        <v>79043695</v>
      </c>
      <c r="JQ23" s="19" t="s">
        <v>175</v>
      </c>
      <c r="JR23" s="19">
        <f t="shared" si="60"/>
        <v>685512679</v>
      </c>
      <c r="JS23" s="19">
        <f t="shared" si="60"/>
        <v>332532774</v>
      </c>
      <c r="JT23" s="19">
        <f t="shared" si="60"/>
        <v>345764627</v>
      </c>
      <c r="JU23" s="19">
        <f t="shared" si="60"/>
        <v>334973642</v>
      </c>
      <c r="JV23" s="19">
        <f t="shared" si="60"/>
        <v>532677170</v>
      </c>
      <c r="JW23" s="19">
        <f t="shared" si="60"/>
        <v>70155579</v>
      </c>
      <c r="JX23" s="19">
        <f t="shared" si="60"/>
        <v>523576222</v>
      </c>
      <c r="JY23" s="19">
        <f t="shared" si="60"/>
        <v>478902220</v>
      </c>
      <c r="JZ23" s="19">
        <f t="shared" si="60"/>
        <v>115745740</v>
      </c>
      <c r="KA23" s="19">
        <f t="shared" si="60"/>
        <v>216344480</v>
      </c>
      <c r="KB23" s="19">
        <f t="shared" si="60"/>
        <v>5597991581</v>
      </c>
      <c r="KC23" s="19">
        <f t="shared" si="60"/>
        <v>156989767</v>
      </c>
      <c r="KD23" s="19">
        <f t="shared" si="60"/>
        <v>179706169</v>
      </c>
      <c r="KE23" s="19">
        <f t="shared" si="60"/>
        <v>147543515</v>
      </c>
      <c r="KF23" s="19">
        <f t="shared" si="60"/>
        <v>288582634</v>
      </c>
      <c r="KG23" s="19">
        <f t="shared" si="60"/>
        <v>528254116</v>
      </c>
      <c r="KH23" s="19">
        <f t="shared" si="60"/>
        <v>718544360</v>
      </c>
      <c r="KI23" s="19">
        <f t="shared" ref="KI23:KY23" si="61">KI24+KI31</f>
        <v>35144031</v>
      </c>
      <c r="KJ23" s="19">
        <f t="shared" si="61"/>
        <v>1373075758</v>
      </c>
      <c r="KK23" s="19">
        <f t="shared" si="61"/>
        <v>5426017758</v>
      </c>
      <c r="KL23" s="19">
        <f t="shared" si="61"/>
        <v>14455726407</v>
      </c>
      <c r="KM23" s="19">
        <f t="shared" si="61"/>
        <v>622675115</v>
      </c>
      <c r="KN23" s="19">
        <f t="shared" si="61"/>
        <v>340419604</v>
      </c>
      <c r="KO23" s="19">
        <f t="shared" si="61"/>
        <v>5380760528</v>
      </c>
      <c r="KP23" s="19">
        <f t="shared" si="61"/>
        <v>282289856</v>
      </c>
      <c r="KQ23" s="19">
        <f t="shared" si="61"/>
        <v>115726373</v>
      </c>
      <c r="KR23" s="19">
        <f t="shared" si="61"/>
        <v>361312474</v>
      </c>
      <c r="KS23" s="19">
        <f t="shared" si="61"/>
        <v>1143529378</v>
      </c>
      <c r="KT23" s="19">
        <f t="shared" si="61"/>
        <v>1009770095</v>
      </c>
      <c r="KU23" s="19">
        <f t="shared" si="61"/>
        <v>2953209442</v>
      </c>
      <c r="KV23" s="19">
        <f t="shared" si="61"/>
        <v>22471835</v>
      </c>
      <c r="KW23" s="19">
        <f t="shared" si="61"/>
        <v>152509702</v>
      </c>
      <c r="KX23" s="19">
        <f t="shared" si="61"/>
        <v>152860328</v>
      </c>
      <c r="KY23" s="19">
        <f t="shared" si="61"/>
        <v>1362917546</v>
      </c>
      <c r="KZ23" s="58">
        <f>KZ24+KZ31</f>
        <v>667400132</v>
      </c>
      <c r="LA23" s="70">
        <v>98696881</v>
      </c>
      <c r="LB23" s="70">
        <v>54554083</v>
      </c>
    </row>
    <row r="24" spans="1:314">
      <c r="A24" s="7" t="s">
        <v>100</v>
      </c>
      <c r="B24" s="8" t="s">
        <v>99</v>
      </c>
      <c r="C24" s="19">
        <f>SUM(C25:C30)</f>
        <v>149489977</v>
      </c>
      <c r="D24" s="19">
        <f>SUM(D25:D30)</f>
        <v>574234899</v>
      </c>
      <c r="E24" s="19">
        <f>SUM(E25:E30)</f>
        <v>216813828</v>
      </c>
      <c r="F24" s="19">
        <f>SUM(F25:F30)</f>
        <v>111685511</v>
      </c>
      <c r="G24" s="19" t="s">
        <v>130</v>
      </c>
      <c r="H24" s="19">
        <f>SUM(H25:H30)</f>
        <v>73090830</v>
      </c>
      <c r="I24" s="19">
        <f>SUM(I25:I30)</f>
        <v>644650692</v>
      </c>
      <c r="J24" s="19" t="s">
        <v>176</v>
      </c>
      <c r="K24" s="19">
        <f>SUM(K25:K30)</f>
        <v>210626278</v>
      </c>
      <c r="L24" s="19" t="s">
        <v>96</v>
      </c>
      <c r="M24" s="19" t="s">
        <v>96</v>
      </c>
      <c r="N24" s="19">
        <f t="shared" ref="N24:S24" si="62">SUM(N25:N30)</f>
        <v>134679341</v>
      </c>
      <c r="O24" s="19">
        <f t="shared" si="62"/>
        <v>1345387184</v>
      </c>
      <c r="P24" s="19">
        <f t="shared" si="62"/>
        <v>251457423</v>
      </c>
      <c r="Q24" s="19">
        <f t="shared" si="62"/>
        <v>48059763</v>
      </c>
      <c r="R24" s="19">
        <f t="shared" si="62"/>
        <v>41789078</v>
      </c>
      <c r="S24" s="19">
        <f t="shared" si="62"/>
        <v>5690906224</v>
      </c>
      <c r="T24" s="19" t="s">
        <v>96</v>
      </c>
      <c r="U24" s="19" t="s">
        <v>96</v>
      </c>
      <c r="V24" s="19" t="s">
        <v>172</v>
      </c>
      <c r="W24" s="19">
        <f t="shared" ref="W24:AE24" si="63">SUM(W25:W30)</f>
        <v>245521904</v>
      </c>
      <c r="X24" s="19">
        <f t="shared" si="63"/>
        <v>312547660</v>
      </c>
      <c r="Y24" s="19">
        <f t="shared" si="63"/>
        <v>59575778</v>
      </c>
      <c r="Z24" s="19">
        <f t="shared" si="63"/>
        <v>4351244002</v>
      </c>
      <c r="AA24" s="19">
        <f t="shared" si="63"/>
        <v>998113977</v>
      </c>
      <c r="AB24" s="19">
        <f t="shared" si="63"/>
        <v>16848240</v>
      </c>
      <c r="AC24" s="19">
        <f t="shared" si="63"/>
        <v>186529753</v>
      </c>
      <c r="AD24" s="19">
        <f t="shared" si="63"/>
        <v>194285293</v>
      </c>
      <c r="AE24" s="19">
        <f t="shared" si="63"/>
        <v>4334380052</v>
      </c>
      <c r="AF24" s="56" t="s">
        <v>172</v>
      </c>
      <c r="AG24" s="19">
        <f>SUM(AG25:AG30)</f>
        <v>532234635</v>
      </c>
      <c r="AH24" s="19" t="s">
        <v>167</v>
      </c>
      <c r="AI24" s="19">
        <f>SUM(AI25:AI30)</f>
        <v>272675625</v>
      </c>
      <c r="AJ24" s="19">
        <f>SUM(AJ25:AJ30)</f>
        <v>73152874</v>
      </c>
      <c r="AK24" s="19">
        <f>SUM(AK25:AK30)</f>
        <v>742980296</v>
      </c>
      <c r="AL24" s="19">
        <f>SUM(AL25:AL30)</f>
        <v>143627995</v>
      </c>
      <c r="AM24" s="19" t="s">
        <v>4</v>
      </c>
      <c r="AN24" s="19">
        <f>SUM(AN25:AN30)</f>
        <v>143279090</v>
      </c>
      <c r="AO24" s="19">
        <f>SUM(AO25:AO30)</f>
        <v>689130219</v>
      </c>
      <c r="AP24" s="19">
        <f>SUM(AP25:AP30)</f>
        <v>131605362</v>
      </c>
      <c r="AQ24" s="19" t="s">
        <v>172</v>
      </c>
      <c r="AR24" s="19">
        <f>SUM(AR25:AR30)</f>
        <v>517613588</v>
      </c>
      <c r="AS24" s="19">
        <f>SUM(AS25:AS30)</f>
        <v>676600691</v>
      </c>
      <c r="AT24" s="19" t="s">
        <v>172</v>
      </c>
      <c r="AU24" s="19">
        <f>SUM(AU25:AU30)</f>
        <v>3545891577</v>
      </c>
      <c r="AV24" s="19">
        <f>SUM(AV25:AV30)</f>
        <v>83892456</v>
      </c>
      <c r="AW24" s="19">
        <f>SUM(AW25:AW30)</f>
        <v>488895672</v>
      </c>
      <c r="AX24" s="19" t="s">
        <v>4</v>
      </c>
      <c r="AY24" s="19">
        <f>SUM(AY25:AY30)</f>
        <v>24067450</v>
      </c>
      <c r="AZ24" s="19">
        <f>SUM(AZ25:AZ30)</f>
        <v>55160245</v>
      </c>
      <c r="BA24" s="19" t="s">
        <v>167</v>
      </c>
      <c r="BB24" s="19">
        <f>SUM(BB25:BB30)</f>
        <v>18418625</v>
      </c>
      <c r="BC24" s="19" t="s">
        <v>4</v>
      </c>
      <c r="BD24" s="19" t="s">
        <v>172</v>
      </c>
      <c r="BE24" s="19">
        <f>SUM(BE25:BE30)</f>
        <v>234568512</v>
      </c>
      <c r="BF24" s="19" t="s">
        <v>96</v>
      </c>
      <c r="BG24" s="19">
        <f t="shared" ref="BG24:BN24" si="64">SUM(BG25:BG30)</f>
        <v>576784962</v>
      </c>
      <c r="BH24" s="19">
        <f t="shared" si="64"/>
        <v>71853906</v>
      </c>
      <c r="BI24" s="19">
        <f t="shared" si="64"/>
        <v>63975932</v>
      </c>
      <c r="BJ24" s="19">
        <f t="shared" si="64"/>
        <v>227917117</v>
      </c>
      <c r="BK24" s="19">
        <f t="shared" si="64"/>
        <v>930024158</v>
      </c>
      <c r="BL24" s="19">
        <f t="shared" si="64"/>
        <v>120305927</v>
      </c>
      <c r="BM24" s="19">
        <f t="shared" si="64"/>
        <v>336920705</v>
      </c>
      <c r="BN24" s="19">
        <f t="shared" si="64"/>
        <v>82887078</v>
      </c>
      <c r="BO24" s="19" t="s">
        <v>96</v>
      </c>
      <c r="BP24" s="19" t="s">
        <v>96</v>
      </c>
      <c r="BQ24" s="19" t="s">
        <v>175</v>
      </c>
      <c r="BR24" s="19">
        <f>SUM(BR25:BR30)</f>
        <v>756821763</v>
      </c>
      <c r="BS24" s="19" t="s">
        <v>172</v>
      </c>
      <c r="BT24" s="19">
        <f t="shared" ref="BT24:CD24" si="65">SUM(BT25:BT30)</f>
        <v>99164872</v>
      </c>
      <c r="BU24" s="19">
        <f t="shared" si="65"/>
        <v>826561664</v>
      </c>
      <c r="BV24" s="19">
        <f t="shared" si="65"/>
        <v>308217166</v>
      </c>
      <c r="BW24" s="19">
        <f t="shared" si="65"/>
        <v>15621100</v>
      </c>
      <c r="BX24" s="19">
        <f t="shared" si="65"/>
        <v>131496070</v>
      </c>
      <c r="BY24" s="19">
        <f t="shared" si="65"/>
        <v>1107081806</v>
      </c>
      <c r="BZ24" s="19">
        <f t="shared" si="65"/>
        <v>198491478</v>
      </c>
      <c r="CA24" s="19">
        <f t="shared" si="65"/>
        <v>1346585843</v>
      </c>
      <c r="CB24" s="19">
        <f t="shared" si="65"/>
        <v>227166221</v>
      </c>
      <c r="CC24" s="19">
        <f t="shared" si="65"/>
        <v>171636765</v>
      </c>
      <c r="CD24" s="19">
        <f t="shared" si="65"/>
        <v>923067352</v>
      </c>
      <c r="CE24" s="19" t="s">
        <v>172</v>
      </c>
      <c r="CF24" s="19">
        <f>SUM(CF25:CF30)</f>
        <v>629575011</v>
      </c>
      <c r="CG24" s="19">
        <f>SUM(CG25:CG30)</f>
        <v>5148425</v>
      </c>
      <c r="CH24" s="19">
        <f>SUM(CH25:CH30)</f>
        <v>109603896</v>
      </c>
      <c r="CI24" s="19" t="s">
        <v>172</v>
      </c>
      <c r="CJ24" s="19">
        <f t="shared" ref="CJ24:CP24" si="66">SUM(CJ25:CJ30)</f>
        <v>316554693</v>
      </c>
      <c r="CK24" s="19">
        <f t="shared" si="66"/>
        <v>1012726904</v>
      </c>
      <c r="CL24" s="19">
        <f t="shared" si="66"/>
        <v>95983561</v>
      </c>
      <c r="CM24" s="19">
        <f t="shared" si="66"/>
        <v>754144781</v>
      </c>
      <c r="CN24" s="19">
        <f t="shared" si="66"/>
        <v>73006298</v>
      </c>
      <c r="CO24" s="19">
        <f t="shared" si="66"/>
        <v>5519555</v>
      </c>
      <c r="CP24" s="19">
        <f t="shared" si="66"/>
        <v>598952751</v>
      </c>
      <c r="CQ24" s="19" t="s">
        <v>96</v>
      </c>
      <c r="CR24" s="19">
        <f>SUM(CR25:CR30)</f>
        <v>123475676</v>
      </c>
      <c r="CS24" s="56" t="s">
        <v>172</v>
      </c>
      <c r="CT24" s="19">
        <f>SUM(CT25:CT30)</f>
        <v>5750386189</v>
      </c>
      <c r="CU24" s="19">
        <f>SUM(CU25:CU30)</f>
        <v>8272645</v>
      </c>
      <c r="CV24" s="19">
        <v>201107890</v>
      </c>
      <c r="CW24" s="19">
        <f>SUM(CW25:CW30)</f>
        <v>209262823</v>
      </c>
      <c r="CX24" s="19">
        <f>SUM(CX25:CX30)</f>
        <v>3900334480</v>
      </c>
      <c r="CY24" s="19" t="s">
        <v>96</v>
      </c>
      <c r="CZ24" s="19">
        <f>SUM(CZ25:CZ30)</f>
        <v>105107380</v>
      </c>
      <c r="DA24" s="19" t="s">
        <v>175</v>
      </c>
      <c r="DB24" s="19">
        <f t="shared" ref="DB24:DR24" si="67">SUM(DB25:DB30)</f>
        <v>24193932</v>
      </c>
      <c r="DC24" s="19">
        <f t="shared" si="67"/>
        <v>63661960</v>
      </c>
      <c r="DD24" s="19">
        <f t="shared" si="67"/>
        <v>17020537</v>
      </c>
      <c r="DE24" s="19">
        <f t="shared" si="67"/>
        <v>0</v>
      </c>
      <c r="DF24" s="19">
        <f t="shared" si="67"/>
        <v>38716203</v>
      </c>
      <c r="DG24" s="19">
        <f t="shared" si="67"/>
        <v>772183369</v>
      </c>
      <c r="DH24" s="19">
        <f t="shared" si="67"/>
        <v>1403570122</v>
      </c>
      <c r="DI24" s="19">
        <f t="shared" si="67"/>
        <v>393099077</v>
      </c>
      <c r="DJ24" s="19">
        <f t="shared" si="67"/>
        <v>14088754</v>
      </c>
      <c r="DK24" s="19">
        <f t="shared" si="67"/>
        <v>5405984684</v>
      </c>
      <c r="DL24" s="19">
        <f t="shared" si="67"/>
        <v>63138274</v>
      </c>
      <c r="DM24" s="19">
        <f t="shared" si="67"/>
        <v>1411368154</v>
      </c>
      <c r="DN24" s="19">
        <f t="shared" si="67"/>
        <v>211446547</v>
      </c>
      <c r="DO24" s="19">
        <f t="shared" si="67"/>
        <v>51333827</v>
      </c>
      <c r="DP24" s="19">
        <f t="shared" si="67"/>
        <v>1635757250</v>
      </c>
      <c r="DQ24" s="19">
        <f t="shared" si="67"/>
        <v>78688335</v>
      </c>
      <c r="DR24" s="19">
        <f t="shared" si="67"/>
        <v>81640444</v>
      </c>
      <c r="DS24" s="19">
        <f>SUM(DS25:DS30)</f>
        <v>102155128</v>
      </c>
      <c r="DT24" s="19">
        <f t="shared" ref="DT24:FF24" si="68">SUM(DT25:DT30)</f>
        <v>153966088</v>
      </c>
      <c r="DU24" s="19">
        <f t="shared" si="68"/>
        <v>117268121</v>
      </c>
      <c r="DV24" s="19">
        <f t="shared" si="68"/>
        <v>46416316</v>
      </c>
      <c r="DW24" s="19">
        <f t="shared" si="68"/>
        <v>146227051</v>
      </c>
      <c r="DX24" s="19">
        <f t="shared" si="68"/>
        <v>3396364374</v>
      </c>
      <c r="DY24" s="19">
        <f t="shared" si="68"/>
        <v>104493346</v>
      </c>
      <c r="DZ24" s="19">
        <f t="shared" si="68"/>
        <v>41110507</v>
      </c>
      <c r="EA24" s="19">
        <f t="shared" si="68"/>
        <v>842020</v>
      </c>
      <c r="EB24" s="19">
        <f t="shared" si="68"/>
        <v>1811589980</v>
      </c>
      <c r="EC24" s="19">
        <f t="shared" si="68"/>
        <v>97494936</v>
      </c>
      <c r="ED24" s="19">
        <f t="shared" si="68"/>
        <v>124090335</v>
      </c>
      <c r="EE24" s="19">
        <f t="shared" si="68"/>
        <v>84030668</v>
      </c>
      <c r="EF24" s="19">
        <f t="shared" si="68"/>
        <v>193431304</v>
      </c>
      <c r="EG24" s="19">
        <f t="shared" si="68"/>
        <v>2514652885</v>
      </c>
      <c r="EH24" s="19">
        <f t="shared" si="68"/>
        <v>72385961</v>
      </c>
      <c r="EI24" s="19">
        <f t="shared" si="68"/>
        <v>4674912545</v>
      </c>
      <c r="EJ24" s="19">
        <f t="shared" si="68"/>
        <v>45898840</v>
      </c>
      <c r="EK24" s="19">
        <f t="shared" si="68"/>
        <v>208222804</v>
      </c>
      <c r="EL24" s="19">
        <f t="shared" si="68"/>
        <v>282456802</v>
      </c>
      <c r="EM24" s="19">
        <f t="shared" si="68"/>
        <v>50966687</v>
      </c>
      <c r="EN24" s="19">
        <f t="shared" si="68"/>
        <v>2967908558</v>
      </c>
      <c r="EO24" s="19">
        <f t="shared" si="68"/>
        <v>54124246</v>
      </c>
      <c r="EP24" s="19">
        <f t="shared" si="68"/>
        <v>19447440</v>
      </c>
      <c r="EQ24" s="19">
        <f t="shared" si="68"/>
        <v>0</v>
      </c>
      <c r="ER24" s="19">
        <f t="shared" si="68"/>
        <v>1017360797</v>
      </c>
      <c r="ES24" s="19">
        <f t="shared" si="68"/>
        <v>99777424</v>
      </c>
      <c r="ET24" s="19">
        <f t="shared" si="68"/>
        <v>296395538</v>
      </c>
      <c r="EU24" s="19">
        <f t="shared" si="68"/>
        <v>1819028664</v>
      </c>
      <c r="EV24" s="19">
        <f t="shared" si="68"/>
        <v>64441952</v>
      </c>
      <c r="EW24" s="19">
        <f t="shared" si="68"/>
        <v>227402746</v>
      </c>
      <c r="EX24" s="19">
        <f t="shared" si="68"/>
        <v>124376059</v>
      </c>
      <c r="EY24" s="19">
        <f t="shared" si="68"/>
        <v>2192441483</v>
      </c>
      <c r="EZ24" s="19">
        <f t="shared" si="68"/>
        <v>151900391</v>
      </c>
      <c r="FA24" s="19">
        <f t="shared" si="68"/>
        <v>1274836180</v>
      </c>
      <c r="FB24" s="19">
        <f t="shared" si="68"/>
        <v>123381220</v>
      </c>
      <c r="FC24" s="19">
        <f t="shared" si="68"/>
        <v>237129730</v>
      </c>
      <c r="FD24" s="19">
        <f t="shared" si="68"/>
        <v>392432043</v>
      </c>
      <c r="FE24" s="19">
        <f t="shared" si="68"/>
        <v>4437594885</v>
      </c>
      <c r="FF24" s="19">
        <f t="shared" si="68"/>
        <v>20206139</v>
      </c>
      <c r="FG24" s="19" t="s">
        <v>172</v>
      </c>
      <c r="FH24" s="19">
        <f>SUM(FH25:FH30)</f>
        <v>186345431</v>
      </c>
      <c r="FI24" s="19" t="s">
        <v>172</v>
      </c>
      <c r="FJ24" s="19">
        <f>SUM(FJ25:FJ30)</f>
        <v>48503845</v>
      </c>
      <c r="FK24" s="19">
        <f>SUM(FK25:FK30)</f>
        <v>469823017</v>
      </c>
      <c r="FL24" s="19">
        <f>SUM(FL25:FL30)</f>
        <v>35968062</v>
      </c>
      <c r="FM24" s="19">
        <f>SUM(FM25:FM30)</f>
        <v>578655901</v>
      </c>
      <c r="FN24" s="19">
        <f>SUM(FN25:FN30)</f>
        <v>1838368292</v>
      </c>
      <c r="FO24" s="56" t="s">
        <v>172</v>
      </c>
      <c r="FP24" s="19">
        <f t="shared" ref="FP24:FU24" si="69">SUM(FP25:FP30)</f>
        <v>20245489</v>
      </c>
      <c r="FQ24" s="19">
        <f t="shared" si="69"/>
        <v>7797140</v>
      </c>
      <c r="FR24" s="19">
        <f t="shared" si="69"/>
        <v>274135682</v>
      </c>
      <c r="FS24" s="19">
        <f t="shared" si="69"/>
        <v>309205324</v>
      </c>
      <c r="FT24" s="19">
        <f t="shared" si="69"/>
        <v>1390313927</v>
      </c>
      <c r="FU24" s="19">
        <f t="shared" si="69"/>
        <v>96485230</v>
      </c>
      <c r="FV24" s="19" t="s">
        <v>172</v>
      </c>
      <c r="FW24" s="19">
        <f>SUM(FW25:FW30)</f>
        <v>24245677</v>
      </c>
      <c r="FX24" s="19">
        <f>SUM(FX25:FX30)</f>
        <v>539977865</v>
      </c>
      <c r="FY24" s="19" t="s">
        <v>172</v>
      </c>
      <c r="FZ24" s="19" t="s">
        <v>175</v>
      </c>
      <c r="GA24" s="19">
        <f>SUM(GA25:GA30)</f>
        <v>85733188</v>
      </c>
      <c r="GB24" s="19">
        <f>SUM(GB25:GB30)</f>
        <v>37193231</v>
      </c>
      <c r="GC24" s="19">
        <f>SUM(GC25:GC30)</f>
        <v>71565809</v>
      </c>
      <c r="GD24" s="19" t="s">
        <v>172</v>
      </c>
      <c r="GE24" s="19" t="s">
        <v>172</v>
      </c>
      <c r="GF24" s="19">
        <f>SUM(GF25:GF30)</f>
        <v>209312326</v>
      </c>
      <c r="GG24" s="19">
        <f>SUM(GG25:GG30)</f>
        <v>808505913</v>
      </c>
      <c r="GH24" s="19" t="s">
        <v>172</v>
      </c>
      <c r="GI24" s="19">
        <f t="shared" ref="GI24:KH24" si="70">SUM(GI25:GI30)</f>
        <v>29771062</v>
      </c>
      <c r="GJ24" s="19" t="s">
        <v>172</v>
      </c>
      <c r="GK24" s="19">
        <f t="shared" si="70"/>
        <v>154206157</v>
      </c>
      <c r="GL24" s="19" t="s">
        <v>172</v>
      </c>
      <c r="GM24" s="19">
        <f t="shared" si="70"/>
        <v>17031394</v>
      </c>
      <c r="GN24" s="19">
        <f t="shared" si="70"/>
        <v>1108020280</v>
      </c>
      <c r="GO24" s="19" t="s">
        <v>172</v>
      </c>
      <c r="GP24" s="19">
        <f t="shared" si="70"/>
        <v>723784391</v>
      </c>
      <c r="GQ24" s="19">
        <f t="shared" si="70"/>
        <v>62381607</v>
      </c>
      <c r="GR24" s="19">
        <f t="shared" si="70"/>
        <v>223624064</v>
      </c>
      <c r="GS24" s="19">
        <f t="shared" si="70"/>
        <v>103674535</v>
      </c>
      <c r="GT24" s="19">
        <f t="shared" si="70"/>
        <v>180281325</v>
      </c>
      <c r="GU24" s="19">
        <f t="shared" si="70"/>
        <v>2307240</v>
      </c>
      <c r="GV24" s="19">
        <f>SUM(GV25:GV30)</f>
        <v>544157072</v>
      </c>
      <c r="GW24" s="19">
        <f>SUM(GW25:GW30)</f>
        <v>8280901931</v>
      </c>
      <c r="GX24" s="19">
        <f t="shared" si="70"/>
        <v>101221050</v>
      </c>
      <c r="GY24" s="19">
        <f t="shared" si="70"/>
        <v>214409392</v>
      </c>
      <c r="GZ24" s="19">
        <f t="shared" si="70"/>
        <v>539643591</v>
      </c>
      <c r="HA24" s="19" t="s">
        <v>172</v>
      </c>
      <c r="HB24" s="19">
        <f t="shared" si="70"/>
        <v>134776805</v>
      </c>
      <c r="HC24" s="19">
        <f t="shared" si="70"/>
        <v>339443284</v>
      </c>
      <c r="HD24" s="19">
        <f t="shared" si="70"/>
        <v>91623952</v>
      </c>
      <c r="HE24" s="19" t="s">
        <v>172</v>
      </c>
      <c r="HF24" s="19">
        <f t="shared" si="70"/>
        <v>692426260</v>
      </c>
      <c r="HG24" s="19">
        <f t="shared" si="70"/>
        <v>583486884</v>
      </c>
      <c r="HH24" s="19" t="s">
        <v>172</v>
      </c>
      <c r="HI24" s="19">
        <f t="shared" si="70"/>
        <v>746708513</v>
      </c>
      <c r="HJ24" s="19" t="s">
        <v>172</v>
      </c>
      <c r="HK24" s="19">
        <f t="shared" si="70"/>
        <v>991746763</v>
      </c>
      <c r="HL24" s="19">
        <f t="shared" si="70"/>
        <v>22303633</v>
      </c>
      <c r="HM24" s="19">
        <f t="shared" si="70"/>
        <v>173283130</v>
      </c>
      <c r="HN24" s="19">
        <f t="shared" si="70"/>
        <v>13116347</v>
      </c>
      <c r="HO24" s="19">
        <f t="shared" si="70"/>
        <v>158168985</v>
      </c>
      <c r="HP24" s="19">
        <f t="shared" si="70"/>
        <v>177075644</v>
      </c>
      <c r="HQ24" s="19">
        <f t="shared" si="70"/>
        <v>203835299</v>
      </c>
      <c r="HR24" s="19">
        <f t="shared" si="70"/>
        <v>2379856354</v>
      </c>
      <c r="HS24" s="19">
        <f t="shared" si="70"/>
        <v>102356052</v>
      </c>
      <c r="HT24" s="19">
        <f t="shared" si="70"/>
        <v>228398708</v>
      </c>
      <c r="HU24" s="19">
        <f t="shared" si="70"/>
        <v>2405430598</v>
      </c>
      <c r="HV24" s="19">
        <f t="shared" si="70"/>
        <v>41097363</v>
      </c>
      <c r="HW24" s="19" t="s">
        <v>172</v>
      </c>
      <c r="HX24" s="19">
        <f t="shared" si="70"/>
        <v>289010946</v>
      </c>
      <c r="HY24" s="19" t="s">
        <v>172</v>
      </c>
      <c r="HZ24" s="19">
        <f t="shared" si="70"/>
        <v>673082969</v>
      </c>
      <c r="IA24" s="19">
        <f t="shared" si="70"/>
        <v>3841130</v>
      </c>
      <c r="IB24" s="19">
        <f t="shared" si="70"/>
        <v>1981013269</v>
      </c>
      <c r="IC24" s="19">
        <f t="shared" si="70"/>
        <v>1317862106</v>
      </c>
      <c r="ID24" s="19">
        <f t="shared" si="70"/>
        <v>30828827</v>
      </c>
      <c r="IE24" s="19" t="s">
        <v>172</v>
      </c>
      <c r="IF24" s="19">
        <f t="shared" si="70"/>
        <v>36905347</v>
      </c>
      <c r="IG24" s="19">
        <f t="shared" si="70"/>
        <v>25517155</v>
      </c>
      <c r="IH24" s="19">
        <f t="shared" si="70"/>
        <v>55208506</v>
      </c>
      <c r="II24" s="19">
        <f t="shared" si="70"/>
        <v>127581408</v>
      </c>
      <c r="IJ24" s="19">
        <f t="shared" si="70"/>
        <v>101081599</v>
      </c>
      <c r="IK24" s="19">
        <f t="shared" si="70"/>
        <v>52761932</v>
      </c>
      <c r="IL24" s="19">
        <f t="shared" si="70"/>
        <v>609437713</v>
      </c>
      <c r="IM24" s="19">
        <f>SUM(IM25:IM30)</f>
        <v>515254600</v>
      </c>
      <c r="IN24" s="19">
        <f t="shared" si="70"/>
        <v>313110765</v>
      </c>
      <c r="IO24" s="19">
        <f t="shared" si="70"/>
        <v>18208116</v>
      </c>
      <c r="IP24" s="19">
        <f t="shared" si="70"/>
        <v>289142940</v>
      </c>
      <c r="IQ24" s="19">
        <f t="shared" si="70"/>
        <v>293104120</v>
      </c>
      <c r="IR24" s="19">
        <f t="shared" si="70"/>
        <v>18450399</v>
      </c>
      <c r="IS24" s="19">
        <f t="shared" si="70"/>
        <v>108624688</v>
      </c>
      <c r="IT24" s="19">
        <f t="shared" si="70"/>
        <v>164484724</v>
      </c>
      <c r="IU24" s="19">
        <f t="shared" si="70"/>
        <v>678688030</v>
      </c>
      <c r="IV24" s="19">
        <f t="shared" si="70"/>
        <v>181823405</v>
      </c>
      <c r="IW24" s="19">
        <f t="shared" si="70"/>
        <v>171014226</v>
      </c>
      <c r="IX24" s="19">
        <f t="shared" si="70"/>
        <v>175590758</v>
      </c>
      <c r="IY24" s="19">
        <f t="shared" si="70"/>
        <v>258158618</v>
      </c>
      <c r="IZ24" s="19">
        <f t="shared" si="70"/>
        <v>300556445</v>
      </c>
      <c r="JA24" s="19">
        <f t="shared" si="70"/>
        <v>285244028</v>
      </c>
      <c r="JB24" s="19">
        <f t="shared" si="70"/>
        <v>723960140</v>
      </c>
      <c r="JC24" s="19">
        <f t="shared" si="70"/>
        <v>70602590</v>
      </c>
      <c r="JD24" s="19">
        <f t="shared" si="70"/>
        <v>65872245</v>
      </c>
      <c r="JE24" s="19">
        <f t="shared" si="70"/>
        <v>26488182</v>
      </c>
      <c r="JF24" s="19">
        <f t="shared" si="70"/>
        <v>220605095</v>
      </c>
      <c r="JG24" s="19">
        <f t="shared" si="70"/>
        <v>8619797</v>
      </c>
      <c r="JH24" s="19">
        <f t="shared" si="70"/>
        <v>113578691</v>
      </c>
      <c r="JI24" s="19">
        <f t="shared" si="70"/>
        <v>134908649</v>
      </c>
      <c r="JJ24" s="19">
        <f t="shared" si="70"/>
        <v>10614386</v>
      </c>
      <c r="JK24" s="19">
        <f t="shared" si="70"/>
        <v>296978838</v>
      </c>
      <c r="JL24" s="19">
        <f t="shared" si="70"/>
        <v>673553633</v>
      </c>
      <c r="JM24" s="19">
        <f t="shared" si="70"/>
        <v>34474921</v>
      </c>
      <c r="JN24" s="19">
        <f t="shared" si="70"/>
        <v>827739539</v>
      </c>
      <c r="JO24" s="19">
        <f t="shared" si="70"/>
        <v>55847274</v>
      </c>
      <c r="JP24" s="19">
        <f t="shared" si="70"/>
        <v>22564893</v>
      </c>
      <c r="JQ24" s="19" t="s">
        <v>175</v>
      </c>
      <c r="JR24" s="19">
        <f t="shared" si="70"/>
        <v>35512679</v>
      </c>
      <c r="JS24" s="19">
        <f t="shared" si="70"/>
        <v>208857224</v>
      </c>
      <c r="JT24" s="19">
        <f t="shared" si="70"/>
        <v>308953455</v>
      </c>
      <c r="JU24" s="19">
        <f t="shared" si="70"/>
        <v>102343079</v>
      </c>
      <c r="JV24" s="19">
        <f t="shared" si="70"/>
        <v>481364170</v>
      </c>
      <c r="JW24" s="19">
        <f t="shared" si="70"/>
        <v>70155579</v>
      </c>
      <c r="JX24" s="19">
        <f t="shared" si="70"/>
        <v>523576222</v>
      </c>
      <c r="JY24" s="19">
        <f t="shared" si="70"/>
        <v>478902220</v>
      </c>
      <c r="JZ24" s="19">
        <f t="shared" si="70"/>
        <v>115745740</v>
      </c>
      <c r="KA24" s="19">
        <f t="shared" si="70"/>
        <v>216344480</v>
      </c>
      <c r="KB24" s="19">
        <f t="shared" si="70"/>
        <v>347621945</v>
      </c>
      <c r="KC24" s="19">
        <f t="shared" si="70"/>
        <v>56989767</v>
      </c>
      <c r="KD24" s="19">
        <f t="shared" si="70"/>
        <v>179706169</v>
      </c>
      <c r="KE24" s="19">
        <f t="shared" si="70"/>
        <v>147543515</v>
      </c>
      <c r="KF24" s="19">
        <f t="shared" si="70"/>
        <v>79415944</v>
      </c>
      <c r="KG24" s="19">
        <f t="shared" si="70"/>
        <v>428254116</v>
      </c>
      <c r="KH24" s="19">
        <f t="shared" si="70"/>
        <v>22264360</v>
      </c>
      <c r="KI24" s="19">
        <f t="shared" ref="KI24:KJ24" si="71">SUM(KI25:KI30)</f>
        <v>35144031</v>
      </c>
      <c r="KJ24" s="19">
        <f t="shared" si="71"/>
        <v>93075758</v>
      </c>
      <c r="KK24" s="19">
        <f t="shared" ref="KK24:KY24" si="72">SUM(KK25:KK30)</f>
        <v>669890404</v>
      </c>
      <c r="KL24" s="19">
        <f t="shared" si="72"/>
        <v>6462172578</v>
      </c>
      <c r="KM24" s="19">
        <f t="shared" si="72"/>
        <v>52192745</v>
      </c>
      <c r="KN24" s="19">
        <f t="shared" si="72"/>
        <v>38423365</v>
      </c>
      <c r="KO24" s="19">
        <f t="shared" si="72"/>
        <v>5149120297</v>
      </c>
      <c r="KP24" s="19">
        <f t="shared" si="72"/>
        <v>182289856</v>
      </c>
      <c r="KQ24" s="19">
        <f t="shared" si="72"/>
        <v>115726373</v>
      </c>
      <c r="KR24" s="19">
        <f t="shared" si="72"/>
        <v>149645826</v>
      </c>
      <c r="KS24" s="19">
        <f t="shared" si="72"/>
        <v>543169378</v>
      </c>
      <c r="KT24" s="19">
        <f t="shared" si="72"/>
        <v>123701870</v>
      </c>
      <c r="KU24" s="19">
        <f t="shared" si="72"/>
        <v>400569442</v>
      </c>
      <c r="KV24" s="19">
        <f t="shared" si="72"/>
        <v>22471835</v>
      </c>
      <c r="KW24" s="19">
        <f t="shared" si="72"/>
        <v>152509702</v>
      </c>
      <c r="KX24" s="19">
        <f t="shared" si="72"/>
        <v>42860328</v>
      </c>
      <c r="KY24" s="19">
        <f t="shared" si="72"/>
        <v>792917546</v>
      </c>
      <c r="KZ24" s="58">
        <f>KZ25+KZ26+KZ27+KZ28+KZ29+KZ30</f>
        <v>412399358</v>
      </c>
      <c r="LA24" s="70">
        <v>98696881</v>
      </c>
      <c r="LB24" s="70">
        <v>34239823</v>
      </c>
    </row>
    <row r="25" spans="1:314">
      <c r="A25" s="7" t="s">
        <v>100</v>
      </c>
      <c r="B25" s="11" t="s">
        <v>21</v>
      </c>
      <c r="C25" s="19">
        <v>246400</v>
      </c>
      <c r="D25" s="19">
        <v>456832138</v>
      </c>
      <c r="E25" s="19">
        <v>129167008</v>
      </c>
      <c r="F25" s="19"/>
      <c r="G25" s="19" t="s">
        <v>130</v>
      </c>
      <c r="H25" s="19"/>
      <c r="I25" s="19"/>
      <c r="J25" s="19" t="s">
        <v>176</v>
      </c>
      <c r="K25" s="19">
        <v>171308774</v>
      </c>
      <c r="L25" s="19" t="s">
        <v>96</v>
      </c>
      <c r="M25" s="19" t="s">
        <v>172</v>
      </c>
      <c r="N25" s="19"/>
      <c r="O25" s="19">
        <v>119079372</v>
      </c>
      <c r="P25" s="19">
        <v>110309670</v>
      </c>
      <c r="Q25" s="19">
        <v>26191000</v>
      </c>
      <c r="R25" s="19">
        <v>6598</v>
      </c>
      <c r="S25" s="19">
        <v>1475306370</v>
      </c>
      <c r="T25" s="19" t="s">
        <v>96</v>
      </c>
      <c r="U25" s="19" t="s">
        <v>96</v>
      </c>
      <c r="V25" s="19" t="s">
        <v>172</v>
      </c>
      <c r="W25" s="19">
        <v>78995969</v>
      </c>
      <c r="X25" s="19"/>
      <c r="Y25" s="19"/>
      <c r="Z25" s="19"/>
      <c r="AA25" s="19">
        <v>347764744</v>
      </c>
      <c r="AB25" s="19"/>
      <c r="AC25" s="19">
        <v>72415137</v>
      </c>
      <c r="AD25" s="19">
        <v>36055397</v>
      </c>
      <c r="AE25" s="19">
        <v>4461383</v>
      </c>
      <c r="AF25" s="56" t="s">
        <v>172</v>
      </c>
      <c r="AG25" s="19">
        <v>244924</v>
      </c>
      <c r="AH25" s="19" t="s">
        <v>167</v>
      </c>
      <c r="AI25" s="19">
        <v>6435800</v>
      </c>
      <c r="AJ25" s="19">
        <v>23535220</v>
      </c>
      <c r="AK25" s="19">
        <v>105528195</v>
      </c>
      <c r="AL25" s="19">
        <v>1330000</v>
      </c>
      <c r="AM25" s="19" t="s">
        <v>4</v>
      </c>
      <c r="AN25" s="19"/>
      <c r="AO25" s="19"/>
      <c r="AP25" s="19"/>
      <c r="AQ25" s="19" t="s">
        <v>172</v>
      </c>
      <c r="AR25" s="19"/>
      <c r="AS25" s="19"/>
      <c r="AT25" s="19" t="s">
        <v>172</v>
      </c>
      <c r="AU25" s="19"/>
      <c r="AV25" s="19"/>
      <c r="AW25" s="19"/>
      <c r="AX25" s="19" t="s">
        <v>4</v>
      </c>
      <c r="AY25" s="19"/>
      <c r="AZ25" s="19">
        <v>1890686</v>
      </c>
      <c r="BA25" s="19" t="s">
        <v>167</v>
      </c>
      <c r="BB25" s="19"/>
      <c r="BC25" s="19" t="s">
        <v>4</v>
      </c>
      <c r="BD25" s="19" t="s">
        <v>172</v>
      </c>
      <c r="BE25" s="19">
        <v>17667691</v>
      </c>
      <c r="BF25" s="19" t="s">
        <v>96</v>
      </c>
      <c r="BG25" s="19">
        <v>88122359</v>
      </c>
      <c r="BH25" s="19">
        <v>9366350</v>
      </c>
      <c r="BI25" s="19">
        <v>42075</v>
      </c>
      <c r="BJ25" s="19">
        <v>32614632</v>
      </c>
      <c r="BK25" s="19">
        <v>2000000</v>
      </c>
      <c r="BL25" s="19">
        <v>5000000</v>
      </c>
      <c r="BM25" s="19">
        <v>52818118</v>
      </c>
      <c r="BN25" s="19">
        <v>3843000</v>
      </c>
      <c r="BO25" s="19" t="s">
        <v>96</v>
      </c>
      <c r="BP25" s="19" t="s">
        <v>96</v>
      </c>
      <c r="BQ25" s="19" t="s">
        <v>175</v>
      </c>
      <c r="BR25" s="19"/>
      <c r="BS25" s="19" t="s">
        <v>172</v>
      </c>
      <c r="BT25" s="19"/>
      <c r="BU25" s="19"/>
      <c r="BV25" s="19"/>
      <c r="BW25" s="19">
        <v>2500000</v>
      </c>
      <c r="BX25" s="19"/>
      <c r="BY25" s="19">
        <v>422560423</v>
      </c>
      <c r="BZ25" s="19">
        <v>120037277</v>
      </c>
      <c r="CA25" s="19"/>
      <c r="CB25" s="19"/>
      <c r="CC25" s="19">
        <v>61866907</v>
      </c>
      <c r="CD25" s="19"/>
      <c r="CE25" s="19" t="s">
        <v>172</v>
      </c>
      <c r="CF25" s="19">
        <v>40143878</v>
      </c>
      <c r="CG25" s="19">
        <v>511435</v>
      </c>
      <c r="CH25" s="19">
        <v>6360180</v>
      </c>
      <c r="CI25" s="19" t="s">
        <v>172</v>
      </c>
      <c r="CJ25" s="19">
        <v>97513168</v>
      </c>
      <c r="CK25" s="19">
        <v>455501966</v>
      </c>
      <c r="CL25" s="19">
        <v>41760392</v>
      </c>
      <c r="CM25" s="19"/>
      <c r="CN25" s="19"/>
      <c r="CO25" s="19">
        <v>4831835</v>
      </c>
      <c r="CP25" s="19">
        <v>21135814</v>
      </c>
      <c r="CQ25" s="19" t="s">
        <v>96</v>
      </c>
      <c r="CR25" s="19">
        <v>1090650</v>
      </c>
      <c r="CS25" s="56" t="s">
        <v>172</v>
      </c>
      <c r="CT25" s="19"/>
      <c r="CU25" s="19"/>
      <c r="CV25" s="19"/>
      <c r="CW25" s="19"/>
      <c r="CX25" s="19"/>
      <c r="CY25" s="19" t="s">
        <v>96</v>
      </c>
      <c r="CZ25" s="19"/>
      <c r="DA25" s="19" t="s">
        <v>175</v>
      </c>
      <c r="DB25" s="19"/>
      <c r="DC25" s="19"/>
      <c r="DD25" s="19"/>
      <c r="DE25" s="19"/>
      <c r="DF25" s="19">
        <v>891990</v>
      </c>
      <c r="DG25" s="19"/>
      <c r="DH25" s="19"/>
      <c r="DI25" s="19">
        <v>181409252</v>
      </c>
      <c r="DJ25" s="19"/>
      <c r="DK25" s="19">
        <v>2256925037</v>
      </c>
      <c r="DL25" s="19"/>
      <c r="DM25" s="19">
        <v>24878203</v>
      </c>
      <c r="DN25" s="19">
        <v>140599441</v>
      </c>
      <c r="DO25" s="19"/>
      <c r="DP25" s="19">
        <v>56675912</v>
      </c>
      <c r="DQ25" s="19">
        <v>41318554</v>
      </c>
      <c r="DR25" s="19"/>
      <c r="DS25" s="19">
        <v>5469670</v>
      </c>
      <c r="DT25" s="19">
        <v>104839107</v>
      </c>
      <c r="DU25" s="19"/>
      <c r="DV25" s="19"/>
      <c r="DW25" s="19">
        <v>86417851</v>
      </c>
      <c r="DX25" s="19"/>
      <c r="DY25" s="19">
        <v>33921018</v>
      </c>
      <c r="DZ25" s="19">
        <v>6911278</v>
      </c>
      <c r="EA25" s="19"/>
      <c r="EB25" s="19">
        <v>21620500</v>
      </c>
      <c r="EC25" s="19">
        <v>25476080</v>
      </c>
      <c r="ED25" s="19">
        <v>3901854</v>
      </c>
      <c r="EE25" s="19"/>
      <c r="EF25" s="19">
        <v>44507708</v>
      </c>
      <c r="EG25" s="19">
        <v>72765000</v>
      </c>
      <c r="EH25" s="19"/>
      <c r="EI25" s="19"/>
      <c r="EJ25" s="19"/>
      <c r="EK25" s="19">
        <v>39183334</v>
      </c>
      <c r="EL25" s="19">
        <v>102357731</v>
      </c>
      <c r="EM25" s="19">
        <v>6238220</v>
      </c>
      <c r="EN25" s="19">
        <v>8291614</v>
      </c>
      <c r="EO25" s="19"/>
      <c r="EP25" s="19"/>
      <c r="EQ25" s="19"/>
      <c r="ER25" s="19"/>
      <c r="ES25" s="19">
        <v>77060997</v>
      </c>
      <c r="ET25" s="19"/>
      <c r="EU25" s="19"/>
      <c r="EV25" s="19"/>
      <c r="EW25" s="19">
        <v>5964092</v>
      </c>
      <c r="EX25" s="19"/>
      <c r="EY25" s="19"/>
      <c r="EZ25" s="19">
        <v>9194309</v>
      </c>
      <c r="FA25" s="19">
        <v>5643888</v>
      </c>
      <c r="FB25" s="19">
        <v>1438900</v>
      </c>
      <c r="FC25" s="19">
        <v>30670160</v>
      </c>
      <c r="FD25" s="19">
        <v>4356000</v>
      </c>
      <c r="FE25" s="19">
        <v>2306070922</v>
      </c>
      <c r="FF25" s="19"/>
      <c r="FG25" s="19" t="s">
        <v>172</v>
      </c>
      <c r="FH25" s="19">
        <v>90229806</v>
      </c>
      <c r="FI25" s="19" t="s">
        <v>172</v>
      </c>
      <c r="FJ25" s="19">
        <v>7865000</v>
      </c>
      <c r="FK25" s="19">
        <v>68328508</v>
      </c>
      <c r="FL25" s="19"/>
      <c r="FM25" s="19"/>
      <c r="FN25" s="19"/>
      <c r="FO25" s="56" t="s">
        <v>172</v>
      </c>
      <c r="FP25" s="19">
        <v>4400000</v>
      </c>
      <c r="FQ25" s="19"/>
      <c r="FR25" s="19">
        <v>9010925</v>
      </c>
      <c r="FS25" s="19">
        <v>1903400</v>
      </c>
      <c r="FT25" s="19">
        <v>116916871</v>
      </c>
      <c r="FU25" s="19"/>
      <c r="FV25" s="19" t="s">
        <v>172</v>
      </c>
      <c r="FW25" s="19">
        <v>17375825</v>
      </c>
      <c r="FX25" s="19"/>
      <c r="FY25" s="19" t="s">
        <v>172</v>
      </c>
      <c r="FZ25" s="19" t="s">
        <v>175</v>
      </c>
      <c r="GA25" s="19">
        <v>1952350</v>
      </c>
      <c r="GB25" s="19">
        <v>24724440</v>
      </c>
      <c r="GC25" s="19"/>
      <c r="GD25" s="19" t="s">
        <v>172</v>
      </c>
      <c r="GE25" s="19" t="s">
        <v>172</v>
      </c>
      <c r="GF25" s="19">
        <v>49761582</v>
      </c>
      <c r="GG25" s="19"/>
      <c r="GH25" s="19" t="s">
        <v>172</v>
      </c>
      <c r="GI25" s="19"/>
      <c r="GJ25" s="19" t="s">
        <v>172</v>
      </c>
      <c r="GK25" s="19">
        <v>2356632</v>
      </c>
      <c r="GL25" s="19" t="s">
        <v>172</v>
      </c>
      <c r="GM25" s="19"/>
      <c r="GN25" s="19"/>
      <c r="GO25" s="19" t="s">
        <v>172</v>
      </c>
      <c r="GP25" s="19">
        <v>217243912</v>
      </c>
      <c r="GQ25" s="19">
        <v>119900</v>
      </c>
      <c r="GR25" s="19">
        <v>44969756</v>
      </c>
      <c r="GS25" s="19"/>
      <c r="GT25" s="19">
        <v>390000</v>
      </c>
      <c r="GU25" s="19"/>
      <c r="GV25" s="19"/>
      <c r="GW25" s="19">
        <v>494029640</v>
      </c>
      <c r="GX25" s="19">
        <v>61757000</v>
      </c>
      <c r="GY25" s="19"/>
      <c r="GZ25" s="19">
        <v>7414404</v>
      </c>
      <c r="HA25" s="19" t="s">
        <v>172</v>
      </c>
      <c r="HB25" s="19"/>
      <c r="HC25" s="19">
        <v>77914076</v>
      </c>
      <c r="HD25" s="19">
        <v>22520166</v>
      </c>
      <c r="HE25" s="19" t="s">
        <v>172</v>
      </c>
      <c r="HF25" s="19"/>
      <c r="HG25" s="19"/>
      <c r="HH25" s="19" t="s">
        <v>172</v>
      </c>
      <c r="HI25" s="19"/>
      <c r="HJ25" s="19" t="s">
        <v>172</v>
      </c>
      <c r="HK25" s="19">
        <v>33097770</v>
      </c>
      <c r="HL25" s="19"/>
      <c r="HM25" s="19">
        <v>8574362</v>
      </c>
      <c r="HN25" s="19"/>
      <c r="HO25" s="19">
        <v>5523740</v>
      </c>
      <c r="HP25" s="19"/>
      <c r="HQ25" s="19">
        <v>2006445</v>
      </c>
      <c r="HR25" s="19">
        <v>1829671827</v>
      </c>
      <c r="HS25" s="19">
        <v>6511275</v>
      </c>
      <c r="HT25" s="19">
        <v>9662954</v>
      </c>
      <c r="HU25" s="19">
        <v>503060</v>
      </c>
      <c r="HV25" s="19"/>
      <c r="HW25" s="19" t="s">
        <v>172</v>
      </c>
      <c r="HX25" s="19">
        <v>80805408</v>
      </c>
      <c r="HY25" s="19" t="s">
        <v>172</v>
      </c>
      <c r="HZ25" s="19">
        <v>12265000</v>
      </c>
      <c r="IA25" s="19"/>
      <c r="IB25" s="19">
        <v>8310582</v>
      </c>
      <c r="IC25" s="19"/>
      <c r="ID25" s="19">
        <v>943968</v>
      </c>
      <c r="IE25" s="19" t="s">
        <v>172</v>
      </c>
      <c r="IF25" s="19"/>
      <c r="IG25" s="19"/>
      <c r="IH25" s="19">
        <v>1526999</v>
      </c>
      <c r="II25" s="19">
        <v>770500</v>
      </c>
      <c r="IJ25" s="19">
        <v>15446200</v>
      </c>
      <c r="IK25" s="19">
        <v>617950</v>
      </c>
      <c r="IL25" s="19">
        <v>19677740</v>
      </c>
      <c r="IM25" s="19"/>
      <c r="IN25" s="19"/>
      <c r="IO25" s="19">
        <v>5866830</v>
      </c>
      <c r="IP25" s="19">
        <v>191631253</v>
      </c>
      <c r="IQ25" s="19"/>
      <c r="IR25" s="19"/>
      <c r="IS25" s="19"/>
      <c r="IT25" s="19"/>
      <c r="IU25" s="19"/>
      <c r="IV25" s="19"/>
      <c r="IW25" s="19"/>
      <c r="IX25" s="19">
        <v>23155264</v>
      </c>
      <c r="IY25" s="19">
        <v>128253034</v>
      </c>
      <c r="IZ25" s="19">
        <v>16850000</v>
      </c>
      <c r="JA25" s="19">
        <v>239976372</v>
      </c>
      <c r="JB25" s="19"/>
      <c r="JC25" s="19">
        <v>1350000</v>
      </c>
      <c r="JD25" s="19"/>
      <c r="JE25" s="19"/>
      <c r="JF25" s="19"/>
      <c r="JG25" s="19"/>
      <c r="JH25" s="19">
        <v>383130</v>
      </c>
      <c r="JI25" s="19">
        <v>2808197</v>
      </c>
      <c r="JJ25" s="19"/>
      <c r="JK25" s="19">
        <v>1099870</v>
      </c>
      <c r="JL25" s="19">
        <v>9153220</v>
      </c>
      <c r="JM25" s="19">
        <v>6884720</v>
      </c>
      <c r="JN25" s="19">
        <v>165581849</v>
      </c>
      <c r="JO25" s="19">
        <v>134600</v>
      </c>
      <c r="JP25" s="19"/>
      <c r="JQ25" s="19" t="s">
        <v>175</v>
      </c>
      <c r="JR25" s="19"/>
      <c r="JS25" s="19">
        <v>5594100</v>
      </c>
      <c r="JT25" s="19"/>
      <c r="JU25" s="19">
        <v>3023350</v>
      </c>
      <c r="JV25" s="19">
        <v>1195410</v>
      </c>
      <c r="JW25" s="19"/>
      <c r="JX25" s="19"/>
      <c r="JY25" s="19">
        <v>31080343</v>
      </c>
      <c r="JZ25" s="19">
        <v>136873</v>
      </c>
      <c r="KA25" s="19">
        <v>77445531</v>
      </c>
      <c r="KB25" s="19">
        <v>125150987</v>
      </c>
      <c r="KC25" s="19">
        <v>25041376</v>
      </c>
      <c r="KD25" s="19"/>
      <c r="KE25" s="19">
        <v>1203</v>
      </c>
      <c r="KF25" s="19">
        <v>28672001</v>
      </c>
      <c r="KG25" s="19"/>
      <c r="KH25" s="19">
        <v>8260910</v>
      </c>
      <c r="KI25" s="19"/>
      <c r="KJ25" s="19">
        <v>11995794</v>
      </c>
      <c r="KK25" s="19"/>
      <c r="KL25" s="19">
        <v>21362836</v>
      </c>
      <c r="KM25" s="19">
        <v>275103</v>
      </c>
      <c r="KN25" s="19"/>
      <c r="KO25" s="19"/>
      <c r="KP25" s="19">
        <v>330000</v>
      </c>
      <c r="KQ25" s="19"/>
      <c r="KR25" s="19">
        <v>0</v>
      </c>
      <c r="KS25" s="19">
        <v>19880766</v>
      </c>
      <c r="KT25" s="19">
        <v>471852</v>
      </c>
      <c r="KU25" s="19">
        <v>92235015</v>
      </c>
      <c r="KV25" s="19">
        <v>2687282</v>
      </c>
      <c r="KW25" s="19">
        <v>1320000</v>
      </c>
      <c r="KX25" s="19"/>
      <c r="KY25" s="19">
        <v>109477255</v>
      </c>
      <c r="KZ25" s="58">
        <v>190387265</v>
      </c>
      <c r="LA25" s="70">
        <v>4971400</v>
      </c>
      <c r="LB25" s="70">
        <v>1748000</v>
      </c>
    </row>
    <row r="26" spans="1:314">
      <c r="A26" s="7" t="s">
        <v>100</v>
      </c>
      <c r="B26" s="11" t="s">
        <v>6</v>
      </c>
      <c r="C26" s="19"/>
      <c r="D26" s="19"/>
      <c r="E26" s="19"/>
      <c r="F26" s="19"/>
      <c r="G26" s="19" t="s">
        <v>130</v>
      </c>
      <c r="H26" s="19">
        <v>70000000</v>
      </c>
      <c r="I26" s="19">
        <f>298400000+108196429</f>
        <v>406596429</v>
      </c>
      <c r="J26" s="19" t="s">
        <v>176</v>
      </c>
      <c r="K26" s="19"/>
      <c r="L26" s="19" t="s">
        <v>96</v>
      </c>
      <c r="M26" s="19" t="s">
        <v>96</v>
      </c>
      <c r="N26" s="19">
        <v>42000000</v>
      </c>
      <c r="O26" s="19">
        <v>403118953</v>
      </c>
      <c r="P26" s="19"/>
      <c r="Q26" s="19"/>
      <c r="R26" s="19">
        <f>2026740</f>
        <v>2026740</v>
      </c>
      <c r="S26" s="19">
        <v>924000000</v>
      </c>
      <c r="T26" s="19" t="s">
        <v>96</v>
      </c>
      <c r="U26" s="19" t="s">
        <v>96</v>
      </c>
      <c r="V26" s="19" t="s">
        <v>172</v>
      </c>
      <c r="W26" s="19"/>
      <c r="X26" s="19"/>
      <c r="Y26" s="19">
        <v>38302450</v>
      </c>
      <c r="Z26" s="19"/>
      <c r="AA26" s="19">
        <v>500000000</v>
      </c>
      <c r="AB26" s="19"/>
      <c r="AC26" s="19"/>
      <c r="AD26" s="19"/>
      <c r="AE26" s="19">
        <v>4297971458</v>
      </c>
      <c r="AF26" s="56" t="s">
        <v>172</v>
      </c>
      <c r="AG26" s="19">
        <v>347895092</v>
      </c>
      <c r="AH26" s="19" t="s">
        <v>167</v>
      </c>
      <c r="AI26" s="19">
        <f>150000000+89000000</f>
        <v>239000000</v>
      </c>
      <c r="AJ26" s="19"/>
      <c r="AK26" s="19">
        <v>490000000</v>
      </c>
      <c r="AL26" s="19"/>
      <c r="AM26" s="19" t="s">
        <v>4</v>
      </c>
      <c r="AN26" s="19"/>
      <c r="AO26" s="19">
        <f>437000000+11748641</f>
        <v>448748641</v>
      </c>
      <c r="AP26" s="19"/>
      <c r="AQ26" s="19" t="s">
        <v>172</v>
      </c>
      <c r="AR26" s="19">
        <v>18125000</v>
      </c>
      <c r="AS26" s="19">
        <v>295604385</v>
      </c>
      <c r="AT26" s="19" t="s">
        <v>172</v>
      </c>
      <c r="AU26" s="19">
        <f>629030000+1840000000</f>
        <v>2469030000</v>
      </c>
      <c r="AV26" s="19"/>
      <c r="AW26" s="19">
        <v>300000000</v>
      </c>
      <c r="AX26" s="19" t="s">
        <v>4</v>
      </c>
      <c r="AY26" s="19"/>
      <c r="AZ26" s="19"/>
      <c r="BA26" s="19" t="s">
        <v>167</v>
      </c>
      <c r="BB26" s="19">
        <v>16246350</v>
      </c>
      <c r="BC26" s="19" t="s">
        <v>4</v>
      </c>
      <c r="BD26" s="19" t="s">
        <v>172</v>
      </c>
      <c r="BE26" s="19">
        <v>7144420</v>
      </c>
      <c r="BF26" s="19" t="s">
        <v>96</v>
      </c>
      <c r="BG26" s="19">
        <v>137979142</v>
      </c>
      <c r="BH26" s="19"/>
      <c r="BI26" s="19"/>
      <c r="BJ26" s="19">
        <v>163034802</v>
      </c>
      <c r="BK26" s="19">
        <v>661359300</v>
      </c>
      <c r="BL26" s="19"/>
      <c r="BM26" s="19"/>
      <c r="BN26" s="19">
        <f>42281498+10800000</f>
        <v>53081498</v>
      </c>
      <c r="BO26" s="19" t="s">
        <v>96</v>
      </c>
      <c r="BP26" s="19" t="s">
        <v>96</v>
      </c>
      <c r="BQ26" s="19" t="s">
        <v>175</v>
      </c>
      <c r="BR26" s="19"/>
      <c r="BS26" s="19" t="s">
        <v>172</v>
      </c>
      <c r="BT26" s="19"/>
      <c r="BU26" s="19">
        <v>200000000</v>
      </c>
      <c r="BV26" s="19">
        <v>194043355</v>
      </c>
      <c r="BW26" s="19"/>
      <c r="BX26" s="19">
        <v>121614584</v>
      </c>
      <c r="BY26" s="19">
        <f>280426050+38000000</f>
        <v>318426050</v>
      </c>
      <c r="BZ26" s="19"/>
      <c r="CA26" s="19">
        <f>337124819+119600000</f>
        <v>456724819</v>
      </c>
      <c r="CB26" s="19"/>
      <c r="CC26" s="19"/>
      <c r="CD26" s="19"/>
      <c r="CE26" s="19" t="s">
        <v>172</v>
      </c>
      <c r="CF26" s="19"/>
      <c r="CG26" s="19"/>
      <c r="CH26" s="19"/>
      <c r="CI26" s="19" t="s">
        <v>172</v>
      </c>
      <c r="CJ26" s="19">
        <f>114241834+12992743</f>
        <v>127234577</v>
      </c>
      <c r="CK26" s="19">
        <f>25406868+28385810</f>
        <v>53792678</v>
      </c>
      <c r="CL26" s="19">
        <v>20000000</v>
      </c>
      <c r="CM26" s="19"/>
      <c r="CN26" s="19">
        <v>15833308</v>
      </c>
      <c r="CO26" s="19"/>
      <c r="CP26" s="19">
        <v>71382238</v>
      </c>
      <c r="CQ26" s="19" t="s">
        <v>96</v>
      </c>
      <c r="CR26" s="19"/>
      <c r="CS26" s="56" t="s">
        <v>172</v>
      </c>
      <c r="CT26" s="19">
        <v>5000000000</v>
      </c>
      <c r="CU26" s="19">
        <v>706711</v>
      </c>
      <c r="CV26" s="19"/>
      <c r="CW26" s="19"/>
      <c r="CX26" s="19">
        <v>300000000</v>
      </c>
      <c r="CY26" s="19" t="s">
        <v>96</v>
      </c>
      <c r="CZ26" s="19"/>
      <c r="DA26" s="19" t="s">
        <v>175</v>
      </c>
      <c r="DB26" s="19"/>
      <c r="DC26" s="19">
        <v>6387046</v>
      </c>
      <c r="DD26" s="19"/>
      <c r="DE26" s="19"/>
      <c r="DF26" s="19">
        <v>8298241</v>
      </c>
      <c r="DG26" s="19">
        <v>633932352</v>
      </c>
      <c r="DH26" s="19"/>
      <c r="DI26" s="19">
        <v>113130259</v>
      </c>
      <c r="DJ26" s="19"/>
      <c r="DK26" s="19">
        <f>508832841+759000000</f>
        <v>1267832841</v>
      </c>
      <c r="DL26" s="19"/>
      <c r="DM26" s="19">
        <v>1377291303</v>
      </c>
      <c r="DN26" s="19"/>
      <c r="DO26" s="19">
        <v>39930761</v>
      </c>
      <c r="DP26" s="19">
        <v>839089865</v>
      </c>
      <c r="DQ26" s="19"/>
      <c r="DR26" s="19"/>
      <c r="DS26" s="19"/>
      <c r="DT26" s="19"/>
      <c r="DU26" s="19">
        <v>100000000</v>
      </c>
      <c r="DV26" s="19"/>
      <c r="DW26" s="19"/>
      <c r="DX26" s="19">
        <v>1400000000</v>
      </c>
      <c r="DY26" s="19"/>
      <c r="DZ26" s="19"/>
      <c r="EA26" s="19"/>
      <c r="EB26" s="19">
        <v>500000000</v>
      </c>
      <c r="EC26" s="19">
        <v>12932946</v>
      </c>
      <c r="ED26" s="19"/>
      <c r="EE26" s="19"/>
      <c r="EF26" s="19">
        <v>79403840</v>
      </c>
      <c r="EG26" s="19">
        <v>1000000000</v>
      </c>
      <c r="EH26" s="19"/>
      <c r="EI26" s="19">
        <v>2000010000</v>
      </c>
      <c r="EJ26" s="19"/>
      <c r="EK26" s="19"/>
      <c r="EL26" s="19"/>
      <c r="EM26" s="19"/>
      <c r="EN26" s="19">
        <v>2335109328</v>
      </c>
      <c r="EO26" s="19"/>
      <c r="EP26" s="19"/>
      <c r="EQ26" s="19"/>
      <c r="ER26" s="19"/>
      <c r="ES26" s="19"/>
      <c r="ET26" s="19"/>
      <c r="EU26" s="19"/>
      <c r="EV26" s="19">
        <v>50081550</v>
      </c>
      <c r="EW26" s="19">
        <v>101103516</v>
      </c>
      <c r="EX26" s="19"/>
      <c r="EY26" s="19">
        <v>1624890000</v>
      </c>
      <c r="EZ26" s="19">
        <v>15000000</v>
      </c>
      <c r="FA26" s="19">
        <v>1086831031</v>
      </c>
      <c r="FB26" s="19">
        <v>96600000</v>
      </c>
      <c r="FC26" s="19"/>
      <c r="FD26" s="19"/>
      <c r="FE26" s="19">
        <v>1163000000</v>
      </c>
      <c r="FF26" s="19"/>
      <c r="FG26" s="19" t="s">
        <v>172</v>
      </c>
      <c r="FH26" s="19">
        <v>78900000</v>
      </c>
      <c r="FI26" s="19" t="s">
        <v>172</v>
      </c>
      <c r="FJ26" s="19"/>
      <c r="FK26" s="19">
        <f>90934609+61534378</f>
        <v>152468987</v>
      </c>
      <c r="FL26" s="19"/>
      <c r="FM26" s="19">
        <v>550013640</v>
      </c>
      <c r="FN26" s="19">
        <v>1330000000</v>
      </c>
      <c r="FO26" s="56" t="s">
        <v>172</v>
      </c>
      <c r="FP26" s="19"/>
      <c r="FQ26" s="19"/>
      <c r="FR26" s="19">
        <v>150000000</v>
      </c>
      <c r="FS26" s="19"/>
      <c r="FT26" s="19"/>
      <c r="FU26" s="19"/>
      <c r="FV26" s="19" t="s">
        <v>172</v>
      </c>
      <c r="FW26" s="19"/>
      <c r="FX26" s="19">
        <v>318349774</v>
      </c>
      <c r="FY26" s="19" t="s">
        <v>172</v>
      </c>
      <c r="FZ26" s="19" t="s">
        <v>175</v>
      </c>
      <c r="GA26" s="19"/>
      <c r="GB26" s="19">
        <v>6525429</v>
      </c>
      <c r="GC26" s="19">
        <v>19000000</v>
      </c>
      <c r="GD26" s="19" t="s">
        <v>172</v>
      </c>
      <c r="GE26" s="19" t="s">
        <v>172</v>
      </c>
      <c r="GF26" s="19"/>
      <c r="GG26" s="19">
        <v>300002621</v>
      </c>
      <c r="GH26" s="19" t="s">
        <v>172</v>
      </c>
      <c r="GI26" s="19"/>
      <c r="GJ26" s="19" t="s">
        <v>172</v>
      </c>
      <c r="GK26" s="19">
        <v>106928881</v>
      </c>
      <c r="GL26" s="19" t="s">
        <v>172</v>
      </c>
      <c r="GM26" s="19"/>
      <c r="GN26" s="19">
        <v>1015600720</v>
      </c>
      <c r="GO26" s="19" t="s">
        <v>172</v>
      </c>
      <c r="GP26" s="19"/>
      <c r="GQ26" s="19">
        <v>29126145</v>
      </c>
      <c r="GR26" s="19">
        <v>19083111</v>
      </c>
      <c r="GS26" s="19">
        <v>91867620</v>
      </c>
      <c r="GT26" s="19">
        <v>131500000</v>
      </c>
      <c r="GU26" s="19"/>
      <c r="GV26" s="19">
        <v>77447459</v>
      </c>
      <c r="GW26" s="19">
        <v>5000000000</v>
      </c>
      <c r="GX26" s="19">
        <v>2777780</v>
      </c>
      <c r="GY26" s="19">
        <v>49996060</v>
      </c>
      <c r="GZ26" s="19">
        <v>342670000</v>
      </c>
      <c r="HA26" s="19" t="s">
        <v>172</v>
      </c>
      <c r="HB26" s="19"/>
      <c r="HC26" s="19"/>
      <c r="HD26" s="19">
        <v>3979586</v>
      </c>
      <c r="HE26" s="19" t="s">
        <v>172</v>
      </c>
      <c r="HF26" s="19"/>
      <c r="HG26" s="19">
        <v>80000000</v>
      </c>
      <c r="HH26" s="19" t="s">
        <v>172</v>
      </c>
      <c r="HI26" s="19">
        <v>430000000</v>
      </c>
      <c r="HJ26" s="19" t="s">
        <v>172</v>
      </c>
      <c r="HK26" s="19">
        <v>670000000</v>
      </c>
      <c r="HL26" s="19"/>
      <c r="HM26" s="19">
        <v>98669375</v>
      </c>
      <c r="HN26" s="19"/>
      <c r="HO26" s="19"/>
      <c r="HP26" s="19"/>
      <c r="HQ26" s="19"/>
      <c r="HR26" s="19">
        <v>41830799</v>
      </c>
      <c r="HS26" s="19">
        <v>52092510</v>
      </c>
      <c r="HT26" s="19">
        <v>108511570</v>
      </c>
      <c r="HU26" s="19">
        <v>1868567588</v>
      </c>
      <c r="HV26" s="19"/>
      <c r="HW26" s="19" t="s">
        <v>172</v>
      </c>
      <c r="HX26" s="19"/>
      <c r="HY26" s="19" t="s">
        <v>172</v>
      </c>
      <c r="HZ26" s="19">
        <v>296040000</v>
      </c>
      <c r="IA26" s="19"/>
      <c r="IB26" s="19">
        <v>1374590476</v>
      </c>
      <c r="IC26" s="19"/>
      <c r="ID26" s="19">
        <v>18605523</v>
      </c>
      <c r="IE26" s="19" t="s">
        <v>172</v>
      </c>
      <c r="IF26" s="19">
        <v>36532357</v>
      </c>
      <c r="IG26" s="19">
        <v>14590000</v>
      </c>
      <c r="IH26" s="19">
        <v>14167</v>
      </c>
      <c r="II26" s="19"/>
      <c r="IJ26" s="19"/>
      <c r="IK26" s="19">
        <v>18858470</v>
      </c>
      <c r="IL26" s="19">
        <v>23726662</v>
      </c>
      <c r="IM26" s="19">
        <v>250000000</v>
      </c>
      <c r="IN26" s="19">
        <f>70763339+1741977</f>
        <v>72505316</v>
      </c>
      <c r="IO26" s="19"/>
      <c r="IP26" s="19">
        <v>85000000</v>
      </c>
      <c r="IQ26" s="19">
        <v>100000000</v>
      </c>
      <c r="IR26" s="19"/>
      <c r="IS26" s="19"/>
      <c r="IT26" s="19">
        <v>120000000</v>
      </c>
      <c r="IU26" s="19"/>
      <c r="IV26" s="19">
        <v>50000000</v>
      </c>
      <c r="IW26" s="19"/>
      <c r="IX26" s="19"/>
      <c r="IY26" s="19"/>
      <c r="IZ26" s="19"/>
      <c r="JA26" s="19"/>
      <c r="JB26" s="19">
        <v>515169558</v>
      </c>
      <c r="JC26" s="19">
        <v>33122000</v>
      </c>
      <c r="JD26" s="19"/>
      <c r="JE26" s="19"/>
      <c r="JF26" s="19">
        <v>111554639</v>
      </c>
      <c r="JG26" s="19">
        <v>6101346</v>
      </c>
      <c r="JH26" s="19">
        <v>45198000</v>
      </c>
      <c r="JI26" s="19">
        <v>91000000</v>
      </c>
      <c r="JJ26" s="19"/>
      <c r="JK26" s="19">
        <v>60000000</v>
      </c>
      <c r="JL26" s="19"/>
      <c r="JM26" s="19">
        <v>4125982</v>
      </c>
      <c r="JN26" s="19">
        <v>210000000</v>
      </c>
      <c r="JO26" s="19"/>
      <c r="JP26" s="19"/>
      <c r="JQ26" s="19" t="s">
        <v>175</v>
      </c>
      <c r="JR26" s="19">
        <v>22256316</v>
      </c>
      <c r="JS26" s="19">
        <v>175041523</v>
      </c>
      <c r="JT26" s="19">
        <v>223763800</v>
      </c>
      <c r="JU26" s="19">
        <v>42600000</v>
      </c>
      <c r="JV26" s="19">
        <v>194000435</v>
      </c>
      <c r="JW26" s="19">
        <v>45968525</v>
      </c>
      <c r="JX26" s="19"/>
      <c r="JY26" s="19"/>
      <c r="JZ26" s="19">
        <v>70000000</v>
      </c>
      <c r="KA26" s="19"/>
      <c r="KB26" s="19"/>
      <c r="KC26" s="19">
        <v>25166740</v>
      </c>
      <c r="KD26" s="19"/>
      <c r="KE26" s="19">
        <f>23850000+113864982</f>
        <v>137714982</v>
      </c>
      <c r="KF26" s="19"/>
      <c r="KG26" s="19">
        <f>103870045+300000000</f>
        <v>403870045</v>
      </c>
      <c r="KH26" s="19"/>
      <c r="KI26" s="19"/>
      <c r="KJ26" s="19"/>
      <c r="KK26" s="19">
        <v>200000000</v>
      </c>
      <c r="KL26" s="19">
        <v>4344000000</v>
      </c>
      <c r="KM26" s="19"/>
      <c r="KN26" s="19"/>
      <c r="KO26" s="19">
        <v>2440906970</v>
      </c>
      <c r="KP26" s="19"/>
      <c r="KQ26" s="19">
        <v>110021247</v>
      </c>
      <c r="KR26" s="19">
        <v>100000000</v>
      </c>
      <c r="KS26" s="19">
        <v>469000000</v>
      </c>
      <c r="KT26" s="19">
        <v>56788336</v>
      </c>
      <c r="KU26" s="19"/>
      <c r="KV26" s="19">
        <v>7663503</v>
      </c>
      <c r="KW26" s="19">
        <v>40270000</v>
      </c>
      <c r="KX26" s="19">
        <v>40493599</v>
      </c>
      <c r="KY26" s="19">
        <v>252393949</v>
      </c>
      <c r="KZ26" s="58">
        <v>191410000</v>
      </c>
      <c r="LA26" s="70">
        <v>19278020</v>
      </c>
      <c r="LB26" s="70"/>
    </row>
    <row r="27" spans="1:314">
      <c r="A27" s="7" t="s">
        <v>100</v>
      </c>
      <c r="B27" s="11" t="s">
        <v>147</v>
      </c>
      <c r="C27" s="19">
        <v>136972114</v>
      </c>
      <c r="D27" s="19">
        <v>100418031</v>
      </c>
      <c r="E27" s="19">
        <f>54160866+15253344</f>
        <v>69414210</v>
      </c>
      <c r="F27" s="19">
        <f>3174132+3930625</f>
        <v>7104757</v>
      </c>
      <c r="G27" s="19" t="s">
        <v>130</v>
      </c>
      <c r="H27" s="19">
        <v>3090830</v>
      </c>
      <c r="I27" s="19">
        <f>75811373+87999533</f>
        <v>163810906</v>
      </c>
      <c r="J27" s="19" t="s">
        <v>176</v>
      </c>
      <c r="K27" s="19"/>
      <c r="L27" s="19" t="s">
        <v>96</v>
      </c>
      <c r="M27" s="19" t="s">
        <v>96</v>
      </c>
      <c r="N27" s="19">
        <f>25065824+50103217</f>
        <v>75169041</v>
      </c>
      <c r="O27" s="19">
        <f>66072602+660675825</f>
        <v>726748427</v>
      </c>
      <c r="P27" s="19">
        <v>85353871</v>
      </c>
      <c r="Q27" s="19">
        <f>6727299+13017704</f>
        <v>19745003</v>
      </c>
      <c r="R27" s="19">
        <f>2882458+8731880+1839782</f>
        <v>13454120</v>
      </c>
      <c r="S27" s="19">
        <f>153356887+103067578+4277300</f>
        <v>260701765</v>
      </c>
      <c r="T27" s="19" t="s">
        <v>96</v>
      </c>
      <c r="U27" s="19" t="s">
        <v>96</v>
      </c>
      <c r="V27" s="19" t="s">
        <v>172</v>
      </c>
      <c r="W27" s="19">
        <v>112713154</v>
      </c>
      <c r="X27" s="19">
        <v>132297020</v>
      </c>
      <c r="Y27" s="19">
        <v>11754798</v>
      </c>
      <c r="Z27" s="19">
        <v>57692040</v>
      </c>
      <c r="AA27" s="19">
        <f>78315238</f>
        <v>78315238</v>
      </c>
      <c r="AB27" s="19">
        <f>875000+6649220+5329250</f>
        <v>12853470</v>
      </c>
      <c r="AC27" s="19">
        <f>2380400+40362939</f>
        <v>42743339</v>
      </c>
      <c r="AD27" s="19">
        <f>2611596+51865951+76379690</f>
        <v>130857237</v>
      </c>
      <c r="AE27" s="19">
        <f>2407172+8357864</f>
        <v>10765036</v>
      </c>
      <c r="AF27" s="56" t="s">
        <v>172</v>
      </c>
      <c r="AG27" s="19">
        <f>24154859+81034337</f>
        <v>105189196</v>
      </c>
      <c r="AH27" s="19" t="s">
        <v>167</v>
      </c>
      <c r="AI27" s="19">
        <f>177668+9269367</f>
        <v>9447035</v>
      </c>
      <c r="AJ27" s="19">
        <f>3135241+10030036+2436030</f>
        <v>15601307</v>
      </c>
      <c r="AK27" s="19">
        <f>27041459+108964727</f>
        <v>136006186</v>
      </c>
      <c r="AL27" s="19">
        <f>70685948</f>
        <v>70685948</v>
      </c>
      <c r="AM27" s="19" t="s">
        <v>4</v>
      </c>
      <c r="AN27" s="19">
        <f>57377828+71700510</f>
        <v>129078338</v>
      </c>
      <c r="AO27" s="19">
        <f>120625391+4851320</f>
        <v>125476711</v>
      </c>
      <c r="AP27" s="19">
        <f>31772218+5121130</f>
        <v>36893348</v>
      </c>
      <c r="AQ27" s="19" t="s">
        <v>172</v>
      </c>
      <c r="AR27" s="19">
        <f>36536452+1543680</f>
        <v>38080132</v>
      </c>
      <c r="AS27" s="19">
        <f>267872060+14483319+92292814</f>
        <v>374648193</v>
      </c>
      <c r="AT27" s="19" t="s">
        <v>172</v>
      </c>
      <c r="AU27" s="19">
        <f>129589847+904900</f>
        <v>130494747</v>
      </c>
      <c r="AV27" s="19">
        <f>26486327+25406129+5000000</f>
        <v>56892456</v>
      </c>
      <c r="AW27" s="19">
        <f>8057900+14276480</f>
        <v>22334380</v>
      </c>
      <c r="AX27" s="19" t="s">
        <v>4</v>
      </c>
      <c r="AY27" s="19">
        <f>12855710+2080500</f>
        <v>14936210</v>
      </c>
      <c r="AZ27" s="19">
        <f>14065070+26909493</f>
        <v>40974563</v>
      </c>
      <c r="BA27" s="19" t="s">
        <v>167</v>
      </c>
      <c r="BB27" s="19">
        <f>564734+1376361</f>
        <v>1941095</v>
      </c>
      <c r="BC27" s="19" t="s">
        <v>4</v>
      </c>
      <c r="BD27" s="19" t="s">
        <v>172</v>
      </c>
      <c r="BE27" s="19">
        <v>201394244</v>
      </c>
      <c r="BF27" s="19" t="s">
        <v>96</v>
      </c>
      <c r="BG27" s="19">
        <f>80663445+73293785</f>
        <v>153957230</v>
      </c>
      <c r="BH27" s="19">
        <f>55431846+1264580</f>
        <v>56696426</v>
      </c>
      <c r="BI27" s="19">
        <f>52707866+4061811</f>
        <v>56769677</v>
      </c>
      <c r="BJ27" s="19">
        <f>25550429+920694</f>
        <v>26471123</v>
      </c>
      <c r="BK27" s="19">
        <f>207047444+41178790</f>
        <v>248226234</v>
      </c>
      <c r="BL27" s="19">
        <f>307152+21771645</f>
        <v>22078797</v>
      </c>
      <c r="BM27" s="19">
        <f>20298100+126192284</f>
        <v>146490384</v>
      </c>
      <c r="BN27" s="19">
        <v>16607520</v>
      </c>
      <c r="BO27" s="19" t="s">
        <v>96</v>
      </c>
      <c r="BP27" s="19" t="s">
        <v>96</v>
      </c>
      <c r="BQ27" s="19" t="s">
        <v>175</v>
      </c>
      <c r="BR27" s="19">
        <f>514806403+16072866</f>
        <v>530879269</v>
      </c>
      <c r="BS27" s="19" t="s">
        <v>172</v>
      </c>
      <c r="BT27" s="19">
        <f>38671879+2036080</f>
        <v>40707959</v>
      </c>
      <c r="BU27" s="19">
        <v>171221152</v>
      </c>
      <c r="BV27" s="19">
        <f>81862000+13779410</f>
        <v>95641410</v>
      </c>
      <c r="BW27" s="19">
        <v>1229810</v>
      </c>
      <c r="BX27" s="19">
        <f>7394206+277100</f>
        <v>7671306</v>
      </c>
      <c r="BY27" s="19">
        <f>85862891+4954555</f>
        <v>90817446</v>
      </c>
      <c r="BZ27" s="19">
        <f>8828847+24535330+18843700</f>
        <v>52207877</v>
      </c>
      <c r="CA27" s="19">
        <f>74584299+871501</f>
        <v>75455800</v>
      </c>
      <c r="CB27" s="19">
        <f>41029978+141440</f>
        <v>41171418</v>
      </c>
      <c r="CC27" s="19"/>
      <c r="CD27" s="19">
        <v>922820742</v>
      </c>
      <c r="CE27" s="19" t="s">
        <v>172</v>
      </c>
      <c r="CF27" s="19">
        <v>400830927</v>
      </c>
      <c r="CG27" s="19"/>
      <c r="CH27" s="19">
        <f>5826785+12360162</f>
        <v>18186947</v>
      </c>
      <c r="CI27" s="19" t="s">
        <v>172</v>
      </c>
      <c r="CJ27" s="19">
        <f>66630133+37190</f>
        <v>66667323</v>
      </c>
      <c r="CK27" s="19">
        <f>66538071+197782072</f>
        <v>264320143</v>
      </c>
      <c r="CL27" s="19">
        <f>950000+23498290</f>
        <v>24448290</v>
      </c>
      <c r="CM27" s="19">
        <f>14407952+52398939+595531050</f>
        <v>662337941</v>
      </c>
      <c r="CN27" s="19">
        <f>51285570+667900</f>
        <v>51953470</v>
      </c>
      <c r="CO27" s="19"/>
      <c r="CP27" s="19">
        <f>447163291+39672428</f>
        <v>486835719</v>
      </c>
      <c r="CQ27" s="19" t="s">
        <v>96</v>
      </c>
      <c r="CR27" s="19">
        <f>5360293+23087126+17846810</f>
        <v>46294229</v>
      </c>
      <c r="CS27" s="56" t="s">
        <v>172</v>
      </c>
      <c r="CT27" s="19">
        <f>602058541+14586301</f>
        <v>616644842</v>
      </c>
      <c r="CU27" s="19">
        <v>1330000</v>
      </c>
      <c r="CV27" s="19">
        <f>7859874+101179566</f>
        <v>109039440</v>
      </c>
      <c r="CW27" s="19">
        <f>83481418</f>
        <v>83481418</v>
      </c>
      <c r="CX27" s="19">
        <f>130473502+101991950</f>
        <v>232465452</v>
      </c>
      <c r="CY27" s="19" t="s">
        <v>96</v>
      </c>
      <c r="CZ27" s="19">
        <f>97554200+922850</f>
        <v>98477050</v>
      </c>
      <c r="DA27" s="19" t="s">
        <v>175</v>
      </c>
      <c r="DB27" s="19">
        <v>19544572</v>
      </c>
      <c r="DC27" s="19">
        <v>1479784</v>
      </c>
      <c r="DD27" s="19">
        <f>7988343+1901760+967364</f>
        <v>10857467</v>
      </c>
      <c r="DE27" s="19"/>
      <c r="DF27" s="19">
        <v>29483442</v>
      </c>
      <c r="DG27" s="19">
        <v>133813200</v>
      </c>
      <c r="DH27" s="19">
        <v>410880098</v>
      </c>
      <c r="DI27" s="19">
        <v>36390619</v>
      </c>
      <c r="DJ27" s="19">
        <f>3015500+1661968+2107135</f>
        <v>6784603</v>
      </c>
      <c r="DK27" s="19">
        <f>137824517+239781370+53394069</f>
        <v>430999956</v>
      </c>
      <c r="DL27" s="19">
        <f>9073623+16794361</f>
        <v>25867984</v>
      </c>
      <c r="DM27" s="19">
        <v>7531508</v>
      </c>
      <c r="DN27" s="19">
        <f>100000+44662461</f>
        <v>44762461</v>
      </c>
      <c r="DO27" s="19">
        <f>3541248+4541918</f>
        <v>8083166</v>
      </c>
      <c r="DP27" s="19">
        <v>535391750</v>
      </c>
      <c r="DQ27" s="19">
        <f>33079846+3238310</f>
        <v>36318156</v>
      </c>
      <c r="DR27" s="19">
        <f>13771750+37613063</f>
        <v>51384813</v>
      </c>
      <c r="DS27" s="19">
        <v>54880740</v>
      </c>
      <c r="DT27" s="19">
        <v>40637630</v>
      </c>
      <c r="DU27" s="19"/>
      <c r="DV27" s="19">
        <f>780786+6066100</f>
        <v>6846886</v>
      </c>
      <c r="DW27" s="19">
        <f>1204590+25611191</f>
        <v>26815781</v>
      </c>
      <c r="DX27" s="19">
        <f>183984497+1641742913</f>
        <v>1825727410</v>
      </c>
      <c r="DY27" s="19">
        <f>27904780+5901809+32258603</f>
        <v>66065192</v>
      </c>
      <c r="DZ27" s="19">
        <f>5898298+1895730+21117238</f>
        <v>28911266</v>
      </c>
      <c r="EA27" s="19"/>
      <c r="EB27" s="19">
        <f>1500000+9703650+813144918</f>
        <v>824348568</v>
      </c>
      <c r="EC27" s="19">
        <f>39468525+14144833</f>
        <v>53613358</v>
      </c>
      <c r="ED27" s="19">
        <v>12928331</v>
      </c>
      <c r="EE27" s="19">
        <f>8163040+30808638</f>
        <v>38971678</v>
      </c>
      <c r="EF27" s="19">
        <f>6316715+19615530+29645481</f>
        <v>55577726</v>
      </c>
      <c r="EG27" s="19">
        <f>137378890+282933890</f>
        <v>420312780</v>
      </c>
      <c r="EH27" s="19">
        <v>27687391</v>
      </c>
      <c r="EI27" s="19">
        <f>1577440197+965425866</f>
        <v>2542866063</v>
      </c>
      <c r="EJ27" s="19">
        <f>100000+17266580</f>
        <v>17366580</v>
      </c>
      <c r="EK27" s="19">
        <f>49474187+6258619+47563796</f>
        <v>103296602</v>
      </c>
      <c r="EL27" s="19">
        <v>99433182</v>
      </c>
      <c r="EM27" s="19">
        <f>3717600+266751+31231450</f>
        <v>35215801</v>
      </c>
      <c r="EN27" s="19">
        <f>33800+568661298</f>
        <v>568695098</v>
      </c>
      <c r="EO27" s="19">
        <f>41589366+6275910+5695260</f>
        <v>53560536</v>
      </c>
      <c r="EP27" s="19"/>
      <c r="EQ27" s="19"/>
      <c r="ER27" s="19">
        <f>36315104+833390153</f>
        <v>869705257</v>
      </c>
      <c r="ES27" s="19">
        <v>20815593</v>
      </c>
      <c r="ET27" s="19">
        <f>66011494+186635745</f>
        <v>252647239</v>
      </c>
      <c r="EU27" s="19">
        <f>86406518+54942532</f>
        <v>141349050</v>
      </c>
      <c r="EV27" s="19">
        <v>12253766</v>
      </c>
      <c r="EW27" s="19">
        <f>12089036+38259923</f>
        <v>50348959</v>
      </c>
      <c r="EX27" s="19">
        <f>24360065+7914846+4939746</f>
        <v>37214657</v>
      </c>
      <c r="EY27" s="19">
        <f>523763189+31055260</f>
        <v>554818449</v>
      </c>
      <c r="EZ27" s="19">
        <f>57415150+17068000</f>
        <v>74483150</v>
      </c>
      <c r="FA27" s="19">
        <f>86463248+3002116</f>
        <v>89465364</v>
      </c>
      <c r="FB27" s="19">
        <v>611350</v>
      </c>
      <c r="FC27" s="19">
        <f>16434890+2390680+4141560</f>
        <v>22967130</v>
      </c>
      <c r="FD27" s="19">
        <f>282176715+12913258</f>
        <v>295089973</v>
      </c>
      <c r="FE27" s="19">
        <f>671563111+56305686</f>
        <v>727868797</v>
      </c>
      <c r="FF27" s="19">
        <f>3368330+2628790</f>
        <v>5997120</v>
      </c>
      <c r="FG27" s="19" t="s">
        <v>172</v>
      </c>
      <c r="FH27" s="19">
        <v>8872584</v>
      </c>
      <c r="FI27" s="19" t="s">
        <v>172</v>
      </c>
      <c r="FJ27" s="19">
        <f>21796413+192020+4744915</f>
        <v>26733348</v>
      </c>
      <c r="FK27" s="19">
        <v>169084073</v>
      </c>
      <c r="FL27" s="19">
        <v>30109492</v>
      </c>
      <c r="FM27" s="19">
        <v>26395021</v>
      </c>
      <c r="FN27" s="19">
        <f>162303174+108478698</f>
        <v>270781872</v>
      </c>
      <c r="FO27" s="56" t="s">
        <v>172</v>
      </c>
      <c r="FP27" s="19">
        <v>10831293</v>
      </c>
      <c r="FQ27" s="19">
        <v>14820</v>
      </c>
      <c r="FR27" s="19">
        <f>6985716+42306986</f>
        <v>49292702</v>
      </c>
      <c r="FS27" s="19">
        <f>49393258+12811445+91222151</f>
        <v>153426854</v>
      </c>
      <c r="FT27" s="19">
        <v>1257462922</v>
      </c>
      <c r="FU27" s="19"/>
      <c r="FV27" s="19" t="s">
        <v>172</v>
      </c>
      <c r="FW27" s="19">
        <f>1142729+1236472+3846240</f>
        <v>6225441</v>
      </c>
      <c r="FX27" s="19">
        <v>56698108</v>
      </c>
      <c r="FY27" s="19" t="s">
        <v>172</v>
      </c>
      <c r="FZ27" s="19" t="s">
        <v>175</v>
      </c>
      <c r="GA27" s="19">
        <f>35587335+29884573</f>
        <v>65471908</v>
      </c>
      <c r="GB27" s="19">
        <f>3438672+306880</f>
        <v>3745552</v>
      </c>
      <c r="GC27" s="19">
        <v>44210109</v>
      </c>
      <c r="GD27" s="19" t="s">
        <v>172</v>
      </c>
      <c r="GE27" s="19" t="s">
        <v>172</v>
      </c>
      <c r="GF27" s="19">
        <v>128216783</v>
      </c>
      <c r="GG27" s="19">
        <v>243438343</v>
      </c>
      <c r="GH27" s="19" t="s">
        <v>172</v>
      </c>
      <c r="GI27" s="19">
        <v>5045242</v>
      </c>
      <c r="GJ27" s="19" t="s">
        <v>172</v>
      </c>
      <c r="GK27" s="19">
        <v>43258234</v>
      </c>
      <c r="GL27" s="19" t="s">
        <v>172</v>
      </c>
      <c r="GM27" s="19">
        <v>6542055</v>
      </c>
      <c r="GN27" s="19">
        <v>65228707</v>
      </c>
      <c r="GO27" s="19" t="s">
        <v>172</v>
      </c>
      <c r="GP27" s="19">
        <v>339817279</v>
      </c>
      <c r="GQ27" s="19">
        <v>31002372</v>
      </c>
      <c r="GR27" s="19">
        <v>136235634</v>
      </c>
      <c r="GS27" s="19">
        <v>4140484</v>
      </c>
      <c r="GT27" s="19">
        <v>37428735</v>
      </c>
      <c r="GU27" s="19">
        <v>1004060</v>
      </c>
      <c r="GV27" s="19">
        <v>419361393</v>
      </c>
      <c r="GW27" s="19">
        <v>1632447348</v>
      </c>
      <c r="GX27" s="19">
        <v>33264790</v>
      </c>
      <c r="GY27" s="19">
        <v>43756512</v>
      </c>
      <c r="GZ27" s="19">
        <v>75719200</v>
      </c>
      <c r="HA27" s="19" t="s">
        <v>172</v>
      </c>
      <c r="HB27" s="19">
        <v>113735885</v>
      </c>
      <c r="HC27" s="19">
        <v>125463583</v>
      </c>
      <c r="HD27" s="19">
        <v>57974243</v>
      </c>
      <c r="HE27" s="19" t="s">
        <v>172</v>
      </c>
      <c r="HF27" s="19">
        <v>585471227</v>
      </c>
      <c r="HG27" s="19">
        <f>57549004+244160</f>
        <v>57793164</v>
      </c>
      <c r="HH27" s="19" t="s">
        <v>172</v>
      </c>
      <c r="HI27" s="19">
        <v>277237103</v>
      </c>
      <c r="HJ27" s="19" t="s">
        <v>172</v>
      </c>
      <c r="HK27" s="19">
        <f>131315837+73712678</f>
        <v>205028515</v>
      </c>
      <c r="HL27" s="19">
        <f>4123275+4110490+8700800</f>
        <v>16934565</v>
      </c>
      <c r="HM27" s="19">
        <v>58308730</v>
      </c>
      <c r="HN27" s="19">
        <f>574+4223131</f>
        <v>4223705</v>
      </c>
      <c r="HO27" s="19">
        <f>24530+9416095</f>
        <v>9440625</v>
      </c>
      <c r="HP27" s="19">
        <f>25386350+71198544</f>
        <v>96584894</v>
      </c>
      <c r="HQ27" s="19">
        <f>629000+28057406+159163787</f>
        <v>187850193</v>
      </c>
      <c r="HR27" s="19">
        <v>193426583</v>
      </c>
      <c r="HS27" s="19">
        <f>11819243+1640871+3158558</f>
        <v>16618672</v>
      </c>
      <c r="HT27" s="19">
        <f>1361833+95317162</f>
        <v>96678995</v>
      </c>
      <c r="HU27" s="19">
        <f>91861794+24598378</f>
        <v>116460172</v>
      </c>
      <c r="HV27" s="19">
        <v>37624383</v>
      </c>
      <c r="HW27" s="19" t="s">
        <v>172</v>
      </c>
      <c r="HX27" s="19">
        <f>121687545+77105726</f>
        <v>198793271</v>
      </c>
      <c r="HY27" s="19" t="s">
        <v>172</v>
      </c>
      <c r="HZ27" s="19">
        <f>133396360+140415134+71044350+107545+1547122</f>
        <v>346510511</v>
      </c>
      <c r="IA27" s="19">
        <f>950950+77010</f>
        <v>1027960</v>
      </c>
      <c r="IB27" s="19">
        <f>531698992+50417399</f>
        <v>582116391</v>
      </c>
      <c r="IC27" s="19">
        <f>781185225+296598107</f>
        <v>1077783332</v>
      </c>
      <c r="ID27" s="19">
        <f>507720+8975386</f>
        <v>9483106</v>
      </c>
      <c r="IE27" s="19" t="s">
        <v>172</v>
      </c>
      <c r="IF27" s="19"/>
      <c r="IG27" s="19">
        <v>10414675</v>
      </c>
      <c r="IH27" s="19">
        <f>30491192+11382093+76130</f>
        <v>41949415</v>
      </c>
      <c r="II27" s="19">
        <f>49295775+512683</f>
        <v>49808458</v>
      </c>
      <c r="IJ27" s="19">
        <f>50930955+15565400</f>
        <v>66496355</v>
      </c>
      <c r="IK27" s="19">
        <v>30146542</v>
      </c>
      <c r="IL27" s="19">
        <f>3374720+15208760</f>
        <v>18583480</v>
      </c>
      <c r="IM27" s="19">
        <f>93126587+135181488</f>
        <v>228308075</v>
      </c>
      <c r="IN27" s="19">
        <f>224883694+2130545</f>
        <v>227014239</v>
      </c>
      <c r="IO27" s="19">
        <f>7327074+1042101</f>
        <v>8369175</v>
      </c>
      <c r="IP27" s="19">
        <f>4378000+1151852</f>
        <v>5529852</v>
      </c>
      <c r="IQ27" s="19">
        <f>14407856+5244744</f>
        <v>19652600</v>
      </c>
      <c r="IR27" s="19">
        <f>10163218+1580111</f>
        <v>11743329</v>
      </c>
      <c r="IS27" s="19">
        <v>83894028</v>
      </c>
      <c r="IT27" s="19">
        <f>7159851+940797+27561030</f>
        <v>35661678</v>
      </c>
      <c r="IU27" s="19">
        <f>614086990+1633690</f>
        <v>615720680</v>
      </c>
      <c r="IV27" s="19">
        <f>14193415+117454390</f>
        <v>131647805</v>
      </c>
      <c r="IW27" s="19">
        <v>117369726</v>
      </c>
      <c r="IX27" s="19">
        <f>17247206+73086187</f>
        <v>90333393</v>
      </c>
      <c r="IY27" s="19">
        <f>7088791+30754546+38064187</f>
        <v>75907524</v>
      </c>
      <c r="IZ27" s="19">
        <f>131889804+315670</f>
        <v>132205474</v>
      </c>
      <c r="JA27" s="19">
        <f>26399747+5851871</f>
        <v>32251618</v>
      </c>
      <c r="JB27" s="19">
        <f>148733639+53940636</f>
        <v>202674275</v>
      </c>
      <c r="JC27" s="19">
        <v>27583390</v>
      </c>
      <c r="JD27" s="19">
        <f>4851756+27700359+4881100</f>
        <v>37433215</v>
      </c>
      <c r="JE27" s="19">
        <f>13413620+12301982</f>
        <v>25715602</v>
      </c>
      <c r="JF27" s="19">
        <f>39954858+12401020</f>
        <v>52355878</v>
      </c>
      <c r="JG27" s="19">
        <v>847901</v>
      </c>
      <c r="JH27" s="19">
        <f>20993830+415000</f>
        <v>21408830</v>
      </c>
      <c r="JI27" s="19">
        <f>11443278+30100+9905067</f>
        <v>21378445</v>
      </c>
      <c r="JJ27" s="19">
        <f>1222100+7964190</f>
        <v>9186290</v>
      </c>
      <c r="JK27" s="19">
        <f>54991055+48089052</f>
        <v>103080107</v>
      </c>
      <c r="JL27" s="19">
        <f>10814700+281962362</f>
        <v>292777062</v>
      </c>
      <c r="JM27" s="19"/>
      <c r="JN27" s="19">
        <f>106436805+4121432</f>
        <v>110558237</v>
      </c>
      <c r="JO27" s="19">
        <f>156771+13917360</f>
        <v>14074131</v>
      </c>
      <c r="JP27" s="19">
        <f>6214874+2657490+2508779</f>
        <v>11381143</v>
      </c>
      <c r="JQ27" s="19" t="s">
        <v>175</v>
      </c>
      <c r="JR27" s="19">
        <v>11584713</v>
      </c>
      <c r="JS27" s="19">
        <f>21782638+2988782</f>
        <v>24771420</v>
      </c>
      <c r="JT27" s="19">
        <f>13750580+67427225</f>
        <v>81177805</v>
      </c>
      <c r="JU27" s="19">
        <v>31131849</v>
      </c>
      <c r="JV27" s="19">
        <f>11490809+659270+232571770</f>
        <v>244721849</v>
      </c>
      <c r="JW27" s="19">
        <v>17006718</v>
      </c>
      <c r="JX27" s="19">
        <f>463476882+14427450</f>
        <v>477904332</v>
      </c>
      <c r="JY27" s="19">
        <f>61698935+289444165</f>
        <v>351143100</v>
      </c>
      <c r="JZ27" s="19">
        <v>9656679</v>
      </c>
      <c r="KA27" s="19">
        <v>111010584</v>
      </c>
      <c r="KB27" s="19">
        <f>129795125+37017312+28802321</f>
        <v>195614758</v>
      </c>
      <c r="KC27" s="19">
        <f>192437+4740614</f>
        <v>4933051</v>
      </c>
      <c r="KD27" s="19">
        <f>704560+35280805</f>
        <v>35985365</v>
      </c>
      <c r="KE27" s="19">
        <f>1336500+4901990+2999300</f>
        <v>9237790</v>
      </c>
      <c r="KF27" s="19">
        <f>34776816+531827</f>
        <v>35308643</v>
      </c>
      <c r="KG27" s="19">
        <f>8249780+13181341</f>
        <v>21431121</v>
      </c>
      <c r="KH27" s="19">
        <v>9433979</v>
      </c>
      <c r="KI27" s="19">
        <f>16839420+15678411</f>
        <v>32517831</v>
      </c>
      <c r="KJ27" s="19">
        <v>64387793</v>
      </c>
      <c r="KK27" s="19">
        <f>386478163+74395791</f>
        <v>460873954</v>
      </c>
      <c r="KL27" s="19"/>
      <c r="KM27" s="19">
        <f>524778+33457403</f>
        <v>33982181</v>
      </c>
      <c r="KN27" s="19">
        <v>9570515</v>
      </c>
      <c r="KO27" s="19">
        <f>448040562+14473865</f>
        <v>462514427</v>
      </c>
      <c r="KP27" s="19">
        <f>159686880</f>
        <v>159686880</v>
      </c>
      <c r="KQ27" s="19">
        <v>119525</v>
      </c>
      <c r="KR27" s="19">
        <f>2581787+27947174</f>
        <v>30528961</v>
      </c>
      <c r="KS27" s="19">
        <f>14100000+26720635</f>
        <v>40820635</v>
      </c>
      <c r="KT27" s="19">
        <f>17158158+21015953</f>
        <v>38174111</v>
      </c>
      <c r="KU27" s="19">
        <f>7987923+51589137</f>
        <v>59577060</v>
      </c>
      <c r="KV27" s="19">
        <f>3581936+1543641+4625123</f>
        <v>9750700</v>
      </c>
      <c r="KW27" s="19">
        <f>18419660+8826190</f>
        <v>27245850</v>
      </c>
      <c r="KX27" s="19">
        <v>1921139</v>
      </c>
      <c r="KY27" s="19">
        <v>426792662</v>
      </c>
      <c r="KZ27" s="58">
        <v>29847163</v>
      </c>
      <c r="LA27" s="70">
        <v>3668059</v>
      </c>
      <c r="LB27" s="70">
        <v>14997351</v>
      </c>
    </row>
    <row r="28" spans="1:314">
      <c r="A28" s="7" t="s">
        <v>100</v>
      </c>
      <c r="B28" s="11" t="s">
        <v>150</v>
      </c>
      <c r="C28" s="19">
        <v>7768190</v>
      </c>
      <c r="D28" s="19">
        <f>15729940+1254790</f>
        <v>16984730</v>
      </c>
      <c r="E28" s="19">
        <v>5476610</v>
      </c>
      <c r="F28" s="19">
        <f>11771760+92808994</f>
        <v>104580754</v>
      </c>
      <c r="G28" s="19" t="s">
        <v>130</v>
      </c>
      <c r="H28" s="19"/>
      <c r="I28" s="19">
        <f>73877317+366040</f>
        <v>74243357</v>
      </c>
      <c r="J28" s="19" t="s">
        <v>176</v>
      </c>
      <c r="K28" s="19">
        <f>15690390+23627114</f>
        <v>39317504</v>
      </c>
      <c r="L28" s="19" t="s">
        <v>96</v>
      </c>
      <c r="M28" s="19" t="s">
        <v>96</v>
      </c>
      <c r="N28" s="19">
        <v>17510300</v>
      </c>
      <c r="O28" s="19">
        <v>96440432</v>
      </c>
      <c r="P28" s="19">
        <f>53309222+1620000</f>
        <v>54929222</v>
      </c>
      <c r="Q28" s="19">
        <v>1123760</v>
      </c>
      <c r="R28" s="19">
        <v>26301620</v>
      </c>
      <c r="S28" s="19">
        <f>19607763</f>
        <v>19607763</v>
      </c>
      <c r="T28" s="19" t="s">
        <v>96</v>
      </c>
      <c r="U28" s="19" t="s">
        <v>96</v>
      </c>
      <c r="V28" s="19" t="s">
        <v>172</v>
      </c>
      <c r="W28" s="19">
        <v>10208950</v>
      </c>
      <c r="X28" s="19">
        <f>36167750+142388890</f>
        <v>178556640</v>
      </c>
      <c r="Y28" s="19">
        <v>4070530</v>
      </c>
      <c r="Z28" s="19">
        <f>7476670+62695067</f>
        <v>70171737</v>
      </c>
      <c r="AA28" s="19">
        <f>6723000+35310995</f>
        <v>42033995</v>
      </c>
      <c r="AB28" s="19">
        <f>3994770</f>
        <v>3994770</v>
      </c>
      <c r="AC28" s="19">
        <f>14838800+55180477+1000000</f>
        <v>71019277</v>
      </c>
      <c r="AD28" s="19">
        <v>9960569</v>
      </c>
      <c r="AE28" s="19">
        <f>17488380+3693795</f>
        <v>21182175</v>
      </c>
      <c r="AF28" s="56" t="s">
        <v>172</v>
      </c>
      <c r="AG28" s="19">
        <f>6386730+7150830+65367863</f>
        <v>78905423</v>
      </c>
      <c r="AH28" s="19" t="s">
        <v>167</v>
      </c>
      <c r="AI28" s="19">
        <v>580510</v>
      </c>
      <c r="AJ28" s="19">
        <f>3898300</f>
        <v>3898300</v>
      </c>
      <c r="AK28" s="19">
        <f>2704220+8667695</f>
        <v>11371915</v>
      </c>
      <c r="AL28" s="19">
        <f>20834010+9959947</f>
        <v>30793957</v>
      </c>
      <c r="AM28" s="19" t="s">
        <v>4</v>
      </c>
      <c r="AN28" s="19">
        <f>8075870+4217370</f>
        <v>12293240</v>
      </c>
      <c r="AO28" s="19">
        <v>28278215</v>
      </c>
      <c r="AP28" s="19">
        <f>42967584+51744430</f>
        <v>94712014</v>
      </c>
      <c r="AQ28" s="19" t="s">
        <v>172</v>
      </c>
      <c r="AR28" s="19">
        <f>39408456</f>
        <v>39408456</v>
      </c>
      <c r="AS28" s="19">
        <v>6348113</v>
      </c>
      <c r="AT28" s="19" t="s">
        <v>172</v>
      </c>
      <c r="AU28" s="19">
        <f>6875490+9110825</f>
        <v>15986315</v>
      </c>
      <c r="AV28" s="19"/>
      <c r="AW28" s="19">
        <f>762860+5586520</f>
        <v>6349380</v>
      </c>
      <c r="AX28" s="19" t="s">
        <v>4</v>
      </c>
      <c r="AY28" s="19">
        <f>9131240</f>
        <v>9131240</v>
      </c>
      <c r="AZ28" s="19">
        <v>11502996</v>
      </c>
      <c r="BA28" s="19" t="s">
        <v>167</v>
      </c>
      <c r="BB28" s="19">
        <v>231180</v>
      </c>
      <c r="BC28" s="19" t="s">
        <v>4</v>
      </c>
      <c r="BD28" s="19" t="s">
        <v>172</v>
      </c>
      <c r="BE28" s="19">
        <v>7790707</v>
      </c>
      <c r="BF28" s="19" t="s">
        <v>96</v>
      </c>
      <c r="BG28" s="19">
        <f>13220317+37118190</f>
        <v>50338507</v>
      </c>
      <c r="BH28" s="19">
        <v>5084330</v>
      </c>
      <c r="BI28" s="19">
        <v>5196180</v>
      </c>
      <c r="BJ28" s="19">
        <f>1234689+4561871</f>
        <v>5796560</v>
      </c>
      <c r="BK28" s="19">
        <v>18438624</v>
      </c>
      <c r="BL28" s="19">
        <v>2996503</v>
      </c>
      <c r="BM28" s="19">
        <f>6187140+54467913</f>
        <v>60655053</v>
      </c>
      <c r="BN28" s="19">
        <f>775910+6405650</f>
        <v>7181560</v>
      </c>
      <c r="BO28" s="19" t="s">
        <v>96</v>
      </c>
      <c r="BP28" s="19" t="s">
        <v>96</v>
      </c>
      <c r="BQ28" s="19" t="s">
        <v>175</v>
      </c>
      <c r="BR28" s="19">
        <f>49033150+119042128</f>
        <v>168075278</v>
      </c>
      <c r="BS28" s="19" t="s">
        <v>172</v>
      </c>
      <c r="BT28" s="19">
        <v>1647820</v>
      </c>
      <c r="BU28" s="19">
        <v>2306360</v>
      </c>
      <c r="BV28" s="19">
        <v>582400</v>
      </c>
      <c r="BW28" s="19">
        <v>2237990</v>
      </c>
      <c r="BX28" s="19">
        <v>2210180</v>
      </c>
      <c r="BY28" s="19">
        <v>9406967</v>
      </c>
      <c r="BZ28" s="19">
        <f>10799510+15446814</f>
        <v>26246324</v>
      </c>
      <c r="CA28" s="19">
        <f>15959100+53592392</f>
        <v>69551492</v>
      </c>
      <c r="CB28" s="19">
        <v>610850</v>
      </c>
      <c r="CC28" s="19">
        <f>1949648+1053640</f>
        <v>3003288</v>
      </c>
      <c r="CD28" s="19">
        <f>20340+226270</f>
        <v>246610</v>
      </c>
      <c r="CE28" s="19" t="s">
        <v>172</v>
      </c>
      <c r="CF28" s="19">
        <v>6968120</v>
      </c>
      <c r="CG28" s="19">
        <v>4636990</v>
      </c>
      <c r="CH28" s="19">
        <f>2003880</f>
        <v>2003880</v>
      </c>
      <c r="CI28" s="19" t="s">
        <v>172</v>
      </c>
      <c r="CJ28" s="19">
        <f>2488476+6651149</f>
        <v>9139625</v>
      </c>
      <c r="CK28" s="19">
        <f>15086420+95310427</f>
        <v>110396847</v>
      </c>
      <c r="CL28" s="19">
        <f>1907329+7867550</f>
        <v>9774879</v>
      </c>
      <c r="CM28" s="19">
        <v>61806840</v>
      </c>
      <c r="CN28" s="19">
        <f>1600840+3618680</f>
        <v>5219520</v>
      </c>
      <c r="CO28" s="19">
        <v>687720</v>
      </c>
      <c r="CP28" s="19">
        <v>19598980</v>
      </c>
      <c r="CQ28" s="19" t="s">
        <v>96</v>
      </c>
      <c r="CR28" s="19">
        <v>7130797</v>
      </c>
      <c r="CS28" s="56" t="s">
        <v>172</v>
      </c>
      <c r="CT28" s="19">
        <v>64319303</v>
      </c>
      <c r="CU28" s="19">
        <v>6235934</v>
      </c>
      <c r="CV28" s="19">
        <v>1318950</v>
      </c>
      <c r="CW28" s="19">
        <v>28053070</v>
      </c>
      <c r="CX28" s="19">
        <f>3116528485+144495611</f>
        <v>3261024096</v>
      </c>
      <c r="CY28" s="19" t="s">
        <v>96</v>
      </c>
      <c r="CZ28" s="19">
        <v>6630330</v>
      </c>
      <c r="DA28" s="19" t="s">
        <v>175</v>
      </c>
      <c r="DB28" s="19">
        <f>3715470</f>
        <v>3715470</v>
      </c>
      <c r="DC28" s="19"/>
      <c r="DD28" s="19">
        <f>150710+217670</f>
        <v>368380</v>
      </c>
      <c r="DE28" s="19"/>
      <c r="DF28" s="19">
        <f>30400+12130</f>
        <v>42530</v>
      </c>
      <c r="DG28" s="19">
        <v>4437817</v>
      </c>
      <c r="DH28" s="19">
        <v>151761171</v>
      </c>
      <c r="DI28" s="19">
        <v>53085647</v>
      </c>
      <c r="DJ28" s="19">
        <f>1272980+2881171</f>
        <v>4154151</v>
      </c>
      <c r="DK28" s="19">
        <v>13706850</v>
      </c>
      <c r="DL28" s="19">
        <f>7172810+22064467</f>
        <v>29237277</v>
      </c>
      <c r="DM28" s="19">
        <v>1667140</v>
      </c>
      <c r="DN28" s="19">
        <f>3110286+11632212</f>
        <v>14742498</v>
      </c>
      <c r="DO28" s="19"/>
      <c r="DP28" s="19">
        <v>50460704</v>
      </c>
      <c r="DQ28" s="19">
        <v>1051625</v>
      </c>
      <c r="DR28" s="19">
        <f>12385640+6403401</f>
        <v>18789041</v>
      </c>
      <c r="DS28" s="19">
        <f>3398010+13406708</f>
        <v>16804718</v>
      </c>
      <c r="DT28" s="19">
        <v>7484090</v>
      </c>
      <c r="DU28" s="19">
        <f>1338029+15930092</f>
        <v>17268121</v>
      </c>
      <c r="DV28" s="19">
        <v>12943740</v>
      </c>
      <c r="DW28" s="19">
        <v>32769419</v>
      </c>
      <c r="DX28" s="19">
        <v>32516363</v>
      </c>
      <c r="DY28" s="19">
        <v>4507136</v>
      </c>
      <c r="DZ28" s="19">
        <f>3227860+2060103</f>
        <v>5287963</v>
      </c>
      <c r="EA28" s="19">
        <v>842020</v>
      </c>
      <c r="EB28" s="19">
        <v>61656070</v>
      </c>
      <c r="EC28" s="19">
        <v>2021135</v>
      </c>
      <c r="ED28" s="19">
        <f>2907940+4352210</f>
        <v>7260150</v>
      </c>
      <c r="EE28" s="19">
        <f>37442140+7616850</f>
        <v>45058990</v>
      </c>
      <c r="EF28" s="19">
        <v>3012830</v>
      </c>
      <c r="EG28" s="19">
        <v>36056690</v>
      </c>
      <c r="EH28" s="19">
        <v>8798910</v>
      </c>
      <c r="EI28" s="19">
        <v>125383600</v>
      </c>
      <c r="EJ28" s="19">
        <v>3224260</v>
      </c>
      <c r="EK28" s="19">
        <v>21931070</v>
      </c>
      <c r="EL28" s="19">
        <f>11994890+68346799</f>
        <v>80341689</v>
      </c>
      <c r="EM28" s="19">
        <f>2771460+6741206</f>
        <v>9512666</v>
      </c>
      <c r="EN28" s="19">
        <v>54686850</v>
      </c>
      <c r="EO28" s="19">
        <v>563710</v>
      </c>
      <c r="EP28" s="19">
        <v>19447440</v>
      </c>
      <c r="EQ28" s="19"/>
      <c r="ER28" s="19">
        <v>147633740</v>
      </c>
      <c r="ES28" s="19">
        <v>1900834</v>
      </c>
      <c r="ET28" s="19">
        <v>42548299</v>
      </c>
      <c r="EU28" s="19">
        <f>18792062+42987462</f>
        <v>61779524</v>
      </c>
      <c r="EV28" s="19">
        <v>1038700</v>
      </c>
      <c r="EW28" s="19">
        <v>17186179</v>
      </c>
      <c r="EX28" s="19">
        <f>17012924+70148478</f>
        <v>87161402</v>
      </c>
      <c r="EY28" s="19">
        <v>12733034</v>
      </c>
      <c r="EZ28" s="19">
        <v>14522147</v>
      </c>
      <c r="FA28" s="19">
        <v>5866770</v>
      </c>
      <c r="FB28" s="19">
        <f>505840+4933130</f>
        <v>5438970</v>
      </c>
      <c r="FC28" s="19">
        <f>7140970+23523930</f>
        <v>30664900</v>
      </c>
      <c r="FD28" s="19">
        <v>1100010</v>
      </c>
      <c r="FE28" s="19">
        <v>23275212</v>
      </c>
      <c r="FF28" s="19">
        <f>2567270+11641749</f>
        <v>14209019</v>
      </c>
      <c r="FG28" s="19" t="s">
        <v>172</v>
      </c>
      <c r="FH28" s="19">
        <v>8343041</v>
      </c>
      <c r="FI28" s="19" t="s">
        <v>172</v>
      </c>
      <c r="FJ28" s="19">
        <f>654960+7350537</f>
        <v>8005497</v>
      </c>
      <c r="FK28" s="19">
        <f>18665980+61275469</f>
        <v>79941449</v>
      </c>
      <c r="FL28" s="19">
        <v>5858570</v>
      </c>
      <c r="FM28" s="19">
        <v>2247240</v>
      </c>
      <c r="FN28" s="19">
        <v>87586420</v>
      </c>
      <c r="FO28" s="56" t="s">
        <v>172</v>
      </c>
      <c r="FP28" s="19">
        <v>5014196</v>
      </c>
      <c r="FQ28" s="19">
        <v>876320</v>
      </c>
      <c r="FR28" s="19">
        <f>6450995+14551615</f>
        <v>21002610</v>
      </c>
      <c r="FS28" s="19">
        <v>5191470</v>
      </c>
      <c r="FT28" s="19">
        <v>15934134</v>
      </c>
      <c r="FU28" s="19">
        <f>886860+1708370</f>
        <v>2595230</v>
      </c>
      <c r="FV28" s="19" t="s">
        <v>172</v>
      </c>
      <c r="FW28" s="19">
        <v>176880</v>
      </c>
      <c r="FX28" s="19">
        <v>11542114</v>
      </c>
      <c r="FY28" s="19" t="s">
        <v>172</v>
      </c>
      <c r="FZ28" s="19" t="s">
        <v>175</v>
      </c>
      <c r="GA28" s="19">
        <v>18308930</v>
      </c>
      <c r="GB28" s="19">
        <v>2197810</v>
      </c>
      <c r="GC28" s="19">
        <f>1280530+7075170</f>
        <v>8355700</v>
      </c>
      <c r="GD28" s="19" t="s">
        <v>172</v>
      </c>
      <c r="GE28" s="19" t="s">
        <v>172</v>
      </c>
      <c r="GF28" s="19">
        <v>8467880</v>
      </c>
      <c r="GG28" s="19">
        <v>11998710</v>
      </c>
      <c r="GH28" s="19" t="s">
        <v>172</v>
      </c>
      <c r="GI28" s="19">
        <v>3506690</v>
      </c>
      <c r="GJ28" s="19" t="s">
        <v>172</v>
      </c>
      <c r="GK28" s="19">
        <v>582410</v>
      </c>
      <c r="GL28" s="19" t="s">
        <v>172</v>
      </c>
      <c r="GM28" s="19">
        <v>10489100</v>
      </c>
      <c r="GN28" s="19">
        <v>8357571</v>
      </c>
      <c r="GO28" s="19" t="s">
        <v>172</v>
      </c>
      <c r="GP28" s="19"/>
      <c r="GQ28" s="19">
        <v>2133190</v>
      </c>
      <c r="GR28" s="19">
        <v>8423397</v>
      </c>
      <c r="GS28" s="19">
        <v>7666431</v>
      </c>
      <c r="GT28" s="19">
        <v>3732590</v>
      </c>
      <c r="GU28" s="19">
        <v>1213180</v>
      </c>
      <c r="GV28" s="19">
        <v>47201340</v>
      </c>
      <c r="GW28" s="19">
        <v>65456630</v>
      </c>
      <c r="GX28" s="19">
        <v>2331480</v>
      </c>
      <c r="GY28" s="19">
        <v>24356820</v>
      </c>
      <c r="GZ28" s="19">
        <v>7154120</v>
      </c>
      <c r="HA28" s="19" t="s">
        <v>172</v>
      </c>
      <c r="HB28" s="19">
        <v>17820220</v>
      </c>
      <c r="HC28" s="19">
        <v>6165036</v>
      </c>
      <c r="HD28" s="19">
        <v>7149957</v>
      </c>
      <c r="HE28" s="19" t="s">
        <v>172</v>
      </c>
      <c r="HF28" s="19">
        <v>67885494</v>
      </c>
      <c r="HG28" s="19">
        <v>9889970</v>
      </c>
      <c r="HH28" s="19" t="s">
        <v>172</v>
      </c>
      <c r="HI28" s="19">
        <v>39471410</v>
      </c>
      <c r="HJ28" s="19" t="s">
        <v>172</v>
      </c>
      <c r="HK28" s="19">
        <v>39988490</v>
      </c>
      <c r="HL28" s="19">
        <v>5369068</v>
      </c>
      <c r="HM28" s="19">
        <f>4261900+3468763</f>
        <v>7730663</v>
      </c>
      <c r="HN28" s="19">
        <v>8892642</v>
      </c>
      <c r="HO28" s="19">
        <f>11358870+31845750</f>
        <v>43204620</v>
      </c>
      <c r="HP28" s="19">
        <v>12630750</v>
      </c>
      <c r="HQ28" s="19">
        <f>13240845+737816</f>
        <v>13978661</v>
      </c>
      <c r="HR28" s="19">
        <f>31204000+769591</f>
        <v>31973591</v>
      </c>
      <c r="HS28" s="19">
        <f>12630591+14503004</f>
        <v>27133595</v>
      </c>
      <c r="HT28" s="19">
        <v>9104310</v>
      </c>
      <c r="HU28" s="19">
        <v>12648300</v>
      </c>
      <c r="HV28" s="19">
        <f>1006450+2466530</f>
        <v>3472980</v>
      </c>
      <c r="HW28" s="19" t="s">
        <v>172</v>
      </c>
      <c r="HX28" s="19">
        <v>9412267</v>
      </c>
      <c r="HY28" s="19" t="s">
        <v>172</v>
      </c>
      <c r="HZ28" s="19">
        <v>18267458</v>
      </c>
      <c r="IA28" s="19">
        <v>2813170</v>
      </c>
      <c r="IB28" s="19">
        <v>11703380</v>
      </c>
      <c r="IC28" s="19">
        <f>42037380+198041394</f>
        <v>240078774</v>
      </c>
      <c r="ID28" s="19">
        <v>1796230</v>
      </c>
      <c r="IE28" s="19" t="s">
        <v>172</v>
      </c>
      <c r="IF28" s="19">
        <v>372990</v>
      </c>
      <c r="IG28" s="19">
        <v>512480</v>
      </c>
      <c r="IH28" s="19">
        <v>11717925</v>
      </c>
      <c r="II28" s="19">
        <v>1499680</v>
      </c>
      <c r="IJ28" s="19">
        <v>18461159</v>
      </c>
      <c r="IK28" s="19">
        <v>3138970</v>
      </c>
      <c r="IL28" s="19">
        <f>4399952+89543</f>
        <v>4489495</v>
      </c>
      <c r="IM28" s="19">
        <f>25449109+5953010</f>
        <v>31402119</v>
      </c>
      <c r="IN28" s="19">
        <f>12789710+687000</f>
        <v>13476710</v>
      </c>
      <c r="IO28" s="19">
        <v>3972111</v>
      </c>
      <c r="IP28" s="19">
        <f>4157180+2824655</f>
        <v>6981835</v>
      </c>
      <c r="IQ28" s="19">
        <v>7125520</v>
      </c>
      <c r="IR28" s="19">
        <v>6707070</v>
      </c>
      <c r="IS28" s="19">
        <f>9626490+15104170</f>
        <v>24730660</v>
      </c>
      <c r="IT28" s="19">
        <f>5680270+3142776</f>
        <v>8823046</v>
      </c>
      <c r="IU28" s="19">
        <f>51934800+11032550</f>
        <v>62967350</v>
      </c>
      <c r="IV28" s="19">
        <v>175600</v>
      </c>
      <c r="IW28" s="19">
        <v>52350350</v>
      </c>
      <c r="IX28" s="19">
        <f>4864330+19545738+9896000</f>
        <v>34306068</v>
      </c>
      <c r="IY28" s="19">
        <v>9698060</v>
      </c>
      <c r="IZ28" s="19">
        <v>4661720</v>
      </c>
      <c r="JA28" s="19">
        <v>10496680</v>
      </c>
      <c r="JB28" s="19">
        <v>3586270</v>
      </c>
      <c r="JC28" s="19">
        <v>913100</v>
      </c>
      <c r="JD28" s="19">
        <f>5083480+23350550</f>
        <v>28434030</v>
      </c>
      <c r="JE28" s="19">
        <v>772580</v>
      </c>
      <c r="JF28" s="19">
        <v>56694578</v>
      </c>
      <c r="JG28" s="19">
        <f>465680+1054870</f>
        <v>1520550</v>
      </c>
      <c r="JH28" s="19">
        <f>1043340+5756614</f>
        <v>6799954</v>
      </c>
      <c r="JI28" s="19">
        <f>1279990+3442017</f>
        <v>4722007</v>
      </c>
      <c r="JJ28" s="19">
        <f>782390+45706</f>
        <v>828096</v>
      </c>
      <c r="JK28" s="19">
        <f>2507701+12190152</f>
        <v>14697853</v>
      </c>
      <c r="JL28" s="19">
        <f>66003031+5620320</f>
        <v>71623351</v>
      </c>
      <c r="JM28" s="19">
        <v>23464219</v>
      </c>
      <c r="JN28" s="19">
        <v>3983446</v>
      </c>
      <c r="JO28" s="19">
        <v>2430400</v>
      </c>
      <c r="JP28" s="19">
        <v>1896250</v>
      </c>
      <c r="JQ28" s="19" t="s">
        <v>175</v>
      </c>
      <c r="JR28" s="19">
        <v>1671650</v>
      </c>
      <c r="JS28" s="19">
        <f>2857400</f>
        <v>2857400</v>
      </c>
      <c r="JT28" s="19">
        <v>1999850</v>
      </c>
      <c r="JU28" s="19">
        <v>24887880</v>
      </c>
      <c r="JV28" s="19">
        <v>31440460</v>
      </c>
      <c r="JW28" s="19">
        <v>7180336</v>
      </c>
      <c r="JX28" s="19">
        <v>45651890</v>
      </c>
      <c r="JY28" s="19">
        <v>54756478</v>
      </c>
      <c r="JZ28" s="19">
        <v>313000</v>
      </c>
      <c r="KA28" s="19">
        <v>27888365</v>
      </c>
      <c r="KB28" s="19">
        <v>26856200</v>
      </c>
      <c r="KC28" s="19">
        <v>1848600</v>
      </c>
      <c r="KD28" s="19">
        <f>22709190+121011614</f>
        <v>143720804</v>
      </c>
      <c r="KE28" s="19">
        <v>589540</v>
      </c>
      <c r="KF28" s="19">
        <v>15435300</v>
      </c>
      <c r="KG28" s="19">
        <v>2952950</v>
      </c>
      <c r="KH28" s="19">
        <v>4569471</v>
      </c>
      <c r="KI28" s="19">
        <v>1326200</v>
      </c>
      <c r="KJ28" s="19">
        <v>10692240</v>
      </c>
      <c r="KK28" s="19">
        <v>9016450</v>
      </c>
      <c r="KL28" s="19"/>
      <c r="KM28" s="19">
        <v>5015461</v>
      </c>
      <c r="KN28" s="19">
        <v>28852850</v>
      </c>
      <c r="KO28" s="19">
        <v>37214980</v>
      </c>
      <c r="KP28" s="19">
        <v>22272976</v>
      </c>
      <c r="KQ28" s="19">
        <v>5585601</v>
      </c>
      <c r="KR28" s="19">
        <f>3785447+15143418</f>
        <v>18928865</v>
      </c>
      <c r="KS28" s="19">
        <f>5549030+61647</f>
        <v>5610677</v>
      </c>
      <c r="KT28" s="19">
        <v>5105501</v>
      </c>
      <c r="KU28" s="19">
        <f>4948103+243809264</f>
        <v>248757367</v>
      </c>
      <c r="KV28" s="19">
        <v>1375350</v>
      </c>
      <c r="KW28" s="19">
        <v>3362120</v>
      </c>
      <c r="KX28" s="19">
        <v>445590</v>
      </c>
      <c r="KY28" s="19">
        <v>4253680</v>
      </c>
      <c r="KZ28" s="58">
        <v>754930</v>
      </c>
      <c r="LA28" s="70">
        <v>512802</v>
      </c>
      <c r="LB28" s="70">
        <v>1676910</v>
      </c>
    </row>
    <row r="29" spans="1:314">
      <c r="A29" s="7" t="s">
        <v>100</v>
      </c>
      <c r="B29" s="11" t="s">
        <v>13</v>
      </c>
      <c r="C29" s="19">
        <v>4493273</v>
      </c>
      <c r="D29" s="19"/>
      <c r="E29" s="19"/>
      <c r="F29" s="19"/>
      <c r="G29" s="19" t="s">
        <v>130</v>
      </c>
      <c r="H29" s="19"/>
      <c r="I29" s="19"/>
      <c r="J29" s="19" t="s">
        <v>176</v>
      </c>
      <c r="K29" s="19"/>
      <c r="L29" s="19" t="s">
        <v>96</v>
      </c>
      <c r="M29" s="19" t="s">
        <v>96</v>
      </c>
      <c r="N29" s="19"/>
      <c r="O29" s="19"/>
      <c r="P29" s="19"/>
      <c r="Q29" s="19"/>
      <c r="R29" s="19"/>
      <c r="S29" s="19"/>
      <c r="T29" s="19" t="s">
        <v>96</v>
      </c>
      <c r="U29" s="19" t="s">
        <v>96</v>
      </c>
      <c r="V29" s="19" t="s">
        <v>172</v>
      </c>
      <c r="W29" s="19">
        <v>43603831</v>
      </c>
      <c r="X29" s="19"/>
      <c r="Y29" s="19"/>
      <c r="Z29" s="19">
        <v>4223380225</v>
      </c>
      <c r="AA29" s="19"/>
      <c r="AB29" s="19"/>
      <c r="AC29" s="19"/>
      <c r="AD29" s="19">
        <v>17151890</v>
      </c>
      <c r="AE29" s="19"/>
      <c r="AF29" s="56" t="s">
        <v>172</v>
      </c>
      <c r="AG29" s="19"/>
      <c r="AH29" s="19" t="s">
        <v>167</v>
      </c>
      <c r="AI29" s="19"/>
      <c r="AJ29" s="19">
        <v>28118047</v>
      </c>
      <c r="AK29" s="19"/>
      <c r="AL29" s="19"/>
      <c r="AM29" s="19" t="s">
        <v>4</v>
      </c>
      <c r="AN29" s="19"/>
      <c r="AO29" s="19"/>
      <c r="AP29" s="19"/>
      <c r="AQ29" s="19" t="s">
        <v>172</v>
      </c>
      <c r="AR29" s="19"/>
      <c r="AS29" s="19"/>
      <c r="AT29" s="19" t="s">
        <v>172</v>
      </c>
      <c r="AU29" s="19"/>
      <c r="AV29" s="19"/>
      <c r="AW29" s="19">
        <v>149004302</v>
      </c>
      <c r="AX29" s="19" t="s">
        <v>4</v>
      </c>
      <c r="AY29" s="19"/>
      <c r="AZ29" s="19"/>
      <c r="BA29" s="19" t="s">
        <v>167</v>
      </c>
      <c r="BB29" s="19"/>
      <c r="BC29" s="19" t="s">
        <v>4</v>
      </c>
      <c r="BD29" s="19" t="s">
        <v>172</v>
      </c>
      <c r="BE29" s="19"/>
      <c r="BF29" s="19" t="s">
        <v>96</v>
      </c>
      <c r="BG29" s="19"/>
      <c r="BH29" s="19"/>
      <c r="BI29" s="19"/>
      <c r="BJ29" s="19"/>
      <c r="BK29" s="19"/>
      <c r="BL29" s="19">
        <v>79305627</v>
      </c>
      <c r="BM29" s="19"/>
      <c r="BN29" s="19"/>
      <c r="BO29" s="19" t="s">
        <v>96</v>
      </c>
      <c r="BP29" s="19" t="s">
        <v>96</v>
      </c>
      <c r="BQ29" s="19" t="s">
        <v>175</v>
      </c>
      <c r="BR29" s="19"/>
      <c r="BS29" s="19" t="s">
        <v>172</v>
      </c>
      <c r="BT29" s="19">
        <v>56809093</v>
      </c>
      <c r="BU29" s="19">
        <v>446040000</v>
      </c>
      <c r="BV29" s="19"/>
      <c r="BW29" s="19"/>
      <c r="BX29" s="19"/>
      <c r="BY29" s="19"/>
      <c r="BZ29" s="19"/>
      <c r="CA29" s="19"/>
      <c r="CB29" s="19">
        <v>185163953</v>
      </c>
      <c r="CC29" s="19">
        <v>3181021</v>
      </c>
      <c r="CD29" s="19"/>
      <c r="CE29" s="19" t="s">
        <v>172</v>
      </c>
      <c r="CF29" s="19">
        <v>175033148</v>
      </c>
      <c r="CG29" s="19"/>
      <c r="CH29" s="19">
        <v>46246994</v>
      </c>
      <c r="CI29" s="19" t="s">
        <v>172</v>
      </c>
      <c r="CJ29" s="19"/>
      <c r="CK29" s="19"/>
      <c r="CL29" s="19"/>
      <c r="CM29" s="19"/>
      <c r="CN29" s="19"/>
      <c r="CO29" s="19"/>
      <c r="CP29" s="19"/>
      <c r="CQ29" s="19" t="s">
        <v>96</v>
      </c>
      <c r="CR29" s="19"/>
      <c r="CS29" s="56" t="s">
        <v>172</v>
      </c>
      <c r="CT29" s="19"/>
      <c r="CU29" s="19"/>
      <c r="CV29" s="19"/>
      <c r="CW29" s="19"/>
      <c r="CX29" s="19"/>
      <c r="CY29" s="19" t="s">
        <v>96</v>
      </c>
      <c r="CZ29" s="19"/>
      <c r="DA29" s="19" t="s">
        <v>175</v>
      </c>
      <c r="DB29" s="19"/>
      <c r="DC29" s="19"/>
      <c r="DD29" s="19"/>
      <c r="DE29" s="19"/>
      <c r="DF29" s="19"/>
      <c r="DG29" s="19"/>
      <c r="DH29" s="19"/>
      <c r="DI29" s="19"/>
      <c r="DJ29" s="19"/>
      <c r="DK29" s="19"/>
      <c r="DL29" s="19"/>
      <c r="DM29" s="19"/>
      <c r="DN29" s="19"/>
      <c r="DO29" s="19"/>
      <c r="DP29" s="19"/>
      <c r="DQ29" s="19"/>
      <c r="DR29" s="19"/>
      <c r="DS29" s="19"/>
      <c r="DT29" s="19">
        <v>455261</v>
      </c>
      <c r="DU29" s="19"/>
      <c r="DV29" s="19"/>
      <c r="DW29" s="19"/>
      <c r="DX29" s="19"/>
      <c r="DY29" s="19"/>
      <c r="DZ29" s="19"/>
      <c r="EA29" s="19"/>
      <c r="EB29" s="19"/>
      <c r="EC29" s="19"/>
      <c r="ED29" s="19">
        <v>100000000</v>
      </c>
      <c r="EE29" s="19"/>
      <c r="EF29" s="19"/>
      <c r="EG29" s="19"/>
      <c r="EH29" s="19"/>
      <c r="EI29" s="19"/>
      <c r="EJ29" s="19"/>
      <c r="EK29" s="19"/>
      <c r="EL29" s="19"/>
      <c r="EM29" s="19"/>
      <c r="EN29" s="19"/>
      <c r="EO29" s="19"/>
      <c r="EP29" s="19"/>
      <c r="EQ29" s="19"/>
      <c r="ER29" s="19"/>
      <c r="ES29" s="19"/>
      <c r="ET29" s="19"/>
      <c r="EU29" s="19"/>
      <c r="EV29" s="19"/>
      <c r="EW29" s="19">
        <v>44800000</v>
      </c>
      <c r="EX29" s="19"/>
      <c r="EY29" s="19"/>
      <c r="EZ29" s="19"/>
      <c r="FA29" s="19">
        <v>58000000</v>
      </c>
      <c r="FB29" s="19"/>
      <c r="FC29" s="19"/>
      <c r="FD29" s="19">
        <v>91388560</v>
      </c>
      <c r="FE29" s="19"/>
      <c r="FF29" s="19"/>
      <c r="FG29" s="19" t="s">
        <v>172</v>
      </c>
      <c r="FH29" s="19"/>
      <c r="FI29" s="19" t="s">
        <v>172</v>
      </c>
      <c r="FJ29" s="19">
        <v>5900000</v>
      </c>
      <c r="FK29" s="19"/>
      <c r="FL29" s="19"/>
      <c r="FM29" s="19"/>
      <c r="FN29" s="19"/>
      <c r="FO29" s="56" t="s">
        <v>172</v>
      </c>
      <c r="FP29" s="19"/>
      <c r="FQ29" s="19"/>
      <c r="FR29" s="19">
        <v>42890445</v>
      </c>
      <c r="FS29" s="19"/>
      <c r="FT29" s="19"/>
      <c r="FU29" s="19">
        <v>62070000</v>
      </c>
      <c r="FV29" s="19" t="s">
        <v>172</v>
      </c>
      <c r="FW29" s="19"/>
      <c r="FX29" s="19"/>
      <c r="FY29" s="19" t="s">
        <v>172</v>
      </c>
      <c r="FZ29" s="19" t="s">
        <v>175</v>
      </c>
      <c r="GA29" s="19"/>
      <c r="GB29" s="19"/>
      <c r="GC29" s="19"/>
      <c r="GD29" s="19" t="s">
        <v>172</v>
      </c>
      <c r="GE29" s="19" t="s">
        <v>172</v>
      </c>
      <c r="GF29" s="19"/>
      <c r="GG29" s="19"/>
      <c r="GH29" s="19" t="s">
        <v>172</v>
      </c>
      <c r="GI29" s="19">
        <v>17701941</v>
      </c>
      <c r="GJ29" s="19" t="s">
        <v>172</v>
      </c>
      <c r="GK29" s="19"/>
      <c r="GL29" s="19" t="s">
        <v>172</v>
      </c>
      <c r="GM29" s="19"/>
      <c r="GN29" s="19">
        <v>16393282</v>
      </c>
      <c r="GO29" s="19" t="s">
        <v>172</v>
      </c>
      <c r="GP29" s="19"/>
      <c r="GQ29" s="19"/>
      <c r="GR29" s="19"/>
      <c r="GS29" s="19"/>
      <c r="GT29" s="19"/>
      <c r="GU29" s="19"/>
      <c r="GV29" s="19"/>
      <c r="GW29" s="19"/>
      <c r="GX29" s="19"/>
      <c r="GY29" s="19">
        <v>96300000</v>
      </c>
      <c r="GZ29" s="19">
        <v>72640777</v>
      </c>
      <c r="HA29" s="19" t="s">
        <v>172</v>
      </c>
      <c r="HB29" s="19"/>
      <c r="HC29" s="19"/>
      <c r="HD29" s="19"/>
      <c r="HE29" s="19" t="s">
        <v>172</v>
      </c>
      <c r="HF29" s="19">
        <v>39069539</v>
      </c>
      <c r="HG29" s="19">
        <v>4175024</v>
      </c>
      <c r="HH29" s="19" t="s">
        <v>172</v>
      </c>
      <c r="HI29" s="19"/>
      <c r="HJ29" s="19" t="s">
        <v>172</v>
      </c>
      <c r="HK29" s="19"/>
      <c r="HL29" s="19"/>
      <c r="HM29" s="19"/>
      <c r="HN29" s="19"/>
      <c r="HO29" s="19"/>
      <c r="HP29" s="19"/>
      <c r="HQ29" s="19"/>
      <c r="HR29" s="19">
        <v>267270099</v>
      </c>
      <c r="HS29" s="19"/>
      <c r="HT29" s="19"/>
      <c r="HU29" s="19"/>
      <c r="HV29" s="19"/>
      <c r="HW29" s="19" t="s">
        <v>172</v>
      </c>
      <c r="HX29" s="19"/>
      <c r="HY29" s="19" t="s">
        <v>172</v>
      </c>
      <c r="HZ29" s="19"/>
      <c r="IA29" s="19"/>
      <c r="IB29" s="19"/>
      <c r="IC29" s="19"/>
      <c r="ID29" s="19"/>
      <c r="IE29" s="19" t="s">
        <v>172</v>
      </c>
      <c r="IF29" s="19"/>
      <c r="IG29" s="19"/>
      <c r="IH29" s="19"/>
      <c r="II29" s="19">
        <v>71860680</v>
      </c>
      <c r="IJ29" s="19"/>
      <c r="IK29" s="19"/>
      <c r="IL29" s="19">
        <v>542960336</v>
      </c>
      <c r="IM29" s="19"/>
      <c r="IN29" s="19"/>
      <c r="IO29" s="19"/>
      <c r="IP29" s="19"/>
      <c r="IQ29" s="19"/>
      <c r="IR29" s="19"/>
      <c r="IS29" s="19"/>
      <c r="IT29" s="19"/>
      <c r="IU29" s="19"/>
      <c r="IV29" s="19"/>
      <c r="IW29" s="19"/>
      <c r="IX29" s="19"/>
      <c r="IY29" s="19"/>
      <c r="IZ29" s="19">
        <v>141789251</v>
      </c>
      <c r="JA29" s="19"/>
      <c r="JB29" s="19"/>
      <c r="JC29" s="19"/>
      <c r="JD29" s="19">
        <v>5000</v>
      </c>
      <c r="JE29" s="19"/>
      <c r="JF29" s="19"/>
      <c r="JG29" s="19"/>
      <c r="JH29" s="19">
        <v>38782777</v>
      </c>
      <c r="JI29" s="19"/>
      <c r="JJ29" s="19"/>
      <c r="JK29" s="19">
        <v>108063908</v>
      </c>
      <c r="JL29" s="19"/>
      <c r="JM29" s="19"/>
      <c r="JN29" s="19"/>
      <c r="JO29" s="19">
        <v>39208143</v>
      </c>
      <c r="JP29" s="19"/>
      <c r="JQ29" s="19" t="s">
        <v>175</v>
      </c>
      <c r="JR29" s="19"/>
      <c r="JS29" s="19"/>
      <c r="JT29" s="19"/>
      <c r="JU29" s="19"/>
      <c r="JV29" s="19"/>
      <c r="JW29" s="19"/>
      <c r="JX29" s="19"/>
      <c r="JY29" s="19">
        <v>39472299</v>
      </c>
      <c r="JZ29" s="19">
        <v>35639188</v>
      </c>
      <c r="KA29" s="19"/>
      <c r="KB29" s="19"/>
      <c r="KC29" s="19"/>
      <c r="KD29" s="19"/>
      <c r="KE29" s="19"/>
      <c r="KF29" s="19"/>
      <c r="KG29" s="19"/>
      <c r="KH29" s="19"/>
      <c r="KI29" s="19">
        <v>1300000</v>
      </c>
      <c r="KJ29" s="19">
        <v>5999931</v>
      </c>
      <c r="KK29" s="19"/>
      <c r="KL29" s="19"/>
      <c r="KM29" s="19"/>
      <c r="KN29" s="19"/>
      <c r="KO29" s="19"/>
      <c r="KP29" s="19"/>
      <c r="KQ29" s="19"/>
      <c r="KR29" s="19">
        <v>50000</v>
      </c>
      <c r="KS29" s="19"/>
      <c r="KT29" s="19">
        <v>22612070</v>
      </c>
      <c r="KU29" s="19"/>
      <c r="KV29" s="19"/>
      <c r="KW29" s="19">
        <v>80311732</v>
      </c>
      <c r="KX29" s="19"/>
      <c r="KY29" s="19"/>
      <c r="KZ29" s="58"/>
      <c r="LA29" s="70"/>
      <c r="LB29" s="70">
        <v>15817562</v>
      </c>
    </row>
    <row r="30" spans="1:314">
      <c r="A30" s="7" t="s">
        <v>100</v>
      </c>
      <c r="B30" s="11" t="s">
        <v>59</v>
      </c>
      <c r="C30" s="19">
        <v>10000</v>
      </c>
      <c r="D30" s="19"/>
      <c r="E30" s="19">
        <v>12756000</v>
      </c>
      <c r="F30" s="19"/>
      <c r="G30" s="19" t="s">
        <v>130</v>
      </c>
      <c r="H30" s="19"/>
      <c r="I30" s="19"/>
      <c r="J30" s="19" t="s">
        <v>176</v>
      </c>
      <c r="K30" s="19"/>
      <c r="L30" s="19" t="s">
        <v>96</v>
      </c>
      <c r="M30" s="19" t="s">
        <v>96</v>
      </c>
      <c r="N30" s="19"/>
      <c r="O30" s="19"/>
      <c r="P30" s="19">
        <v>864660</v>
      </c>
      <c r="Q30" s="19">
        <v>1000000</v>
      </c>
      <c r="R30" s="19"/>
      <c r="S30" s="19">
        <f>3961926+1207360000+1500000000+333320000+26035752-59387352</f>
        <v>3011290326</v>
      </c>
      <c r="T30" s="19" t="s">
        <v>96</v>
      </c>
      <c r="U30" s="19" t="s">
        <v>96</v>
      </c>
      <c r="V30" s="19" t="s">
        <v>172</v>
      </c>
      <c r="W30" s="19"/>
      <c r="X30" s="19">
        <v>1694000</v>
      </c>
      <c r="Y30" s="19">
        <v>5448000</v>
      </c>
      <c r="Z30" s="19"/>
      <c r="AA30" s="19">
        <v>30000000</v>
      </c>
      <c r="AB30" s="19"/>
      <c r="AC30" s="19">
        <v>352000</v>
      </c>
      <c r="AD30" s="19">
        <v>260200</v>
      </c>
      <c r="AE30" s="19"/>
      <c r="AF30" s="56" t="s">
        <v>172</v>
      </c>
      <c r="AG30" s="19"/>
      <c r="AH30" s="19" t="s">
        <v>167</v>
      </c>
      <c r="AI30" s="19">
        <v>17212280</v>
      </c>
      <c r="AJ30" s="19">
        <v>2000000</v>
      </c>
      <c r="AK30" s="19">
        <v>74000</v>
      </c>
      <c r="AL30" s="19">
        <v>40818090</v>
      </c>
      <c r="AM30" s="19" t="s">
        <v>4</v>
      </c>
      <c r="AN30" s="19">
        <v>1907512</v>
      </c>
      <c r="AO30" s="19">
        <f>66760000+19866652</f>
        <v>86626652</v>
      </c>
      <c r="AP30" s="19"/>
      <c r="AQ30" s="19" t="s">
        <v>172</v>
      </c>
      <c r="AR30" s="19">
        <v>422000000</v>
      </c>
      <c r="AS30" s="19"/>
      <c r="AT30" s="19" t="s">
        <v>172</v>
      </c>
      <c r="AU30" s="19">
        <f>4000000+926380515</f>
        <v>930380515</v>
      </c>
      <c r="AV30" s="19">
        <f>8000000+19000000</f>
        <v>27000000</v>
      </c>
      <c r="AW30" s="19">
        <v>11207610</v>
      </c>
      <c r="AX30" s="19" t="s">
        <v>4</v>
      </c>
      <c r="AY30" s="19"/>
      <c r="AZ30" s="19">
        <v>792000</v>
      </c>
      <c r="BA30" s="19" t="s">
        <v>167</v>
      </c>
      <c r="BB30" s="19"/>
      <c r="BC30" s="19" t="s">
        <v>4</v>
      </c>
      <c r="BD30" s="19" t="s">
        <v>172</v>
      </c>
      <c r="BE30" s="19">
        <v>571450</v>
      </c>
      <c r="BF30" s="19" t="s">
        <v>96</v>
      </c>
      <c r="BG30" s="19">
        <f>11100000+25716325+109571399</f>
        <v>146387724</v>
      </c>
      <c r="BH30" s="19">
        <f>706800</f>
        <v>706800</v>
      </c>
      <c r="BI30" s="19">
        <f>1968000</f>
        <v>1968000</v>
      </c>
      <c r="BJ30" s="19"/>
      <c r="BK30" s="19"/>
      <c r="BL30" s="19">
        <v>10925000</v>
      </c>
      <c r="BM30" s="19">
        <v>76957150</v>
      </c>
      <c r="BN30" s="19">
        <v>2173500</v>
      </c>
      <c r="BO30" s="19" t="s">
        <v>96</v>
      </c>
      <c r="BP30" s="19" t="s">
        <v>96</v>
      </c>
      <c r="BQ30" s="19" t="s">
        <v>175</v>
      </c>
      <c r="BR30" s="19">
        <v>57867216</v>
      </c>
      <c r="BS30" s="19" t="s">
        <v>172</v>
      </c>
      <c r="BT30" s="19"/>
      <c r="BU30" s="19">
        <v>6994152</v>
      </c>
      <c r="BV30" s="19">
        <v>17950001</v>
      </c>
      <c r="BW30" s="19">
        <v>9653300</v>
      </c>
      <c r="BX30" s="19"/>
      <c r="BY30" s="19">
        <v>265870920</v>
      </c>
      <c r="BZ30" s="19"/>
      <c r="CA30" s="19">
        <f>176000+249306660+480000000+54801746-39430674</f>
        <v>744853732</v>
      </c>
      <c r="CB30" s="19">
        <v>220000</v>
      </c>
      <c r="CC30" s="19">
        <f>88647630+14937919</f>
        <v>103585549</v>
      </c>
      <c r="CD30" s="19"/>
      <c r="CE30" s="19" t="s">
        <v>172</v>
      </c>
      <c r="CF30" s="19">
        <v>6598938</v>
      </c>
      <c r="CG30" s="19"/>
      <c r="CH30" s="19">
        <v>36805895</v>
      </c>
      <c r="CI30" s="19" t="s">
        <v>172</v>
      </c>
      <c r="CJ30" s="19">
        <v>16000000</v>
      </c>
      <c r="CK30" s="19">
        <v>128715270</v>
      </c>
      <c r="CL30" s="19"/>
      <c r="CM30" s="19">
        <v>30000000</v>
      </c>
      <c r="CN30" s="19"/>
      <c r="CO30" s="19"/>
      <c r="CP30" s="19"/>
      <c r="CQ30" s="19" t="s">
        <v>96</v>
      </c>
      <c r="CR30" s="19">
        <v>68960000</v>
      </c>
      <c r="CS30" s="56" t="s">
        <v>172</v>
      </c>
      <c r="CT30" s="19">
        <v>69422044</v>
      </c>
      <c r="CU30" s="19"/>
      <c r="CV30" s="19">
        <v>90749500</v>
      </c>
      <c r="CW30" s="19">
        <f>58545167+39183168</f>
        <v>97728335</v>
      </c>
      <c r="CX30" s="19">
        <f>84097500+22747432</f>
        <v>106844932</v>
      </c>
      <c r="CY30" s="19" t="s">
        <v>96</v>
      </c>
      <c r="CZ30" s="19"/>
      <c r="DA30" s="19" t="s">
        <v>175</v>
      </c>
      <c r="DB30" s="19">
        <v>933890</v>
      </c>
      <c r="DC30" s="19">
        <v>55795130</v>
      </c>
      <c r="DD30" s="19">
        <v>5794690</v>
      </c>
      <c r="DE30" s="19"/>
      <c r="DF30" s="19"/>
      <c r="DG30" s="19"/>
      <c r="DH30" s="19">
        <f>15899431+825029422</f>
        <v>840928853</v>
      </c>
      <c r="DI30" s="19">
        <v>9083300</v>
      </c>
      <c r="DJ30" s="19">
        <v>3150000</v>
      </c>
      <c r="DK30" s="19">
        <f>2700000+1433820000</f>
        <v>1436520000</v>
      </c>
      <c r="DL30" s="19">
        <v>8033013</v>
      </c>
      <c r="DM30" s="19"/>
      <c r="DN30" s="19">
        <v>11342147</v>
      </c>
      <c r="DO30" s="19">
        <v>3319900</v>
      </c>
      <c r="DP30" s="19">
        <v>154139019</v>
      </c>
      <c r="DQ30" s="19"/>
      <c r="DR30" s="19">
        <v>11466590</v>
      </c>
      <c r="DS30" s="19">
        <v>25000000</v>
      </c>
      <c r="DT30" s="19">
        <v>550000</v>
      </c>
      <c r="DU30" s="19"/>
      <c r="DV30" s="19">
        <f>2370000+24255690</f>
        <v>26625690</v>
      </c>
      <c r="DW30" s="19">
        <v>224000</v>
      </c>
      <c r="DX30" s="19">
        <f>113190601+24930000</f>
        <v>138120601</v>
      </c>
      <c r="DY30" s="19"/>
      <c r="DZ30" s="19"/>
      <c r="EA30" s="19"/>
      <c r="EB30" s="19">
        <f>114565000+289399842</f>
        <v>403964842</v>
      </c>
      <c r="EC30" s="19">
        <v>3451417</v>
      </c>
      <c r="ED30" s="19"/>
      <c r="EE30" s="19"/>
      <c r="EF30" s="19">
        <v>10929200</v>
      </c>
      <c r="EG30" s="19">
        <v>985518415</v>
      </c>
      <c r="EH30" s="19">
        <v>35899660</v>
      </c>
      <c r="EI30" s="19">
        <v>6652882</v>
      </c>
      <c r="EJ30" s="19">
        <v>25308000</v>
      </c>
      <c r="EK30" s="19">
        <f>5000000+38811798</f>
        <v>43811798</v>
      </c>
      <c r="EL30" s="19">
        <v>324200</v>
      </c>
      <c r="EM30" s="19"/>
      <c r="EN30" s="19">
        <v>1125668</v>
      </c>
      <c r="EO30" s="19"/>
      <c r="EP30" s="19"/>
      <c r="EQ30" s="19"/>
      <c r="ER30" s="19">
        <v>21800</v>
      </c>
      <c r="ES30" s="19"/>
      <c r="ET30" s="19">
        <v>1200000</v>
      </c>
      <c r="EU30" s="19">
        <v>1615900090</v>
      </c>
      <c r="EV30" s="19">
        <v>1067936</v>
      </c>
      <c r="EW30" s="19">
        <v>8000000</v>
      </c>
      <c r="EX30" s="19"/>
      <c r="EY30" s="19"/>
      <c r="EZ30" s="19">
        <v>38700785</v>
      </c>
      <c r="FA30" s="19">
        <v>29029127</v>
      </c>
      <c r="FB30" s="19">
        <v>19292000</v>
      </c>
      <c r="FC30" s="19">
        <f>20607300+132220240</f>
        <v>152827540</v>
      </c>
      <c r="FD30" s="19">
        <v>497500</v>
      </c>
      <c r="FE30" s="19">
        <f>589402+216790552</f>
        <v>217379954</v>
      </c>
      <c r="FF30" s="19"/>
      <c r="FG30" s="19" t="s">
        <v>172</v>
      </c>
      <c r="FH30" s="19"/>
      <c r="FI30" s="19" t="s">
        <v>172</v>
      </c>
      <c r="FJ30" s="19"/>
      <c r="FK30" s="19"/>
      <c r="FL30" s="19"/>
      <c r="FM30" s="19"/>
      <c r="FN30" s="19">
        <v>150000000</v>
      </c>
      <c r="FO30" s="56" t="s">
        <v>172</v>
      </c>
      <c r="FP30" s="19"/>
      <c r="FQ30" s="19">
        <v>6906000</v>
      </c>
      <c r="FR30" s="19">
        <v>1939000</v>
      </c>
      <c r="FS30" s="19">
        <v>148683600</v>
      </c>
      <c r="FT30" s="19"/>
      <c r="FU30" s="19">
        <v>31820000</v>
      </c>
      <c r="FV30" s="19" t="s">
        <v>172</v>
      </c>
      <c r="FW30" s="19">
        <v>467531</v>
      </c>
      <c r="FX30" s="19">
        <v>153387869</v>
      </c>
      <c r="FY30" s="19" t="s">
        <v>172</v>
      </c>
      <c r="FZ30" s="19" t="s">
        <v>175</v>
      </c>
      <c r="GA30" s="19"/>
      <c r="GB30" s="19"/>
      <c r="GC30" s="19"/>
      <c r="GD30" s="19" t="s">
        <v>172</v>
      </c>
      <c r="GE30" s="19" t="s">
        <v>172</v>
      </c>
      <c r="GF30" s="19">
        <v>22866081</v>
      </c>
      <c r="GG30" s="19">
        <v>253066239</v>
      </c>
      <c r="GH30" s="19" t="s">
        <v>172</v>
      </c>
      <c r="GI30" s="19">
        <v>3517189</v>
      </c>
      <c r="GJ30" s="19" t="s">
        <v>172</v>
      </c>
      <c r="GK30" s="19">
        <v>1080000</v>
      </c>
      <c r="GL30" s="19" t="s">
        <v>172</v>
      </c>
      <c r="GM30" s="19">
        <v>239</v>
      </c>
      <c r="GN30" s="19">
        <v>2440000</v>
      </c>
      <c r="GO30" s="19" t="s">
        <v>172</v>
      </c>
      <c r="GP30" s="19">
        <v>166723200</v>
      </c>
      <c r="GQ30" s="19"/>
      <c r="GR30" s="19">
        <v>14912166</v>
      </c>
      <c r="GS30" s="19"/>
      <c r="GT30" s="19">
        <v>7230000</v>
      </c>
      <c r="GU30" s="19">
        <v>90000</v>
      </c>
      <c r="GV30" s="19">
        <v>146880</v>
      </c>
      <c r="GW30" s="19">
        <f>149525349+300000000+639442964</f>
        <v>1088968313</v>
      </c>
      <c r="GX30" s="19">
        <v>1090000</v>
      </c>
      <c r="GY30" s="19"/>
      <c r="GZ30" s="19">
        <v>34045090</v>
      </c>
      <c r="HA30" s="19" t="s">
        <v>172</v>
      </c>
      <c r="HB30" s="19">
        <v>3220700</v>
      </c>
      <c r="HC30" s="19">
        <v>129900589</v>
      </c>
      <c r="HD30" s="19"/>
      <c r="HE30" s="19" t="s">
        <v>172</v>
      </c>
      <c r="HF30" s="19"/>
      <c r="HG30" s="19">
        <v>431628726</v>
      </c>
      <c r="HH30" s="19" t="s">
        <v>172</v>
      </c>
      <c r="HI30" s="19"/>
      <c r="HJ30" s="19" t="s">
        <v>172</v>
      </c>
      <c r="HK30" s="19">
        <f>26971988+16660000</f>
        <v>43631988</v>
      </c>
      <c r="HL30" s="19"/>
      <c r="HM30" s="19"/>
      <c r="HN30" s="19"/>
      <c r="HO30" s="19">
        <v>100000000</v>
      </c>
      <c r="HP30" s="19">
        <v>67860000</v>
      </c>
      <c r="HQ30" s="19"/>
      <c r="HR30" s="19">
        <v>15683455</v>
      </c>
      <c r="HS30" s="19"/>
      <c r="HT30" s="19">
        <v>4440879</v>
      </c>
      <c r="HU30" s="19">
        <v>407251478</v>
      </c>
      <c r="HV30" s="19"/>
      <c r="HW30" s="19" t="s">
        <v>172</v>
      </c>
      <c r="HX30" s="19"/>
      <c r="HY30" s="19" t="s">
        <v>172</v>
      </c>
      <c r="HZ30" s="19"/>
      <c r="IA30" s="19"/>
      <c r="IB30" s="19">
        <f>3502440+790000</f>
        <v>4292440</v>
      </c>
      <c r="IC30" s="19"/>
      <c r="ID30" s="19"/>
      <c r="IE30" s="19" t="s">
        <v>172</v>
      </c>
      <c r="IF30" s="19"/>
      <c r="IG30" s="19"/>
      <c r="IH30" s="19"/>
      <c r="II30" s="19">
        <v>3642090</v>
      </c>
      <c r="IJ30" s="19">
        <v>677885</v>
      </c>
      <c r="IK30" s="19"/>
      <c r="IL30" s="19"/>
      <c r="IM30" s="19">
        <v>5544406</v>
      </c>
      <c r="IN30" s="19">
        <v>114500</v>
      </c>
      <c r="IO30" s="19"/>
      <c r="IP30" s="19"/>
      <c r="IQ30" s="19">
        <v>166326000</v>
      </c>
      <c r="IR30" s="19"/>
      <c r="IS30" s="19"/>
      <c r="IT30" s="19"/>
      <c r="IU30" s="19"/>
      <c r="IV30" s="19"/>
      <c r="IW30" s="19">
        <v>1294150</v>
      </c>
      <c r="IX30" s="19">
        <v>27796033</v>
      </c>
      <c r="IY30" s="19">
        <v>44300000</v>
      </c>
      <c r="IZ30" s="19">
        <v>5050000</v>
      </c>
      <c r="JA30" s="19">
        <v>2519358</v>
      </c>
      <c r="JB30" s="19">
        <v>2530037</v>
      </c>
      <c r="JC30" s="19">
        <v>7634100</v>
      </c>
      <c r="JD30" s="19"/>
      <c r="JE30" s="19"/>
      <c r="JF30" s="19"/>
      <c r="JG30" s="19">
        <v>150000</v>
      </c>
      <c r="JH30" s="19">
        <v>1006000</v>
      </c>
      <c r="JI30" s="19">
        <v>15000000</v>
      </c>
      <c r="JJ30" s="19">
        <v>600000</v>
      </c>
      <c r="JK30" s="19">
        <v>10037100</v>
      </c>
      <c r="JL30" s="19">
        <v>300000000</v>
      </c>
      <c r="JM30" s="19"/>
      <c r="JN30" s="19">
        <v>337616007</v>
      </c>
      <c r="JO30" s="19"/>
      <c r="JP30" s="19">
        <v>9287500</v>
      </c>
      <c r="JQ30" s="19" t="s">
        <v>175</v>
      </c>
      <c r="JR30" s="19"/>
      <c r="JS30" s="19">
        <v>592781</v>
      </c>
      <c r="JT30" s="19">
        <v>2012000</v>
      </c>
      <c r="JU30" s="19">
        <v>700000</v>
      </c>
      <c r="JV30" s="19">
        <v>10006016</v>
      </c>
      <c r="JW30" s="19"/>
      <c r="JX30" s="19">
        <v>20000</v>
      </c>
      <c r="JY30" s="19">
        <v>2450000</v>
      </c>
      <c r="JZ30" s="19"/>
      <c r="KA30" s="19"/>
      <c r="KB30" s="19"/>
      <c r="KC30" s="19"/>
      <c r="KD30" s="19"/>
      <c r="KE30" s="19"/>
      <c r="KF30" s="19"/>
      <c r="KG30" s="19"/>
      <c r="KH30" s="19"/>
      <c r="KI30" s="19"/>
      <c r="KJ30" s="19"/>
      <c r="KK30" s="19"/>
      <c r="KL30" s="19">
        <f>959217445+1072366591+64566728+658978</f>
        <v>2096809742</v>
      </c>
      <c r="KM30" s="19">
        <v>12920000</v>
      </c>
      <c r="KN30" s="19"/>
      <c r="KO30" s="19">
        <f>60483920+2148000000</f>
        <v>2208483920</v>
      </c>
      <c r="KP30" s="19"/>
      <c r="KQ30" s="19"/>
      <c r="KR30" s="19">
        <v>138000</v>
      </c>
      <c r="KS30" s="19">
        <v>7857300</v>
      </c>
      <c r="KT30" s="19">
        <v>550000</v>
      </c>
      <c r="KU30" s="19"/>
      <c r="KV30" s="19">
        <v>995000</v>
      </c>
      <c r="KW30" s="19"/>
      <c r="KX30" s="19"/>
      <c r="KY30" s="19"/>
      <c r="KZ30" s="58"/>
      <c r="LA30" s="70">
        <v>70266600</v>
      </c>
      <c r="LB30" s="70"/>
    </row>
    <row r="31" spans="1:314">
      <c r="A31" s="7" t="s">
        <v>100</v>
      </c>
      <c r="B31" s="8" t="s">
        <v>18</v>
      </c>
      <c r="C31" s="19">
        <f>SUM(C32:C33)</f>
        <v>0</v>
      </c>
      <c r="D31" s="19">
        <f>SUM(D32:D33)</f>
        <v>160000000</v>
      </c>
      <c r="E31" s="19">
        <f>SUM(E32:E33)</f>
        <v>308665256</v>
      </c>
      <c r="F31" s="19">
        <f>SUM(F32:F33)</f>
        <v>628700000</v>
      </c>
      <c r="G31" s="19" t="s">
        <v>130</v>
      </c>
      <c r="H31" s="19">
        <f>SUM(H32:H33)</f>
        <v>3393050935</v>
      </c>
      <c r="I31" s="19">
        <f>SUM(I32:I33)</f>
        <v>3075350465</v>
      </c>
      <c r="J31" s="19" t="s">
        <v>176</v>
      </c>
      <c r="K31" s="19">
        <f>SUM(K32:K33)</f>
        <v>8867409</v>
      </c>
      <c r="L31" s="19" t="s">
        <v>96</v>
      </c>
      <c r="M31" s="19" t="s">
        <v>96</v>
      </c>
      <c r="N31" s="19">
        <f t="shared" ref="N31:S31" si="73">SUM(N32:N33)</f>
        <v>316207347</v>
      </c>
      <c r="O31" s="19">
        <f t="shared" si="73"/>
        <v>4713035543</v>
      </c>
      <c r="P31" s="19">
        <f t="shared" si="73"/>
        <v>5160313710</v>
      </c>
      <c r="Q31" s="19">
        <f t="shared" si="73"/>
        <v>100000000</v>
      </c>
      <c r="R31" s="19">
        <f t="shared" si="73"/>
        <v>226273468</v>
      </c>
      <c r="S31" s="19">
        <f t="shared" si="73"/>
        <v>7831636305</v>
      </c>
      <c r="T31" s="19" t="s">
        <v>96</v>
      </c>
      <c r="U31" s="19" t="s">
        <v>96</v>
      </c>
      <c r="V31" s="19" t="s">
        <v>172</v>
      </c>
      <c r="W31" s="19">
        <f t="shared" ref="W31:AE31" si="74">SUM(W32:W33)</f>
        <v>1133914053</v>
      </c>
      <c r="X31" s="19">
        <f t="shared" si="74"/>
        <v>3149990000</v>
      </c>
      <c r="Y31" s="19">
        <f t="shared" si="74"/>
        <v>108241243</v>
      </c>
      <c r="Z31" s="19">
        <f t="shared" si="74"/>
        <v>5824323406</v>
      </c>
      <c r="AA31" s="19">
        <f t="shared" si="74"/>
        <v>2570700000</v>
      </c>
      <c r="AB31" s="19">
        <f t="shared" si="74"/>
        <v>0</v>
      </c>
      <c r="AC31" s="19">
        <f t="shared" si="74"/>
        <v>448524028</v>
      </c>
      <c r="AD31" s="19">
        <f t="shared" si="74"/>
        <v>2088646404</v>
      </c>
      <c r="AE31" s="19">
        <f t="shared" si="74"/>
        <v>798000000</v>
      </c>
      <c r="AF31" s="56" t="s">
        <v>172</v>
      </c>
      <c r="AG31" s="19">
        <f>SUM(AG32:AG33)</f>
        <v>1240250507</v>
      </c>
      <c r="AH31" s="19" t="s">
        <v>167</v>
      </c>
      <c r="AI31" s="19">
        <f>SUM(AI32:AI33)</f>
        <v>619157500</v>
      </c>
      <c r="AJ31" s="19">
        <f>SUM(AJ32:AJ33)</f>
        <v>326368021</v>
      </c>
      <c r="AK31" s="19">
        <f>SUM(AK32:AK33)</f>
        <v>0</v>
      </c>
      <c r="AL31" s="19">
        <f>SUM(AL32:AL33)</f>
        <v>399078838</v>
      </c>
      <c r="AM31" s="19" t="s">
        <v>4</v>
      </c>
      <c r="AN31" s="19">
        <f>SUM(AN32:AN33)</f>
        <v>1400000000</v>
      </c>
      <c r="AO31" s="19">
        <f>SUM(AO32:AO33)</f>
        <v>233240000</v>
      </c>
      <c r="AP31" s="19">
        <f>SUM(AP32:AP33)</f>
        <v>127410697</v>
      </c>
      <c r="AQ31" s="19" t="s">
        <v>172</v>
      </c>
      <c r="AR31" s="19">
        <f>SUM(AR32:AR33)</f>
        <v>2287993874</v>
      </c>
      <c r="AS31" s="19">
        <f>SUM(AS32:AS33)</f>
        <v>327000000</v>
      </c>
      <c r="AT31" s="19" t="s">
        <v>172</v>
      </c>
      <c r="AU31" s="19">
        <f>SUM(AU32:AU33)</f>
        <v>20149938204</v>
      </c>
      <c r="AV31" s="19">
        <f>SUM(AV32:AV33)</f>
        <v>3346387</v>
      </c>
      <c r="AW31" s="19">
        <f>SUM(AW32:AW33)</f>
        <v>0</v>
      </c>
      <c r="AX31" s="19" t="s">
        <v>4</v>
      </c>
      <c r="AY31" s="19">
        <f>SUM(AY32:AY33)</f>
        <v>305929492</v>
      </c>
      <c r="AZ31" s="19">
        <f>SUM(AZ32:AZ33)</f>
        <v>300000000</v>
      </c>
      <c r="BA31" s="19" t="s">
        <v>167</v>
      </c>
      <c r="BB31" s="19">
        <f>SUM(BB32:BB33)</f>
        <v>31878210</v>
      </c>
      <c r="BC31" s="19" t="s">
        <v>4</v>
      </c>
      <c r="BD31" s="19" t="s">
        <v>172</v>
      </c>
      <c r="BE31" s="19">
        <f>SUM(BE32:BE33)</f>
        <v>1014000000</v>
      </c>
      <c r="BF31" s="19" t="s">
        <v>96</v>
      </c>
      <c r="BG31" s="19">
        <f t="shared" ref="BG31:BN31" si="75">SUM(BG32:BG33)</f>
        <v>585770651</v>
      </c>
      <c r="BH31" s="19">
        <f t="shared" si="75"/>
        <v>650047857</v>
      </c>
      <c r="BI31" s="19">
        <f t="shared" si="75"/>
        <v>0</v>
      </c>
      <c r="BJ31" s="19">
        <f t="shared" si="75"/>
        <v>624813981</v>
      </c>
      <c r="BK31" s="19">
        <f t="shared" si="75"/>
        <v>1709826279</v>
      </c>
      <c r="BL31" s="19">
        <f t="shared" si="75"/>
        <v>0</v>
      </c>
      <c r="BM31" s="19">
        <f t="shared" si="75"/>
        <v>756060000</v>
      </c>
      <c r="BN31" s="19">
        <f t="shared" si="75"/>
        <v>0</v>
      </c>
      <c r="BO31" s="19" t="s">
        <v>96</v>
      </c>
      <c r="BP31" s="19" t="s">
        <v>96</v>
      </c>
      <c r="BQ31" s="19" t="s">
        <v>175</v>
      </c>
      <c r="BR31" s="19">
        <f>SUM(BR32:BR33)</f>
        <v>3799980834</v>
      </c>
      <c r="BS31" s="19" t="s">
        <v>172</v>
      </c>
      <c r="BT31" s="19">
        <f t="shared" ref="BT31:CD31" si="76">SUM(BT32:BT33)</f>
        <v>0</v>
      </c>
      <c r="BU31" s="19">
        <f t="shared" si="76"/>
        <v>727503458</v>
      </c>
      <c r="BV31" s="19">
        <f t="shared" si="76"/>
        <v>200000000</v>
      </c>
      <c r="BW31" s="19">
        <f t="shared" si="76"/>
        <v>0</v>
      </c>
      <c r="BX31" s="19">
        <f t="shared" si="76"/>
        <v>0</v>
      </c>
      <c r="BY31" s="19">
        <f t="shared" si="76"/>
        <v>1135426332</v>
      </c>
      <c r="BZ31" s="19">
        <f t="shared" si="76"/>
        <v>0</v>
      </c>
      <c r="CA31" s="19">
        <f t="shared" si="76"/>
        <v>582304749</v>
      </c>
      <c r="CB31" s="19">
        <f t="shared" si="76"/>
        <v>1411211476</v>
      </c>
      <c r="CC31" s="19">
        <f t="shared" si="76"/>
        <v>0</v>
      </c>
      <c r="CD31" s="19">
        <f t="shared" si="76"/>
        <v>0</v>
      </c>
      <c r="CE31" s="19" t="s">
        <v>172</v>
      </c>
      <c r="CF31" s="19">
        <f>SUM(CF32:CF33)</f>
        <v>1241960223</v>
      </c>
      <c r="CG31" s="19">
        <f>SUM(CG32:CG33)</f>
        <v>0</v>
      </c>
      <c r="CH31" s="19">
        <f>SUM(CH32:CH33)</f>
        <v>0</v>
      </c>
      <c r="CI31" s="19" t="s">
        <v>172</v>
      </c>
      <c r="CJ31" s="19">
        <f t="shared" ref="CJ31:CP31" si="77">SUM(CJ32:CJ33)</f>
        <v>156100000</v>
      </c>
      <c r="CK31" s="19">
        <f t="shared" si="77"/>
        <v>6118015635</v>
      </c>
      <c r="CL31" s="19">
        <f t="shared" si="77"/>
        <v>654918970</v>
      </c>
      <c r="CM31" s="19">
        <f t="shared" si="77"/>
        <v>2212570197</v>
      </c>
      <c r="CN31" s="19">
        <f t="shared" si="77"/>
        <v>39100000</v>
      </c>
      <c r="CO31" s="19">
        <f t="shared" si="77"/>
        <v>0</v>
      </c>
      <c r="CP31" s="19">
        <f t="shared" si="77"/>
        <v>1165044202</v>
      </c>
      <c r="CQ31" s="19" t="s">
        <v>96</v>
      </c>
      <c r="CR31" s="19">
        <f>SUM(CR32:CR33)</f>
        <v>0</v>
      </c>
      <c r="CS31" s="56" t="s">
        <v>172</v>
      </c>
      <c r="CT31" s="19">
        <f>SUM(CT32:CT33)</f>
        <v>984232709</v>
      </c>
      <c r="CU31" s="19">
        <f>SUM(CU32:CU33)</f>
        <v>49119356</v>
      </c>
      <c r="CV31" s="19">
        <v>94705106</v>
      </c>
      <c r="CW31" s="19">
        <f>SUM(CW32:CW33)</f>
        <v>1541430000</v>
      </c>
      <c r="CX31" s="19">
        <f>SUM(CX32:CX33)</f>
        <v>482263716</v>
      </c>
      <c r="CY31" s="19" t="s">
        <v>96</v>
      </c>
      <c r="CZ31" s="19">
        <f>SUM(CZ32:CZ33)</f>
        <v>4491163537</v>
      </c>
      <c r="DA31" s="19" t="s">
        <v>175</v>
      </c>
      <c r="DB31" s="19">
        <f t="shared" ref="DB31:DR31" si="78">SUM(DB32:DB33)</f>
        <v>0</v>
      </c>
      <c r="DC31" s="19">
        <f t="shared" si="78"/>
        <v>0</v>
      </c>
      <c r="DD31" s="19">
        <f t="shared" si="78"/>
        <v>225062500</v>
      </c>
      <c r="DE31" s="19">
        <f t="shared" si="78"/>
        <v>0</v>
      </c>
      <c r="DF31" s="19">
        <f t="shared" si="78"/>
        <v>0</v>
      </c>
      <c r="DG31" s="19">
        <f t="shared" si="78"/>
        <v>100000000</v>
      </c>
      <c r="DH31" s="19">
        <f t="shared" si="78"/>
        <v>256435388</v>
      </c>
      <c r="DI31" s="19">
        <f t="shared" si="78"/>
        <v>5190400000</v>
      </c>
      <c r="DJ31" s="19">
        <f t="shared" si="78"/>
        <v>0</v>
      </c>
      <c r="DK31" s="19">
        <f t="shared" si="78"/>
        <v>3976903944</v>
      </c>
      <c r="DL31" s="19">
        <f t="shared" si="78"/>
        <v>407001146</v>
      </c>
      <c r="DM31" s="19">
        <f t="shared" si="78"/>
        <v>0</v>
      </c>
      <c r="DN31" s="19">
        <f t="shared" si="78"/>
        <v>933877627</v>
      </c>
      <c r="DO31" s="19">
        <f t="shared" si="78"/>
        <v>61500000</v>
      </c>
      <c r="DP31" s="19">
        <f t="shared" si="78"/>
        <v>831610000</v>
      </c>
      <c r="DQ31" s="19">
        <f t="shared" si="78"/>
        <v>265000000</v>
      </c>
      <c r="DR31" s="19">
        <f t="shared" si="78"/>
        <v>5271006017</v>
      </c>
      <c r="DS31" s="19">
        <f>SUM(DS32:DS33)</f>
        <v>18076000</v>
      </c>
      <c r="DT31" s="19">
        <f t="shared" ref="DT31:FF31" si="79">SUM(DT32:DT33)</f>
        <v>2716430000</v>
      </c>
      <c r="DU31" s="19">
        <f t="shared" si="79"/>
        <v>0</v>
      </c>
      <c r="DV31" s="19">
        <f t="shared" si="79"/>
        <v>923372915</v>
      </c>
      <c r="DW31" s="19">
        <f t="shared" si="79"/>
        <v>493200000</v>
      </c>
      <c r="DX31" s="19">
        <f t="shared" si="79"/>
        <v>700000000</v>
      </c>
      <c r="DY31" s="19">
        <f t="shared" si="79"/>
        <v>880000000</v>
      </c>
      <c r="DZ31" s="19">
        <f t="shared" si="79"/>
        <v>220945000</v>
      </c>
      <c r="EA31" s="19">
        <f t="shared" si="79"/>
        <v>28976730</v>
      </c>
      <c r="EB31" s="19">
        <f t="shared" si="79"/>
        <v>3009880527</v>
      </c>
      <c r="EC31" s="19">
        <f t="shared" si="79"/>
        <v>418749609</v>
      </c>
      <c r="ED31" s="19">
        <f t="shared" si="79"/>
        <v>50000000</v>
      </c>
      <c r="EE31" s="19">
        <f t="shared" si="79"/>
        <v>0</v>
      </c>
      <c r="EF31" s="19">
        <f t="shared" si="79"/>
        <v>2754862679</v>
      </c>
      <c r="EG31" s="19">
        <f t="shared" si="79"/>
        <v>724864047</v>
      </c>
      <c r="EH31" s="19">
        <f t="shared" si="79"/>
        <v>3025927599</v>
      </c>
      <c r="EI31" s="19">
        <f t="shared" si="79"/>
        <v>0</v>
      </c>
      <c r="EJ31" s="19">
        <f t="shared" si="79"/>
        <v>114694208</v>
      </c>
      <c r="EK31" s="19">
        <f t="shared" si="79"/>
        <v>197026625</v>
      </c>
      <c r="EL31" s="19">
        <f t="shared" si="79"/>
        <v>348067069</v>
      </c>
      <c r="EM31" s="19">
        <f t="shared" si="79"/>
        <v>0</v>
      </c>
      <c r="EN31" s="19">
        <f t="shared" si="79"/>
        <v>300000000</v>
      </c>
      <c r="EO31" s="19">
        <f t="shared" si="79"/>
        <v>43750000</v>
      </c>
      <c r="EP31" s="19">
        <f t="shared" si="79"/>
        <v>0</v>
      </c>
      <c r="EQ31" s="19">
        <f t="shared" si="79"/>
        <v>0</v>
      </c>
      <c r="ER31" s="19">
        <f t="shared" si="79"/>
        <v>602752694</v>
      </c>
      <c r="ES31" s="19">
        <f t="shared" si="79"/>
        <v>418163175</v>
      </c>
      <c r="ET31" s="19">
        <f t="shared" si="79"/>
        <v>316739416</v>
      </c>
      <c r="EU31" s="19">
        <f t="shared" si="79"/>
        <v>21023523</v>
      </c>
      <c r="EV31" s="19">
        <f t="shared" si="79"/>
        <v>113047892</v>
      </c>
      <c r="EW31" s="19">
        <f t="shared" si="79"/>
        <v>945723372</v>
      </c>
      <c r="EX31" s="19">
        <f t="shared" si="79"/>
        <v>1998701260</v>
      </c>
      <c r="EY31" s="19">
        <f t="shared" si="79"/>
        <v>80000000</v>
      </c>
      <c r="EZ31" s="19">
        <f t="shared" si="79"/>
        <v>229061113</v>
      </c>
      <c r="FA31" s="19">
        <f t="shared" si="79"/>
        <v>1253299290</v>
      </c>
      <c r="FB31" s="19">
        <f t="shared" si="79"/>
        <v>50000000</v>
      </c>
      <c r="FC31" s="19">
        <f t="shared" si="79"/>
        <v>767326278</v>
      </c>
      <c r="FD31" s="19">
        <f t="shared" si="79"/>
        <v>1191898714</v>
      </c>
      <c r="FE31" s="19">
        <f t="shared" si="79"/>
        <v>817779172</v>
      </c>
      <c r="FF31" s="19">
        <f t="shared" si="79"/>
        <v>0</v>
      </c>
      <c r="FG31" s="19" t="s">
        <v>172</v>
      </c>
      <c r="FH31" s="19">
        <f>SUM(FH32:FH33)</f>
        <v>1150240000</v>
      </c>
      <c r="FI31" s="19" t="s">
        <v>172</v>
      </c>
      <c r="FJ31" s="19">
        <f>SUM(FJ32:FJ33)</f>
        <v>0</v>
      </c>
      <c r="FK31" s="19">
        <f>SUM(FK32:FK33)</f>
        <v>168707048</v>
      </c>
      <c r="FL31" s="19">
        <f>SUM(FL32:FL33)</f>
        <v>380314065</v>
      </c>
      <c r="FM31" s="19">
        <f>SUM(FM32:FM33)</f>
        <v>0</v>
      </c>
      <c r="FN31" s="19">
        <f>SUM(FN32:FN33)</f>
        <v>859511470</v>
      </c>
      <c r="FO31" s="56" t="s">
        <v>172</v>
      </c>
      <c r="FP31" s="19">
        <f t="shared" ref="FP31:FU31" si="80">SUM(FP32:FP33)</f>
        <v>555780000</v>
      </c>
      <c r="FQ31" s="19">
        <f t="shared" si="80"/>
        <v>227600000</v>
      </c>
      <c r="FR31" s="19">
        <f t="shared" si="80"/>
        <v>0</v>
      </c>
      <c r="FS31" s="19">
        <f t="shared" si="80"/>
        <v>619003627</v>
      </c>
      <c r="FT31" s="19">
        <f t="shared" si="80"/>
        <v>5839452714</v>
      </c>
      <c r="FU31" s="19">
        <f t="shared" si="80"/>
        <v>0</v>
      </c>
      <c r="FV31" s="19" t="s">
        <v>172</v>
      </c>
      <c r="FW31" s="19">
        <f>SUM(FW32:FW33)</f>
        <v>196244768</v>
      </c>
      <c r="FX31" s="19">
        <f>SUM(FX32:FX33)</f>
        <v>0</v>
      </c>
      <c r="FY31" s="19" t="s">
        <v>172</v>
      </c>
      <c r="FZ31" s="19" t="s">
        <v>175</v>
      </c>
      <c r="GA31" s="19">
        <f>SUM(GA32:GA33)</f>
        <v>582203234</v>
      </c>
      <c r="GB31" s="19">
        <f>SUM(GB32:GB33)</f>
        <v>400000000</v>
      </c>
      <c r="GC31" s="19">
        <f>SUM(GC32:GC33)</f>
        <v>0</v>
      </c>
      <c r="GD31" s="19" t="s">
        <v>172</v>
      </c>
      <c r="GE31" s="19" t="s">
        <v>172</v>
      </c>
      <c r="GF31" s="19">
        <f>SUM(GF32:GF33)</f>
        <v>900619555</v>
      </c>
      <c r="GG31" s="19">
        <f>SUM(GG32:GG33)</f>
        <v>1470951819</v>
      </c>
      <c r="GH31" s="19" t="s">
        <v>172</v>
      </c>
      <c r="GI31" s="19">
        <f t="shared" ref="GI31:KH31" si="81">SUM(GI32:GI33)</f>
        <v>124317500</v>
      </c>
      <c r="GJ31" s="19" t="s">
        <v>172</v>
      </c>
      <c r="GK31" s="19">
        <f t="shared" si="81"/>
        <v>70000000</v>
      </c>
      <c r="GL31" s="19" t="s">
        <v>172</v>
      </c>
      <c r="GM31" s="19">
        <f t="shared" si="81"/>
        <v>30000000</v>
      </c>
      <c r="GN31" s="19">
        <f t="shared" si="81"/>
        <v>6920000</v>
      </c>
      <c r="GO31" s="19" t="s">
        <v>172</v>
      </c>
      <c r="GP31" s="19">
        <f t="shared" si="81"/>
        <v>5175319919</v>
      </c>
      <c r="GQ31" s="19">
        <f t="shared" si="81"/>
        <v>0</v>
      </c>
      <c r="GR31" s="19">
        <f t="shared" si="81"/>
        <v>1014138019</v>
      </c>
      <c r="GS31" s="19">
        <f t="shared" si="81"/>
        <v>152391280</v>
      </c>
      <c r="GT31" s="19">
        <f t="shared" si="81"/>
        <v>552474067</v>
      </c>
      <c r="GU31" s="19">
        <f t="shared" si="81"/>
        <v>0</v>
      </c>
      <c r="GV31" s="19">
        <f>SUM(GV32:GV33)</f>
        <v>1983333340</v>
      </c>
      <c r="GW31" s="19">
        <f>SUM(GW32:GW33)</f>
        <v>2916777423</v>
      </c>
      <c r="GX31" s="19">
        <f t="shared" si="81"/>
        <v>2403290000</v>
      </c>
      <c r="GY31" s="19">
        <f t="shared" si="81"/>
        <v>825299065</v>
      </c>
      <c r="GZ31" s="19">
        <f t="shared" si="81"/>
        <v>3661259342</v>
      </c>
      <c r="HA31" s="19" t="s">
        <v>172</v>
      </c>
      <c r="HB31" s="19">
        <f t="shared" si="81"/>
        <v>0</v>
      </c>
      <c r="HC31" s="19">
        <f t="shared" si="81"/>
        <v>612395340</v>
      </c>
      <c r="HD31" s="19">
        <f t="shared" si="81"/>
        <v>0</v>
      </c>
      <c r="HE31" s="19" t="s">
        <v>172</v>
      </c>
      <c r="HF31" s="19">
        <f t="shared" si="81"/>
        <v>655000000</v>
      </c>
      <c r="HG31" s="19">
        <f t="shared" si="81"/>
        <v>42257085</v>
      </c>
      <c r="HH31" s="19" t="s">
        <v>172</v>
      </c>
      <c r="HI31" s="19">
        <f t="shared" si="81"/>
        <v>214248591</v>
      </c>
      <c r="HJ31" s="19" t="s">
        <v>172</v>
      </c>
      <c r="HK31" s="19">
        <f t="shared" si="81"/>
        <v>0</v>
      </c>
      <c r="HL31" s="19">
        <f t="shared" si="81"/>
        <v>0</v>
      </c>
      <c r="HM31" s="19">
        <f t="shared" si="81"/>
        <v>761582865</v>
      </c>
      <c r="HN31" s="19">
        <f t="shared" si="81"/>
        <v>0</v>
      </c>
      <c r="HO31" s="19">
        <f t="shared" si="81"/>
        <v>300000000</v>
      </c>
      <c r="HP31" s="19">
        <f t="shared" si="81"/>
        <v>294070000</v>
      </c>
      <c r="HQ31" s="19">
        <f t="shared" si="81"/>
        <v>0</v>
      </c>
      <c r="HR31" s="19">
        <f t="shared" si="81"/>
        <v>309185636</v>
      </c>
      <c r="HS31" s="19">
        <f t="shared" si="81"/>
        <v>320000000</v>
      </c>
      <c r="HT31" s="19">
        <f t="shared" si="81"/>
        <v>213658000</v>
      </c>
      <c r="HU31" s="19">
        <f t="shared" si="81"/>
        <v>300000000</v>
      </c>
      <c r="HV31" s="19">
        <f t="shared" si="81"/>
        <v>102720000</v>
      </c>
      <c r="HW31" s="19" t="s">
        <v>172</v>
      </c>
      <c r="HX31" s="19">
        <f t="shared" si="81"/>
        <v>3121001573</v>
      </c>
      <c r="HY31" s="19" t="s">
        <v>172</v>
      </c>
      <c r="HZ31" s="19">
        <f t="shared" si="81"/>
        <v>3977322838</v>
      </c>
      <c r="IA31" s="19">
        <f t="shared" si="81"/>
        <v>358634515</v>
      </c>
      <c r="IB31" s="19">
        <f t="shared" si="81"/>
        <v>3573296003</v>
      </c>
      <c r="IC31" s="19">
        <f t="shared" si="81"/>
        <v>1921037693</v>
      </c>
      <c r="ID31" s="19">
        <f t="shared" si="81"/>
        <v>0</v>
      </c>
      <c r="IE31" s="19" t="s">
        <v>172</v>
      </c>
      <c r="IF31" s="19">
        <f t="shared" si="81"/>
        <v>3979536</v>
      </c>
      <c r="IG31" s="19">
        <f t="shared" si="81"/>
        <v>18890236</v>
      </c>
      <c r="IH31" s="19">
        <f t="shared" si="81"/>
        <v>199093930</v>
      </c>
      <c r="II31" s="19">
        <f t="shared" si="81"/>
        <v>168958322</v>
      </c>
      <c r="IJ31" s="19">
        <f t="shared" si="81"/>
        <v>200000000</v>
      </c>
      <c r="IK31" s="19">
        <f t="shared" si="81"/>
        <v>546302000</v>
      </c>
      <c r="IL31" s="19">
        <f t="shared" si="81"/>
        <v>1214742440</v>
      </c>
      <c r="IM31" s="19">
        <f>SUM(IM32:IM33)</f>
        <v>53937705</v>
      </c>
      <c r="IN31" s="19">
        <f t="shared" si="81"/>
        <v>263716653</v>
      </c>
      <c r="IO31" s="19">
        <f t="shared" si="81"/>
        <v>831834000</v>
      </c>
      <c r="IP31" s="19">
        <f t="shared" si="81"/>
        <v>0</v>
      </c>
      <c r="IQ31" s="19">
        <f t="shared" si="81"/>
        <v>247562489</v>
      </c>
      <c r="IR31" s="19">
        <f t="shared" si="81"/>
        <v>269375000</v>
      </c>
      <c r="IS31" s="19">
        <f t="shared" si="81"/>
        <v>4000570000</v>
      </c>
      <c r="IT31" s="19">
        <f t="shared" si="81"/>
        <v>920640000</v>
      </c>
      <c r="IU31" s="19">
        <f t="shared" si="81"/>
        <v>242960000</v>
      </c>
      <c r="IV31" s="19">
        <f t="shared" si="81"/>
        <v>0</v>
      </c>
      <c r="IW31" s="19">
        <f t="shared" si="81"/>
        <v>492739840</v>
      </c>
      <c r="IX31" s="19">
        <f t="shared" si="81"/>
        <v>1149061744</v>
      </c>
      <c r="IY31" s="19">
        <f t="shared" si="81"/>
        <v>2060000000</v>
      </c>
      <c r="IZ31" s="19">
        <f t="shared" si="81"/>
        <v>289193234</v>
      </c>
      <c r="JA31" s="19">
        <f t="shared" si="81"/>
        <v>138148673</v>
      </c>
      <c r="JB31" s="19">
        <f t="shared" si="81"/>
        <v>0</v>
      </c>
      <c r="JC31" s="19">
        <f t="shared" si="81"/>
        <v>2308213087</v>
      </c>
      <c r="JD31" s="19">
        <f t="shared" si="81"/>
        <v>0</v>
      </c>
      <c r="JE31" s="19">
        <f t="shared" si="81"/>
        <v>0</v>
      </c>
      <c r="JF31" s="19">
        <f t="shared" si="81"/>
        <v>864428662</v>
      </c>
      <c r="JG31" s="19">
        <f t="shared" si="81"/>
        <v>49410000</v>
      </c>
      <c r="JH31" s="19">
        <f t="shared" si="81"/>
        <v>29711411</v>
      </c>
      <c r="JI31" s="19">
        <f t="shared" si="81"/>
        <v>0</v>
      </c>
      <c r="JJ31" s="19">
        <f t="shared" si="81"/>
        <v>198634009</v>
      </c>
      <c r="JK31" s="19">
        <f t="shared" si="81"/>
        <v>130700000</v>
      </c>
      <c r="JL31" s="19">
        <f t="shared" si="81"/>
        <v>1390000000</v>
      </c>
      <c r="JM31" s="19">
        <f t="shared" si="81"/>
        <v>495027055</v>
      </c>
      <c r="JN31" s="19">
        <f t="shared" si="81"/>
        <v>2723120000</v>
      </c>
      <c r="JO31" s="19">
        <f t="shared" si="81"/>
        <v>75913701</v>
      </c>
      <c r="JP31" s="19">
        <f t="shared" si="81"/>
        <v>56478802</v>
      </c>
      <c r="JQ31" s="19" t="s">
        <v>175</v>
      </c>
      <c r="JR31" s="19">
        <f t="shared" si="81"/>
        <v>650000000</v>
      </c>
      <c r="JS31" s="19">
        <f t="shared" si="81"/>
        <v>123675550</v>
      </c>
      <c r="JT31" s="19">
        <f t="shared" si="81"/>
        <v>36811172</v>
      </c>
      <c r="JU31" s="19">
        <f t="shared" si="81"/>
        <v>232630563</v>
      </c>
      <c r="JV31" s="19">
        <f t="shared" si="81"/>
        <v>51313000</v>
      </c>
      <c r="JW31" s="19">
        <f t="shared" si="81"/>
        <v>0</v>
      </c>
      <c r="JX31" s="19">
        <f t="shared" si="81"/>
        <v>0</v>
      </c>
      <c r="JY31" s="19">
        <f t="shared" si="81"/>
        <v>0</v>
      </c>
      <c r="JZ31" s="19">
        <f t="shared" si="81"/>
        <v>0</v>
      </c>
      <c r="KA31" s="19">
        <f t="shared" si="81"/>
        <v>0</v>
      </c>
      <c r="KB31" s="19">
        <f t="shared" si="81"/>
        <v>5250369636</v>
      </c>
      <c r="KC31" s="19">
        <f t="shared" si="81"/>
        <v>100000000</v>
      </c>
      <c r="KD31" s="19">
        <f t="shared" si="81"/>
        <v>0</v>
      </c>
      <c r="KE31" s="19">
        <f t="shared" si="81"/>
        <v>0</v>
      </c>
      <c r="KF31" s="19">
        <f t="shared" si="81"/>
        <v>209166690</v>
      </c>
      <c r="KG31" s="19">
        <f t="shared" si="81"/>
        <v>100000000</v>
      </c>
      <c r="KH31" s="19">
        <f t="shared" si="81"/>
        <v>696280000</v>
      </c>
      <c r="KI31" s="19">
        <v>0</v>
      </c>
      <c r="KJ31" s="19">
        <f t="shared" ref="KJ31:KM31" si="82">SUM(KJ32:KJ33)</f>
        <v>1280000000</v>
      </c>
      <c r="KK31" s="19">
        <f t="shared" si="82"/>
        <v>4756127354</v>
      </c>
      <c r="KL31" s="19">
        <f t="shared" si="82"/>
        <v>7993553829</v>
      </c>
      <c r="KM31" s="19">
        <f t="shared" si="82"/>
        <v>570482370</v>
      </c>
      <c r="KN31" s="19">
        <f t="shared" ref="KN31:KY31" si="83">SUM(KN32:KN33)</f>
        <v>301996239</v>
      </c>
      <c r="KO31" s="19">
        <f t="shared" si="83"/>
        <v>231640231</v>
      </c>
      <c r="KP31" s="19">
        <f t="shared" si="83"/>
        <v>100000000</v>
      </c>
      <c r="KQ31" s="19">
        <v>0</v>
      </c>
      <c r="KR31" s="19">
        <f t="shared" si="83"/>
        <v>211666648</v>
      </c>
      <c r="KS31" s="19">
        <f t="shared" si="83"/>
        <v>600360000</v>
      </c>
      <c r="KT31" s="19">
        <f t="shared" si="83"/>
        <v>886068225</v>
      </c>
      <c r="KU31" s="19">
        <f t="shared" si="83"/>
        <v>2552640000</v>
      </c>
      <c r="KV31" s="19">
        <v>0</v>
      </c>
      <c r="KW31" s="19">
        <v>0</v>
      </c>
      <c r="KX31" s="19">
        <f t="shared" si="83"/>
        <v>110000000</v>
      </c>
      <c r="KY31" s="19">
        <f t="shared" si="83"/>
        <v>570000000</v>
      </c>
      <c r="KZ31" s="58">
        <f>KZ32+KZ33</f>
        <v>255000774</v>
      </c>
      <c r="LA31" s="70">
        <v>0</v>
      </c>
      <c r="LB31" s="70">
        <v>20314260</v>
      </c>
    </row>
    <row r="32" spans="1:314">
      <c r="A32" s="7" t="s">
        <v>100</v>
      </c>
      <c r="B32" s="11" t="s">
        <v>15</v>
      </c>
      <c r="C32" s="19"/>
      <c r="D32" s="19">
        <v>160000000</v>
      </c>
      <c r="E32" s="19">
        <v>283665256</v>
      </c>
      <c r="F32" s="19">
        <v>527700000</v>
      </c>
      <c r="G32" s="19" t="s">
        <v>130</v>
      </c>
      <c r="H32" s="19">
        <v>2873050935</v>
      </c>
      <c r="I32" s="19">
        <v>1150867965</v>
      </c>
      <c r="J32" s="19" t="s">
        <v>176</v>
      </c>
      <c r="K32" s="19">
        <v>8867409</v>
      </c>
      <c r="L32" s="19" t="s">
        <v>96</v>
      </c>
      <c r="M32" s="19" t="s">
        <v>96</v>
      </c>
      <c r="N32" s="19">
        <v>126594311</v>
      </c>
      <c r="O32" s="19">
        <v>4321340015</v>
      </c>
      <c r="P32" s="19">
        <v>3623090496</v>
      </c>
      <c r="Q32" s="19">
        <v>100000000</v>
      </c>
      <c r="R32" s="19">
        <v>226273468</v>
      </c>
      <c r="S32" s="19">
        <v>6729740000</v>
      </c>
      <c r="T32" s="19" t="s">
        <v>96</v>
      </c>
      <c r="U32" s="19" t="s">
        <v>96</v>
      </c>
      <c r="V32" s="19" t="s">
        <v>172</v>
      </c>
      <c r="W32" s="19">
        <v>733914053</v>
      </c>
      <c r="X32" s="19">
        <v>2929990000</v>
      </c>
      <c r="Y32" s="19">
        <v>69178365</v>
      </c>
      <c r="Z32" s="19">
        <v>4481093406</v>
      </c>
      <c r="AA32" s="19">
        <v>2570700000</v>
      </c>
      <c r="AB32" s="19"/>
      <c r="AC32" s="19">
        <v>448524028</v>
      </c>
      <c r="AD32" s="19">
        <v>2088646404</v>
      </c>
      <c r="AE32" s="19"/>
      <c r="AF32" s="56" t="s">
        <v>172</v>
      </c>
      <c r="AG32" s="19">
        <v>1090250507</v>
      </c>
      <c r="AH32" s="19" t="s">
        <v>167</v>
      </c>
      <c r="AI32" s="19">
        <v>330000000</v>
      </c>
      <c r="AJ32" s="19">
        <v>326368021</v>
      </c>
      <c r="AK32" s="19"/>
      <c r="AL32" s="19">
        <v>399078838</v>
      </c>
      <c r="AM32" s="19" t="s">
        <v>4</v>
      </c>
      <c r="AN32" s="19">
        <v>1400000000</v>
      </c>
      <c r="AO32" s="19">
        <v>233240000</v>
      </c>
      <c r="AP32" s="19"/>
      <c r="AQ32" s="19" t="s">
        <v>172</v>
      </c>
      <c r="AR32" s="19">
        <v>2236875000</v>
      </c>
      <c r="AS32" s="19">
        <v>327000000</v>
      </c>
      <c r="AT32" s="19" t="s">
        <v>172</v>
      </c>
      <c r="AU32" s="19">
        <v>19068957717</v>
      </c>
      <c r="AV32" s="19">
        <v>3346387</v>
      </c>
      <c r="AW32" s="19"/>
      <c r="AX32" s="19" t="s">
        <v>4</v>
      </c>
      <c r="AY32" s="19">
        <v>302121490</v>
      </c>
      <c r="AZ32" s="19">
        <v>300000000</v>
      </c>
      <c r="BA32" s="19" t="s">
        <v>167</v>
      </c>
      <c r="BB32" s="19">
        <v>20000000</v>
      </c>
      <c r="BC32" s="19" t="s">
        <v>4</v>
      </c>
      <c r="BD32" s="19" t="s">
        <v>172</v>
      </c>
      <c r="BE32" s="19">
        <v>1014000000</v>
      </c>
      <c r="BF32" s="19" t="s">
        <v>96</v>
      </c>
      <c r="BG32" s="19">
        <v>556648366</v>
      </c>
      <c r="BH32" s="19">
        <v>649763083</v>
      </c>
      <c r="BI32" s="19"/>
      <c r="BJ32" s="19">
        <v>352700000</v>
      </c>
      <c r="BK32" s="19">
        <v>206080000</v>
      </c>
      <c r="BL32" s="19"/>
      <c r="BM32" s="19">
        <v>756060000</v>
      </c>
      <c r="BN32" s="19"/>
      <c r="BO32" s="19" t="s">
        <v>96</v>
      </c>
      <c r="BP32" s="19" t="s">
        <v>96</v>
      </c>
      <c r="BQ32" s="19" t="s">
        <v>175</v>
      </c>
      <c r="BR32" s="19">
        <v>3799980834</v>
      </c>
      <c r="BS32" s="19" t="s">
        <v>172</v>
      </c>
      <c r="BT32" s="19"/>
      <c r="BU32" s="19">
        <v>47503458</v>
      </c>
      <c r="BV32" s="19">
        <v>200000000</v>
      </c>
      <c r="BW32" s="19"/>
      <c r="BX32" s="19"/>
      <c r="BY32" s="19">
        <v>1073526009</v>
      </c>
      <c r="BZ32" s="19"/>
      <c r="CA32" s="19">
        <v>430630540</v>
      </c>
      <c r="CB32" s="19">
        <v>1381211476</v>
      </c>
      <c r="CC32" s="19"/>
      <c r="CD32" s="19"/>
      <c r="CE32" s="19" t="s">
        <v>172</v>
      </c>
      <c r="CF32" s="19">
        <v>1241960223</v>
      </c>
      <c r="CG32" s="19"/>
      <c r="CH32" s="19"/>
      <c r="CI32" s="19" t="s">
        <v>172</v>
      </c>
      <c r="CJ32" s="19">
        <v>156100000</v>
      </c>
      <c r="CK32" s="19">
        <v>6118015635</v>
      </c>
      <c r="CL32" s="19">
        <f>536970000+107820000</f>
        <v>644790000</v>
      </c>
      <c r="CM32" s="19">
        <v>2212570197</v>
      </c>
      <c r="CN32" s="19">
        <v>39100000</v>
      </c>
      <c r="CO32" s="19"/>
      <c r="CP32" s="19">
        <v>1165044202</v>
      </c>
      <c r="CQ32" s="19" t="s">
        <v>96</v>
      </c>
      <c r="CR32" s="19"/>
      <c r="CS32" s="56" t="s">
        <v>172</v>
      </c>
      <c r="CT32" s="19"/>
      <c r="CU32" s="19"/>
      <c r="CV32" s="19">
        <v>77000000</v>
      </c>
      <c r="CW32" s="19">
        <v>1541430000</v>
      </c>
      <c r="CX32" s="19"/>
      <c r="CY32" s="19" t="s">
        <v>96</v>
      </c>
      <c r="CZ32" s="19">
        <v>4306163537</v>
      </c>
      <c r="DA32" s="19" t="s">
        <v>175</v>
      </c>
      <c r="DB32" s="19"/>
      <c r="DC32" s="19"/>
      <c r="DD32" s="19">
        <v>225062500</v>
      </c>
      <c r="DE32" s="19"/>
      <c r="DF32" s="19"/>
      <c r="DG32" s="19"/>
      <c r="DH32" s="19">
        <v>256435388</v>
      </c>
      <c r="DI32" s="19">
        <v>5078400000</v>
      </c>
      <c r="DJ32" s="19"/>
      <c r="DK32" s="19">
        <v>3735750000</v>
      </c>
      <c r="DL32" s="19">
        <v>407001146</v>
      </c>
      <c r="DM32" s="19"/>
      <c r="DN32" s="19">
        <v>933877627</v>
      </c>
      <c r="DO32" s="19">
        <v>61500000</v>
      </c>
      <c r="DP32" s="19">
        <v>831610000</v>
      </c>
      <c r="DQ32" s="19">
        <v>265000000</v>
      </c>
      <c r="DR32" s="19">
        <v>4444506017</v>
      </c>
      <c r="DS32" s="19">
        <v>18076000</v>
      </c>
      <c r="DT32" s="19">
        <v>2716430000</v>
      </c>
      <c r="DU32" s="19"/>
      <c r="DV32" s="19">
        <v>869775740</v>
      </c>
      <c r="DW32" s="19">
        <v>493200000</v>
      </c>
      <c r="DX32" s="19">
        <v>700000000</v>
      </c>
      <c r="DY32" s="19">
        <v>880000000</v>
      </c>
      <c r="DZ32" s="19">
        <v>220945000</v>
      </c>
      <c r="EA32" s="19">
        <v>28976730</v>
      </c>
      <c r="EB32" s="19">
        <v>2644944561</v>
      </c>
      <c r="EC32" s="19">
        <v>418749609</v>
      </c>
      <c r="ED32" s="19">
        <v>50000000</v>
      </c>
      <c r="EE32" s="19"/>
      <c r="EF32" s="19">
        <f>2626657654+78205025</f>
        <v>2704862679</v>
      </c>
      <c r="EG32" s="19"/>
      <c r="EH32" s="19">
        <v>3005927599</v>
      </c>
      <c r="EI32" s="19"/>
      <c r="EJ32" s="19"/>
      <c r="EK32" s="19"/>
      <c r="EL32" s="19"/>
      <c r="EM32" s="19"/>
      <c r="EN32" s="19">
        <v>300000000</v>
      </c>
      <c r="EO32" s="19">
        <v>43750000</v>
      </c>
      <c r="EP32" s="19"/>
      <c r="EQ32" s="19"/>
      <c r="ER32" s="19">
        <v>602752694</v>
      </c>
      <c r="ES32" s="19">
        <v>418163175</v>
      </c>
      <c r="ET32" s="19">
        <v>18837621</v>
      </c>
      <c r="EU32" s="19"/>
      <c r="EV32" s="19">
        <v>113047892</v>
      </c>
      <c r="EW32" s="19">
        <v>945723372</v>
      </c>
      <c r="EX32" s="19">
        <v>1984701260</v>
      </c>
      <c r="EY32" s="19"/>
      <c r="EZ32" s="19">
        <v>97680000</v>
      </c>
      <c r="FA32" s="19">
        <v>93299290</v>
      </c>
      <c r="FB32" s="19">
        <v>50000000</v>
      </c>
      <c r="FC32" s="19">
        <v>587326278</v>
      </c>
      <c r="FD32" s="19">
        <v>1141898714</v>
      </c>
      <c r="FE32" s="19">
        <v>817779172</v>
      </c>
      <c r="FF32" s="19"/>
      <c r="FG32" s="19" t="s">
        <v>172</v>
      </c>
      <c r="FH32" s="19">
        <v>1150240000</v>
      </c>
      <c r="FI32" s="19" t="s">
        <v>172</v>
      </c>
      <c r="FJ32" s="19"/>
      <c r="FK32" s="19">
        <v>168707048</v>
      </c>
      <c r="FL32" s="19">
        <v>280000000</v>
      </c>
      <c r="FM32" s="19"/>
      <c r="FN32" s="19">
        <v>780000000</v>
      </c>
      <c r="FO32" s="56" t="s">
        <v>172</v>
      </c>
      <c r="FP32" s="19">
        <v>555780000</v>
      </c>
      <c r="FQ32" s="19">
        <v>227600000</v>
      </c>
      <c r="FR32" s="19"/>
      <c r="FS32" s="19">
        <v>619003627</v>
      </c>
      <c r="FT32" s="19">
        <v>5820000000</v>
      </c>
      <c r="FU32" s="19"/>
      <c r="FV32" s="19" t="s">
        <v>172</v>
      </c>
      <c r="FW32" s="19">
        <v>196244768</v>
      </c>
      <c r="FX32" s="19"/>
      <c r="FY32" s="19" t="s">
        <v>172</v>
      </c>
      <c r="FZ32" s="19" t="s">
        <v>175</v>
      </c>
      <c r="GA32" s="19">
        <v>500000000</v>
      </c>
      <c r="GB32" s="19">
        <v>400000000</v>
      </c>
      <c r="GC32" s="19"/>
      <c r="GD32" s="19" t="s">
        <v>172</v>
      </c>
      <c r="GE32" s="19" t="s">
        <v>172</v>
      </c>
      <c r="GF32" s="19">
        <v>865445946</v>
      </c>
      <c r="GG32" s="19">
        <v>1470951819</v>
      </c>
      <c r="GH32" s="19" t="s">
        <v>172</v>
      </c>
      <c r="GI32" s="19">
        <v>124317500</v>
      </c>
      <c r="GJ32" s="19" t="s">
        <v>172</v>
      </c>
      <c r="GK32" s="19">
        <v>70000000</v>
      </c>
      <c r="GL32" s="19" t="s">
        <v>172</v>
      </c>
      <c r="GM32" s="19">
        <v>30000000</v>
      </c>
      <c r="GN32" s="19"/>
      <c r="GO32" s="19" t="s">
        <v>172</v>
      </c>
      <c r="GP32" s="19">
        <v>5175319919</v>
      </c>
      <c r="GQ32" s="19"/>
      <c r="GR32" s="19">
        <v>1014138019</v>
      </c>
      <c r="GS32" s="19">
        <v>97090000</v>
      </c>
      <c r="GT32" s="19">
        <v>552474067</v>
      </c>
      <c r="GU32" s="19"/>
      <c r="GV32" s="19">
        <v>1983333340</v>
      </c>
      <c r="GW32" s="19">
        <v>2000000000</v>
      </c>
      <c r="GX32" s="19">
        <v>2403290000</v>
      </c>
      <c r="GY32" s="19">
        <v>682872000</v>
      </c>
      <c r="GZ32" s="19">
        <v>3491259342</v>
      </c>
      <c r="HA32" s="19" t="s">
        <v>172</v>
      </c>
      <c r="HB32" s="19"/>
      <c r="HC32" s="19">
        <v>612395340</v>
      </c>
      <c r="HD32" s="19"/>
      <c r="HE32" s="19" t="s">
        <v>172</v>
      </c>
      <c r="HF32" s="19">
        <v>605000000</v>
      </c>
      <c r="HG32" s="19"/>
      <c r="HH32" s="19" t="s">
        <v>172</v>
      </c>
      <c r="HI32" s="19"/>
      <c r="HJ32" s="19" t="s">
        <v>172</v>
      </c>
      <c r="HK32" s="19"/>
      <c r="HL32" s="19"/>
      <c r="HM32" s="19">
        <v>753582865</v>
      </c>
      <c r="HN32" s="19"/>
      <c r="HO32" s="19">
        <v>300000000</v>
      </c>
      <c r="HP32" s="19">
        <v>294070000</v>
      </c>
      <c r="HQ32" s="19"/>
      <c r="HR32" s="19">
        <v>309185636</v>
      </c>
      <c r="HS32" s="19">
        <v>320000000</v>
      </c>
      <c r="HT32" s="19">
        <v>213658000</v>
      </c>
      <c r="HU32" s="19">
        <v>300000000</v>
      </c>
      <c r="HV32" s="19">
        <v>102720000</v>
      </c>
      <c r="HW32" s="19" t="s">
        <v>172</v>
      </c>
      <c r="HX32" s="19">
        <v>3082110000</v>
      </c>
      <c r="HY32" s="19" t="s">
        <v>172</v>
      </c>
      <c r="HZ32" s="19">
        <f>3871322838+56000000</f>
        <v>3927322838</v>
      </c>
      <c r="IA32" s="19">
        <v>350000000</v>
      </c>
      <c r="IB32" s="19">
        <v>2058366783</v>
      </c>
      <c r="IC32" s="19">
        <v>1921037693</v>
      </c>
      <c r="ID32" s="19"/>
      <c r="IE32" s="19" t="s">
        <v>172</v>
      </c>
      <c r="IF32" s="19"/>
      <c r="IG32" s="19">
        <v>18890236</v>
      </c>
      <c r="IH32" s="19">
        <v>199093930</v>
      </c>
      <c r="II32" s="19">
        <v>168958322</v>
      </c>
      <c r="IJ32" s="19">
        <v>200000000</v>
      </c>
      <c r="IK32" s="19">
        <v>546302000</v>
      </c>
      <c r="IL32" s="19">
        <v>1214742440</v>
      </c>
      <c r="IM32" s="19"/>
      <c r="IN32" s="19">
        <v>263716653</v>
      </c>
      <c r="IO32" s="19">
        <v>831834000</v>
      </c>
      <c r="IP32" s="19"/>
      <c r="IQ32" s="19">
        <v>95062489</v>
      </c>
      <c r="IR32" s="19">
        <v>269375000</v>
      </c>
      <c r="IS32" s="19">
        <v>4000570000</v>
      </c>
      <c r="IT32" s="19">
        <v>920640000</v>
      </c>
      <c r="IU32" s="19"/>
      <c r="IV32" s="19"/>
      <c r="IW32" s="19">
        <v>342739840</v>
      </c>
      <c r="IX32" s="19">
        <v>1109061744</v>
      </c>
      <c r="IY32" s="19">
        <v>2020000000</v>
      </c>
      <c r="IZ32" s="19">
        <v>289193234</v>
      </c>
      <c r="JA32" s="19"/>
      <c r="JB32" s="19"/>
      <c r="JC32" s="19">
        <v>2308213087</v>
      </c>
      <c r="JD32" s="19"/>
      <c r="JE32" s="19"/>
      <c r="JF32" s="19">
        <v>864428662</v>
      </c>
      <c r="JG32" s="19">
        <v>49410000</v>
      </c>
      <c r="JH32" s="19">
        <v>29711411</v>
      </c>
      <c r="JI32" s="19"/>
      <c r="JJ32" s="19">
        <f>95140000+103494009</f>
        <v>198634009</v>
      </c>
      <c r="JK32" s="19">
        <v>130700000</v>
      </c>
      <c r="JL32" s="19">
        <v>1300000000</v>
      </c>
      <c r="JM32" s="19">
        <v>495027055</v>
      </c>
      <c r="JN32" s="19">
        <v>2723120000</v>
      </c>
      <c r="JO32" s="19">
        <v>75913701</v>
      </c>
      <c r="JP32" s="19"/>
      <c r="JQ32" s="19" t="s">
        <v>175</v>
      </c>
      <c r="JR32" s="19">
        <v>650000000</v>
      </c>
      <c r="JS32" s="19">
        <v>123675550</v>
      </c>
      <c r="JT32" s="19">
        <v>36811172</v>
      </c>
      <c r="JU32" s="19">
        <v>232630563</v>
      </c>
      <c r="JV32" s="19">
        <v>49240000</v>
      </c>
      <c r="JW32" s="19"/>
      <c r="JX32" s="19"/>
      <c r="JY32" s="19"/>
      <c r="JZ32" s="19"/>
      <c r="KA32" s="19"/>
      <c r="KB32" s="19">
        <v>5250369636</v>
      </c>
      <c r="KC32" s="19">
        <v>100000000</v>
      </c>
      <c r="KD32" s="19"/>
      <c r="KE32" s="19"/>
      <c r="KF32" s="19">
        <v>209166690</v>
      </c>
      <c r="KG32" s="19">
        <v>100000000</v>
      </c>
      <c r="KH32" s="19">
        <v>597280000</v>
      </c>
      <c r="KI32" s="19"/>
      <c r="KJ32" s="19">
        <v>1280000000</v>
      </c>
      <c r="KK32" s="19">
        <v>4756127354</v>
      </c>
      <c r="KL32" s="19"/>
      <c r="KM32" s="19">
        <f>293582370+276900000</f>
        <v>570482370</v>
      </c>
      <c r="KN32" s="19"/>
      <c r="KO32" s="19">
        <v>183250000</v>
      </c>
      <c r="KP32" s="19">
        <v>100000000</v>
      </c>
      <c r="KQ32" s="19"/>
      <c r="KR32" s="19">
        <v>211666648</v>
      </c>
      <c r="KS32" s="19">
        <v>600360000</v>
      </c>
      <c r="KT32" s="19">
        <v>886068225</v>
      </c>
      <c r="KU32" s="19">
        <v>2552640000</v>
      </c>
      <c r="KV32" s="19"/>
      <c r="KW32" s="19"/>
      <c r="KX32" s="19">
        <v>110000000</v>
      </c>
      <c r="KY32" s="19">
        <v>570000000</v>
      </c>
      <c r="KZ32" s="58">
        <v>255000774</v>
      </c>
      <c r="LA32" s="70"/>
      <c r="LB32" s="70">
        <v>16640000</v>
      </c>
    </row>
    <row r="33" spans="1:314">
      <c r="A33" s="7" t="s">
        <v>100</v>
      </c>
      <c r="B33" s="11" t="s">
        <v>45</v>
      </c>
      <c r="C33" s="19"/>
      <c r="D33" s="19"/>
      <c r="E33" s="19">
        <v>25000000</v>
      </c>
      <c r="F33" s="19">
        <v>101000000</v>
      </c>
      <c r="G33" s="19" t="s">
        <v>130</v>
      </c>
      <c r="H33" s="19">
        <f>390000000+130000000</f>
        <v>520000000</v>
      </c>
      <c r="I33" s="19">
        <v>1924482500</v>
      </c>
      <c r="J33" s="19" t="s">
        <v>176</v>
      </c>
      <c r="K33" s="19"/>
      <c r="L33" s="19" t="s">
        <v>96</v>
      </c>
      <c r="M33" s="19" t="s">
        <v>96</v>
      </c>
      <c r="N33" s="19">
        <v>189613036</v>
      </c>
      <c r="O33" s="19">
        <f>334997044+56698484</f>
        <v>391695528</v>
      </c>
      <c r="P33" s="19">
        <f>240000000+1070652236+1665407+217542901+7362670</f>
        <v>1537223214</v>
      </c>
      <c r="Q33" s="19"/>
      <c r="R33" s="19"/>
      <c r="S33" s="19">
        <f>631719450-50014013+499980000+54666094-34455226</f>
        <v>1101896305</v>
      </c>
      <c r="T33" s="19" t="s">
        <v>96</v>
      </c>
      <c r="U33" s="19" t="s">
        <v>96</v>
      </c>
      <c r="V33" s="19" t="s">
        <v>172</v>
      </c>
      <c r="W33" s="19">
        <v>400000000</v>
      </c>
      <c r="X33" s="19">
        <v>220000000</v>
      </c>
      <c r="Y33" s="19">
        <v>39062878</v>
      </c>
      <c r="Z33" s="19">
        <v>1343230000</v>
      </c>
      <c r="AA33" s="19"/>
      <c r="AB33" s="19"/>
      <c r="AC33" s="19"/>
      <c r="AD33" s="19"/>
      <c r="AE33" s="19">
        <v>798000000</v>
      </c>
      <c r="AF33" s="56" t="s">
        <v>172</v>
      </c>
      <c r="AG33" s="19">
        <v>150000000</v>
      </c>
      <c r="AH33" s="19" t="s">
        <v>167</v>
      </c>
      <c r="AI33" s="19">
        <v>289157500</v>
      </c>
      <c r="AJ33" s="19"/>
      <c r="AK33" s="19"/>
      <c r="AL33" s="19"/>
      <c r="AM33" s="19" t="s">
        <v>4</v>
      </c>
      <c r="AN33" s="19"/>
      <c r="AO33" s="19"/>
      <c r="AP33" s="19">
        <v>127410697</v>
      </c>
      <c r="AQ33" s="19" t="s">
        <v>172</v>
      </c>
      <c r="AR33" s="19">
        <v>51118874</v>
      </c>
      <c r="AS33" s="19"/>
      <c r="AT33" s="19" t="s">
        <v>172</v>
      </c>
      <c r="AU33" s="19">
        <f>904400000+176580487</f>
        <v>1080980487</v>
      </c>
      <c r="AV33" s="19"/>
      <c r="AW33" s="19"/>
      <c r="AX33" s="19" t="s">
        <v>4</v>
      </c>
      <c r="AY33" s="19">
        <v>3808002</v>
      </c>
      <c r="AZ33" s="19"/>
      <c r="BA33" s="19" t="s">
        <v>167</v>
      </c>
      <c r="BB33" s="19">
        <v>11878210</v>
      </c>
      <c r="BC33" s="19" t="s">
        <v>4</v>
      </c>
      <c r="BD33" s="19" t="s">
        <v>172</v>
      </c>
      <c r="BE33" s="19"/>
      <c r="BF33" s="19" t="s">
        <v>96</v>
      </c>
      <c r="BG33" s="19">
        <f>74633490-45511205</f>
        <v>29122285</v>
      </c>
      <c r="BH33" s="19">
        <v>284774</v>
      </c>
      <c r="BI33" s="19"/>
      <c r="BJ33" s="19">
        <f>10000000+262113981</f>
        <v>272113981</v>
      </c>
      <c r="BK33" s="19">
        <v>1503746279</v>
      </c>
      <c r="BL33" s="19"/>
      <c r="BM33" s="19"/>
      <c r="BN33" s="19"/>
      <c r="BO33" s="19" t="s">
        <v>96</v>
      </c>
      <c r="BP33" s="19" t="s">
        <v>96</v>
      </c>
      <c r="BQ33" s="19" t="s">
        <v>175</v>
      </c>
      <c r="BR33" s="19"/>
      <c r="BS33" s="19" t="s">
        <v>172</v>
      </c>
      <c r="BT33" s="19"/>
      <c r="BU33" s="19">
        <v>680000000</v>
      </c>
      <c r="BV33" s="19"/>
      <c r="BW33" s="19"/>
      <c r="BX33" s="19"/>
      <c r="BY33" s="19">
        <f>54593776+7306547</f>
        <v>61900323</v>
      </c>
      <c r="BZ33" s="19"/>
      <c r="CA33" s="19">
        <v>151674209</v>
      </c>
      <c r="CB33" s="19">
        <v>30000000</v>
      </c>
      <c r="CC33" s="19"/>
      <c r="CD33" s="19"/>
      <c r="CE33" s="19" t="s">
        <v>172</v>
      </c>
      <c r="CF33" s="19"/>
      <c r="CG33" s="19"/>
      <c r="CH33" s="19"/>
      <c r="CI33" s="19" t="s">
        <v>172</v>
      </c>
      <c r="CJ33" s="19"/>
      <c r="CK33" s="19"/>
      <c r="CL33" s="19">
        <v>10128970</v>
      </c>
      <c r="CM33" s="19"/>
      <c r="CN33" s="19"/>
      <c r="CO33" s="19"/>
      <c r="CP33" s="19"/>
      <c r="CQ33" s="19" t="s">
        <v>96</v>
      </c>
      <c r="CR33" s="19"/>
      <c r="CS33" s="56" t="s">
        <v>172</v>
      </c>
      <c r="CT33" s="19">
        <v>984232709</v>
      </c>
      <c r="CU33" s="19">
        <v>49119356</v>
      </c>
      <c r="CV33" s="19">
        <v>17705106</v>
      </c>
      <c r="CW33" s="19"/>
      <c r="CX33" s="19">
        <v>482263716</v>
      </c>
      <c r="CY33" s="19" t="s">
        <v>96</v>
      </c>
      <c r="CZ33" s="19">
        <v>185000000</v>
      </c>
      <c r="DA33" s="19" t="s">
        <v>175</v>
      </c>
      <c r="DB33" s="19"/>
      <c r="DC33" s="19"/>
      <c r="DD33" s="19"/>
      <c r="DE33" s="19"/>
      <c r="DF33" s="19"/>
      <c r="DG33" s="19">
        <v>100000000</v>
      </c>
      <c r="DH33" s="19"/>
      <c r="DI33" s="19">
        <v>112000000</v>
      </c>
      <c r="DJ33" s="19"/>
      <c r="DK33" s="19">
        <f>310256944-69103000</f>
        <v>241153944</v>
      </c>
      <c r="DL33" s="19"/>
      <c r="DM33" s="19"/>
      <c r="DN33" s="19"/>
      <c r="DO33" s="19"/>
      <c r="DP33" s="19"/>
      <c r="DQ33" s="19"/>
      <c r="DR33" s="19">
        <v>826500000</v>
      </c>
      <c r="DS33" s="19"/>
      <c r="DT33" s="19"/>
      <c r="DU33" s="19"/>
      <c r="DV33" s="19">
        <f>1300000+52297175</f>
        <v>53597175</v>
      </c>
      <c r="DW33" s="19"/>
      <c r="DX33" s="19"/>
      <c r="DY33" s="19"/>
      <c r="DZ33" s="19"/>
      <c r="EA33" s="19"/>
      <c r="EB33" s="19">
        <v>364935966</v>
      </c>
      <c r="EC33" s="19"/>
      <c r="ED33" s="19"/>
      <c r="EE33" s="19"/>
      <c r="EF33" s="19">
        <v>50000000</v>
      </c>
      <c r="EG33" s="19">
        <v>724864047</v>
      </c>
      <c r="EH33" s="19">
        <v>20000000</v>
      </c>
      <c r="EI33" s="19"/>
      <c r="EJ33" s="19">
        <v>114694208</v>
      </c>
      <c r="EK33" s="19">
        <v>197026625</v>
      </c>
      <c r="EL33" s="19">
        <v>348067069</v>
      </c>
      <c r="EM33" s="19"/>
      <c r="EN33" s="19"/>
      <c r="EO33" s="19"/>
      <c r="EP33" s="19"/>
      <c r="EQ33" s="19"/>
      <c r="ER33" s="19"/>
      <c r="ES33" s="19"/>
      <c r="ET33" s="19">
        <v>297901795</v>
      </c>
      <c r="EU33" s="19">
        <v>21023523</v>
      </c>
      <c r="EV33" s="19"/>
      <c r="EW33" s="19"/>
      <c r="EX33" s="19">
        <v>14000000</v>
      </c>
      <c r="EY33" s="19">
        <v>80000000</v>
      </c>
      <c r="EZ33" s="19">
        <f>5000000+126381113</f>
        <v>131381113</v>
      </c>
      <c r="FA33" s="19">
        <v>1160000000</v>
      </c>
      <c r="FB33" s="19"/>
      <c r="FC33" s="19">
        <v>180000000</v>
      </c>
      <c r="FD33" s="19">
        <v>50000000</v>
      </c>
      <c r="FE33" s="19"/>
      <c r="FF33" s="19"/>
      <c r="FG33" s="19" t="s">
        <v>172</v>
      </c>
      <c r="FH33" s="19"/>
      <c r="FI33" s="19" t="s">
        <v>172</v>
      </c>
      <c r="FJ33" s="19"/>
      <c r="FK33" s="19"/>
      <c r="FL33" s="19">
        <f>122814135-22500070</f>
        <v>100314065</v>
      </c>
      <c r="FM33" s="19"/>
      <c r="FN33" s="19">
        <v>79511470</v>
      </c>
      <c r="FO33" s="56" t="s">
        <v>172</v>
      </c>
      <c r="FP33" s="19"/>
      <c r="FQ33" s="19"/>
      <c r="FR33" s="19"/>
      <c r="FS33" s="19"/>
      <c r="FT33" s="19">
        <f>189228211-169775497</f>
        <v>19452714</v>
      </c>
      <c r="FU33" s="19"/>
      <c r="FV33" s="19" t="s">
        <v>172</v>
      </c>
      <c r="FW33" s="19"/>
      <c r="FX33" s="19"/>
      <c r="FY33" s="19" t="s">
        <v>172</v>
      </c>
      <c r="FZ33" s="19" t="s">
        <v>175</v>
      </c>
      <c r="GA33" s="19">
        <v>82203234</v>
      </c>
      <c r="GB33" s="19"/>
      <c r="GC33" s="19"/>
      <c r="GD33" s="19" t="s">
        <v>172</v>
      </c>
      <c r="GE33" s="19" t="s">
        <v>172</v>
      </c>
      <c r="GF33" s="19">
        <v>35173609</v>
      </c>
      <c r="GG33" s="19"/>
      <c r="GH33" s="19" t="s">
        <v>172</v>
      </c>
      <c r="GI33" s="19"/>
      <c r="GJ33" s="19" t="s">
        <v>172</v>
      </c>
      <c r="GK33" s="19"/>
      <c r="GL33" s="19" t="s">
        <v>172</v>
      </c>
      <c r="GM33" s="19"/>
      <c r="GN33" s="19">
        <v>6920000</v>
      </c>
      <c r="GO33" s="19" t="s">
        <v>172</v>
      </c>
      <c r="GP33" s="19"/>
      <c r="GQ33" s="19"/>
      <c r="GR33" s="19"/>
      <c r="GS33" s="19">
        <v>55301280</v>
      </c>
      <c r="GT33" s="19"/>
      <c r="GU33" s="19"/>
      <c r="GV33" s="19"/>
      <c r="GW33" s="19">
        <v>916777423</v>
      </c>
      <c r="GX33" s="19"/>
      <c r="GY33" s="19">
        <v>142427065</v>
      </c>
      <c r="GZ33" s="19">
        <v>170000000</v>
      </c>
      <c r="HA33" s="19" t="s">
        <v>172</v>
      </c>
      <c r="HB33" s="19"/>
      <c r="HC33" s="19"/>
      <c r="HD33" s="19"/>
      <c r="HE33" s="19" t="s">
        <v>172</v>
      </c>
      <c r="HF33" s="19">
        <v>50000000</v>
      </c>
      <c r="HG33" s="19">
        <v>42257085</v>
      </c>
      <c r="HH33" s="19" t="s">
        <v>172</v>
      </c>
      <c r="HI33" s="19">
        <v>214248591</v>
      </c>
      <c r="HJ33" s="19" t="s">
        <v>172</v>
      </c>
      <c r="HK33" s="19"/>
      <c r="HL33" s="19"/>
      <c r="HM33" s="19">
        <v>8000000</v>
      </c>
      <c r="HN33" s="19"/>
      <c r="HO33" s="19"/>
      <c r="HP33" s="19"/>
      <c r="HQ33" s="19"/>
      <c r="HR33" s="19"/>
      <c r="HS33" s="19"/>
      <c r="HT33" s="19"/>
      <c r="HU33" s="19"/>
      <c r="HV33" s="19"/>
      <c r="HW33" s="19" t="s">
        <v>172</v>
      </c>
      <c r="HX33" s="19">
        <f>33891573+5000000</f>
        <v>38891573</v>
      </c>
      <c r="HY33" s="19" t="s">
        <v>172</v>
      </c>
      <c r="HZ33" s="19">
        <v>50000000</v>
      </c>
      <c r="IA33" s="19">
        <v>8634515</v>
      </c>
      <c r="IB33" s="19">
        <f>999232238+478829799+32137183+4730000</f>
        <v>1514929220</v>
      </c>
      <c r="IC33" s="19"/>
      <c r="ID33" s="19"/>
      <c r="IE33" s="19" t="s">
        <v>172</v>
      </c>
      <c r="IF33" s="19">
        <v>3979536</v>
      </c>
      <c r="IG33" s="19"/>
      <c r="IH33" s="19">
        <f>38660648-38660648</f>
        <v>0</v>
      </c>
      <c r="II33" s="19"/>
      <c r="IJ33" s="19">
        <f>55452209-55452209</f>
        <v>0</v>
      </c>
      <c r="IK33" s="19"/>
      <c r="IL33" s="19"/>
      <c r="IM33" s="19">
        <v>53937705</v>
      </c>
      <c r="IN33" s="19"/>
      <c r="IO33" s="19"/>
      <c r="IP33" s="19"/>
      <c r="IQ33" s="19">
        <v>152500000</v>
      </c>
      <c r="IR33" s="19"/>
      <c r="IS33" s="19"/>
      <c r="IT33" s="19"/>
      <c r="IU33" s="19">
        <v>242960000</v>
      </c>
      <c r="IV33" s="19"/>
      <c r="IW33" s="19">
        <v>150000000</v>
      </c>
      <c r="IX33" s="19">
        <v>40000000</v>
      </c>
      <c r="IY33" s="19">
        <v>40000000</v>
      </c>
      <c r="IZ33" s="19"/>
      <c r="JA33" s="19">
        <v>138148673</v>
      </c>
      <c r="JB33" s="19"/>
      <c r="JC33" s="19"/>
      <c r="JD33" s="19"/>
      <c r="JE33" s="19"/>
      <c r="JF33" s="19"/>
      <c r="JG33" s="19"/>
      <c r="JH33" s="19"/>
      <c r="JI33" s="19"/>
      <c r="JJ33" s="19"/>
      <c r="JK33" s="19"/>
      <c r="JL33" s="19">
        <v>90000000</v>
      </c>
      <c r="JM33" s="19"/>
      <c r="JN33" s="19"/>
      <c r="JO33" s="19"/>
      <c r="JP33" s="19">
        <v>56478802</v>
      </c>
      <c r="JQ33" s="19" t="s">
        <v>175</v>
      </c>
      <c r="JR33" s="19"/>
      <c r="JS33" s="19"/>
      <c r="JT33" s="19"/>
      <c r="JU33" s="19"/>
      <c r="JV33" s="19">
        <v>2073000</v>
      </c>
      <c r="JW33" s="19"/>
      <c r="JX33" s="19"/>
      <c r="JY33" s="19"/>
      <c r="JZ33" s="19"/>
      <c r="KA33" s="19"/>
      <c r="KB33" s="19"/>
      <c r="KC33" s="19"/>
      <c r="KD33" s="19"/>
      <c r="KE33" s="19"/>
      <c r="KF33" s="19"/>
      <c r="KG33" s="19"/>
      <c r="KH33" s="19">
        <v>99000000</v>
      </c>
      <c r="KI33" s="19"/>
      <c r="KJ33" s="19"/>
      <c r="KK33" s="19">
        <v>0</v>
      </c>
      <c r="KL33" s="19">
        <f>5293877865+32200000+1779552459+887923505</f>
        <v>7993553829</v>
      </c>
      <c r="KM33" s="19"/>
      <c r="KN33" s="19">
        <v>301996239</v>
      </c>
      <c r="KO33" s="19">
        <v>48390231</v>
      </c>
      <c r="KP33" s="19"/>
      <c r="KQ33" s="19"/>
      <c r="KR33" s="19"/>
      <c r="KS33" s="19"/>
      <c r="KT33" s="19"/>
      <c r="KU33" s="19"/>
      <c r="KV33" s="19"/>
      <c r="KW33" s="19"/>
      <c r="KX33" s="19"/>
      <c r="KY33" s="19"/>
      <c r="KZ33" s="58"/>
      <c r="LA33" s="70"/>
      <c r="LB33" s="70">
        <v>3674260</v>
      </c>
    </row>
    <row r="34" spans="1:314">
      <c r="A34" s="7" t="s">
        <v>100</v>
      </c>
      <c r="B34" s="8" t="s">
        <v>110</v>
      </c>
      <c r="C34" s="19">
        <f>SUM(C35:C39)</f>
        <v>342029237</v>
      </c>
      <c r="D34" s="19">
        <f>SUM(D35:D39)</f>
        <v>2151619692</v>
      </c>
      <c r="E34" s="19">
        <f>SUM(E35:E39)</f>
        <v>542838122</v>
      </c>
      <c r="F34" s="19">
        <f>SUM(F35:F39)</f>
        <v>1602055191</v>
      </c>
      <c r="G34" s="19" t="s">
        <v>130</v>
      </c>
      <c r="H34" s="19">
        <f>SUM(H35:H39)</f>
        <v>795155354</v>
      </c>
      <c r="I34" s="19">
        <f>SUM(I35:I39)</f>
        <v>118943912</v>
      </c>
      <c r="J34" s="19" t="s">
        <v>176</v>
      </c>
      <c r="K34" s="19">
        <f>SUM(K35:K39)</f>
        <v>819344676</v>
      </c>
      <c r="L34" s="19" t="s">
        <v>96</v>
      </c>
      <c r="M34" s="19" t="s">
        <v>96</v>
      </c>
      <c r="N34" s="19">
        <f t="shared" ref="N34:S34" si="84">SUM(N35:N39)</f>
        <v>-84034246</v>
      </c>
      <c r="O34" s="19">
        <f t="shared" si="84"/>
        <v>1656707604</v>
      </c>
      <c r="P34" s="19">
        <f t="shared" si="84"/>
        <v>1224747998</v>
      </c>
      <c r="Q34" s="19">
        <f t="shared" si="84"/>
        <v>56025948</v>
      </c>
      <c r="R34" s="19">
        <f t="shared" si="84"/>
        <v>41275565</v>
      </c>
      <c r="S34" s="19">
        <f t="shared" si="84"/>
        <v>1995640589</v>
      </c>
      <c r="T34" s="19" t="s">
        <v>96</v>
      </c>
      <c r="U34" s="19" t="s">
        <v>96</v>
      </c>
      <c r="V34" s="19" t="s">
        <v>172</v>
      </c>
      <c r="W34" s="19">
        <f t="shared" ref="W34:AE34" si="85">SUM(W35:W39)</f>
        <v>-291678213</v>
      </c>
      <c r="X34" s="19">
        <f t="shared" si="85"/>
        <v>4202336077</v>
      </c>
      <c r="Y34" s="19">
        <f t="shared" si="85"/>
        <v>131786115</v>
      </c>
      <c r="Z34" s="19">
        <f t="shared" si="85"/>
        <v>505507789</v>
      </c>
      <c r="AA34" s="19">
        <f t="shared" si="85"/>
        <v>2266664335</v>
      </c>
      <c r="AB34" s="19">
        <f t="shared" si="85"/>
        <v>156435241</v>
      </c>
      <c r="AC34" s="19">
        <f t="shared" si="85"/>
        <v>1285006669</v>
      </c>
      <c r="AD34" s="19">
        <f t="shared" si="85"/>
        <v>1455729243</v>
      </c>
      <c r="AE34" s="19">
        <f t="shared" si="85"/>
        <v>468782355</v>
      </c>
      <c r="AF34" s="56" t="s">
        <v>172</v>
      </c>
      <c r="AG34" s="19">
        <f>SUM(AG35:AG39)</f>
        <v>-1016817896</v>
      </c>
      <c r="AH34" s="19" t="s">
        <v>167</v>
      </c>
      <c r="AI34" s="19">
        <f>SUM(AI35:AI39)</f>
        <v>-457172212</v>
      </c>
      <c r="AJ34" s="19">
        <f>SUM(AJ35:AJ39)</f>
        <v>584863120</v>
      </c>
      <c r="AK34" s="19">
        <f>SUM(AK35:AK39)</f>
        <v>1445454832</v>
      </c>
      <c r="AL34" s="19">
        <f>SUM(AL35:AL39)</f>
        <v>1044064269</v>
      </c>
      <c r="AM34" s="19" t="s">
        <v>4</v>
      </c>
      <c r="AN34" s="19">
        <f>SUM(AN35:AN39)</f>
        <v>477031885</v>
      </c>
      <c r="AO34" s="19">
        <f>SUM(AO35:AO39)</f>
        <v>27160210</v>
      </c>
      <c r="AP34" s="19">
        <f>SUM(AP35:AP39)</f>
        <v>395175275</v>
      </c>
      <c r="AQ34" s="19" t="s">
        <v>172</v>
      </c>
      <c r="AR34" s="19">
        <f>SUM(AR35:AR39)</f>
        <v>-960412934</v>
      </c>
      <c r="AS34" s="19">
        <f>SUM(AS35:AS39)</f>
        <v>278658422</v>
      </c>
      <c r="AT34" s="19" t="s">
        <v>172</v>
      </c>
      <c r="AU34" s="19">
        <f>SUM(AU35:AU39)</f>
        <v>-149701502</v>
      </c>
      <c r="AV34" s="19">
        <f>SUM(AV35:AV39)</f>
        <v>577324865</v>
      </c>
      <c r="AW34" s="19">
        <f>SUM(AW35:AW39)</f>
        <v>156190576</v>
      </c>
      <c r="AX34" s="19" t="s">
        <v>4</v>
      </c>
      <c r="AY34" s="19">
        <f>SUM(AY35:AY39)</f>
        <v>-11666437</v>
      </c>
      <c r="AZ34" s="19">
        <f>SUM(AZ35:AZ39)</f>
        <v>397682773</v>
      </c>
      <c r="BA34" s="19" t="s">
        <v>167</v>
      </c>
      <c r="BB34" s="19">
        <f>SUM(BB35:BB39)</f>
        <v>-23327261</v>
      </c>
      <c r="BC34" s="19" t="s">
        <v>4</v>
      </c>
      <c r="BD34" s="19" t="s">
        <v>172</v>
      </c>
      <c r="BE34" s="19">
        <f>SUM(BE35:BE39)</f>
        <v>657401124</v>
      </c>
      <c r="BF34" s="19" t="s">
        <v>96</v>
      </c>
      <c r="BG34" s="19">
        <f t="shared" ref="BG34:BN34" si="86">SUM(BG35:BG39)</f>
        <v>-55602252</v>
      </c>
      <c r="BH34" s="19">
        <f t="shared" si="86"/>
        <v>200182079</v>
      </c>
      <c r="BI34" s="19">
        <f t="shared" si="86"/>
        <v>639165428</v>
      </c>
      <c r="BJ34" s="19">
        <f t="shared" si="86"/>
        <v>141042580</v>
      </c>
      <c r="BK34" s="19">
        <f t="shared" si="86"/>
        <v>336640690</v>
      </c>
      <c r="BL34" s="19">
        <f t="shared" si="86"/>
        <v>915379280</v>
      </c>
      <c r="BM34" s="19">
        <f t="shared" si="86"/>
        <v>508374845</v>
      </c>
      <c r="BN34" s="19">
        <f t="shared" si="86"/>
        <v>117398020</v>
      </c>
      <c r="BO34" s="19" t="s">
        <v>96</v>
      </c>
      <c r="BP34" s="19" t="s">
        <v>96</v>
      </c>
      <c r="BQ34" s="19" t="s">
        <v>175</v>
      </c>
      <c r="BR34" s="19">
        <f>SUM(BR35:BR39)</f>
        <v>5927819699</v>
      </c>
      <c r="BS34" s="19" t="s">
        <v>172</v>
      </c>
      <c r="BT34" s="19">
        <f t="shared" ref="BT34:CD34" si="87">SUM(BT35:BT39)</f>
        <v>-55413669</v>
      </c>
      <c r="BU34" s="19">
        <f t="shared" si="87"/>
        <v>-78223501</v>
      </c>
      <c r="BV34" s="19">
        <f t="shared" si="87"/>
        <v>228196937</v>
      </c>
      <c r="BW34" s="19">
        <f t="shared" si="87"/>
        <v>-10456699</v>
      </c>
      <c r="BX34" s="19">
        <f t="shared" si="87"/>
        <v>82003058</v>
      </c>
      <c r="BY34" s="19">
        <f t="shared" si="87"/>
        <v>-864830323</v>
      </c>
      <c r="BZ34" s="19">
        <f t="shared" si="87"/>
        <v>2979585996</v>
      </c>
      <c r="CA34" s="19">
        <f t="shared" si="87"/>
        <v>29188751</v>
      </c>
      <c r="CB34" s="19">
        <f t="shared" si="87"/>
        <v>61135321</v>
      </c>
      <c r="CC34" s="19">
        <f t="shared" si="87"/>
        <v>-14305338</v>
      </c>
      <c r="CD34" s="19">
        <f t="shared" si="87"/>
        <v>488438683</v>
      </c>
      <c r="CE34" s="19" t="s">
        <v>172</v>
      </c>
      <c r="CF34" s="19">
        <f>SUM(CF35:CF39)</f>
        <v>-1308248591</v>
      </c>
      <c r="CG34" s="19">
        <f>SUM(CG35:CG39)</f>
        <v>186389948</v>
      </c>
      <c r="CH34" s="19">
        <f>SUM(CH35:CH39)</f>
        <v>505995095</v>
      </c>
      <c r="CI34" s="19" t="s">
        <v>172</v>
      </c>
      <c r="CJ34" s="19">
        <f t="shared" ref="CJ34:CP34" si="88">SUM(CJ35:CJ39)</f>
        <v>75312745</v>
      </c>
      <c r="CK34" s="19">
        <f t="shared" si="88"/>
        <v>685906027</v>
      </c>
      <c r="CL34" s="19">
        <f t="shared" si="88"/>
        <v>870305</v>
      </c>
      <c r="CM34" s="19">
        <f t="shared" si="88"/>
        <v>1832288839</v>
      </c>
      <c r="CN34" s="19">
        <f t="shared" si="88"/>
        <v>22212240</v>
      </c>
      <c r="CO34" s="19">
        <f t="shared" si="88"/>
        <v>144958291</v>
      </c>
      <c r="CP34" s="19">
        <f t="shared" si="88"/>
        <v>683832797</v>
      </c>
      <c r="CQ34" s="19" t="s">
        <v>96</v>
      </c>
      <c r="CR34" s="19">
        <f>SUM(CR35:CR39)</f>
        <v>612089506</v>
      </c>
      <c r="CS34" s="56" t="s">
        <v>172</v>
      </c>
      <c r="CT34" s="19">
        <f>SUM(CT35:CT39)</f>
        <v>3579683513</v>
      </c>
      <c r="CU34" s="19">
        <f>SUM(CU35:CU39)</f>
        <v>657392639</v>
      </c>
      <c r="CV34" s="19">
        <v>-269064488</v>
      </c>
      <c r="CW34" s="19">
        <f>SUM(CW35:CW39)</f>
        <v>3294415568</v>
      </c>
      <c r="CX34" s="19">
        <f>SUM(CX35:CX39)</f>
        <v>3494171160</v>
      </c>
      <c r="CY34" s="19" t="s">
        <v>96</v>
      </c>
      <c r="CZ34" s="19">
        <f>SUM(CZ35:CZ39)</f>
        <v>1977708152</v>
      </c>
      <c r="DA34" s="19" t="s">
        <v>175</v>
      </c>
      <c r="DB34" s="19">
        <f t="shared" ref="DB34:DR34" si="89">SUM(DB35:DB39)</f>
        <v>545210178</v>
      </c>
      <c r="DC34" s="19">
        <f t="shared" si="89"/>
        <v>-30532703</v>
      </c>
      <c r="DD34" s="19">
        <f t="shared" si="89"/>
        <v>-154073040</v>
      </c>
      <c r="DE34" s="19">
        <f t="shared" si="89"/>
        <v>1033413943</v>
      </c>
      <c r="DF34" s="19">
        <f t="shared" si="89"/>
        <v>13971992</v>
      </c>
      <c r="DG34" s="19">
        <f t="shared" si="89"/>
        <v>240561814</v>
      </c>
      <c r="DH34" s="19">
        <f t="shared" si="89"/>
        <v>374073329</v>
      </c>
      <c r="DI34" s="19">
        <f t="shared" si="89"/>
        <v>1406125562</v>
      </c>
      <c r="DJ34" s="19">
        <f t="shared" si="89"/>
        <v>176061196</v>
      </c>
      <c r="DK34" s="19">
        <f t="shared" si="89"/>
        <v>3576247075</v>
      </c>
      <c r="DL34" s="19">
        <f t="shared" si="89"/>
        <v>15382642</v>
      </c>
      <c r="DM34" s="19">
        <f t="shared" si="89"/>
        <v>85021889</v>
      </c>
      <c r="DN34" s="19">
        <f t="shared" si="89"/>
        <v>-179057277</v>
      </c>
      <c r="DO34" s="19">
        <f t="shared" si="89"/>
        <v>20657304</v>
      </c>
      <c r="DP34" s="19">
        <f t="shared" si="89"/>
        <v>811787147</v>
      </c>
      <c r="DQ34" s="19">
        <f t="shared" si="89"/>
        <v>118890549</v>
      </c>
      <c r="DR34" s="19">
        <f t="shared" si="89"/>
        <v>573473850</v>
      </c>
      <c r="DS34" s="19">
        <f>SUM(DS35:DS39)</f>
        <v>235220292</v>
      </c>
      <c r="DT34" s="19">
        <f t="shared" ref="DT34:FF34" si="90">SUM(DT35:DT39)</f>
        <v>1434591144</v>
      </c>
      <c r="DU34" s="19">
        <f t="shared" si="90"/>
        <v>182473078</v>
      </c>
      <c r="DV34" s="19">
        <f t="shared" si="90"/>
        <v>2659744934</v>
      </c>
      <c r="DW34" s="19">
        <f t="shared" si="90"/>
        <v>1010920751</v>
      </c>
      <c r="DX34" s="19">
        <f t="shared" si="90"/>
        <v>5353252000</v>
      </c>
      <c r="DY34" s="19">
        <f t="shared" si="90"/>
        <v>277717027</v>
      </c>
      <c r="DZ34" s="19">
        <f t="shared" si="90"/>
        <v>748558441</v>
      </c>
      <c r="EA34" s="19">
        <f t="shared" si="90"/>
        <v>81530046</v>
      </c>
      <c r="EB34" s="19">
        <f t="shared" si="90"/>
        <v>2163113549</v>
      </c>
      <c r="EC34" s="19">
        <f t="shared" si="90"/>
        <v>4014789</v>
      </c>
      <c r="ED34" s="19">
        <f t="shared" si="90"/>
        <v>143517419</v>
      </c>
      <c r="EE34" s="19">
        <f t="shared" si="90"/>
        <v>800232677</v>
      </c>
      <c r="EF34" s="19">
        <f t="shared" si="90"/>
        <v>2027026567</v>
      </c>
      <c r="EG34" s="19">
        <f t="shared" si="90"/>
        <v>9622977927</v>
      </c>
      <c r="EH34" s="19">
        <f t="shared" si="90"/>
        <v>273431461</v>
      </c>
      <c r="EI34" s="19">
        <f t="shared" si="90"/>
        <v>3977055529</v>
      </c>
      <c r="EJ34" s="19">
        <f t="shared" si="90"/>
        <v>210872610</v>
      </c>
      <c r="EK34" s="19">
        <f t="shared" si="90"/>
        <v>4188793414</v>
      </c>
      <c r="EL34" s="19">
        <f t="shared" si="90"/>
        <v>1954866239</v>
      </c>
      <c r="EM34" s="19">
        <f t="shared" si="90"/>
        <v>899367366</v>
      </c>
      <c r="EN34" s="19">
        <f t="shared" si="90"/>
        <v>3251437743</v>
      </c>
      <c r="EO34" s="19">
        <f t="shared" si="90"/>
        <v>183659169</v>
      </c>
      <c r="EP34" s="19">
        <f t="shared" si="90"/>
        <v>807773826</v>
      </c>
      <c r="EQ34" s="19">
        <f t="shared" si="90"/>
        <v>2307753256</v>
      </c>
      <c r="ER34" s="19">
        <f t="shared" si="90"/>
        <v>844365755</v>
      </c>
      <c r="ES34" s="19">
        <f t="shared" si="90"/>
        <v>1064557171</v>
      </c>
      <c r="ET34" s="19">
        <f t="shared" si="90"/>
        <v>16197689498</v>
      </c>
      <c r="EU34" s="19">
        <f t="shared" si="90"/>
        <v>2445611727</v>
      </c>
      <c r="EV34" s="19">
        <f t="shared" si="90"/>
        <v>127577823</v>
      </c>
      <c r="EW34" s="19">
        <f t="shared" si="90"/>
        <v>68282498</v>
      </c>
      <c r="EX34" s="19">
        <f t="shared" si="90"/>
        <v>1068931615</v>
      </c>
      <c r="EY34" s="19">
        <f t="shared" si="90"/>
        <v>2193930678</v>
      </c>
      <c r="EZ34" s="19">
        <f t="shared" si="90"/>
        <v>324513874</v>
      </c>
      <c r="FA34" s="19">
        <f t="shared" si="90"/>
        <v>-192603591</v>
      </c>
      <c r="FB34" s="19">
        <f t="shared" si="90"/>
        <v>-33846381</v>
      </c>
      <c r="FC34" s="19">
        <f t="shared" si="90"/>
        <v>149363066</v>
      </c>
      <c r="FD34" s="19">
        <f t="shared" si="90"/>
        <v>-326077540</v>
      </c>
      <c r="FE34" s="19">
        <f t="shared" si="90"/>
        <v>2380350220</v>
      </c>
      <c r="FF34" s="19">
        <f t="shared" si="90"/>
        <v>65824111</v>
      </c>
      <c r="FG34" s="19" t="s">
        <v>172</v>
      </c>
      <c r="FH34" s="19">
        <f>SUM(FH35:FH39)</f>
        <v>863197394</v>
      </c>
      <c r="FI34" s="19" t="s">
        <v>172</v>
      </c>
      <c r="FJ34" s="19">
        <f>SUM(FJ35:FJ39)</f>
        <v>270947867</v>
      </c>
      <c r="FK34" s="19">
        <f>SUM(FK35:FK39)</f>
        <v>346829088</v>
      </c>
      <c r="FL34" s="19">
        <f>SUM(FL35:FL39)</f>
        <v>-44968018</v>
      </c>
      <c r="FM34" s="19">
        <f>SUM(FM35:FM39)</f>
        <v>-180689167</v>
      </c>
      <c r="FN34" s="19">
        <f>SUM(FN35:FN39)</f>
        <v>9558558606</v>
      </c>
      <c r="FO34" s="56" t="s">
        <v>172</v>
      </c>
      <c r="FP34" s="19">
        <f t="shared" ref="FP34:FU34" si="91">SUM(FP35:FP39)</f>
        <v>-59416464</v>
      </c>
      <c r="FQ34" s="19">
        <f t="shared" si="91"/>
        <v>4677614</v>
      </c>
      <c r="FR34" s="19">
        <f t="shared" si="91"/>
        <v>336981349</v>
      </c>
      <c r="FS34" s="19">
        <f t="shared" si="91"/>
        <v>-585000607</v>
      </c>
      <c r="FT34" s="19">
        <f t="shared" si="91"/>
        <v>10909243518</v>
      </c>
      <c r="FU34" s="19">
        <f t="shared" si="91"/>
        <v>-26849142</v>
      </c>
      <c r="FV34" s="19" t="s">
        <v>172</v>
      </c>
      <c r="FW34" s="19">
        <f>SUM(FW35:FW39)</f>
        <v>-45027832</v>
      </c>
      <c r="FX34" s="19">
        <f>SUM(FX35:FX39)</f>
        <v>-337284425</v>
      </c>
      <c r="FY34" s="19" t="s">
        <v>172</v>
      </c>
      <c r="FZ34" s="19" t="s">
        <v>175</v>
      </c>
      <c r="GA34" s="19">
        <f>SUM(GA35:GA39)</f>
        <v>1764886528</v>
      </c>
      <c r="GB34" s="19">
        <f>SUM(GB35:GB39)</f>
        <v>-97599782</v>
      </c>
      <c r="GC34" s="19">
        <f>SUM(GC35:GC39)</f>
        <v>193390643</v>
      </c>
      <c r="GD34" s="19" t="s">
        <v>172</v>
      </c>
      <c r="GE34" s="19" t="s">
        <v>172</v>
      </c>
      <c r="GF34" s="19">
        <f>SUM(GF35:GF39)</f>
        <v>12323664</v>
      </c>
      <c r="GG34" s="19">
        <f>SUM(GG35:GG39)</f>
        <v>2083338965</v>
      </c>
      <c r="GH34" s="19" t="s">
        <v>172</v>
      </c>
      <c r="GI34" s="19">
        <f t="shared" ref="GI34:IL34" si="92">SUM(GI35:GI39)</f>
        <v>59965802</v>
      </c>
      <c r="GJ34" s="19" t="s">
        <v>172</v>
      </c>
      <c r="GK34" s="19">
        <f t="shared" si="92"/>
        <v>76246892</v>
      </c>
      <c r="GL34" s="19" t="s">
        <v>172</v>
      </c>
      <c r="GM34" s="19">
        <f t="shared" si="92"/>
        <v>66957644</v>
      </c>
      <c r="GN34" s="19">
        <f t="shared" si="92"/>
        <v>-440106637</v>
      </c>
      <c r="GO34" s="19" t="s">
        <v>172</v>
      </c>
      <c r="GP34" s="19">
        <f t="shared" si="92"/>
        <v>3417495388</v>
      </c>
      <c r="GQ34" s="19">
        <f t="shared" si="92"/>
        <v>592302470</v>
      </c>
      <c r="GR34" s="19">
        <f t="shared" si="92"/>
        <v>1941792821</v>
      </c>
      <c r="GS34" s="19">
        <f t="shared" si="92"/>
        <v>184119782</v>
      </c>
      <c r="GT34" s="19">
        <f t="shared" si="92"/>
        <v>-614923148</v>
      </c>
      <c r="GU34" s="19">
        <f t="shared" si="92"/>
        <v>72655230</v>
      </c>
      <c r="GV34" s="19">
        <f>SUM(GV35:GV39)</f>
        <v>1914072417</v>
      </c>
      <c r="GW34" s="19">
        <f>SUM(GW35:GW39)</f>
        <v>28221320343</v>
      </c>
      <c r="GX34" s="19">
        <f t="shared" si="92"/>
        <v>424819535</v>
      </c>
      <c r="GY34" s="19">
        <f t="shared" si="92"/>
        <v>93047271</v>
      </c>
      <c r="GZ34" s="19">
        <f t="shared" si="92"/>
        <v>315191474</v>
      </c>
      <c r="HA34" s="19" t="s">
        <v>172</v>
      </c>
      <c r="HB34" s="19">
        <f t="shared" si="92"/>
        <v>1087395657</v>
      </c>
      <c r="HC34" s="19">
        <f t="shared" si="92"/>
        <v>77471726</v>
      </c>
      <c r="HD34" s="19">
        <f t="shared" si="92"/>
        <v>829554775</v>
      </c>
      <c r="HE34" s="19" t="s">
        <v>172</v>
      </c>
      <c r="HF34" s="19">
        <f t="shared" si="92"/>
        <v>1095989914</v>
      </c>
      <c r="HG34" s="19">
        <f t="shared" si="92"/>
        <v>712134166</v>
      </c>
      <c r="HH34" s="19" t="s">
        <v>172</v>
      </c>
      <c r="HI34" s="19">
        <f t="shared" si="92"/>
        <v>2429420571</v>
      </c>
      <c r="HJ34" s="19" t="s">
        <v>172</v>
      </c>
      <c r="HK34" s="19">
        <f t="shared" si="92"/>
        <v>1535535771</v>
      </c>
      <c r="HL34" s="19">
        <f t="shared" si="92"/>
        <v>1623981186</v>
      </c>
      <c r="HM34" s="19">
        <f t="shared" si="92"/>
        <v>-127225608</v>
      </c>
      <c r="HN34" s="19">
        <f t="shared" si="92"/>
        <v>657874628</v>
      </c>
      <c r="HO34" s="19">
        <f t="shared" si="92"/>
        <v>1153889974</v>
      </c>
      <c r="HP34" s="19">
        <f t="shared" si="92"/>
        <v>646546763</v>
      </c>
      <c r="HQ34" s="19">
        <f t="shared" si="92"/>
        <v>364984147</v>
      </c>
      <c r="HR34" s="19">
        <f t="shared" si="92"/>
        <v>402856745</v>
      </c>
      <c r="HS34" s="19">
        <f t="shared" si="92"/>
        <v>415271996</v>
      </c>
      <c r="HT34" s="19">
        <f t="shared" si="92"/>
        <v>164761222</v>
      </c>
      <c r="HU34" s="19">
        <f t="shared" si="92"/>
        <v>-948844698</v>
      </c>
      <c r="HV34" s="19">
        <f t="shared" si="92"/>
        <v>991477</v>
      </c>
      <c r="HW34" s="19" t="s">
        <v>172</v>
      </c>
      <c r="HX34" s="19">
        <f t="shared" si="92"/>
        <v>1046635603</v>
      </c>
      <c r="HY34" s="19" t="s">
        <v>172</v>
      </c>
      <c r="HZ34" s="19">
        <f t="shared" si="92"/>
        <v>6727080673</v>
      </c>
      <c r="IA34" s="19">
        <f t="shared" si="92"/>
        <v>1224845339</v>
      </c>
      <c r="IB34" s="19">
        <f t="shared" si="92"/>
        <v>2061626467</v>
      </c>
      <c r="IC34" s="19">
        <f t="shared" si="92"/>
        <v>1130640849</v>
      </c>
      <c r="ID34" s="19">
        <f t="shared" si="92"/>
        <v>13379177</v>
      </c>
      <c r="IE34" s="19" t="s">
        <v>172</v>
      </c>
      <c r="IF34" s="19">
        <f t="shared" si="92"/>
        <v>75065463</v>
      </c>
      <c r="IG34" s="19">
        <f t="shared" si="92"/>
        <v>46722372</v>
      </c>
      <c r="IH34" s="19">
        <f t="shared" si="92"/>
        <v>784097849</v>
      </c>
      <c r="II34" s="19">
        <f t="shared" si="92"/>
        <v>168829082</v>
      </c>
      <c r="IJ34" s="19">
        <f t="shared" si="92"/>
        <v>194446827</v>
      </c>
      <c r="IK34" s="19">
        <f t="shared" si="92"/>
        <v>126759223</v>
      </c>
      <c r="IL34" s="19">
        <f t="shared" si="92"/>
        <v>205077409</v>
      </c>
      <c r="IM34" s="19">
        <f>SUM(IM35:IM39)</f>
        <v>1445613233</v>
      </c>
      <c r="IN34" s="19">
        <f t="shared" ref="IN34:JN34" si="93">SUM(IN35:IN39)</f>
        <v>3324209949</v>
      </c>
      <c r="IO34" s="19">
        <f t="shared" si="93"/>
        <v>86768652</v>
      </c>
      <c r="IP34" s="19">
        <f t="shared" si="93"/>
        <v>172170185</v>
      </c>
      <c r="IQ34" s="19">
        <f t="shared" si="93"/>
        <v>195006820</v>
      </c>
      <c r="IR34" s="19">
        <f t="shared" si="93"/>
        <v>893575181</v>
      </c>
      <c r="IS34" s="19">
        <f t="shared" si="93"/>
        <v>7642928371</v>
      </c>
      <c r="IT34" s="19">
        <f t="shared" si="93"/>
        <v>549797401</v>
      </c>
      <c r="IU34" s="19">
        <f t="shared" si="93"/>
        <v>1608930701</v>
      </c>
      <c r="IV34" s="19">
        <f t="shared" si="93"/>
        <v>380782664</v>
      </c>
      <c r="IW34" s="19">
        <f t="shared" si="93"/>
        <v>-308036593</v>
      </c>
      <c r="IX34" s="19">
        <f t="shared" si="93"/>
        <v>168682822</v>
      </c>
      <c r="IY34" s="19">
        <f t="shared" si="93"/>
        <v>2417780946</v>
      </c>
      <c r="IZ34" s="19">
        <f t="shared" si="93"/>
        <v>205492850</v>
      </c>
      <c r="JA34" s="19">
        <f t="shared" si="93"/>
        <v>1898643498</v>
      </c>
      <c r="JB34" s="19">
        <f t="shared" si="93"/>
        <v>332661658</v>
      </c>
      <c r="JC34" s="19">
        <f t="shared" si="93"/>
        <v>145709911</v>
      </c>
      <c r="JD34" s="19">
        <f t="shared" si="93"/>
        <v>867944537</v>
      </c>
      <c r="JE34" s="19">
        <f t="shared" si="93"/>
        <v>143743724</v>
      </c>
      <c r="JF34" s="19">
        <f t="shared" si="93"/>
        <v>366408895</v>
      </c>
      <c r="JG34" s="19">
        <f t="shared" si="93"/>
        <v>-35677898</v>
      </c>
      <c r="JH34" s="19">
        <f t="shared" si="93"/>
        <v>-11789495</v>
      </c>
      <c r="JI34" s="19">
        <f t="shared" si="93"/>
        <v>136515112</v>
      </c>
      <c r="JJ34" s="19">
        <f t="shared" si="93"/>
        <v>51407310</v>
      </c>
      <c r="JK34" s="19">
        <f t="shared" si="93"/>
        <v>9551325</v>
      </c>
      <c r="JL34" s="19">
        <f t="shared" si="93"/>
        <v>1327232918</v>
      </c>
      <c r="JM34" s="19">
        <f t="shared" si="93"/>
        <v>185891119</v>
      </c>
      <c r="JN34" s="19">
        <f t="shared" si="93"/>
        <v>1829388121</v>
      </c>
      <c r="JO34" s="19">
        <f t="shared" ref="JO34:KH34" si="94">SUM(JO35:JO39)</f>
        <v>-63334656</v>
      </c>
      <c r="JP34" s="19">
        <f t="shared" si="94"/>
        <v>201716697</v>
      </c>
      <c r="JQ34" s="19" t="s">
        <v>175</v>
      </c>
      <c r="JR34" s="19">
        <f t="shared" si="94"/>
        <v>14149952</v>
      </c>
      <c r="JS34" s="19">
        <f t="shared" si="94"/>
        <v>-245153612</v>
      </c>
      <c r="JT34" s="19">
        <f t="shared" si="94"/>
        <v>-306909369</v>
      </c>
      <c r="JU34" s="19">
        <f t="shared" si="94"/>
        <v>149739707</v>
      </c>
      <c r="JV34" s="19">
        <f t="shared" si="94"/>
        <v>231951916</v>
      </c>
      <c r="JW34" s="19">
        <f t="shared" si="94"/>
        <v>172357340</v>
      </c>
      <c r="JX34" s="19">
        <f t="shared" si="94"/>
        <v>1975554439</v>
      </c>
      <c r="JY34" s="19">
        <f t="shared" si="94"/>
        <v>1096931476</v>
      </c>
      <c r="JZ34" s="19">
        <f t="shared" si="94"/>
        <v>2886450</v>
      </c>
      <c r="KA34" s="19">
        <f t="shared" si="94"/>
        <v>203710447</v>
      </c>
      <c r="KB34" s="19">
        <f t="shared" si="94"/>
        <v>2666830522</v>
      </c>
      <c r="KC34" s="19">
        <f t="shared" si="94"/>
        <v>378514960</v>
      </c>
      <c r="KD34" s="19">
        <f t="shared" si="94"/>
        <v>129026497</v>
      </c>
      <c r="KE34" s="19">
        <f t="shared" si="94"/>
        <v>-13003731</v>
      </c>
      <c r="KF34" s="19">
        <f t="shared" si="94"/>
        <v>938130221</v>
      </c>
      <c r="KG34" s="19">
        <f t="shared" si="94"/>
        <v>100471695</v>
      </c>
      <c r="KH34" s="19">
        <f t="shared" si="94"/>
        <v>291082058</v>
      </c>
      <c r="KI34" s="19">
        <f t="shared" ref="KI34:KM34" si="95">SUM(KI35:KI39)</f>
        <v>433261014</v>
      </c>
      <c r="KJ34" s="19">
        <f t="shared" si="95"/>
        <v>665366091</v>
      </c>
      <c r="KK34" s="19">
        <f t="shared" si="95"/>
        <v>2963467741</v>
      </c>
      <c r="KL34" s="19">
        <f t="shared" si="95"/>
        <v>11395687742</v>
      </c>
      <c r="KM34" s="19">
        <f t="shared" si="95"/>
        <v>-285233087</v>
      </c>
      <c r="KN34" s="19">
        <f t="shared" ref="KN34:KY34" si="96">SUM(KN35:KN39)</f>
        <v>3800313575</v>
      </c>
      <c r="KO34" s="19">
        <f t="shared" si="96"/>
        <v>223212571</v>
      </c>
      <c r="KP34" s="19">
        <f t="shared" si="96"/>
        <v>310854263</v>
      </c>
      <c r="KQ34" s="19">
        <f t="shared" si="96"/>
        <v>11170860</v>
      </c>
      <c r="KR34" s="19">
        <f t="shared" si="96"/>
        <v>1635650</v>
      </c>
      <c r="KS34" s="19">
        <f t="shared" si="96"/>
        <v>258139919</v>
      </c>
      <c r="KT34" s="19">
        <f t="shared" si="96"/>
        <v>74957</v>
      </c>
      <c r="KU34" s="19">
        <f t="shared" si="96"/>
        <v>2323878864</v>
      </c>
      <c r="KV34" s="19">
        <f t="shared" si="96"/>
        <v>90099616</v>
      </c>
      <c r="KW34" s="19">
        <f t="shared" si="96"/>
        <v>252485412</v>
      </c>
      <c r="KX34" s="19">
        <f t="shared" si="96"/>
        <v>11978101</v>
      </c>
      <c r="KY34" s="19">
        <f t="shared" si="96"/>
        <v>347243832</v>
      </c>
      <c r="KZ34" s="58">
        <f>KZ35+KZ36+KZ37+KZ38+KZ383+KZ39</f>
        <v>590251275</v>
      </c>
      <c r="LA34" s="74">
        <v>267406012</v>
      </c>
      <c r="LB34" s="75">
        <v>-23605643</v>
      </c>
    </row>
    <row r="35" spans="1:314">
      <c r="A35" s="7" t="s">
        <v>100</v>
      </c>
      <c r="B35" s="8" t="s">
        <v>81</v>
      </c>
      <c r="C35" s="19">
        <v>150000000</v>
      </c>
      <c r="D35" s="19">
        <v>688602600</v>
      </c>
      <c r="E35" s="19">
        <v>117000000</v>
      </c>
      <c r="F35" s="19">
        <v>200000000</v>
      </c>
      <c r="G35" s="19" t="s">
        <v>130</v>
      </c>
      <c r="H35" s="19">
        <v>413183763</v>
      </c>
      <c r="I35" s="19">
        <v>745970000</v>
      </c>
      <c r="J35" s="19" t="s">
        <v>176</v>
      </c>
      <c r="K35" s="19">
        <v>763431000</v>
      </c>
      <c r="L35" s="19" t="s">
        <v>96</v>
      </c>
      <c r="M35" s="19" t="s">
        <v>96</v>
      </c>
      <c r="N35" s="19">
        <v>50000000</v>
      </c>
      <c r="O35" s="19">
        <v>1857984116</v>
      </c>
      <c r="P35" s="19">
        <v>1654133170</v>
      </c>
      <c r="Q35" s="19">
        <v>10000000</v>
      </c>
      <c r="R35" s="19">
        <v>60000000</v>
      </c>
      <c r="S35" s="19">
        <f>516667000+22222000</f>
        <v>538889000</v>
      </c>
      <c r="T35" s="19" t="s">
        <v>96</v>
      </c>
      <c r="U35" s="19" t="s">
        <v>96</v>
      </c>
      <c r="V35" s="19" t="s">
        <v>172</v>
      </c>
      <c r="W35" s="19">
        <v>216190000</v>
      </c>
      <c r="X35" s="19">
        <v>100000000</v>
      </c>
      <c r="Y35" s="19">
        <v>110975000</v>
      </c>
      <c r="Z35" s="19">
        <v>900000000</v>
      </c>
      <c r="AA35" s="19">
        <v>250000000</v>
      </c>
      <c r="AB35" s="19">
        <v>89000000</v>
      </c>
      <c r="AC35" s="19">
        <v>40000000</v>
      </c>
      <c r="AD35" s="19">
        <v>200000000</v>
      </c>
      <c r="AE35" s="19">
        <v>100000000</v>
      </c>
      <c r="AF35" s="56" t="s">
        <v>172</v>
      </c>
      <c r="AG35" s="19">
        <v>341580000</v>
      </c>
      <c r="AH35" s="19" t="s">
        <v>167</v>
      </c>
      <c r="AI35" s="19">
        <v>67434000</v>
      </c>
      <c r="AJ35" s="19">
        <v>328820000</v>
      </c>
      <c r="AK35" s="19">
        <v>60000000</v>
      </c>
      <c r="AL35" s="19">
        <v>130000000</v>
      </c>
      <c r="AM35" s="19" t="s">
        <v>4</v>
      </c>
      <c r="AN35" s="19">
        <v>50000000</v>
      </c>
      <c r="AO35" s="19">
        <v>322280000</v>
      </c>
      <c r="AP35" s="19">
        <v>1080000000</v>
      </c>
      <c r="AQ35" s="19" t="s">
        <v>172</v>
      </c>
      <c r="AR35" s="19">
        <v>80000000</v>
      </c>
      <c r="AS35" s="19">
        <v>100000000</v>
      </c>
      <c r="AT35" s="19" t="s">
        <v>172</v>
      </c>
      <c r="AU35" s="19">
        <v>1300000000</v>
      </c>
      <c r="AV35" s="19">
        <v>185000000</v>
      </c>
      <c r="AW35" s="19">
        <v>5000000</v>
      </c>
      <c r="AX35" s="19" t="s">
        <v>4</v>
      </c>
      <c r="AY35" s="19"/>
      <c r="AZ35" s="19">
        <v>231950000</v>
      </c>
      <c r="BA35" s="19" t="s">
        <v>167</v>
      </c>
      <c r="BB35" s="19">
        <v>40000000</v>
      </c>
      <c r="BC35" s="19" t="s">
        <v>4</v>
      </c>
      <c r="BD35" s="19" t="s">
        <v>172</v>
      </c>
      <c r="BE35" s="19">
        <v>107250000</v>
      </c>
      <c r="BF35" s="19" t="s">
        <v>96</v>
      </c>
      <c r="BG35" s="19">
        <v>2200000000</v>
      </c>
      <c r="BH35" s="19">
        <v>130300000</v>
      </c>
      <c r="BI35" s="19">
        <v>68526000</v>
      </c>
      <c r="BJ35" s="19">
        <v>5000000</v>
      </c>
      <c r="BK35" s="19">
        <v>177525000</v>
      </c>
      <c r="BL35" s="19">
        <v>250000000</v>
      </c>
      <c r="BM35" s="19">
        <v>150000000</v>
      </c>
      <c r="BN35" s="19">
        <v>11250000</v>
      </c>
      <c r="BO35" s="19" t="s">
        <v>96</v>
      </c>
      <c r="BP35" s="19" t="s">
        <v>96</v>
      </c>
      <c r="BQ35" s="19" t="s">
        <v>175</v>
      </c>
      <c r="BR35" s="19">
        <v>1188000</v>
      </c>
      <c r="BS35" s="19" t="s">
        <v>172</v>
      </c>
      <c r="BT35" s="19">
        <v>27204662</v>
      </c>
      <c r="BU35" s="19">
        <v>102715000</v>
      </c>
      <c r="BV35" s="19">
        <v>50000000</v>
      </c>
      <c r="BW35" s="19">
        <v>320000</v>
      </c>
      <c r="BX35" s="19">
        <v>10000000</v>
      </c>
      <c r="BY35" s="19">
        <v>76240000</v>
      </c>
      <c r="BZ35" s="19">
        <v>10000000</v>
      </c>
      <c r="CA35" s="19">
        <v>167920000</v>
      </c>
      <c r="CB35" s="19">
        <v>50000000</v>
      </c>
      <c r="CC35" s="19">
        <v>16650000</v>
      </c>
      <c r="CD35" s="19">
        <v>105215000</v>
      </c>
      <c r="CE35" s="19" t="s">
        <v>172</v>
      </c>
      <c r="CF35" s="19">
        <v>38460000</v>
      </c>
      <c r="CG35" s="19">
        <v>82123200</v>
      </c>
      <c r="CH35" s="19">
        <v>5000000</v>
      </c>
      <c r="CI35" s="19" t="s">
        <v>172</v>
      </c>
      <c r="CJ35" s="19">
        <v>30000000</v>
      </c>
      <c r="CK35" s="19">
        <v>400000000</v>
      </c>
      <c r="CL35" s="19">
        <v>164000000</v>
      </c>
      <c r="CM35" s="19">
        <v>150000000</v>
      </c>
      <c r="CN35" s="19">
        <v>2000000</v>
      </c>
      <c r="CO35" s="19">
        <v>101460000</v>
      </c>
      <c r="CP35" s="19">
        <v>300000000</v>
      </c>
      <c r="CQ35" s="19" t="s">
        <v>96</v>
      </c>
      <c r="CR35" s="19">
        <v>210000000</v>
      </c>
      <c r="CS35" s="56" t="s">
        <v>172</v>
      </c>
      <c r="CT35" s="19">
        <v>681873500</v>
      </c>
      <c r="CU35" s="19">
        <v>500000000</v>
      </c>
      <c r="CV35" s="19">
        <v>4950000</v>
      </c>
      <c r="CW35" s="19">
        <v>2540560000</v>
      </c>
      <c r="CX35" s="19">
        <v>432410500</v>
      </c>
      <c r="CY35" s="19" t="s">
        <v>96</v>
      </c>
      <c r="CZ35" s="19">
        <v>200000000</v>
      </c>
      <c r="DA35" s="19" t="s">
        <v>175</v>
      </c>
      <c r="DB35" s="19">
        <v>50000000</v>
      </c>
      <c r="DC35" s="19">
        <v>5130000</v>
      </c>
      <c r="DD35" s="19">
        <v>50000000</v>
      </c>
      <c r="DE35" s="19">
        <v>510000000</v>
      </c>
      <c r="DF35" s="19">
        <v>40000000</v>
      </c>
      <c r="DG35" s="19">
        <v>150000000</v>
      </c>
      <c r="DH35" s="19">
        <v>366000000</v>
      </c>
      <c r="DI35" s="19">
        <v>800000000</v>
      </c>
      <c r="DJ35" s="19">
        <v>13800000</v>
      </c>
      <c r="DK35" s="19">
        <v>150500000</v>
      </c>
      <c r="DL35" s="19">
        <v>66356100</v>
      </c>
      <c r="DM35" s="19">
        <v>300000000</v>
      </c>
      <c r="DN35" s="19">
        <v>17250000</v>
      </c>
      <c r="DO35" s="19">
        <v>10000000</v>
      </c>
      <c r="DP35" s="19">
        <v>50000000</v>
      </c>
      <c r="DQ35" s="19">
        <v>50000000</v>
      </c>
      <c r="DR35" s="19">
        <v>38787000</v>
      </c>
      <c r="DS35" s="19">
        <v>80000000</v>
      </c>
      <c r="DT35" s="19">
        <v>75000000</v>
      </c>
      <c r="DU35" s="19">
        <v>22900000</v>
      </c>
      <c r="DV35" s="19">
        <v>2000000</v>
      </c>
      <c r="DW35" s="19">
        <v>100000000</v>
      </c>
      <c r="DX35" s="19">
        <v>135995000</v>
      </c>
      <c r="DY35" s="19">
        <v>60000000</v>
      </c>
      <c r="DZ35" s="19">
        <v>200000000</v>
      </c>
      <c r="EA35" s="19">
        <v>5000000</v>
      </c>
      <c r="EB35" s="19">
        <v>350000000</v>
      </c>
      <c r="EC35" s="19">
        <v>30000000</v>
      </c>
      <c r="ED35" s="19">
        <v>1000000</v>
      </c>
      <c r="EE35" s="19">
        <v>50000000</v>
      </c>
      <c r="EF35" s="19">
        <v>500000000</v>
      </c>
      <c r="EG35" s="19">
        <v>30159900</v>
      </c>
      <c r="EH35" s="19">
        <v>300000000</v>
      </c>
      <c r="EI35" s="19">
        <v>2280294200</v>
      </c>
      <c r="EJ35" s="19">
        <v>33800000</v>
      </c>
      <c r="EK35" s="19">
        <v>834375000</v>
      </c>
      <c r="EL35" s="19">
        <v>390962457</v>
      </c>
      <c r="EM35" s="19">
        <v>12500000</v>
      </c>
      <c r="EN35" s="19">
        <v>50000000</v>
      </c>
      <c r="EO35" s="19">
        <v>50000000</v>
      </c>
      <c r="EP35" s="19">
        <v>856244992</v>
      </c>
      <c r="EQ35" s="19">
        <v>10000000</v>
      </c>
      <c r="ER35" s="19">
        <v>1280270500</v>
      </c>
      <c r="ES35" s="19">
        <v>1000000000</v>
      </c>
      <c r="ET35" s="19">
        <v>287793800</v>
      </c>
      <c r="EU35" s="19">
        <v>100009000</v>
      </c>
      <c r="EV35" s="19">
        <v>40000000</v>
      </c>
      <c r="EW35" s="19">
        <v>90000000</v>
      </c>
      <c r="EX35" s="19">
        <v>100000000</v>
      </c>
      <c r="EY35" s="19">
        <v>120000000</v>
      </c>
      <c r="EZ35" s="19">
        <v>581495093</v>
      </c>
      <c r="FA35" s="19">
        <v>75000000</v>
      </c>
      <c r="FB35" s="19">
        <v>48120000</v>
      </c>
      <c r="FC35" s="19">
        <v>108360000</v>
      </c>
      <c r="FD35" s="19">
        <v>1000000</v>
      </c>
      <c r="FE35" s="19">
        <v>100000000</v>
      </c>
      <c r="FF35" s="19">
        <v>8000000</v>
      </c>
      <c r="FG35" s="19" t="s">
        <v>172</v>
      </c>
      <c r="FH35" s="19">
        <v>55555500</v>
      </c>
      <c r="FI35" s="19" t="s">
        <v>172</v>
      </c>
      <c r="FJ35" s="19">
        <v>50000000</v>
      </c>
      <c r="FK35" s="19">
        <v>111000000</v>
      </c>
      <c r="FL35" s="19">
        <v>14211900</v>
      </c>
      <c r="FM35" s="19">
        <v>91091000</v>
      </c>
      <c r="FN35" s="19">
        <v>549772000</v>
      </c>
      <c r="FO35" s="56" t="s">
        <v>172</v>
      </c>
      <c r="FP35" s="19">
        <v>23165000</v>
      </c>
      <c r="FQ35" s="19">
        <v>100300000</v>
      </c>
      <c r="FR35" s="19">
        <v>25588000</v>
      </c>
      <c r="FS35" s="19">
        <v>34600000</v>
      </c>
      <c r="FT35" s="19">
        <v>192216700</v>
      </c>
      <c r="FU35" s="19">
        <v>1000000</v>
      </c>
      <c r="FV35" s="19" t="s">
        <v>172</v>
      </c>
      <c r="FW35" s="19">
        <v>50000000</v>
      </c>
      <c r="FX35" s="19">
        <v>11600000</v>
      </c>
      <c r="FY35" s="19" t="s">
        <v>172</v>
      </c>
      <c r="FZ35" s="19" t="s">
        <v>175</v>
      </c>
      <c r="GA35" s="19">
        <v>130073000</v>
      </c>
      <c r="GB35" s="19">
        <v>94250000</v>
      </c>
      <c r="GC35" s="19">
        <v>10000000</v>
      </c>
      <c r="GD35" s="19" t="s">
        <v>172</v>
      </c>
      <c r="GE35" s="19" t="s">
        <v>172</v>
      </c>
      <c r="GF35" s="19">
        <v>25240000</v>
      </c>
      <c r="GG35" s="19">
        <v>617381500</v>
      </c>
      <c r="GH35" s="19" t="s">
        <v>172</v>
      </c>
      <c r="GI35" s="19">
        <v>50000000</v>
      </c>
      <c r="GJ35" s="19" t="s">
        <v>172</v>
      </c>
      <c r="GK35" s="19">
        <v>195000000</v>
      </c>
      <c r="GL35" s="19" t="s">
        <v>172</v>
      </c>
      <c r="GM35" s="19">
        <v>65100000</v>
      </c>
      <c r="GN35" s="19">
        <v>100000000</v>
      </c>
      <c r="GO35" s="19" t="s">
        <v>172</v>
      </c>
      <c r="GP35" s="19">
        <v>263635000</v>
      </c>
      <c r="GQ35" s="19">
        <v>1122200</v>
      </c>
      <c r="GR35" s="19">
        <v>12850000</v>
      </c>
      <c r="GS35" s="19">
        <v>40581000</v>
      </c>
      <c r="GT35" s="19">
        <v>17857200</v>
      </c>
      <c r="GU35" s="19">
        <v>73180000</v>
      </c>
      <c r="GV35" s="19">
        <v>206634300</v>
      </c>
      <c r="GW35" s="19">
        <v>319482000</v>
      </c>
      <c r="GX35" s="19">
        <v>280000000</v>
      </c>
      <c r="GY35" s="19">
        <v>578360000</v>
      </c>
      <c r="GZ35" s="19">
        <v>10000000</v>
      </c>
      <c r="HA35" s="19" t="s">
        <v>172</v>
      </c>
      <c r="HB35" s="19">
        <v>1110000</v>
      </c>
      <c r="HC35" s="19">
        <v>283480000</v>
      </c>
      <c r="HD35" s="19">
        <v>300000000</v>
      </c>
      <c r="HE35" s="19" t="s">
        <v>172</v>
      </c>
      <c r="HF35" s="19">
        <v>50000000</v>
      </c>
      <c r="HG35" s="19">
        <v>50000000</v>
      </c>
      <c r="HH35" s="19" t="s">
        <v>172</v>
      </c>
      <c r="HI35" s="19">
        <v>898440000</v>
      </c>
      <c r="HJ35" s="19" t="s">
        <v>172</v>
      </c>
      <c r="HK35" s="19">
        <v>56725000</v>
      </c>
      <c r="HL35" s="19">
        <v>115682403</v>
      </c>
      <c r="HM35" s="19">
        <v>100000000</v>
      </c>
      <c r="HN35" s="19">
        <v>800000000</v>
      </c>
      <c r="HO35" s="19">
        <v>265000000</v>
      </c>
      <c r="HP35" s="19">
        <v>17500000</v>
      </c>
      <c r="HQ35" s="19">
        <v>20000000</v>
      </c>
      <c r="HR35" s="19">
        <v>300000000</v>
      </c>
      <c r="HS35" s="19">
        <v>127986500</v>
      </c>
      <c r="HT35" s="19">
        <v>143000000</v>
      </c>
      <c r="HU35" s="19">
        <v>119015000</v>
      </c>
      <c r="HV35" s="19">
        <v>5700000</v>
      </c>
      <c r="HW35" s="19" t="s">
        <v>172</v>
      </c>
      <c r="HX35" s="19">
        <v>300000000</v>
      </c>
      <c r="HY35" s="19" t="s">
        <v>172</v>
      </c>
      <c r="HZ35" s="19">
        <v>4871242108</v>
      </c>
      <c r="IA35" s="19">
        <v>634103852</v>
      </c>
      <c r="IB35" s="19">
        <v>131085500</v>
      </c>
      <c r="IC35" s="19">
        <v>100000000</v>
      </c>
      <c r="ID35" s="19">
        <v>130000</v>
      </c>
      <c r="IE35" s="19" t="s">
        <v>172</v>
      </c>
      <c r="IF35" s="19">
        <v>17600000</v>
      </c>
      <c r="IG35" s="19">
        <v>50000000</v>
      </c>
      <c r="IH35" s="19">
        <v>31725000</v>
      </c>
      <c r="II35" s="19">
        <v>220000000</v>
      </c>
      <c r="IJ35" s="19">
        <v>207064500</v>
      </c>
      <c r="IK35" s="19">
        <v>32000000</v>
      </c>
      <c r="IL35" s="19">
        <v>70000000</v>
      </c>
      <c r="IM35" s="19">
        <v>68909000</v>
      </c>
      <c r="IN35" s="19">
        <v>212116300</v>
      </c>
      <c r="IO35" s="19">
        <v>1000000</v>
      </c>
      <c r="IP35" s="19"/>
      <c r="IQ35" s="19">
        <v>21400000</v>
      </c>
      <c r="IR35" s="19">
        <v>300000000</v>
      </c>
      <c r="IS35" s="19">
        <v>1899250000</v>
      </c>
      <c r="IT35" s="19">
        <v>100000000</v>
      </c>
      <c r="IU35" s="19">
        <v>12900000</v>
      </c>
      <c r="IV35" s="19">
        <v>78510000</v>
      </c>
      <c r="IW35" s="19">
        <v>50000000</v>
      </c>
      <c r="IX35" s="19">
        <v>70350000</v>
      </c>
      <c r="IY35" s="19">
        <v>12270000</v>
      </c>
      <c r="IZ35" s="19">
        <v>122000000</v>
      </c>
      <c r="JA35" s="19">
        <v>5555000</v>
      </c>
      <c r="JB35" s="19">
        <v>23157900</v>
      </c>
      <c r="JC35" s="19">
        <v>200000000</v>
      </c>
      <c r="JD35" s="19">
        <v>50000000</v>
      </c>
      <c r="JE35" s="19">
        <v>1000000</v>
      </c>
      <c r="JF35" s="19">
        <v>50000000</v>
      </c>
      <c r="JG35" s="19">
        <v>30000000</v>
      </c>
      <c r="JH35" s="19">
        <v>120000000</v>
      </c>
      <c r="JI35" s="19">
        <v>100000000</v>
      </c>
      <c r="JJ35" s="19">
        <v>200000000</v>
      </c>
      <c r="JK35" s="19">
        <v>30000000</v>
      </c>
      <c r="JL35" s="19">
        <v>995687850</v>
      </c>
      <c r="JM35" s="19">
        <v>80000000</v>
      </c>
      <c r="JN35" s="19">
        <v>300000000</v>
      </c>
      <c r="JO35" s="19">
        <v>30000000</v>
      </c>
      <c r="JP35" s="19">
        <v>30000000</v>
      </c>
      <c r="JQ35" s="19" t="s">
        <v>175</v>
      </c>
      <c r="JR35" s="19">
        <v>53795000</v>
      </c>
      <c r="JS35" s="19"/>
      <c r="JT35" s="19">
        <v>2000000</v>
      </c>
      <c r="JU35" s="19">
        <v>60000000</v>
      </c>
      <c r="JV35" s="19">
        <v>525880000</v>
      </c>
      <c r="JW35" s="19">
        <v>69800000</v>
      </c>
      <c r="JX35" s="19">
        <v>302670000</v>
      </c>
      <c r="JY35" s="19">
        <v>332759164</v>
      </c>
      <c r="JZ35" s="19">
        <v>2000000</v>
      </c>
      <c r="KA35" s="19">
        <v>10000000</v>
      </c>
      <c r="KB35" s="19">
        <v>350000000</v>
      </c>
      <c r="KC35" s="19">
        <v>13371000</v>
      </c>
      <c r="KD35" s="19">
        <v>100000000</v>
      </c>
      <c r="KE35" s="19">
        <v>40000000</v>
      </c>
      <c r="KF35" s="19">
        <v>85254000</v>
      </c>
      <c r="KG35" s="19">
        <v>100000000</v>
      </c>
      <c r="KH35" s="19">
        <v>203000000</v>
      </c>
      <c r="KI35" s="19">
        <v>370470310</v>
      </c>
      <c r="KJ35" s="19">
        <v>130000000</v>
      </c>
      <c r="KK35" s="19">
        <v>37380000</v>
      </c>
      <c r="KL35" s="19">
        <v>5726765000</v>
      </c>
      <c r="KM35" s="19">
        <v>76500000</v>
      </c>
      <c r="KN35" s="19">
        <v>136501500</v>
      </c>
      <c r="KO35" s="19">
        <v>225145000</v>
      </c>
      <c r="KP35" s="19">
        <v>111577700</v>
      </c>
      <c r="KQ35" s="19">
        <v>30000000</v>
      </c>
      <c r="KR35" s="19">
        <v>320000000</v>
      </c>
      <c r="KS35" s="19">
        <v>50000000</v>
      </c>
      <c r="KT35" s="19">
        <v>80000000</v>
      </c>
      <c r="KU35" s="19">
        <v>377256000</v>
      </c>
      <c r="KV35" s="19">
        <v>5000000</v>
      </c>
      <c r="KW35" s="19">
        <v>223000000</v>
      </c>
      <c r="KX35" s="19">
        <v>15000000</v>
      </c>
      <c r="KY35" s="19">
        <v>200000000</v>
      </c>
      <c r="KZ35" s="58">
        <v>600000000</v>
      </c>
      <c r="LA35" s="74">
        <v>100000000</v>
      </c>
      <c r="LB35" s="74"/>
    </row>
    <row r="36" spans="1:314">
      <c r="A36" s="7" t="s">
        <v>100</v>
      </c>
      <c r="B36" s="8" t="s">
        <v>11</v>
      </c>
      <c r="C36" s="19"/>
      <c r="D36" s="19"/>
      <c r="E36" s="19"/>
      <c r="F36" s="19"/>
      <c r="G36" s="19" t="s">
        <v>130</v>
      </c>
      <c r="H36" s="19"/>
      <c r="I36" s="19"/>
      <c r="J36" s="19" t="s">
        <v>176</v>
      </c>
      <c r="K36" s="19"/>
      <c r="L36" s="19" t="s">
        <v>96</v>
      </c>
      <c r="M36" s="19" t="s">
        <v>96</v>
      </c>
      <c r="N36" s="19"/>
      <c r="O36" s="19"/>
      <c r="P36" s="19"/>
      <c r="Q36" s="19"/>
      <c r="R36" s="19"/>
      <c r="S36" s="19">
        <v>522089148</v>
      </c>
      <c r="T36" s="19" t="s">
        <v>96</v>
      </c>
      <c r="U36" s="19" t="s">
        <v>96</v>
      </c>
      <c r="V36" s="19" t="s">
        <v>172</v>
      </c>
      <c r="W36" s="19">
        <v>354830100</v>
      </c>
      <c r="X36" s="19"/>
      <c r="Y36" s="19">
        <v>153650000</v>
      </c>
      <c r="Z36" s="19"/>
      <c r="AA36" s="19"/>
      <c r="AB36" s="19"/>
      <c r="AC36" s="19">
        <v>100000000</v>
      </c>
      <c r="AD36" s="19"/>
      <c r="AE36" s="19"/>
      <c r="AF36" s="56" t="s">
        <v>172</v>
      </c>
      <c r="AG36" s="19">
        <v>167006000</v>
      </c>
      <c r="AH36" s="19" t="s">
        <v>167</v>
      </c>
      <c r="AI36" s="19">
        <v>350082000</v>
      </c>
      <c r="AJ36" s="19"/>
      <c r="AK36" s="19"/>
      <c r="AL36" s="19">
        <v>990000000</v>
      </c>
      <c r="AM36" s="19" t="s">
        <v>4</v>
      </c>
      <c r="AN36" s="19"/>
      <c r="AO36" s="19">
        <v>2525278740</v>
      </c>
      <c r="AP36" s="19"/>
      <c r="AQ36" s="19" t="s">
        <v>172</v>
      </c>
      <c r="AR36" s="19">
        <v>1290000000</v>
      </c>
      <c r="AS36" s="19"/>
      <c r="AT36" s="19" t="s">
        <v>172</v>
      </c>
      <c r="AU36" s="19"/>
      <c r="AV36" s="19"/>
      <c r="AW36" s="19"/>
      <c r="AX36" s="19" t="s">
        <v>4</v>
      </c>
      <c r="AY36" s="19"/>
      <c r="AZ36" s="19">
        <v>23050000</v>
      </c>
      <c r="BA36" s="19" t="s">
        <v>167</v>
      </c>
      <c r="BB36" s="19">
        <v>95000000</v>
      </c>
      <c r="BC36" s="19" t="s">
        <v>4</v>
      </c>
      <c r="BD36" s="19" t="s">
        <v>172</v>
      </c>
      <c r="BE36" s="19">
        <v>269929256</v>
      </c>
      <c r="BF36" s="19" t="s">
        <v>96</v>
      </c>
      <c r="BG36" s="19"/>
      <c r="BH36" s="19"/>
      <c r="BI36" s="19"/>
      <c r="BJ36" s="19"/>
      <c r="BK36" s="19">
        <v>1143015929</v>
      </c>
      <c r="BL36" s="19"/>
      <c r="BM36" s="19"/>
      <c r="BN36" s="19"/>
      <c r="BO36" s="19" t="s">
        <v>96</v>
      </c>
      <c r="BP36" s="19" t="s">
        <v>96</v>
      </c>
      <c r="BQ36" s="19" t="s">
        <v>175</v>
      </c>
      <c r="BR36" s="19">
        <v>39981396</v>
      </c>
      <c r="BS36" s="19" t="s">
        <v>172</v>
      </c>
      <c r="BT36" s="19"/>
      <c r="BU36" s="19"/>
      <c r="BV36" s="19"/>
      <c r="BW36" s="19"/>
      <c r="BX36" s="19"/>
      <c r="BY36" s="19">
        <v>370898253</v>
      </c>
      <c r="BZ36" s="19"/>
      <c r="CA36" s="19">
        <v>1098285760</v>
      </c>
      <c r="CB36" s="19"/>
      <c r="CC36" s="19"/>
      <c r="CD36" s="19">
        <v>43419518</v>
      </c>
      <c r="CE36" s="19" t="s">
        <v>172</v>
      </c>
      <c r="CF36" s="19">
        <v>491540642</v>
      </c>
      <c r="CG36" s="19"/>
      <c r="CH36" s="19"/>
      <c r="CI36" s="19" t="s">
        <v>172</v>
      </c>
      <c r="CJ36" s="19"/>
      <c r="CK36" s="19"/>
      <c r="CL36" s="19"/>
      <c r="CM36" s="19"/>
      <c r="CN36" s="19"/>
      <c r="CO36" s="19"/>
      <c r="CP36" s="19"/>
      <c r="CQ36" s="19" t="s">
        <v>96</v>
      </c>
      <c r="CR36" s="19"/>
      <c r="CS36" s="56" t="s">
        <v>172</v>
      </c>
      <c r="CT36" s="19">
        <v>39953025426</v>
      </c>
      <c r="CU36" s="19"/>
      <c r="CV36" s="19"/>
      <c r="CW36" s="19"/>
      <c r="CX36" s="19">
        <v>9816856430</v>
      </c>
      <c r="CY36" s="19" t="s">
        <v>96</v>
      </c>
      <c r="CZ36" s="19"/>
      <c r="DA36" s="19" t="s">
        <v>175</v>
      </c>
      <c r="DB36" s="19"/>
      <c r="DC36" s="19">
        <v>9870000</v>
      </c>
      <c r="DD36" s="19"/>
      <c r="DE36" s="19"/>
      <c r="DF36" s="19"/>
      <c r="DG36" s="19"/>
      <c r="DH36" s="19">
        <v>170619720</v>
      </c>
      <c r="DI36" s="19"/>
      <c r="DJ36" s="19"/>
      <c r="DK36" s="19"/>
      <c r="DL36" s="19">
        <v>84776900</v>
      </c>
      <c r="DM36" s="19"/>
      <c r="DN36" s="19"/>
      <c r="DO36" s="19"/>
      <c r="DP36" s="19"/>
      <c r="DQ36" s="19"/>
      <c r="DR36" s="19">
        <v>1489138280</v>
      </c>
      <c r="DS36" s="19"/>
      <c r="DT36" s="19"/>
      <c r="DU36" s="19"/>
      <c r="DV36" s="19">
        <v>2657744934</v>
      </c>
      <c r="DW36" s="19"/>
      <c r="DX36" s="19">
        <v>6469978320</v>
      </c>
      <c r="DY36" s="19"/>
      <c r="DZ36" s="19"/>
      <c r="EA36" s="19"/>
      <c r="EB36" s="19"/>
      <c r="EC36" s="19"/>
      <c r="ED36" s="19"/>
      <c r="EE36" s="19"/>
      <c r="EF36" s="19"/>
      <c r="EG36" s="19">
        <v>29139014209</v>
      </c>
      <c r="EH36" s="19"/>
      <c r="EI36" s="19">
        <v>28652887730</v>
      </c>
      <c r="EJ36" s="19"/>
      <c r="EK36" s="19">
        <v>6325956110</v>
      </c>
      <c r="EL36" s="19"/>
      <c r="EM36" s="19"/>
      <c r="EN36" s="19"/>
      <c r="EO36" s="19"/>
      <c r="EP36" s="19"/>
      <c r="EQ36" s="19"/>
      <c r="ER36" s="19"/>
      <c r="ES36" s="19"/>
      <c r="ET36" s="19">
        <v>24409882870</v>
      </c>
      <c r="EU36" s="19">
        <v>1339996500</v>
      </c>
      <c r="EV36" s="19"/>
      <c r="EW36" s="19"/>
      <c r="EX36" s="19"/>
      <c r="EY36" s="19"/>
      <c r="EZ36" s="19"/>
      <c r="FA36" s="19"/>
      <c r="FB36" s="19"/>
      <c r="FC36" s="19"/>
      <c r="FD36" s="19"/>
      <c r="FE36" s="19"/>
      <c r="FF36" s="19"/>
      <c r="FG36" s="19" t="s">
        <v>172</v>
      </c>
      <c r="FH36" s="19">
        <v>494439500</v>
      </c>
      <c r="FI36" s="19" t="s">
        <v>172</v>
      </c>
      <c r="FJ36" s="19"/>
      <c r="FK36" s="19"/>
      <c r="FL36" s="19">
        <v>895776172</v>
      </c>
      <c r="FM36" s="19">
        <v>1107834852</v>
      </c>
      <c r="FN36" s="19">
        <v>12119003961</v>
      </c>
      <c r="FO36" s="56" t="s">
        <v>172</v>
      </c>
      <c r="FP36" s="19">
        <v>38850630</v>
      </c>
      <c r="FQ36" s="19">
        <v>28527000</v>
      </c>
      <c r="FR36" s="19">
        <v>199332000</v>
      </c>
      <c r="FS36" s="19"/>
      <c r="FT36" s="19">
        <v>9679439958</v>
      </c>
      <c r="FU36" s="19"/>
      <c r="FV36" s="19" t="s">
        <v>172</v>
      </c>
      <c r="FW36" s="19"/>
      <c r="FX36" s="19">
        <v>122756004</v>
      </c>
      <c r="FY36" s="19" t="s">
        <v>172</v>
      </c>
      <c r="FZ36" s="19" t="s">
        <v>175</v>
      </c>
      <c r="GA36" s="19">
        <v>3175709231</v>
      </c>
      <c r="GB36" s="19">
        <v>288470000</v>
      </c>
      <c r="GC36" s="19"/>
      <c r="GD36" s="19" t="s">
        <v>172</v>
      </c>
      <c r="GE36" s="19" t="s">
        <v>172</v>
      </c>
      <c r="GF36" s="19">
        <v>758560000</v>
      </c>
      <c r="GG36" s="19">
        <v>6352274310</v>
      </c>
      <c r="GH36" s="19" t="s">
        <v>172</v>
      </c>
      <c r="GI36" s="19"/>
      <c r="GJ36" s="19" t="s">
        <v>172</v>
      </c>
      <c r="GK36" s="19">
        <v>95000000</v>
      </c>
      <c r="GL36" s="19" t="s">
        <v>172</v>
      </c>
      <c r="GM36" s="19"/>
      <c r="GN36" s="19"/>
      <c r="GO36" s="19" t="s">
        <v>172</v>
      </c>
      <c r="GP36" s="19">
        <v>136322730</v>
      </c>
      <c r="GQ36" s="19">
        <v>299823810</v>
      </c>
      <c r="GR36" s="19">
        <v>901470857</v>
      </c>
      <c r="GS36" s="19">
        <v>1109558203</v>
      </c>
      <c r="GT36" s="19">
        <v>19646000</v>
      </c>
      <c r="GU36" s="19"/>
      <c r="GV36" s="19">
        <v>119570000</v>
      </c>
      <c r="GW36" s="19">
        <v>41414018188</v>
      </c>
      <c r="GX36" s="19"/>
      <c r="GY36" s="19">
        <v>2891466612</v>
      </c>
      <c r="GZ36" s="19"/>
      <c r="HA36" s="19" t="s">
        <v>172</v>
      </c>
      <c r="HB36" s="19"/>
      <c r="HC36" s="19">
        <v>666343520</v>
      </c>
      <c r="HD36" s="19"/>
      <c r="HE36" s="19" t="s">
        <v>172</v>
      </c>
      <c r="HF36" s="19"/>
      <c r="HG36" s="19"/>
      <c r="HH36" s="19" t="s">
        <v>172</v>
      </c>
      <c r="HI36" s="19">
        <v>5848954301</v>
      </c>
      <c r="HJ36" s="19" t="s">
        <v>172</v>
      </c>
      <c r="HK36" s="19">
        <v>5462605248</v>
      </c>
      <c r="HL36" s="19"/>
      <c r="HM36" s="19"/>
      <c r="HN36" s="19"/>
      <c r="HO36" s="19"/>
      <c r="HP36" s="19"/>
      <c r="HQ36" s="19"/>
      <c r="HR36" s="19"/>
      <c r="HS36" s="19">
        <v>99986500</v>
      </c>
      <c r="HT36" s="19"/>
      <c r="HU36" s="19">
        <v>8854774195</v>
      </c>
      <c r="HV36" s="19"/>
      <c r="HW36" s="19" t="s">
        <v>172</v>
      </c>
      <c r="HX36" s="19">
        <v>282743904</v>
      </c>
      <c r="HY36" s="19" t="s">
        <v>172</v>
      </c>
      <c r="HZ36" s="19"/>
      <c r="IA36" s="19"/>
      <c r="IB36" s="19">
        <v>1145452196</v>
      </c>
      <c r="IC36" s="19"/>
      <c r="ID36" s="19"/>
      <c r="IE36" s="19" t="s">
        <v>172</v>
      </c>
      <c r="IF36" s="19"/>
      <c r="IG36" s="19"/>
      <c r="IH36" s="19">
        <v>87356800</v>
      </c>
      <c r="II36" s="19"/>
      <c r="IJ36" s="19">
        <v>325174612</v>
      </c>
      <c r="IK36" s="19"/>
      <c r="IL36" s="19"/>
      <c r="IM36" s="19">
        <v>3336295501</v>
      </c>
      <c r="IN36" s="19">
        <v>5373567962</v>
      </c>
      <c r="IO36" s="19"/>
      <c r="IP36" s="19"/>
      <c r="IQ36" s="19">
        <v>37500000</v>
      </c>
      <c r="IR36" s="19"/>
      <c r="IS36" s="19"/>
      <c r="IT36" s="19"/>
      <c r="IU36" s="19">
        <v>638602735</v>
      </c>
      <c r="IV36" s="19"/>
      <c r="IW36" s="19"/>
      <c r="IX36" s="19"/>
      <c r="IY36" s="19">
        <v>2547329760</v>
      </c>
      <c r="IZ36" s="19">
        <v>18000000</v>
      </c>
      <c r="JA36" s="19">
        <v>1006808760</v>
      </c>
      <c r="JB36" s="19">
        <v>346842411</v>
      </c>
      <c r="JC36" s="19"/>
      <c r="JD36" s="19"/>
      <c r="JE36" s="19"/>
      <c r="JF36" s="19"/>
      <c r="JG36" s="19"/>
      <c r="JH36" s="19"/>
      <c r="JI36" s="19"/>
      <c r="JJ36" s="19"/>
      <c r="JK36" s="19"/>
      <c r="JL36" s="19"/>
      <c r="JM36" s="19"/>
      <c r="JN36" s="19">
        <v>447016000</v>
      </c>
      <c r="JO36" s="19"/>
      <c r="JP36" s="19"/>
      <c r="JQ36" s="19" t="s">
        <v>175</v>
      </c>
      <c r="JR36" s="19">
        <v>461826298</v>
      </c>
      <c r="JS36" s="19"/>
      <c r="JT36" s="19"/>
      <c r="JU36" s="19">
        <v>20000000</v>
      </c>
      <c r="JV36" s="19"/>
      <c r="JW36" s="19"/>
      <c r="JX36" s="19"/>
      <c r="JY36" s="19">
        <v>195855871</v>
      </c>
      <c r="JZ36" s="19"/>
      <c r="KA36" s="19"/>
      <c r="KB36" s="19"/>
      <c r="KC36" s="19">
        <v>417148500</v>
      </c>
      <c r="KD36" s="19"/>
      <c r="KE36" s="19"/>
      <c r="KF36" s="19">
        <v>1842801890</v>
      </c>
      <c r="KG36" s="19"/>
      <c r="KH36" s="19">
        <v>26762520</v>
      </c>
      <c r="KI36" s="19">
        <v>0</v>
      </c>
      <c r="KJ36" s="19">
        <v>0</v>
      </c>
      <c r="KK36" s="19">
        <v>4511624160</v>
      </c>
      <c r="KL36" s="19">
        <v>50965927074</v>
      </c>
      <c r="KM36" s="19"/>
      <c r="KN36" s="19">
        <v>6558447850</v>
      </c>
      <c r="KO36" s="19">
        <v>2729903989</v>
      </c>
      <c r="KP36" s="19">
        <v>0</v>
      </c>
      <c r="KQ36" s="19">
        <v>0</v>
      </c>
      <c r="KR36" s="19">
        <v>0</v>
      </c>
      <c r="KS36" s="19">
        <v>0</v>
      </c>
      <c r="KT36" s="19"/>
      <c r="KU36" s="19">
        <v>2116247370</v>
      </c>
      <c r="KV36" s="19">
        <v>0</v>
      </c>
      <c r="KW36" s="19">
        <v>0</v>
      </c>
      <c r="KX36" s="19">
        <v>0</v>
      </c>
      <c r="KY36" s="19">
        <v>0</v>
      </c>
      <c r="KZ36" s="58">
        <v>0</v>
      </c>
      <c r="LA36" s="74">
        <v>0</v>
      </c>
      <c r="LB36" s="74"/>
    </row>
    <row r="37" spans="1:314">
      <c r="A37" s="7" t="s">
        <v>100</v>
      </c>
      <c r="B37" s="8" t="s">
        <v>31</v>
      </c>
      <c r="C37" s="19"/>
      <c r="D37" s="19"/>
      <c r="E37" s="19"/>
      <c r="F37" s="19"/>
      <c r="G37" s="19" t="s">
        <v>130</v>
      </c>
      <c r="H37" s="19"/>
      <c r="I37" s="19">
        <v>-4415707</v>
      </c>
      <c r="J37" s="19" t="s">
        <v>176</v>
      </c>
      <c r="K37" s="19"/>
      <c r="L37" s="19" t="s">
        <v>96</v>
      </c>
      <c r="M37" s="19" t="s">
        <v>96</v>
      </c>
      <c r="N37" s="19"/>
      <c r="O37" s="19"/>
      <c r="P37" s="19"/>
      <c r="Q37" s="19"/>
      <c r="R37" s="19"/>
      <c r="S37" s="19"/>
      <c r="T37" s="19" t="s">
        <v>96</v>
      </c>
      <c r="U37" s="19" t="s">
        <v>96</v>
      </c>
      <c r="V37" s="19" t="s">
        <v>172</v>
      </c>
      <c r="W37" s="19"/>
      <c r="X37" s="19"/>
      <c r="Y37" s="19"/>
      <c r="Z37" s="19">
        <v>-1961000</v>
      </c>
      <c r="AA37" s="19"/>
      <c r="AB37" s="19"/>
      <c r="AC37" s="19"/>
      <c r="AD37" s="19">
        <v>-816900</v>
      </c>
      <c r="AE37" s="19"/>
      <c r="AF37" s="56" t="s">
        <v>172</v>
      </c>
      <c r="AG37" s="19"/>
      <c r="AH37" s="19" t="s">
        <v>167</v>
      </c>
      <c r="AI37" s="19"/>
      <c r="AJ37" s="19"/>
      <c r="AK37" s="19"/>
      <c r="AL37" s="19"/>
      <c r="AM37" s="19" t="s">
        <v>4</v>
      </c>
      <c r="AN37" s="19"/>
      <c r="AO37" s="19"/>
      <c r="AP37" s="19"/>
      <c r="AQ37" s="19" t="s">
        <v>172</v>
      </c>
      <c r="AR37" s="19"/>
      <c r="AS37" s="19"/>
      <c r="AT37" s="19" t="s">
        <v>172</v>
      </c>
      <c r="AU37" s="19">
        <v>-10540980</v>
      </c>
      <c r="AV37" s="19"/>
      <c r="AW37" s="19"/>
      <c r="AX37" s="19" t="s">
        <v>4</v>
      </c>
      <c r="AY37" s="19"/>
      <c r="AZ37" s="19"/>
      <c r="BA37" s="19" t="s">
        <v>167</v>
      </c>
      <c r="BB37" s="19"/>
      <c r="BC37" s="19" t="s">
        <v>4</v>
      </c>
      <c r="BD37" s="19" t="s">
        <v>172</v>
      </c>
      <c r="BE37" s="19"/>
      <c r="BF37" s="19" t="s">
        <v>96</v>
      </c>
      <c r="BG37" s="19"/>
      <c r="BH37" s="19"/>
      <c r="BI37" s="19">
        <v>-99999000</v>
      </c>
      <c r="BJ37" s="19"/>
      <c r="BK37" s="19"/>
      <c r="BL37" s="19">
        <v>-776240</v>
      </c>
      <c r="BM37" s="19"/>
      <c r="BN37" s="19"/>
      <c r="BO37" s="19" t="s">
        <v>96</v>
      </c>
      <c r="BP37" s="19" t="s">
        <v>96</v>
      </c>
      <c r="BQ37" s="19" t="s">
        <v>175</v>
      </c>
      <c r="BR37" s="19"/>
      <c r="BS37" s="19" t="s">
        <v>172</v>
      </c>
      <c r="BT37" s="19"/>
      <c r="BU37" s="19"/>
      <c r="BV37" s="19"/>
      <c r="BW37" s="19"/>
      <c r="BX37" s="19"/>
      <c r="BY37" s="19"/>
      <c r="BZ37" s="19"/>
      <c r="CA37" s="19"/>
      <c r="CB37" s="19"/>
      <c r="CC37" s="19"/>
      <c r="CD37" s="19"/>
      <c r="CE37" s="19" t="s">
        <v>172</v>
      </c>
      <c r="CF37" s="19"/>
      <c r="CG37" s="19"/>
      <c r="CH37" s="19"/>
      <c r="CI37" s="19" t="s">
        <v>172</v>
      </c>
      <c r="CJ37" s="19"/>
      <c r="CK37" s="19"/>
      <c r="CL37" s="19"/>
      <c r="CM37" s="19"/>
      <c r="CN37" s="19"/>
      <c r="CO37" s="19"/>
      <c r="CP37" s="19">
        <v>-21756240</v>
      </c>
      <c r="CQ37" s="19" t="s">
        <v>96</v>
      </c>
      <c r="CR37" s="19"/>
      <c r="CS37" s="56" t="s">
        <v>172</v>
      </c>
      <c r="CT37" s="19"/>
      <c r="CU37" s="19"/>
      <c r="CV37" s="19">
        <v>-291600</v>
      </c>
      <c r="CW37" s="19"/>
      <c r="CX37" s="19"/>
      <c r="CY37" s="19" t="s">
        <v>96</v>
      </c>
      <c r="CZ37" s="19"/>
      <c r="DA37" s="19" t="s">
        <v>175</v>
      </c>
      <c r="DB37" s="19"/>
      <c r="DC37" s="19"/>
      <c r="DD37" s="19"/>
      <c r="DE37" s="19"/>
      <c r="DF37" s="19"/>
      <c r="DG37" s="19"/>
      <c r="DH37" s="19"/>
      <c r="DI37" s="19">
        <v>-188800000</v>
      </c>
      <c r="DJ37" s="19"/>
      <c r="DK37" s="19"/>
      <c r="DL37" s="19"/>
      <c r="DM37" s="19"/>
      <c r="DN37" s="19"/>
      <c r="DO37" s="19"/>
      <c r="DP37" s="19"/>
      <c r="DQ37" s="19"/>
      <c r="DR37" s="19"/>
      <c r="DS37" s="19"/>
      <c r="DT37" s="19"/>
      <c r="DU37" s="19"/>
      <c r="DV37" s="19"/>
      <c r="DW37" s="19"/>
      <c r="DX37" s="19"/>
      <c r="DY37" s="19"/>
      <c r="DZ37" s="19"/>
      <c r="EA37" s="19"/>
      <c r="EB37" s="19"/>
      <c r="EC37" s="19"/>
      <c r="ED37" s="19"/>
      <c r="EE37" s="19"/>
      <c r="EF37" s="19"/>
      <c r="EG37" s="19"/>
      <c r="EH37" s="19"/>
      <c r="EI37" s="19"/>
      <c r="EJ37" s="19"/>
      <c r="EK37" s="19"/>
      <c r="EL37" s="19"/>
      <c r="EM37" s="19"/>
      <c r="EN37" s="19"/>
      <c r="EO37" s="19"/>
      <c r="EP37" s="19"/>
      <c r="EQ37" s="19"/>
      <c r="ER37" s="19"/>
      <c r="ES37" s="19">
        <v>-8724240</v>
      </c>
      <c r="ET37" s="19"/>
      <c r="EU37" s="19"/>
      <c r="EV37" s="19"/>
      <c r="EW37" s="19"/>
      <c r="EX37" s="19"/>
      <c r="EY37" s="19"/>
      <c r="EZ37" s="19"/>
      <c r="FA37" s="19"/>
      <c r="FB37" s="19"/>
      <c r="FC37" s="19"/>
      <c r="FD37" s="19"/>
      <c r="FE37" s="19">
        <v>-2000000</v>
      </c>
      <c r="FF37" s="19"/>
      <c r="FG37" s="19" t="s">
        <v>172</v>
      </c>
      <c r="FH37" s="19"/>
      <c r="FI37" s="19" t="s">
        <v>172</v>
      </c>
      <c r="FJ37" s="19"/>
      <c r="FK37" s="19"/>
      <c r="FL37" s="19"/>
      <c r="FM37" s="19"/>
      <c r="FN37" s="19"/>
      <c r="FO37" s="56" t="s">
        <v>172</v>
      </c>
      <c r="FP37" s="19">
        <v>-4589351</v>
      </c>
      <c r="FQ37" s="19"/>
      <c r="FR37" s="19"/>
      <c r="FS37" s="19"/>
      <c r="FT37" s="19"/>
      <c r="FU37" s="19"/>
      <c r="FV37" s="19" t="s">
        <v>172</v>
      </c>
      <c r="FW37" s="19"/>
      <c r="FX37" s="19"/>
      <c r="FY37" s="19" t="s">
        <v>172</v>
      </c>
      <c r="FZ37" s="19" t="s">
        <v>175</v>
      </c>
      <c r="GA37" s="19"/>
      <c r="GB37" s="19">
        <v>-2323050</v>
      </c>
      <c r="GC37" s="19"/>
      <c r="GD37" s="19" t="s">
        <v>172</v>
      </c>
      <c r="GE37" s="19" t="s">
        <v>172</v>
      </c>
      <c r="GF37" s="19"/>
      <c r="GG37" s="19"/>
      <c r="GH37" s="19" t="s">
        <v>172</v>
      </c>
      <c r="GI37" s="19"/>
      <c r="GJ37" s="19" t="s">
        <v>172</v>
      </c>
      <c r="GK37" s="19"/>
      <c r="GL37" s="19" t="s">
        <v>172</v>
      </c>
      <c r="GM37" s="19"/>
      <c r="GN37" s="19">
        <v>-1044000</v>
      </c>
      <c r="GO37" s="19" t="s">
        <v>172</v>
      </c>
      <c r="GP37" s="19"/>
      <c r="GQ37" s="19"/>
      <c r="GR37" s="19"/>
      <c r="GS37" s="19"/>
      <c r="GT37" s="19"/>
      <c r="GU37" s="19"/>
      <c r="GV37" s="19">
        <v>-4875000</v>
      </c>
      <c r="GW37" s="19"/>
      <c r="GX37" s="19">
        <v>-1208280</v>
      </c>
      <c r="GY37" s="19"/>
      <c r="GZ37" s="19"/>
      <c r="HA37" s="19" t="s">
        <v>172</v>
      </c>
      <c r="HB37" s="19"/>
      <c r="HC37" s="19"/>
      <c r="HD37" s="19"/>
      <c r="HE37" s="19" t="s">
        <v>172</v>
      </c>
      <c r="HF37" s="19">
        <v>-900000</v>
      </c>
      <c r="HG37" s="19"/>
      <c r="HH37" s="19" t="s">
        <v>172</v>
      </c>
      <c r="HI37" s="19"/>
      <c r="HJ37" s="19" t="s">
        <v>172</v>
      </c>
      <c r="HK37" s="19"/>
      <c r="HL37" s="19"/>
      <c r="HM37" s="19"/>
      <c r="HN37" s="19"/>
      <c r="HO37" s="19"/>
      <c r="HP37" s="19"/>
      <c r="HQ37" s="19"/>
      <c r="HR37" s="19"/>
      <c r="HS37" s="19"/>
      <c r="HT37" s="19"/>
      <c r="HU37" s="19"/>
      <c r="HV37" s="19"/>
      <c r="HW37" s="19" t="s">
        <v>172</v>
      </c>
      <c r="HX37" s="19"/>
      <c r="HY37" s="19" t="s">
        <v>172</v>
      </c>
      <c r="HZ37" s="19"/>
      <c r="IA37" s="19"/>
      <c r="IB37" s="19"/>
      <c r="IC37" s="19">
        <v>-914000</v>
      </c>
      <c r="ID37" s="19"/>
      <c r="IE37" s="19" t="s">
        <v>172</v>
      </c>
      <c r="IF37" s="19"/>
      <c r="IG37" s="19"/>
      <c r="IH37" s="19">
        <v>-30169720</v>
      </c>
      <c r="II37" s="19"/>
      <c r="IJ37" s="19"/>
      <c r="IK37" s="19"/>
      <c r="IL37" s="19"/>
      <c r="IM37" s="19"/>
      <c r="IN37" s="19"/>
      <c r="IO37" s="19"/>
      <c r="IP37" s="19"/>
      <c r="IQ37" s="19"/>
      <c r="IR37" s="19"/>
      <c r="IS37" s="19"/>
      <c r="IT37" s="19"/>
      <c r="IU37" s="19"/>
      <c r="IV37" s="19"/>
      <c r="IW37" s="19"/>
      <c r="IX37" s="19"/>
      <c r="IY37" s="19"/>
      <c r="IZ37" s="19"/>
      <c r="JA37" s="19"/>
      <c r="JB37" s="19">
        <v>-454000</v>
      </c>
      <c r="JC37" s="19"/>
      <c r="JD37" s="19"/>
      <c r="JE37" s="19"/>
      <c r="JF37" s="19"/>
      <c r="JG37" s="19"/>
      <c r="JH37" s="19"/>
      <c r="JI37" s="19"/>
      <c r="JJ37" s="19">
        <v>-1014000</v>
      </c>
      <c r="JK37" s="19"/>
      <c r="JL37" s="19"/>
      <c r="JM37" s="19"/>
      <c r="JN37" s="19">
        <v>40000000</v>
      </c>
      <c r="JO37" s="19"/>
      <c r="JP37" s="19"/>
      <c r="JQ37" s="19" t="s">
        <v>175</v>
      </c>
      <c r="JR37" s="19"/>
      <c r="JS37" s="19"/>
      <c r="JT37" s="19"/>
      <c r="JU37" s="19"/>
      <c r="JV37" s="19"/>
      <c r="JW37" s="19"/>
      <c r="JX37" s="19">
        <v>717077278</v>
      </c>
      <c r="JY37" s="19"/>
      <c r="JZ37" s="19"/>
      <c r="KA37" s="19">
        <v>123081870</v>
      </c>
      <c r="KB37" s="19"/>
      <c r="KC37" s="19"/>
      <c r="KD37" s="19"/>
      <c r="KE37" s="19"/>
      <c r="KF37" s="19"/>
      <c r="KG37" s="19"/>
      <c r="KH37" s="19"/>
      <c r="KI37" s="19">
        <v>0</v>
      </c>
      <c r="KJ37" s="19">
        <v>0</v>
      </c>
      <c r="KK37" s="19">
        <v>0</v>
      </c>
      <c r="KL37" s="19">
        <v>702013529</v>
      </c>
      <c r="KM37" s="19"/>
      <c r="KN37" s="19">
        <v>0</v>
      </c>
      <c r="KO37" s="19">
        <v>0</v>
      </c>
      <c r="KP37" s="19">
        <v>0</v>
      </c>
      <c r="KQ37" s="19">
        <v>0</v>
      </c>
      <c r="KR37" s="19">
        <v>0</v>
      </c>
      <c r="KS37" s="19">
        <v>0</v>
      </c>
      <c r="KT37" s="19"/>
      <c r="KU37" s="19">
        <v>-1000000</v>
      </c>
      <c r="KV37" s="19">
        <v>0</v>
      </c>
      <c r="KW37" s="19">
        <v>0</v>
      </c>
      <c r="KX37" s="19">
        <v>0</v>
      </c>
      <c r="KY37" s="19">
        <v>0</v>
      </c>
      <c r="KZ37" s="58">
        <v>0</v>
      </c>
      <c r="LA37" s="74">
        <v>0</v>
      </c>
      <c r="LB37" s="74"/>
    </row>
    <row r="38" spans="1:314">
      <c r="A38" s="7" t="s">
        <v>100</v>
      </c>
      <c r="B38" s="8" t="s">
        <v>56</v>
      </c>
      <c r="C38" s="19"/>
      <c r="D38" s="19"/>
      <c r="E38" s="19"/>
      <c r="F38" s="19"/>
      <c r="G38" s="19" t="s">
        <v>130</v>
      </c>
      <c r="H38" s="19"/>
      <c r="I38" s="19"/>
      <c r="J38" s="19" t="s">
        <v>176</v>
      </c>
      <c r="K38" s="19"/>
      <c r="L38" s="19" t="s">
        <v>96</v>
      </c>
      <c r="M38" s="19" t="s">
        <v>96</v>
      </c>
      <c r="N38" s="19"/>
      <c r="O38" s="19"/>
      <c r="P38" s="19"/>
      <c r="Q38" s="19"/>
      <c r="R38" s="19"/>
      <c r="S38" s="19"/>
      <c r="T38" s="19" t="s">
        <v>96</v>
      </c>
      <c r="U38" s="19" t="s">
        <v>96</v>
      </c>
      <c r="V38" s="19" t="s">
        <v>172</v>
      </c>
      <c r="W38" s="19"/>
      <c r="X38" s="19"/>
      <c r="Y38" s="19"/>
      <c r="Z38" s="19"/>
      <c r="AA38" s="19"/>
      <c r="AB38" s="19"/>
      <c r="AC38" s="19"/>
      <c r="AD38" s="19"/>
      <c r="AE38" s="19"/>
      <c r="AF38" s="56" t="s">
        <v>172</v>
      </c>
      <c r="AG38" s="19"/>
      <c r="AH38" s="19" t="s">
        <v>167</v>
      </c>
      <c r="AI38" s="19"/>
      <c r="AJ38" s="19"/>
      <c r="AK38" s="19"/>
      <c r="AL38" s="19"/>
      <c r="AM38" s="19" t="s">
        <v>4</v>
      </c>
      <c r="AN38" s="19"/>
      <c r="AO38" s="19"/>
      <c r="AP38" s="19"/>
      <c r="AQ38" s="19" t="s">
        <v>172</v>
      </c>
      <c r="AR38" s="19"/>
      <c r="AS38" s="19"/>
      <c r="AT38" s="19" t="s">
        <v>172</v>
      </c>
      <c r="AU38" s="19"/>
      <c r="AV38" s="19"/>
      <c r="AW38" s="19"/>
      <c r="AX38" s="19" t="s">
        <v>4</v>
      </c>
      <c r="AY38" s="19"/>
      <c r="AZ38" s="19"/>
      <c r="BA38" s="19" t="s">
        <v>167</v>
      </c>
      <c r="BB38" s="19"/>
      <c r="BC38" s="19" t="s">
        <v>4</v>
      </c>
      <c r="BD38" s="19" t="s">
        <v>172</v>
      </c>
      <c r="BE38" s="19"/>
      <c r="BF38" s="19" t="s">
        <v>96</v>
      </c>
      <c r="BG38" s="19"/>
      <c r="BH38" s="19"/>
      <c r="BI38" s="19"/>
      <c r="BJ38" s="19"/>
      <c r="BK38" s="19"/>
      <c r="BL38" s="19"/>
      <c r="BM38" s="19">
        <v>540162</v>
      </c>
      <c r="BN38" s="19"/>
      <c r="BO38" s="19" t="s">
        <v>96</v>
      </c>
      <c r="BP38" s="19" t="s">
        <v>96</v>
      </c>
      <c r="BQ38" s="19" t="s">
        <v>175</v>
      </c>
      <c r="BR38" s="19"/>
      <c r="BS38" s="19" t="s">
        <v>172</v>
      </c>
      <c r="BT38" s="19"/>
      <c r="BU38" s="19"/>
      <c r="BV38" s="19"/>
      <c r="BW38" s="19"/>
      <c r="BX38" s="19"/>
      <c r="BY38" s="19"/>
      <c r="BZ38" s="19"/>
      <c r="CA38" s="19"/>
      <c r="CB38" s="19"/>
      <c r="CC38" s="19"/>
      <c r="CD38" s="19"/>
      <c r="CE38" s="19" t="s">
        <v>172</v>
      </c>
      <c r="CF38" s="19"/>
      <c r="CG38" s="19"/>
      <c r="CH38" s="19"/>
      <c r="CI38" s="19" t="s">
        <v>172</v>
      </c>
      <c r="CJ38" s="19"/>
      <c r="CK38" s="19">
        <v>1601400000</v>
      </c>
      <c r="CL38" s="19"/>
      <c r="CM38" s="19"/>
      <c r="CN38" s="19"/>
      <c r="CO38" s="19"/>
      <c r="CP38" s="19"/>
      <c r="CQ38" s="19" t="s">
        <v>96</v>
      </c>
      <c r="CR38" s="19"/>
      <c r="CS38" s="56" t="s">
        <v>172</v>
      </c>
      <c r="CT38" s="19"/>
      <c r="CU38" s="19">
        <v>-544278</v>
      </c>
      <c r="CV38" s="19"/>
      <c r="CW38" s="19"/>
      <c r="CX38" s="19"/>
      <c r="CY38" s="19" t="s">
        <v>96</v>
      </c>
      <c r="CZ38" s="19"/>
      <c r="DA38" s="19" t="s">
        <v>175</v>
      </c>
      <c r="DB38" s="19"/>
      <c r="DC38" s="19"/>
      <c r="DD38" s="19"/>
      <c r="DE38" s="19"/>
      <c r="DF38" s="19"/>
      <c r="DG38" s="19"/>
      <c r="DH38" s="19"/>
      <c r="DI38" s="19"/>
      <c r="DJ38" s="19"/>
      <c r="DK38" s="19">
        <v>1614238127</v>
      </c>
      <c r="DL38" s="19"/>
      <c r="DM38" s="19"/>
      <c r="DN38" s="19"/>
      <c r="DO38" s="19"/>
      <c r="DP38" s="19"/>
      <c r="DQ38" s="19"/>
      <c r="DR38" s="19"/>
      <c r="DS38" s="19"/>
      <c r="DT38" s="19"/>
      <c r="DU38" s="19"/>
      <c r="DV38" s="19"/>
      <c r="DW38" s="19"/>
      <c r="DX38" s="19"/>
      <c r="DY38" s="19"/>
      <c r="DZ38" s="19"/>
      <c r="EA38" s="19"/>
      <c r="EB38" s="19"/>
      <c r="EC38" s="19"/>
      <c r="ED38" s="19"/>
      <c r="EE38" s="19"/>
      <c r="EF38" s="19"/>
      <c r="EG38" s="19"/>
      <c r="EH38" s="19"/>
      <c r="EI38" s="19"/>
      <c r="EJ38" s="19"/>
      <c r="EK38" s="19"/>
      <c r="EL38" s="19"/>
      <c r="EM38" s="19"/>
      <c r="EN38" s="19"/>
      <c r="EO38" s="19"/>
      <c r="EP38" s="19"/>
      <c r="EQ38" s="19"/>
      <c r="ER38" s="19"/>
      <c r="ES38" s="19"/>
      <c r="ET38" s="19"/>
      <c r="EU38" s="19">
        <v>780000</v>
      </c>
      <c r="EV38" s="19"/>
      <c r="EW38" s="19"/>
      <c r="EX38" s="19"/>
      <c r="EY38" s="19"/>
      <c r="EZ38" s="19"/>
      <c r="FA38" s="19"/>
      <c r="FB38" s="19"/>
      <c r="FC38" s="19"/>
      <c r="FD38" s="19"/>
      <c r="FE38" s="19"/>
      <c r="FF38" s="19"/>
      <c r="FG38" s="19" t="s">
        <v>172</v>
      </c>
      <c r="FH38" s="19"/>
      <c r="FI38" s="19" t="s">
        <v>172</v>
      </c>
      <c r="FJ38" s="19"/>
      <c r="FK38" s="19"/>
      <c r="FL38" s="19"/>
      <c r="FM38" s="19"/>
      <c r="FN38" s="19"/>
      <c r="FO38" s="56" t="s">
        <v>172</v>
      </c>
      <c r="FP38" s="19"/>
      <c r="FQ38" s="19"/>
      <c r="FR38" s="19"/>
      <c r="FS38" s="19"/>
      <c r="FT38" s="19"/>
      <c r="FU38" s="19"/>
      <c r="FV38" s="19" t="s">
        <v>172</v>
      </c>
      <c r="FW38" s="19"/>
      <c r="FX38" s="19"/>
      <c r="FY38" s="19" t="s">
        <v>172</v>
      </c>
      <c r="FZ38" s="19" t="s">
        <v>175</v>
      </c>
      <c r="GA38" s="19"/>
      <c r="GB38" s="19"/>
      <c r="GC38" s="19"/>
      <c r="GD38" s="19" t="s">
        <v>172</v>
      </c>
      <c r="GE38" s="19" t="s">
        <v>172</v>
      </c>
      <c r="GF38" s="19"/>
      <c r="GG38" s="19"/>
      <c r="GH38" s="19" t="s">
        <v>172</v>
      </c>
      <c r="GI38" s="19"/>
      <c r="GJ38" s="19" t="s">
        <v>172</v>
      </c>
      <c r="GK38" s="19"/>
      <c r="GL38" s="19" t="s">
        <v>172</v>
      </c>
      <c r="GM38" s="19"/>
      <c r="GN38" s="19"/>
      <c r="GO38" s="19" t="s">
        <v>172</v>
      </c>
      <c r="GP38" s="19">
        <v>1354954460</v>
      </c>
      <c r="GQ38" s="19"/>
      <c r="GR38" s="19"/>
      <c r="GS38" s="19"/>
      <c r="GT38" s="19"/>
      <c r="GU38" s="19"/>
      <c r="GV38" s="19"/>
      <c r="GW38" s="19"/>
      <c r="GX38" s="19"/>
      <c r="GY38" s="19"/>
      <c r="GZ38" s="19"/>
      <c r="HA38" s="19" t="s">
        <v>172</v>
      </c>
      <c r="HB38" s="19"/>
      <c r="HC38" s="19"/>
      <c r="HD38" s="19"/>
      <c r="HE38" s="19" t="s">
        <v>172</v>
      </c>
      <c r="HF38" s="19"/>
      <c r="HG38" s="19"/>
      <c r="HH38" s="19" t="s">
        <v>172</v>
      </c>
      <c r="HI38" s="19"/>
      <c r="HJ38" s="19" t="s">
        <v>172</v>
      </c>
      <c r="HK38" s="19"/>
      <c r="HL38" s="19"/>
      <c r="HM38" s="19"/>
      <c r="HN38" s="19"/>
      <c r="HO38" s="19"/>
      <c r="HP38" s="19"/>
      <c r="HQ38" s="19"/>
      <c r="HR38" s="19"/>
      <c r="HS38" s="19"/>
      <c r="HT38" s="19"/>
      <c r="HU38" s="19"/>
      <c r="HV38" s="19"/>
      <c r="HW38" s="19" t="s">
        <v>172</v>
      </c>
      <c r="HX38" s="19">
        <v>1034703</v>
      </c>
      <c r="HY38" s="19" t="s">
        <v>172</v>
      </c>
      <c r="HZ38" s="19"/>
      <c r="IA38" s="19"/>
      <c r="IB38" s="19">
        <v>796426250</v>
      </c>
      <c r="IC38" s="19"/>
      <c r="ID38" s="19"/>
      <c r="IE38" s="19" t="s">
        <v>172</v>
      </c>
      <c r="IF38" s="19"/>
      <c r="IG38" s="19"/>
      <c r="IH38" s="19"/>
      <c r="II38" s="19"/>
      <c r="IJ38" s="19"/>
      <c r="IK38" s="19"/>
      <c r="IL38" s="19"/>
      <c r="IM38" s="19"/>
      <c r="IN38" s="19"/>
      <c r="IO38" s="19"/>
      <c r="IP38" s="19"/>
      <c r="IQ38" s="19"/>
      <c r="IR38" s="19"/>
      <c r="IS38" s="19">
        <v>5123365652</v>
      </c>
      <c r="IT38" s="19"/>
      <c r="IU38" s="19"/>
      <c r="IV38" s="19"/>
      <c r="IW38" s="19"/>
      <c r="IX38" s="19"/>
      <c r="IY38" s="19"/>
      <c r="IZ38" s="19"/>
      <c r="JA38" s="19"/>
      <c r="JB38" s="19"/>
      <c r="JC38" s="19"/>
      <c r="JD38" s="19"/>
      <c r="JE38" s="19"/>
      <c r="JF38" s="19"/>
      <c r="JG38" s="19"/>
      <c r="JH38" s="19"/>
      <c r="JI38" s="19"/>
      <c r="JJ38" s="19"/>
      <c r="JK38" s="19"/>
      <c r="JL38" s="19"/>
      <c r="JM38" s="19"/>
      <c r="JN38" s="19"/>
      <c r="JO38" s="19"/>
      <c r="JP38" s="19"/>
      <c r="JQ38" s="19" t="s">
        <v>175</v>
      </c>
      <c r="JR38" s="19"/>
      <c r="JS38" s="19"/>
      <c r="JT38" s="19"/>
      <c r="JU38" s="19"/>
      <c r="JV38" s="19"/>
      <c r="JW38" s="19"/>
      <c r="JX38" s="19"/>
      <c r="JY38" s="19"/>
      <c r="JZ38" s="19"/>
      <c r="KA38" s="19"/>
      <c r="KB38" s="19">
        <v>76056541</v>
      </c>
      <c r="KC38" s="19"/>
      <c r="KD38" s="19"/>
      <c r="KE38" s="19"/>
      <c r="KF38" s="19"/>
      <c r="KG38" s="19"/>
      <c r="KH38" s="19"/>
      <c r="KI38" s="19">
        <v>0</v>
      </c>
      <c r="KJ38" s="19">
        <v>0</v>
      </c>
      <c r="KK38" s="19">
        <v>0</v>
      </c>
      <c r="KL38" s="19">
        <v>4978810</v>
      </c>
      <c r="KM38" s="19"/>
      <c r="KN38" s="19">
        <v>0</v>
      </c>
      <c r="KO38" s="19">
        <v>1285882542</v>
      </c>
      <c r="KP38" s="19">
        <v>0</v>
      </c>
      <c r="KQ38" s="19">
        <v>0</v>
      </c>
      <c r="KR38" s="19">
        <v>0</v>
      </c>
      <c r="KS38" s="19">
        <v>0</v>
      </c>
      <c r="KT38" s="19"/>
      <c r="KU38" s="19">
        <v>0</v>
      </c>
      <c r="KV38" s="19">
        <v>0</v>
      </c>
      <c r="KW38" s="19">
        <v>0</v>
      </c>
      <c r="KX38" s="19">
        <v>0</v>
      </c>
      <c r="KY38" s="19">
        <v>0</v>
      </c>
      <c r="KZ38" s="58">
        <v>0</v>
      </c>
      <c r="LA38" s="74">
        <v>0</v>
      </c>
      <c r="LB38" s="74"/>
    </row>
    <row r="39" spans="1:314">
      <c r="A39" s="7" t="s">
        <v>100</v>
      </c>
      <c r="B39" s="8" t="s">
        <v>82</v>
      </c>
      <c r="C39" s="19">
        <v>192029237</v>
      </c>
      <c r="D39" s="19">
        <v>1463017092</v>
      </c>
      <c r="E39" s="19">
        <v>425838122</v>
      </c>
      <c r="F39" s="19">
        <v>1402055191</v>
      </c>
      <c r="G39" s="19" t="s">
        <v>130</v>
      </c>
      <c r="H39" s="19">
        <v>381971591</v>
      </c>
      <c r="I39" s="19">
        <v>-622610381</v>
      </c>
      <c r="J39" s="19" t="s">
        <v>176</v>
      </c>
      <c r="K39" s="19">
        <v>55913676</v>
      </c>
      <c r="L39" s="19" t="s">
        <v>96</v>
      </c>
      <c r="M39" s="19" t="s">
        <v>96</v>
      </c>
      <c r="N39" s="19">
        <v>-134034246</v>
      </c>
      <c r="O39" s="19">
        <v>-201276512</v>
      </c>
      <c r="P39" s="19">
        <v>-429385172</v>
      </c>
      <c r="Q39" s="19">
        <v>46025948</v>
      </c>
      <c r="R39" s="19">
        <v>-18724435</v>
      </c>
      <c r="S39" s="19">
        <v>934662441</v>
      </c>
      <c r="T39" s="19" t="s">
        <v>96</v>
      </c>
      <c r="U39" s="19" t="s">
        <v>96</v>
      </c>
      <c r="V39" s="19" t="s">
        <v>172</v>
      </c>
      <c r="W39" s="19">
        <v>-862698313</v>
      </c>
      <c r="X39" s="19">
        <v>4102336077</v>
      </c>
      <c r="Y39" s="19">
        <v>-132838885</v>
      </c>
      <c r="Z39" s="19">
        <v>-392531211</v>
      </c>
      <c r="AA39" s="19">
        <v>2016664335</v>
      </c>
      <c r="AB39" s="19">
        <v>67435241</v>
      </c>
      <c r="AC39" s="19">
        <v>1145006669</v>
      </c>
      <c r="AD39" s="19">
        <v>1256546143</v>
      </c>
      <c r="AE39" s="19">
        <v>368782355</v>
      </c>
      <c r="AF39" s="56" t="s">
        <v>172</v>
      </c>
      <c r="AG39" s="19">
        <v>-1525403896</v>
      </c>
      <c r="AH39" s="19" t="s">
        <v>167</v>
      </c>
      <c r="AI39" s="19">
        <v>-874688212</v>
      </c>
      <c r="AJ39" s="19">
        <v>256043120</v>
      </c>
      <c r="AK39" s="19">
        <v>1385454832</v>
      </c>
      <c r="AL39" s="19">
        <v>-75935731</v>
      </c>
      <c r="AM39" s="19" t="s">
        <v>4</v>
      </c>
      <c r="AN39" s="19">
        <v>427031885</v>
      </c>
      <c r="AO39" s="19">
        <v>-2820398530</v>
      </c>
      <c r="AP39" s="19">
        <v>-684824725</v>
      </c>
      <c r="AQ39" s="19" t="s">
        <v>172</v>
      </c>
      <c r="AR39" s="19">
        <v>-2330412934</v>
      </c>
      <c r="AS39" s="19">
        <v>178658422</v>
      </c>
      <c r="AT39" s="19" t="s">
        <v>172</v>
      </c>
      <c r="AU39" s="19">
        <v>-1439160522</v>
      </c>
      <c r="AV39" s="19">
        <v>392324865</v>
      </c>
      <c r="AW39" s="19">
        <v>151190576</v>
      </c>
      <c r="AX39" s="19" t="s">
        <v>4</v>
      </c>
      <c r="AY39" s="19">
        <v>-11666437</v>
      </c>
      <c r="AZ39" s="19">
        <v>142682773</v>
      </c>
      <c r="BA39" s="19" t="s">
        <v>167</v>
      </c>
      <c r="BB39" s="19">
        <v>-158327261</v>
      </c>
      <c r="BC39" s="19" t="s">
        <v>4</v>
      </c>
      <c r="BD39" s="19" t="s">
        <v>172</v>
      </c>
      <c r="BE39" s="19">
        <v>280221868</v>
      </c>
      <c r="BF39" s="19" t="s">
        <v>96</v>
      </c>
      <c r="BG39" s="19">
        <v>-2255602252</v>
      </c>
      <c r="BH39" s="19">
        <v>69882079</v>
      </c>
      <c r="BI39" s="19">
        <v>670638428</v>
      </c>
      <c r="BJ39" s="19">
        <v>136042580</v>
      </c>
      <c r="BK39" s="19">
        <v>-983900239</v>
      </c>
      <c r="BL39" s="19">
        <v>666155520</v>
      </c>
      <c r="BM39" s="19">
        <v>357834683</v>
      </c>
      <c r="BN39" s="19">
        <v>106148020</v>
      </c>
      <c r="BO39" s="19" t="s">
        <v>96</v>
      </c>
      <c r="BP39" s="19" t="s">
        <v>96</v>
      </c>
      <c r="BQ39" s="19" t="s">
        <v>175</v>
      </c>
      <c r="BR39" s="19">
        <v>5886650303</v>
      </c>
      <c r="BS39" s="19" t="s">
        <v>172</v>
      </c>
      <c r="BT39" s="19">
        <v>-82618331</v>
      </c>
      <c r="BU39" s="19">
        <v>-180938501</v>
      </c>
      <c r="BV39" s="19">
        <v>178196937</v>
      </c>
      <c r="BW39" s="19">
        <v>-10776699</v>
      </c>
      <c r="BX39" s="19">
        <v>72003058</v>
      </c>
      <c r="BY39" s="19">
        <v>-1311968576</v>
      </c>
      <c r="BZ39" s="19">
        <v>2969585996</v>
      </c>
      <c r="CA39" s="19">
        <v>-1237017009</v>
      </c>
      <c r="CB39" s="19">
        <v>11135321</v>
      </c>
      <c r="CC39" s="19">
        <v>-30955338</v>
      </c>
      <c r="CD39" s="19">
        <v>339804165</v>
      </c>
      <c r="CE39" s="19" t="s">
        <v>172</v>
      </c>
      <c r="CF39" s="19">
        <v>-1838249233</v>
      </c>
      <c r="CG39" s="19">
        <v>104266748</v>
      </c>
      <c r="CH39" s="19">
        <v>500995095</v>
      </c>
      <c r="CI39" s="19" t="s">
        <v>172</v>
      </c>
      <c r="CJ39" s="19">
        <v>45312745</v>
      </c>
      <c r="CK39" s="19">
        <v>-1315493973</v>
      </c>
      <c r="CL39" s="19">
        <v>-163129695</v>
      </c>
      <c r="CM39" s="19">
        <v>1682288839</v>
      </c>
      <c r="CN39" s="19">
        <v>20212240</v>
      </c>
      <c r="CO39" s="19">
        <v>43498291</v>
      </c>
      <c r="CP39" s="19">
        <v>405589037</v>
      </c>
      <c r="CQ39" s="19" t="s">
        <v>96</v>
      </c>
      <c r="CR39" s="19">
        <v>402089506</v>
      </c>
      <c r="CS39" s="56" t="s">
        <v>172</v>
      </c>
      <c r="CT39" s="19">
        <v>-37055215413</v>
      </c>
      <c r="CU39" s="19">
        <v>157936917</v>
      </c>
      <c r="CV39" s="19">
        <v>-273722888</v>
      </c>
      <c r="CW39" s="19">
        <v>753855568</v>
      </c>
      <c r="CX39" s="19">
        <v>-6755095770</v>
      </c>
      <c r="CY39" s="19" t="s">
        <v>96</v>
      </c>
      <c r="CZ39" s="19">
        <v>1777708152</v>
      </c>
      <c r="DA39" s="19" t="s">
        <v>175</v>
      </c>
      <c r="DB39" s="19">
        <v>495210178</v>
      </c>
      <c r="DC39" s="19">
        <v>-45532703</v>
      </c>
      <c r="DD39" s="19">
        <v>-204073040</v>
      </c>
      <c r="DE39" s="19">
        <v>523413943</v>
      </c>
      <c r="DF39" s="19">
        <v>-26028008</v>
      </c>
      <c r="DG39" s="19">
        <v>90561814</v>
      </c>
      <c r="DH39" s="19">
        <v>-162546391</v>
      </c>
      <c r="DI39" s="19">
        <v>794925562</v>
      </c>
      <c r="DJ39" s="19">
        <v>162261196</v>
      </c>
      <c r="DK39" s="19">
        <v>1811508948</v>
      </c>
      <c r="DL39" s="19">
        <v>-135750358</v>
      </c>
      <c r="DM39" s="19">
        <v>-214978111</v>
      </c>
      <c r="DN39" s="19">
        <v>-196307277</v>
      </c>
      <c r="DO39" s="19">
        <v>10657304</v>
      </c>
      <c r="DP39" s="19">
        <v>761787147</v>
      </c>
      <c r="DQ39" s="19">
        <v>68890549</v>
      </c>
      <c r="DR39" s="19">
        <v>-954451430</v>
      </c>
      <c r="DS39" s="19">
        <v>155220292</v>
      </c>
      <c r="DT39" s="19">
        <v>1359591144</v>
      </c>
      <c r="DU39" s="19">
        <v>159573078</v>
      </c>
      <c r="DV39" s="19"/>
      <c r="DW39" s="19">
        <v>910920751</v>
      </c>
      <c r="DX39" s="19">
        <v>-1252721320</v>
      </c>
      <c r="DY39" s="19">
        <v>217717027</v>
      </c>
      <c r="DZ39" s="19">
        <v>548558441</v>
      </c>
      <c r="EA39" s="19">
        <v>76530046</v>
      </c>
      <c r="EB39" s="19">
        <v>1813113549</v>
      </c>
      <c r="EC39" s="19">
        <v>-25985211</v>
      </c>
      <c r="ED39" s="19">
        <v>142517419</v>
      </c>
      <c r="EE39" s="19">
        <v>750232677</v>
      </c>
      <c r="EF39" s="19">
        <v>1527026567</v>
      </c>
      <c r="EG39" s="19">
        <v>-19546196182</v>
      </c>
      <c r="EH39" s="19">
        <v>-26568539</v>
      </c>
      <c r="EI39" s="19">
        <v>-26956126401</v>
      </c>
      <c r="EJ39" s="19">
        <v>177072610</v>
      </c>
      <c r="EK39" s="19">
        <v>-2971537696</v>
      </c>
      <c r="EL39" s="19">
        <v>1563903782</v>
      </c>
      <c r="EM39" s="19">
        <v>886867366</v>
      </c>
      <c r="EN39" s="19">
        <v>3201437743</v>
      </c>
      <c r="EO39" s="19">
        <v>133659169</v>
      </c>
      <c r="EP39" s="19">
        <v>-48471166</v>
      </c>
      <c r="EQ39" s="19">
        <v>2297753256</v>
      </c>
      <c r="ER39" s="19">
        <v>-435904745</v>
      </c>
      <c r="ES39" s="19">
        <v>73281411</v>
      </c>
      <c r="ET39" s="19">
        <v>-8499987172</v>
      </c>
      <c r="EU39" s="19">
        <v>1004826227</v>
      </c>
      <c r="EV39" s="19">
        <v>87577823</v>
      </c>
      <c r="EW39" s="19">
        <v>-21717502</v>
      </c>
      <c r="EX39" s="19">
        <v>968931615</v>
      </c>
      <c r="EY39" s="19">
        <v>2073930678</v>
      </c>
      <c r="EZ39" s="19">
        <v>-256981219</v>
      </c>
      <c r="FA39" s="19">
        <v>-267603591</v>
      </c>
      <c r="FB39" s="19">
        <v>-81966381</v>
      </c>
      <c r="FC39" s="19">
        <v>41003066</v>
      </c>
      <c r="FD39" s="19">
        <v>-327077540</v>
      </c>
      <c r="FE39" s="19">
        <v>2282350220</v>
      </c>
      <c r="FF39" s="19">
        <v>57824111</v>
      </c>
      <c r="FG39" s="19" t="s">
        <v>172</v>
      </c>
      <c r="FH39" s="19">
        <v>313202394</v>
      </c>
      <c r="FI39" s="19" t="s">
        <v>172</v>
      </c>
      <c r="FJ39" s="19">
        <v>220947867</v>
      </c>
      <c r="FK39" s="19">
        <v>235829088</v>
      </c>
      <c r="FL39" s="19">
        <v>-954956090</v>
      </c>
      <c r="FM39" s="19">
        <v>-1379615019</v>
      </c>
      <c r="FN39" s="19">
        <v>-3110217355</v>
      </c>
      <c r="FO39" s="56" t="s">
        <v>172</v>
      </c>
      <c r="FP39" s="19">
        <v>-116842743</v>
      </c>
      <c r="FQ39" s="19">
        <v>-124149386</v>
      </c>
      <c r="FR39" s="19">
        <v>112061349</v>
      </c>
      <c r="FS39" s="19">
        <v>-619600607</v>
      </c>
      <c r="FT39" s="19">
        <v>1037586860</v>
      </c>
      <c r="FU39" s="19">
        <v>-27849142</v>
      </c>
      <c r="FV39" s="19" t="s">
        <v>172</v>
      </c>
      <c r="FW39" s="19">
        <v>-95027832</v>
      </c>
      <c r="FX39" s="19">
        <v>-471640429</v>
      </c>
      <c r="FY39" s="19" t="s">
        <v>172</v>
      </c>
      <c r="FZ39" s="19" t="s">
        <v>175</v>
      </c>
      <c r="GA39" s="19">
        <v>-1540895703</v>
      </c>
      <c r="GB39" s="19">
        <v>-477996732</v>
      </c>
      <c r="GC39" s="19">
        <v>183390643</v>
      </c>
      <c r="GD39" s="19" t="s">
        <v>172</v>
      </c>
      <c r="GE39" s="19" t="s">
        <v>172</v>
      </c>
      <c r="GF39" s="19">
        <v>-771476336</v>
      </c>
      <c r="GG39" s="19">
        <v>-4886316845</v>
      </c>
      <c r="GH39" s="19" t="s">
        <v>172</v>
      </c>
      <c r="GI39" s="19">
        <v>9965802</v>
      </c>
      <c r="GJ39" s="19" t="s">
        <v>172</v>
      </c>
      <c r="GK39" s="19">
        <v>-213753108</v>
      </c>
      <c r="GL39" s="19" t="s">
        <v>172</v>
      </c>
      <c r="GM39" s="19">
        <v>1857644</v>
      </c>
      <c r="GN39" s="19">
        <v>-539062637</v>
      </c>
      <c r="GO39" s="19" t="s">
        <v>172</v>
      </c>
      <c r="GP39" s="19">
        <v>1662583198</v>
      </c>
      <c r="GQ39" s="19">
        <v>291356460</v>
      </c>
      <c r="GR39" s="19">
        <v>1027471964</v>
      </c>
      <c r="GS39" s="19">
        <v>-966019421</v>
      </c>
      <c r="GT39" s="19">
        <v>-652426348</v>
      </c>
      <c r="GU39" s="19">
        <v>-524770</v>
      </c>
      <c r="GV39" s="19">
        <v>1592743117</v>
      </c>
      <c r="GW39" s="19">
        <v>-13512179845</v>
      </c>
      <c r="GX39" s="19">
        <v>146027815</v>
      </c>
      <c r="GY39" s="19">
        <v>-3376779341</v>
      </c>
      <c r="GZ39" s="19">
        <v>305191474</v>
      </c>
      <c r="HA39" s="19" t="s">
        <v>172</v>
      </c>
      <c r="HB39" s="19">
        <v>1086285657</v>
      </c>
      <c r="HC39" s="19">
        <v>-872351794</v>
      </c>
      <c r="HD39" s="19">
        <v>529554775</v>
      </c>
      <c r="HE39" s="19" t="s">
        <v>172</v>
      </c>
      <c r="HF39" s="19">
        <v>1046889914</v>
      </c>
      <c r="HG39" s="19">
        <v>662134166</v>
      </c>
      <c r="HH39" s="19" t="s">
        <v>172</v>
      </c>
      <c r="HI39" s="19">
        <v>-4317973730</v>
      </c>
      <c r="HJ39" s="19" t="s">
        <v>172</v>
      </c>
      <c r="HK39" s="19">
        <v>-3983794477</v>
      </c>
      <c r="HL39" s="19">
        <v>1508298783</v>
      </c>
      <c r="HM39" s="19">
        <v>-227225608</v>
      </c>
      <c r="HN39" s="19">
        <v>-142125372</v>
      </c>
      <c r="HO39" s="19">
        <v>888889974</v>
      </c>
      <c r="HP39" s="19">
        <v>629046763</v>
      </c>
      <c r="HQ39" s="19">
        <v>344984147</v>
      </c>
      <c r="HR39" s="19">
        <v>102856745</v>
      </c>
      <c r="HS39" s="19">
        <v>187298996</v>
      </c>
      <c r="HT39" s="19">
        <v>21761222</v>
      </c>
      <c r="HU39" s="19">
        <v>-9922633893</v>
      </c>
      <c r="HV39" s="19">
        <v>-4708523</v>
      </c>
      <c r="HW39" s="19" t="s">
        <v>172</v>
      </c>
      <c r="HX39" s="19">
        <v>462856996</v>
      </c>
      <c r="HY39" s="19" t="s">
        <v>172</v>
      </c>
      <c r="HZ39" s="19">
        <v>1855838565</v>
      </c>
      <c r="IA39" s="19">
        <v>590741487</v>
      </c>
      <c r="IB39" s="19">
        <v>-11337479</v>
      </c>
      <c r="IC39" s="19">
        <v>1031554849</v>
      </c>
      <c r="ID39" s="19">
        <v>13249177</v>
      </c>
      <c r="IE39" s="19" t="s">
        <v>172</v>
      </c>
      <c r="IF39" s="19">
        <v>57465463</v>
      </c>
      <c r="IG39" s="19">
        <v>-3277628</v>
      </c>
      <c r="IH39" s="19">
        <v>695185769</v>
      </c>
      <c r="II39" s="19">
        <v>-51170918</v>
      </c>
      <c r="IJ39" s="19">
        <v>-337792285</v>
      </c>
      <c r="IK39" s="19">
        <v>94759223</v>
      </c>
      <c r="IL39" s="19">
        <v>135077409</v>
      </c>
      <c r="IM39" s="19">
        <v>-1959591268</v>
      </c>
      <c r="IN39" s="19">
        <v>-2261474313</v>
      </c>
      <c r="IO39" s="19">
        <v>85768652</v>
      </c>
      <c r="IP39" s="19">
        <v>172170185</v>
      </c>
      <c r="IQ39" s="19">
        <v>136106820</v>
      </c>
      <c r="IR39" s="19">
        <v>593575181</v>
      </c>
      <c r="IS39" s="19">
        <v>620312719</v>
      </c>
      <c r="IT39" s="19">
        <v>449797401</v>
      </c>
      <c r="IU39" s="19">
        <v>957427966</v>
      </c>
      <c r="IV39" s="19">
        <v>302272664</v>
      </c>
      <c r="IW39" s="19">
        <v>-358036593</v>
      </c>
      <c r="IX39" s="19">
        <v>98332822</v>
      </c>
      <c r="IY39" s="19">
        <v>-141818814</v>
      </c>
      <c r="IZ39" s="19">
        <v>65492850</v>
      </c>
      <c r="JA39" s="19">
        <v>886279738</v>
      </c>
      <c r="JB39" s="19">
        <v>-36884653</v>
      </c>
      <c r="JC39" s="19">
        <v>-54290089</v>
      </c>
      <c r="JD39" s="19">
        <v>817944537</v>
      </c>
      <c r="JE39" s="19">
        <v>142743724</v>
      </c>
      <c r="JF39" s="19">
        <v>316408895</v>
      </c>
      <c r="JG39" s="19">
        <v>-65677898</v>
      </c>
      <c r="JH39" s="19">
        <v>-131789495</v>
      </c>
      <c r="JI39" s="19">
        <v>36515112</v>
      </c>
      <c r="JJ39" s="19">
        <v>-147578690</v>
      </c>
      <c r="JK39" s="19">
        <v>-20448675</v>
      </c>
      <c r="JL39" s="19">
        <v>331545068</v>
      </c>
      <c r="JM39" s="19">
        <v>105891119</v>
      </c>
      <c r="JN39" s="19">
        <v>1042372121</v>
      </c>
      <c r="JO39" s="19">
        <v>-93334656</v>
      </c>
      <c r="JP39" s="19">
        <v>171716697</v>
      </c>
      <c r="JQ39" s="19" t="s">
        <v>175</v>
      </c>
      <c r="JR39" s="19">
        <v>-501471346</v>
      </c>
      <c r="JS39" s="19">
        <v>-245153612</v>
      </c>
      <c r="JT39" s="19">
        <v>-308909369</v>
      </c>
      <c r="JU39" s="19">
        <v>69739707</v>
      </c>
      <c r="JV39" s="19">
        <v>-293928084</v>
      </c>
      <c r="JW39" s="19">
        <f>100421148-7363808+9500000</f>
        <v>102557340</v>
      </c>
      <c r="JX39" s="19">
        <v>955807161</v>
      </c>
      <c r="JY39" s="19">
        <v>568316441</v>
      </c>
      <c r="JZ39" s="19">
        <v>886450</v>
      </c>
      <c r="KA39" s="19">
        <v>70628577</v>
      </c>
      <c r="KB39" s="19">
        <v>2240773981</v>
      </c>
      <c r="KC39" s="19">
        <v>-52004540</v>
      </c>
      <c r="KD39" s="19">
        <v>29026497</v>
      </c>
      <c r="KE39" s="19">
        <v>-53003731</v>
      </c>
      <c r="KF39" s="19">
        <v>-989925669</v>
      </c>
      <c r="KG39" s="19">
        <v>471695</v>
      </c>
      <c r="KH39" s="19">
        <v>61319538</v>
      </c>
      <c r="KI39" s="19">
        <v>62790704</v>
      </c>
      <c r="KJ39" s="19">
        <v>535366091</v>
      </c>
      <c r="KK39" s="19">
        <v>-1585536419</v>
      </c>
      <c r="KL39" s="19">
        <v>-46003996671</v>
      </c>
      <c r="KM39" s="19">
        <v>-361733087</v>
      </c>
      <c r="KN39" s="19">
        <v>-2894635775</v>
      </c>
      <c r="KO39" s="19">
        <v>-4017718960</v>
      </c>
      <c r="KP39" s="19">
        <v>199276563</v>
      </c>
      <c r="KQ39" s="19">
        <v>-18829140</v>
      </c>
      <c r="KR39" s="19">
        <v>-318364350</v>
      </c>
      <c r="KS39" s="19">
        <v>208139919</v>
      </c>
      <c r="KT39" s="19">
        <v>-79925043</v>
      </c>
      <c r="KU39" s="19">
        <v>-168624506</v>
      </c>
      <c r="KV39" s="19">
        <v>85099616</v>
      </c>
      <c r="KW39" s="19">
        <v>29485412</v>
      </c>
      <c r="KX39" s="19">
        <v>-3021899</v>
      </c>
      <c r="KY39" s="19">
        <v>147243832</v>
      </c>
      <c r="KZ39" s="58">
        <v>-9748725</v>
      </c>
      <c r="LA39" s="74">
        <v>167406012</v>
      </c>
      <c r="LB39" s="74">
        <v>-23605643</v>
      </c>
    </row>
    <row r="40" spans="1:314">
      <c r="A40" s="9" t="s">
        <v>103</v>
      </c>
      <c r="B40" s="10" t="s">
        <v>85</v>
      </c>
      <c r="C40" s="19">
        <f>SUM(C41:C44)</f>
        <v>1893073612</v>
      </c>
      <c r="D40" s="19">
        <f>SUM(D41:D44)</f>
        <v>4305812652</v>
      </c>
      <c r="E40" s="19">
        <f>SUM(E41:E44)</f>
        <v>2142582551</v>
      </c>
      <c r="F40" s="19">
        <f>SUM(F41:F44)</f>
        <v>2944934019</v>
      </c>
      <c r="G40" s="19" t="s">
        <v>130</v>
      </c>
      <c r="H40" s="19">
        <f>SUM(H41:H44)</f>
        <v>10354630272</v>
      </c>
      <c r="I40" s="19">
        <f>SUM(I41:I44)</f>
        <v>10241361803</v>
      </c>
      <c r="J40" s="19" t="s">
        <v>176</v>
      </c>
      <c r="K40" s="19">
        <f>SUM(K41:K44)</f>
        <v>3665688476</v>
      </c>
      <c r="L40" s="19" t="s">
        <v>96</v>
      </c>
      <c r="M40" s="19" t="s">
        <v>96</v>
      </c>
      <c r="N40" s="19">
        <f t="shared" ref="N40:S40" si="97">SUM(N41:N44)</f>
        <v>870262212</v>
      </c>
      <c r="O40" s="19">
        <f t="shared" si="97"/>
        <v>13349966197</v>
      </c>
      <c r="P40" s="19">
        <f t="shared" si="97"/>
        <v>7153189454</v>
      </c>
      <c r="Q40" s="19">
        <f t="shared" si="97"/>
        <v>477315935</v>
      </c>
      <c r="R40" s="19">
        <f t="shared" si="97"/>
        <v>428361301</v>
      </c>
      <c r="S40" s="19">
        <f t="shared" si="97"/>
        <v>14077877361</v>
      </c>
      <c r="T40" s="19" t="s">
        <v>96</v>
      </c>
      <c r="U40" s="19" t="s">
        <v>96</v>
      </c>
      <c r="V40" s="19" t="s">
        <v>172</v>
      </c>
      <c r="W40" s="19">
        <f t="shared" ref="W40:AE40" si="98">SUM(W41:W44)</f>
        <v>1465197779</v>
      </c>
      <c r="X40" s="19">
        <f t="shared" si="98"/>
        <v>3773928584</v>
      </c>
      <c r="Y40" s="19">
        <f t="shared" si="98"/>
        <v>329406957</v>
      </c>
      <c r="Z40" s="19">
        <f t="shared" si="98"/>
        <v>1115845744</v>
      </c>
      <c r="AA40" s="19">
        <f t="shared" si="98"/>
        <v>4898509761</v>
      </c>
      <c r="AB40" s="19">
        <f t="shared" si="98"/>
        <v>327154290</v>
      </c>
      <c r="AC40" s="19">
        <f t="shared" si="98"/>
        <v>2728300643</v>
      </c>
      <c r="AD40" s="19">
        <f t="shared" si="98"/>
        <v>4518117874</v>
      </c>
      <c r="AE40" s="19">
        <f t="shared" si="98"/>
        <v>768797674</v>
      </c>
      <c r="AF40" s="56" t="s">
        <v>172</v>
      </c>
      <c r="AG40" s="19">
        <f>SUM(AG41:AG44)</f>
        <v>191466341</v>
      </c>
      <c r="AH40" s="19" t="s">
        <v>167</v>
      </c>
      <c r="AI40" s="19">
        <f>SUM(AI41:AI44)</f>
        <v>647746842</v>
      </c>
      <c r="AJ40" s="19">
        <f>SUM(AJ41:AJ44)</f>
        <v>634072797</v>
      </c>
      <c r="AK40" s="19">
        <f>SUM(AK41:AK44)</f>
        <v>2522541532</v>
      </c>
      <c r="AL40" s="19">
        <f>SUM(AL41:AL44)</f>
        <v>865962041</v>
      </c>
      <c r="AM40" s="19" t="s">
        <v>4</v>
      </c>
      <c r="AN40" s="19">
        <f>SUM(AN41:AN44)</f>
        <v>1210911427</v>
      </c>
      <c r="AO40" s="19">
        <f>SUM(AO41:AO44)</f>
        <v>1516635439</v>
      </c>
      <c r="AP40" s="19">
        <f>SUM(AP41:AP44)</f>
        <v>1088287435</v>
      </c>
      <c r="AQ40" s="19" t="s">
        <v>172</v>
      </c>
      <c r="AR40" s="19">
        <f>SUM(AR41:AR44)</f>
        <v>1760243010</v>
      </c>
      <c r="AS40" s="19">
        <f>SUM(AS41:AS44)</f>
        <v>1540404714</v>
      </c>
      <c r="AT40" s="19" t="s">
        <v>172</v>
      </c>
      <c r="AU40" s="19">
        <f>SUM(AU41:AU44)</f>
        <v>607216116</v>
      </c>
      <c r="AV40" s="19">
        <f>SUM(AV41:AV44)</f>
        <v>284071982</v>
      </c>
      <c r="AW40" s="19">
        <f>SUM(AW41:AW44)</f>
        <v>341454353</v>
      </c>
      <c r="AX40" s="19" t="s">
        <v>4</v>
      </c>
      <c r="AY40" s="19">
        <f>SUM(AY41:AY44)</f>
        <v>342741904</v>
      </c>
      <c r="AZ40" s="19">
        <f>SUM(AZ41:AZ44)</f>
        <v>1063829746</v>
      </c>
      <c r="BA40" s="19" t="s">
        <v>167</v>
      </c>
      <c r="BB40" s="19">
        <f>SUM(BB41:BB44)</f>
        <v>25862900</v>
      </c>
      <c r="BC40" s="19" t="s">
        <v>4</v>
      </c>
      <c r="BD40" s="19" t="s">
        <v>172</v>
      </c>
      <c r="BE40" s="19">
        <f>SUM(BE41:BE44)</f>
        <v>1542187718</v>
      </c>
      <c r="BF40" s="19" t="s">
        <v>96</v>
      </c>
      <c r="BG40" s="19">
        <f t="shared" ref="BG40:BN40" si="99">SUM(BG41:BG44)</f>
        <v>2163690768</v>
      </c>
      <c r="BH40" s="19">
        <f t="shared" si="99"/>
        <v>1106159404</v>
      </c>
      <c r="BI40" s="19">
        <f t="shared" si="99"/>
        <v>794102592</v>
      </c>
      <c r="BJ40" s="19">
        <f t="shared" si="99"/>
        <v>1152109419</v>
      </c>
      <c r="BK40" s="19">
        <f t="shared" si="99"/>
        <v>2537088887</v>
      </c>
      <c r="BL40" s="19">
        <f t="shared" si="99"/>
        <v>1325502567</v>
      </c>
      <c r="BM40" s="19">
        <f t="shared" si="99"/>
        <v>3054291684</v>
      </c>
      <c r="BN40" s="19">
        <f t="shared" si="99"/>
        <v>162223066</v>
      </c>
      <c r="BO40" s="19" t="s">
        <v>96</v>
      </c>
      <c r="BP40" s="19" t="s">
        <v>96</v>
      </c>
      <c r="BQ40" s="19" t="s">
        <v>175</v>
      </c>
      <c r="BR40" s="19">
        <f>SUM(BR41:BR44)</f>
        <v>12427727016</v>
      </c>
      <c r="BS40" s="19" t="s">
        <v>172</v>
      </c>
      <c r="BT40" s="19">
        <f t="shared" ref="BT40:CD40" si="100">SUM(BT41:BT44)</f>
        <v>43703698</v>
      </c>
      <c r="BU40" s="19">
        <f t="shared" si="100"/>
        <v>1056709005</v>
      </c>
      <c r="BV40" s="19">
        <f t="shared" si="100"/>
        <v>197806365</v>
      </c>
      <c r="BW40" s="19">
        <f t="shared" si="100"/>
        <v>589699545</v>
      </c>
      <c r="BX40" s="19">
        <f t="shared" si="100"/>
        <v>713511158</v>
      </c>
      <c r="BY40" s="19">
        <f t="shared" si="100"/>
        <v>6323156521</v>
      </c>
      <c r="BZ40" s="19">
        <f t="shared" si="100"/>
        <v>2096625584</v>
      </c>
      <c r="CA40" s="19">
        <f t="shared" si="100"/>
        <v>3835231629</v>
      </c>
      <c r="CB40" s="19">
        <f t="shared" si="100"/>
        <v>439320988</v>
      </c>
      <c r="CC40" s="19">
        <f t="shared" si="100"/>
        <v>1860216171</v>
      </c>
      <c r="CD40" s="19">
        <f t="shared" si="100"/>
        <v>2941403952</v>
      </c>
      <c r="CE40" s="19" t="s">
        <v>172</v>
      </c>
      <c r="CF40" s="19">
        <f>SUM(CF41:CF44)</f>
        <v>174972152</v>
      </c>
      <c r="CG40" s="19">
        <f>SUM(CG41:CG44)</f>
        <v>1213591768</v>
      </c>
      <c r="CH40" s="19">
        <f>SUM(CH41:CH44)</f>
        <v>564661656</v>
      </c>
      <c r="CI40" s="19" t="s">
        <v>172</v>
      </c>
      <c r="CJ40" s="19">
        <f t="shared" ref="CJ40:CP40" si="101">SUM(CJ41:CJ44)</f>
        <v>262315575</v>
      </c>
      <c r="CK40" s="19">
        <f t="shared" si="101"/>
        <v>2745421188</v>
      </c>
      <c r="CL40" s="19">
        <f t="shared" si="101"/>
        <v>603948306</v>
      </c>
      <c r="CM40" s="19">
        <f t="shared" si="101"/>
        <v>9541093571</v>
      </c>
      <c r="CN40" s="19">
        <f t="shared" si="101"/>
        <v>372757631</v>
      </c>
      <c r="CO40" s="19">
        <f t="shared" si="101"/>
        <v>180466856</v>
      </c>
      <c r="CP40" s="19">
        <f t="shared" si="101"/>
        <v>6261311722</v>
      </c>
      <c r="CQ40" s="19" t="s">
        <v>96</v>
      </c>
      <c r="CR40" s="19">
        <f>SUM(CR41:CR44)</f>
        <v>1088546956</v>
      </c>
      <c r="CS40" s="56" t="s">
        <v>172</v>
      </c>
      <c r="CT40" s="19">
        <f>SUM(CT41:CT44)</f>
        <v>2955745975</v>
      </c>
      <c r="CU40" s="19">
        <f>SUM(CU41:CU44)</f>
        <v>1082375031</v>
      </c>
      <c r="CV40" s="19">
        <v>176017910</v>
      </c>
      <c r="CW40" s="19">
        <f>SUM(CW41:CW44)</f>
        <v>3211938580</v>
      </c>
      <c r="CX40" s="19">
        <f>SUM(CX41:CX44)</f>
        <v>9958183690</v>
      </c>
      <c r="CY40" s="19" t="s">
        <v>96</v>
      </c>
      <c r="CZ40" s="19">
        <f>SUM(CZ41:CZ44)</f>
        <v>4132816248</v>
      </c>
      <c r="DA40" s="19" t="s">
        <v>175</v>
      </c>
      <c r="DB40" s="19">
        <f t="shared" ref="DB40:DR40" si="102">SUM(DB41:DB44)</f>
        <v>581199712</v>
      </c>
      <c r="DC40" s="19">
        <f t="shared" si="102"/>
        <v>60235720</v>
      </c>
      <c r="DD40" s="19">
        <f t="shared" si="102"/>
        <v>39560466</v>
      </c>
      <c r="DE40" s="19">
        <f t="shared" si="102"/>
        <v>2321363034</v>
      </c>
      <c r="DF40" s="19">
        <f t="shared" si="102"/>
        <v>60009193</v>
      </c>
      <c r="DG40" s="19">
        <f t="shared" si="102"/>
        <v>896107492</v>
      </c>
      <c r="DH40" s="19">
        <f t="shared" si="102"/>
        <v>1602672005</v>
      </c>
      <c r="DI40" s="19">
        <f t="shared" si="102"/>
        <v>5536397871</v>
      </c>
      <c r="DJ40" s="19">
        <f t="shared" si="102"/>
        <v>118277477</v>
      </c>
      <c r="DK40" s="19">
        <f t="shared" si="102"/>
        <v>19780679871</v>
      </c>
      <c r="DL40" s="19">
        <f t="shared" si="102"/>
        <v>878095344</v>
      </c>
      <c r="DM40" s="19">
        <f t="shared" si="102"/>
        <v>552864881</v>
      </c>
      <c r="DN40" s="19">
        <f t="shared" si="102"/>
        <v>1744703806</v>
      </c>
      <c r="DO40" s="19">
        <f t="shared" si="102"/>
        <v>87623745</v>
      </c>
      <c r="DP40" s="19">
        <f t="shared" si="102"/>
        <v>2169472728</v>
      </c>
      <c r="DQ40" s="19">
        <f t="shared" si="102"/>
        <v>215027281</v>
      </c>
      <c r="DR40" s="19">
        <f t="shared" si="102"/>
        <v>1177611432</v>
      </c>
      <c r="DS40" s="19">
        <f>SUM(DS41:DS44)</f>
        <v>1039644714</v>
      </c>
      <c r="DT40" s="19">
        <f t="shared" ref="DT40:FF40" si="103">SUM(DT41:DT44)</f>
        <v>2392748741</v>
      </c>
      <c r="DU40" s="19">
        <f t="shared" si="103"/>
        <v>390033365</v>
      </c>
      <c r="DV40" s="19">
        <f t="shared" si="103"/>
        <v>7019387909</v>
      </c>
      <c r="DW40" s="19">
        <f t="shared" si="103"/>
        <v>1329940316</v>
      </c>
      <c r="DX40" s="19">
        <f t="shared" si="103"/>
        <v>9704114293</v>
      </c>
      <c r="DY40" s="19">
        <f t="shared" si="103"/>
        <v>743976687</v>
      </c>
      <c r="DZ40" s="19">
        <f t="shared" si="103"/>
        <v>1483069759</v>
      </c>
      <c r="EA40" s="19">
        <f t="shared" si="103"/>
        <v>79260291</v>
      </c>
      <c r="EB40" s="19">
        <f t="shared" si="103"/>
        <v>13262926841</v>
      </c>
      <c r="EC40" s="19">
        <f t="shared" si="103"/>
        <v>856035878</v>
      </c>
      <c r="ED40" s="19">
        <f t="shared" si="103"/>
        <v>134495488</v>
      </c>
      <c r="EE40" s="19">
        <f t="shared" si="103"/>
        <v>1316663301</v>
      </c>
      <c r="EF40" s="19">
        <f t="shared" si="103"/>
        <v>1100457686</v>
      </c>
      <c r="EG40" s="19">
        <f t="shared" si="103"/>
        <v>3872222903</v>
      </c>
      <c r="EH40" s="19">
        <f t="shared" si="103"/>
        <v>233226331</v>
      </c>
      <c r="EI40" s="19">
        <f t="shared" si="103"/>
        <v>25513915942</v>
      </c>
      <c r="EJ40" s="19">
        <f t="shared" si="103"/>
        <v>206374500</v>
      </c>
      <c r="EK40" s="19">
        <f t="shared" si="103"/>
        <v>1208678776</v>
      </c>
      <c r="EL40" s="19">
        <f t="shared" si="103"/>
        <v>3196417011</v>
      </c>
      <c r="EM40" s="19">
        <f t="shared" si="103"/>
        <v>772197238</v>
      </c>
      <c r="EN40" s="19">
        <f t="shared" si="103"/>
        <v>10192898657</v>
      </c>
      <c r="EO40" s="19">
        <f t="shared" si="103"/>
        <v>1400442555</v>
      </c>
      <c r="EP40" s="19">
        <f t="shared" si="103"/>
        <v>1282107575</v>
      </c>
      <c r="EQ40" s="19">
        <f t="shared" si="103"/>
        <v>8623571347</v>
      </c>
      <c r="ER40" s="19">
        <f t="shared" si="103"/>
        <v>8822711138</v>
      </c>
      <c r="ES40" s="19">
        <f t="shared" si="103"/>
        <v>804098216</v>
      </c>
      <c r="ET40" s="19">
        <f t="shared" si="103"/>
        <v>3922181625</v>
      </c>
      <c r="EU40" s="19">
        <f t="shared" si="103"/>
        <v>2952528418</v>
      </c>
      <c r="EV40" s="19">
        <f t="shared" si="103"/>
        <v>362788971</v>
      </c>
      <c r="EW40" s="19">
        <f t="shared" si="103"/>
        <v>870367790</v>
      </c>
      <c r="EX40" s="19">
        <f t="shared" si="103"/>
        <v>2994049922</v>
      </c>
      <c r="EY40" s="19">
        <f t="shared" si="103"/>
        <v>6828396181</v>
      </c>
      <c r="EZ40" s="19">
        <f t="shared" si="103"/>
        <v>1102525095</v>
      </c>
      <c r="FA40" s="19">
        <f t="shared" si="103"/>
        <v>1331245430</v>
      </c>
      <c r="FB40" s="19">
        <f t="shared" si="103"/>
        <v>528852729</v>
      </c>
      <c r="FC40" s="19">
        <f t="shared" si="103"/>
        <v>2460796448</v>
      </c>
      <c r="FD40" s="19">
        <f t="shared" si="103"/>
        <v>200438017</v>
      </c>
      <c r="FE40" s="19">
        <f t="shared" si="103"/>
        <v>29006172567</v>
      </c>
      <c r="FF40" s="19">
        <f t="shared" si="103"/>
        <v>566842562</v>
      </c>
      <c r="FG40" s="19" t="s">
        <v>172</v>
      </c>
      <c r="FH40" s="19">
        <f>SUM(FH41:FH44)</f>
        <v>2769142128</v>
      </c>
      <c r="FI40" s="19" t="s">
        <v>172</v>
      </c>
      <c r="FJ40" s="19">
        <f>SUM(FJ41:FJ44)</f>
        <v>438960840</v>
      </c>
      <c r="FK40" s="19">
        <f>SUM(FK41:FK44)</f>
        <v>3631123974</v>
      </c>
      <c r="FL40" s="19">
        <f>SUM(FL41:FL44)</f>
        <v>282273967</v>
      </c>
      <c r="FM40" s="19">
        <f>SUM(FM41:FM44)</f>
        <v>475283224</v>
      </c>
      <c r="FN40" s="19">
        <f>SUM(FN41:FN44)</f>
        <v>2907866036</v>
      </c>
      <c r="FO40" s="56" t="s">
        <v>172</v>
      </c>
      <c r="FP40" s="19">
        <f t="shared" ref="FP40:FU40" si="104">SUM(FP41:FP44)</f>
        <v>214755020</v>
      </c>
      <c r="FQ40" s="19">
        <f t="shared" si="104"/>
        <v>71500000</v>
      </c>
      <c r="FR40" s="19">
        <f t="shared" si="104"/>
        <v>867426665</v>
      </c>
      <c r="FS40" s="19">
        <f t="shared" si="104"/>
        <v>531150216</v>
      </c>
      <c r="FT40" s="19">
        <f t="shared" si="104"/>
        <v>17507409911</v>
      </c>
      <c r="FU40" s="19">
        <f t="shared" si="104"/>
        <v>66048213</v>
      </c>
      <c r="FV40" s="19" t="s">
        <v>172</v>
      </c>
      <c r="FW40" s="19">
        <f>SUM(FW41:FW44)</f>
        <v>33477722</v>
      </c>
      <c r="FX40" s="19">
        <f>SUM(FX41:FX44)</f>
        <v>169809472</v>
      </c>
      <c r="FY40" s="19" t="s">
        <v>172</v>
      </c>
      <c r="FZ40" s="19" t="s">
        <v>175</v>
      </c>
      <c r="GA40" s="19">
        <f>SUM(GA41:GA44)</f>
        <v>1077202538</v>
      </c>
      <c r="GB40" s="19">
        <f>SUM(GB41:GB44)</f>
        <v>178277375</v>
      </c>
      <c r="GC40" s="19">
        <f>SUM(GC41:GC44)</f>
        <v>191165513</v>
      </c>
      <c r="GD40" s="19" t="s">
        <v>172</v>
      </c>
      <c r="GE40" s="19" t="s">
        <v>172</v>
      </c>
      <c r="GF40" s="19">
        <f>SUM(GF41:GF44)</f>
        <v>1792456525</v>
      </c>
      <c r="GG40" s="19">
        <f>SUM(GG41:GG44)</f>
        <v>3756301609</v>
      </c>
      <c r="GH40" s="19" t="s">
        <v>172</v>
      </c>
      <c r="GI40" s="19">
        <f t="shared" ref="GI40:KH40" si="105">SUM(GI41:GI44)</f>
        <v>101880134</v>
      </c>
      <c r="GJ40" s="19" t="s">
        <v>172</v>
      </c>
      <c r="GK40" s="19">
        <f t="shared" si="105"/>
        <v>358094039</v>
      </c>
      <c r="GL40" s="19" t="s">
        <v>172</v>
      </c>
      <c r="GM40" s="19">
        <f t="shared" si="105"/>
        <v>155207193</v>
      </c>
      <c r="GN40" s="19">
        <f t="shared" si="105"/>
        <v>402518202</v>
      </c>
      <c r="GO40" s="19" t="s">
        <v>172</v>
      </c>
      <c r="GP40" s="19">
        <f t="shared" si="105"/>
        <v>12531867780</v>
      </c>
      <c r="GQ40" s="19">
        <f t="shared" si="105"/>
        <v>594537399</v>
      </c>
      <c r="GR40" s="19">
        <f t="shared" si="105"/>
        <v>2235691017</v>
      </c>
      <c r="GS40" s="19">
        <f t="shared" si="105"/>
        <v>68705431</v>
      </c>
      <c r="GT40" s="19">
        <f t="shared" si="105"/>
        <v>255820451</v>
      </c>
      <c r="GU40" s="19">
        <f t="shared" si="105"/>
        <v>241442022</v>
      </c>
      <c r="GV40" s="19">
        <f>SUM(GV41:GV44)</f>
        <v>6219229433</v>
      </c>
      <c r="GW40" s="19">
        <f>SUM(GW41:GW44)</f>
        <v>7654762749</v>
      </c>
      <c r="GX40" s="19">
        <f t="shared" si="105"/>
        <v>2031975528</v>
      </c>
      <c r="GY40" s="19">
        <f t="shared" si="105"/>
        <v>416890401</v>
      </c>
      <c r="GZ40" s="19">
        <f t="shared" si="105"/>
        <v>1385263875</v>
      </c>
      <c r="HA40" s="19" t="s">
        <v>172</v>
      </c>
      <c r="HB40" s="19">
        <f t="shared" si="105"/>
        <v>596936040</v>
      </c>
      <c r="HC40" s="19">
        <f t="shared" si="105"/>
        <v>596060357</v>
      </c>
      <c r="HD40" s="19">
        <f t="shared" si="105"/>
        <v>410643231</v>
      </c>
      <c r="HE40" s="19" t="s">
        <v>172</v>
      </c>
      <c r="HF40" s="19">
        <f t="shared" si="105"/>
        <v>6682027817</v>
      </c>
      <c r="HG40" s="19">
        <f t="shared" si="105"/>
        <v>2493802361</v>
      </c>
      <c r="HH40" s="19" t="s">
        <v>172</v>
      </c>
      <c r="HI40" s="19">
        <f t="shared" si="105"/>
        <v>584641998</v>
      </c>
      <c r="HJ40" s="19" t="s">
        <v>172</v>
      </c>
      <c r="HK40" s="19">
        <f t="shared" si="105"/>
        <v>3172375548</v>
      </c>
      <c r="HL40" s="19">
        <f t="shared" si="105"/>
        <v>1292303359</v>
      </c>
      <c r="HM40" s="19">
        <f t="shared" si="105"/>
        <v>768579619</v>
      </c>
      <c r="HN40" s="19">
        <f t="shared" si="105"/>
        <v>101698581</v>
      </c>
      <c r="HO40" s="19">
        <f t="shared" si="105"/>
        <v>2508782281</v>
      </c>
      <c r="HP40" s="19">
        <f t="shared" si="105"/>
        <v>1290140658</v>
      </c>
      <c r="HQ40" s="19">
        <f t="shared" si="105"/>
        <v>1848883389</v>
      </c>
      <c r="HR40" s="19">
        <f t="shared" si="105"/>
        <v>7511165664</v>
      </c>
      <c r="HS40" s="19">
        <f t="shared" si="105"/>
        <v>609411448</v>
      </c>
      <c r="HT40" s="19">
        <f t="shared" si="105"/>
        <v>205911994</v>
      </c>
      <c r="HU40" s="19">
        <f t="shared" si="105"/>
        <v>1819221957</v>
      </c>
      <c r="HV40" s="19">
        <f t="shared" si="105"/>
        <v>300589747</v>
      </c>
      <c r="HW40" s="19" t="s">
        <v>172</v>
      </c>
      <c r="HX40" s="19">
        <f t="shared" si="105"/>
        <v>4234582402</v>
      </c>
      <c r="HY40" s="19" t="s">
        <v>172</v>
      </c>
      <c r="HZ40" s="19">
        <f t="shared" si="105"/>
        <v>5823668664</v>
      </c>
      <c r="IA40" s="19">
        <f t="shared" si="105"/>
        <v>191071360</v>
      </c>
      <c r="IB40" s="19">
        <f t="shared" si="105"/>
        <v>1749570445</v>
      </c>
      <c r="IC40" s="19">
        <f t="shared" si="105"/>
        <v>8012130814</v>
      </c>
      <c r="ID40" s="19">
        <f t="shared" si="105"/>
        <v>385146577</v>
      </c>
      <c r="IE40" s="19" t="s">
        <v>172</v>
      </c>
      <c r="IF40" s="19">
        <f t="shared" si="105"/>
        <v>369555787</v>
      </c>
      <c r="IG40" s="19">
        <f t="shared" si="105"/>
        <v>213916315</v>
      </c>
      <c r="IH40" s="19">
        <f t="shared" si="105"/>
        <v>2233833131</v>
      </c>
      <c r="II40" s="19">
        <f t="shared" si="105"/>
        <v>458031249</v>
      </c>
      <c r="IJ40" s="19">
        <f t="shared" si="105"/>
        <v>777326656</v>
      </c>
      <c r="IK40" s="19">
        <f t="shared" si="105"/>
        <v>1326249710</v>
      </c>
      <c r="IL40" s="19">
        <f t="shared" si="105"/>
        <v>660821604</v>
      </c>
      <c r="IM40" s="19">
        <f>SUM(IM41:IM44)</f>
        <v>1071947666</v>
      </c>
      <c r="IN40" s="19">
        <f t="shared" si="105"/>
        <v>1864624283</v>
      </c>
      <c r="IO40" s="19">
        <f t="shared" si="105"/>
        <v>1526037074</v>
      </c>
      <c r="IP40" s="19">
        <f t="shared" si="105"/>
        <v>2717687426</v>
      </c>
      <c r="IQ40" s="19">
        <f t="shared" si="105"/>
        <v>2116309196</v>
      </c>
      <c r="IR40" s="19">
        <f t="shared" si="105"/>
        <v>1931052072</v>
      </c>
      <c r="IS40" s="19">
        <f t="shared" si="105"/>
        <v>2720348191</v>
      </c>
      <c r="IT40" s="19">
        <f t="shared" si="105"/>
        <v>685891698</v>
      </c>
      <c r="IU40" s="19">
        <f t="shared" si="105"/>
        <v>8110544971</v>
      </c>
      <c r="IV40" s="19">
        <f t="shared" si="105"/>
        <v>1857044610</v>
      </c>
      <c r="IW40" s="19">
        <f t="shared" si="105"/>
        <v>581546360</v>
      </c>
      <c r="IX40" s="19">
        <f t="shared" si="105"/>
        <v>1489837908</v>
      </c>
      <c r="IY40" s="19">
        <f t="shared" si="105"/>
        <v>654466282</v>
      </c>
      <c r="IZ40" s="19">
        <f t="shared" si="105"/>
        <v>611918079</v>
      </c>
      <c r="JA40" s="19">
        <f t="shared" si="105"/>
        <v>6541772870</v>
      </c>
      <c r="JB40" s="19">
        <f t="shared" si="105"/>
        <v>724875092</v>
      </c>
      <c r="JC40" s="19">
        <f t="shared" si="105"/>
        <v>196355603</v>
      </c>
      <c r="JD40" s="19">
        <f t="shared" si="105"/>
        <v>1409825789</v>
      </c>
      <c r="JE40" s="19">
        <f t="shared" si="105"/>
        <v>234831608</v>
      </c>
      <c r="JF40" s="19">
        <f t="shared" si="105"/>
        <v>2012371502</v>
      </c>
      <c r="JG40" s="19">
        <f t="shared" si="105"/>
        <v>58398647</v>
      </c>
      <c r="JH40" s="19">
        <f t="shared" si="105"/>
        <v>231254881</v>
      </c>
      <c r="JI40" s="19">
        <f t="shared" si="105"/>
        <v>258207503</v>
      </c>
      <c r="JJ40" s="19">
        <f t="shared" si="105"/>
        <v>82764964</v>
      </c>
      <c r="JK40" s="19">
        <f t="shared" si="105"/>
        <v>463685852</v>
      </c>
      <c r="JL40" s="19">
        <f t="shared" si="105"/>
        <v>5682033747</v>
      </c>
      <c r="JM40" s="19">
        <f t="shared" si="105"/>
        <v>892989919</v>
      </c>
      <c r="JN40" s="19">
        <f t="shared" si="105"/>
        <v>3649837612</v>
      </c>
      <c r="JO40" s="19">
        <f t="shared" si="105"/>
        <v>247042730</v>
      </c>
      <c r="JP40" s="19">
        <f t="shared" si="105"/>
        <v>566678720</v>
      </c>
      <c r="JQ40" s="19" t="s">
        <v>175</v>
      </c>
      <c r="JR40" s="19">
        <f t="shared" si="105"/>
        <v>238645764</v>
      </c>
      <c r="JS40" s="19">
        <f t="shared" si="105"/>
        <v>425159587</v>
      </c>
      <c r="JT40" s="19">
        <f t="shared" si="105"/>
        <v>349493095</v>
      </c>
      <c r="JU40" s="19">
        <f t="shared" si="105"/>
        <v>1330194393</v>
      </c>
      <c r="JV40" s="19">
        <f>SUM(JV41:JV44)</f>
        <v>4522011425</v>
      </c>
      <c r="JW40" s="19">
        <f t="shared" si="105"/>
        <v>2010073807</v>
      </c>
      <c r="JX40" s="19">
        <f t="shared" si="105"/>
        <v>7179621914</v>
      </c>
      <c r="JY40" s="19">
        <f t="shared" si="105"/>
        <v>6327372305</v>
      </c>
      <c r="JZ40" s="19">
        <f t="shared" si="105"/>
        <v>57989249</v>
      </c>
      <c r="KA40" s="19">
        <f t="shared" si="105"/>
        <v>854430814</v>
      </c>
      <c r="KB40" s="19">
        <f t="shared" si="105"/>
        <v>7595672493</v>
      </c>
      <c r="KC40" s="19">
        <f t="shared" si="105"/>
        <v>665432903</v>
      </c>
      <c r="KD40" s="19">
        <f t="shared" si="105"/>
        <v>5287844654</v>
      </c>
      <c r="KE40" s="19">
        <f t="shared" si="105"/>
        <v>127360346</v>
      </c>
      <c r="KF40" s="19">
        <f t="shared" si="105"/>
        <v>827905273</v>
      </c>
      <c r="KG40" s="19">
        <f t="shared" si="105"/>
        <v>1562007301</v>
      </c>
      <c r="KH40" s="19">
        <f t="shared" si="105"/>
        <v>416343919</v>
      </c>
      <c r="KI40" s="19">
        <f t="shared" ref="KI40:KY40" si="106">SUM(KI41:KI44)</f>
        <v>129153155</v>
      </c>
      <c r="KJ40" s="19">
        <f t="shared" si="106"/>
        <v>2039285555</v>
      </c>
      <c r="KK40" s="19">
        <f t="shared" si="106"/>
        <v>175486108</v>
      </c>
      <c r="KL40" s="19">
        <f t="shared" si="106"/>
        <v>541878769</v>
      </c>
      <c r="KM40" s="19">
        <f t="shared" si="106"/>
        <v>727410115</v>
      </c>
      <c r="KN40" s="19">
        <f t="shared" si="106"/>
        <v>487865452</v>
      </c>
      <c r="KO40" s="19">
        <f t="shared" si="106"/>
        <v>2350558018</v>
      </c>
      <c r="KP40" s="19">
        <f t="shared" si="106"/>
        <v>2988004675</v>
      </c>
      <c r="KQ40" s="19">
        <f t="shared" si="106"/>
        <v>77192311</v>
      </c>
      <c r="KR40" s="19">
        <f t="shared" si="106"/>
        <v>372276739</v>
      </c>
      <c r="KS40" s="19">
        <f t="shared" si="106"/>
        <v>661558177</v>
      </c>
      <c r="KT40" s="19">
        <f t="shared" si="106"/>
        <v>698206965</v>
      </c>
      <c r="KU40" s="19">
        <f t="shared" si="106"/>
        <v>5691231786</v>
      </c>
      <c r="KV40" s="19">
        <f t="shared" si="106"/>
        <v>284522563</v>
      </c>
      <c r="KW40" s="19">
        <f t="shared" si="106"/>
        <v>859600305</v>
      </c>
      <c r="KX40" s="19">
        <f t="shared" si="106"/>
        <v>23931699</v>
      </c>
      <c r="KY40" s="19">
        <f t="shared" si="106"/>
        <v>1976470341</v>
      </c>
      <c r="KZ40" s="58">
        <f>KZ41+KZ42+KZ43+KZ44</f>
        <v>697726570</v>
      </c>
      <c r="LA40" s="70">
        <v>309022280</v>
      </c>
      <c r="LB40" s="70">
        <v>133710487</v>
      </c>
    </row>
    <row r="41" spans="1:314">
      <c r="A41" s="9" t="s">
        <v>103</v>
      </c>
      <c r="B41" s="15" t="s">
        <v>12</v>
      </c>
      <c r="C41" s="19"/>
      <c r="D41" s="19"/>
      <c r="E41" s="19">
        <v>683994907</v>
      </c>
      <c r="F41" s="19">
        <v>148285099</v>
      </c>
      <c r="G41" s="19" t="s">
        <v>130</v>
      </c>
      <c r="H41" s="19"/>
      <c r="I41" s="19"/>
      <c r="J41" s="19" t="s">
        <v>176</v>
      </c>
      <c r="K41" s="19"/>
      <c r="L41" s="19" t="s">
        <v>96</v>
      </c>
      <c r="M41" s="19" t="s">
        <v>96</v>
      </c>
      <c r="N41" s="19">
        <v>16124440</v>
      </c>
      <c r="O41" s="19"/>
      <c r="P41" s="19"/>
      <c r="Q41" s="19"/>
      <c r="R41" s="19">
        <f>33286458+326556114</f>
        <v>359842572</v>
      </c>
      <c r="S41" s="19">
        <v>442529946</v>
      </c>
      <c r="T41" s="19" t="s">
        <v>96</v>
      </c>
      <c r="U41" s="19" t="s">
        <v>96</v>
      </c>
      <c r="V41" s="19" t="s">
        <v>172</v>
      </c>
      <c r="W41" s="19"/>
      <c r="X41" s="19"/>
      <c r="Y41" s="19"/>
      <c r="Z41" s="19">
        <v>354254544</v>
      </c>
      <c r="AA41" s="19"/>
      <c r="AB41" s="19"/>
      <c r="AC41" s="19"/>
      <c r="AD41" s="19"/>
      <c r="AE41" s="19"/>
      <c r="AF41" s="56" t="s">
        <v>172</v>
      </c>
      <c r="AG41" s="19"/>
      <c r="AH41" s="19" t="s">
        <v>167</v>
      </c>
      <c r="AI41" s="19">
        <v>602715024</v>
      </c>
      <c r="AJ41" s="19">
        <v>634072797</v>
      </c>
      <c r="AK41" s="19">
        <v>1991188223</v>
      </c>
      <c r="AL41" s="19"/>
      <c r="AM41" s="19" t="s">
        <v>4</v>
      </c>
      <c r="AN41" s="19"/>
      <c r="AO41" s="19"/>
      <c r="AP41" s="19"/>
      <c r="AQ41" s="19" t="s">
        <v>172</v>
      </c>
      <c r="AR41" s="19">
        <v>1760243010</v>
      </c>
      <c r="AS41" s="19"/>
      <c r="AT41" s="19" t="s">
        <v>172</v>
      </c>
      <c r="AU41" s="19"/>
      <c r="AV41" s="19"/>
      <c r="AW41" s="19"/>
      <c r="AX41" s="19" t="s">
        <v>4</v>
      </c>
      <c r="AY41" s="19"/>
      <c r="AZ41" s="19"/>
      <c r="BA41" s="19" t="s">
        <v>167</v>
      </c>
      <c r="BB41" s="19"/>
      <c r="BC41" s="19" t="s">
        <v>4</v>
      </c>
      <c r="BD41" s="19" t="s">
        <v>172</v>
      </c>
      <c r="BE41" s="19"/>
      <c r="BF41" s="19" t="s">
        <v>96</v>
      </c>
      <c r="BG41" s="19">
        <v>374296801</v>
      </c>
      <c r="BH41" s="19"/>
      <c r="BI41" s="19"/>
      <c r="BJ41" s="19">
        <v>24811892</v>
      </c>
      <c r="BK41" s="19"/>
      <c r="BL41" s="19"/>
      <c r="BM41" s="19"/>
      <c r="BN41" s="19"/>
      <c r="BO41" s="19" t="s">
        <v>96</v>
      </c>
      <c r="BP41" s="19" t="s">
        <v>96</v>
      </c>
      <c r="BQ41" s="19" t="s">
        <v>175</v>
      </c>
      <c r="BR41" s="19"/>
      <c r="BS41" s="19" t="s">
        <v>172</v>
      </c>
      <c r="BT41" s="19">
        <v>25583704</v>
      </c>
      <c r="BU41" s="19"/>
      <c r="BV41" s="19"/>
      <c r="BW41" s="19"/>
      <c r="BX41" s="19"/>
      <c r="BY41" s="19">
        <v>6305737219</v>
      </c>
      <c r="BZ41" s="19">
        <v>2096625584</v>
      </c>
      <c r="CA41" s="19"/>
      <c r="CB41" s="19">
        <v>71838884</v>
      </c>
      <c r="CC41" s="19">
        <f>642006100+1214050071</f>
        <v>1856056171</v>
      </c>
      <c r="CD41" s="19"/>
      <c r="CE41" s="19" t="s">
        <v>172</v>
      </c>
      <c r="CF41" s="19"/>
      <c r="CG41" s="19"/>
      <c r="CH41" s="19">
        <f>3508181</f>
        <v>3508181</v>
      </c>
      <c r="CI41" s="19" t="s">
        <v>172</v>
      </c>
      <c r="CJ41" s="19">
        <v>112322307</v>
      </c>
      <c r="CK41" s="19"/>
      <c r="CL41" s="19">
        <v>5693368</v>
      </c>
      <c r="CM41" s="19"/>
      <c r="CN41" s="19"/>
      <c r="CO41" s="19"/>
      <c r="CP41" s="19">
        <v>2555502094</v>
      </c>
      <c r="CQ41" s="19" t="s">
        <v>96</v>
      </c>
      <c r="CR41" s="19"/>
      <c r="CS41" s="56" t="s">
        <v>172</v>
      </c>
      <c r="CT41" s="19">
        <v>115002070</v>
      </c>
      <c r="CU41" s="19"/>
      <c r="CV41" s="19">
        <v>176017910</v>
      </c>
      <c r="CW41" s="19"/>
      <c r="CX41" s="19">
        <v>509165945</v>
      </c>
      <c r="CY41" s="19" t="s">
        <v>96</v>
      </c>
      <c r="CZ41" s="19">
        <v>5840127</v>
      </c>
      <c r="DA41" s="19" t="s">
        <v>175</v>
      </c>
      <c r="DB41" s="19"/>
      <c r="DC41" s="19"/>
      <c r="DD41" s="19">
        <v>39560466</v>
      </c>
      <c r="DE41" s="19">
        <v>16863828</v>
      </c>
      <c r="DF41" s="19">
        <v>20431103</v>
      </c>
      <c r="DG41" s="19"/>
      <c r="DH41" s="19">
        <v>513700</v>
      </c>
      <c r="DI41" s="19">
        <v>34197245</v>
      </c>
      <c r="DJ41" s="19">
        <v>9260668</v>
      </c>
      <c r="DK41" s="19">
        <v>904683214</v>
      </c>
      <c r="DL41" s="19">
        <v>3502275</v>
      </c>
      <c r="DM41" s="19">
        <v>534511709</v>
      </c>
      <c r="DN41" s="19">
        <v>219992527</v>
      </c>
      <c r="DO41" s="19"/>
      <c r="DP41" s="19"/>
      <c r="DQ41" s="19"/>
      <c r="DR41" s="19"/>
      <c r="DS41" s="19">
        <v>1039644714</v>
      </c>
      <c r="DT41" s="19">
        <v>244771316</v>
      </c>
      <c r="DU41" s="19"/>
      <c r="DV41" s="19"/>
      <c r="DW41" s="19">
        <v>477609564</v>
      </c>
      <c r="DX41" s="19"/>
      <c r="DY41" s="19"/>
      <c r="DZ41" s="19"/>
      <c r="EA41" s="19"/>
      <c r="EB41" s="19"/>
      <c r="EC41" s="19">
        <v>852515154</v>
      </c>
      <c r="ED41" s="19">
        <v>134495488</v>
      </c>
      <c r="EE41" s="19"/>
      <c r="EF41" s="19"/>
      <c r="EG41" s="19">
        <v>25042122</v>
      </c>
      <c r="EH41" s="19"/>
      <c r="EI41" s="19">
        <v>8232196</v>
      </c>
      <c r="EJ41" s="19"/>
      <c r="EK41" s="19"/>
      <c r="EL41" s="19"/>
      <c r="EM41" s="19">
        <v>65157546</v>
      </c>
      <c r="EN41" s="19"/>
      <c r="EO41" s="19"/>
      <c r="EP41" s="19"/>
      <c r="EQ41" s="19"/>
      <c r="ER41" s="19"/>
      <c r="ES41" s="19">
        <v>804098216</v>
      </c>
      <c r="ET41" s="19"/>
      <c r="EU41" s="19"/>
      <c r="EV41" s="19">
        <v>362788971</v>
      </c>
      <c r="EW41" s="19">
        <v>389819052</v>
      </c>
      <c r="EX41" s="19">
        <v>14608864</v>
      </c>
      <c r="EY41" s="19"/>
      <c r="EZ41" s="19">
        <v>38262496</v>
      </c>
      <c r="FA41" s="19"/>
      <c r="FB41" s="19">
        <v>528852729</v>
      </c>
      <c r="FC41" s="19"/>
      <c r="FD41" s="19"/>
      <c r="FE41" s="19">
        <v>29006172567</v>
      </c>
      <c r="FF41" s="19"/>
      <c r="FG41" s="19" t="s">
        <v>172</v>
      </c>
      <c r="FH41" s="19">
        <v>1029856257</v>
      </c>
      <c r="FI41" s="19" t="s">
        <v>172</v>
      </c>
      <c r="FJ41" s="19">
        <v>44803579</v>
      </c>
      <c r="FK41" s="19">
        <v>37905249</v>
      </c>
      <c r="FL41" s="19"/>
      <c r="FM41" s="19">
        <v>13513006</v>
      </c>
      <c r="FN41" s="19">
        <v>28886760</v>
      </c>
      <c r="FO41" s="56" t="s">
        <v>172</v>
      </c>
      <c r="FP41" s="19"/>
      <c r="FQ41" s="19"/>
      <c r="FR41" s="19">
        <v>867426665</v>
      </c>
      <c r="FS41" s="19"/>
      <c r="FT41" s="19"/>
      <c r="FU41" s="19"/>
      <c r="FV41" s="19" t="s">
        <v>172</v>
      </c>
      <c r="FW41" s="19">
        <v>16904522</v>
      </c>
      <c r="FX41" s="19">
        <v>169809472</v>
      </c>
      <c r="FY41" s="19" t="s">
        <v>172</v>
      </c>
      <c r="FZ41" s="19" t="s">
        <v>175</v>
      </c>
      <c r="GA41" s="19">
        <v>216662914</v>
      </c>
      <c r="GB41" s="19">
        <v>105912621</v>
      </c>
      <c r="GC41" s="19"/>
      <c r="GD41" s="19" t="s">
        <v>172</v>
      </c>
      <c r="GE41" s="19" t="s">
        <v>172</v>
      </c>
      <c r="GF41" s="19"/>
      <c r="GG41" s="19">
        <v>2727773433</v>
      </c>
      <c r="GH41" s="19" t="s">
        <v>172</v>
      </c>
      <c r="GI41" s="19">
        <v>34508403</v>
      </c>
      <c r="GJ41" s="19" t="s">
        <v>172</v>
      </c>
      <c r="GK41" s="19">
        <v>65294196</v>
      </c>
      <c r="GL41" s="19" t="s">
        <v>172</v>
      </c>
      <c r="GM41" s="19"/>
      <c r="GN41" s="19"/>
      <c r="GO41" s="19" t="s">
        <v>172</v>
      </c>
      <c r="GP41" s="19">
        <v>4505755547</v>
      </c>
      <c r="GQ41" s="19"/>
      <c r="GR41" s="19">
        <v>1948375962</v>
      </c>
      <c r="GS41" s="19"/>
      <c r="GT41" s="19">
        <v>218029545</v>
      </c>
      <c r="GU41" s="19"/>
      <c r="GV41" s="19">
        <f>48092101+34841237</f>
        <v>82933338</v>
      </c>
      <c r="GW41" s="19">
        <v>706075055</v>
      </c>
      <c r="GX41" s="19">
        <v>511890493</v>
      </c>
      <c r="GY41" s="19"/>
      <c r="GZ41" s="19"/>
      <c r="HA41" s="19" t="s">
        <v>172</v>
      </c>
      <c r="HB41" s="19"/>
      <c r="HC41" s="19">
        <v>5618900</v>
      </c>
      <c r="HD41" s="19"/>
      <c r="HE41" s="19" t="s">
        <v>172</v>
      </c>
      <c r="HF41" s="19"/>
      <c r="HG41" s="19"/>
      <c r="HH41" s="19" t="s">
        <v>172</v>
      </c>
      <c r="HI41" s="19"/>
      <c r="HJ41" s="19" t="s">
        <v>172</v>
      </c>
      <c r="HK41" s="19">
        <f>332242700</f>
        <v>332242700</v>
      </c>
      <c r="HL41" s="19"/>
      <c r="HM41" s="19">
        <v>17174138</v>
      </c>
      <c r="HN41" s="19"/>
      <c r="HO41" s="19"/>
      <c r="HP41" s="19">
        <v>1218623507</v>
      </c>
      <c r="HQ41" s="19"/>
      <c r="HR41" s="19"/>
      <c r="HS41" s="19"/>
      <c r="HT41" s="19">
        <v>153911994</v>
      </c>
      <c r="HU41" s="19">
        <v>80901723</v>
      </c>
      <c r="HV41" s="19">
        <v>246714977</v>
      </c>
      <c r="HW41" s="19" t="s">
        <v>172</v>
      </c>
      <c r="HX41" s="19">
        <v>4289655</v>
      </c>
      <c r="HY41" s="19" t="s">
        <v>172</v>
      </c>
      <c r="HZ41" s="19">
        <v>0</v>
      </c>
      <c r="IA41" s="19"/>
      <c r="IB41" s="19">
        <v>20493065</v>
      </c>
      <c r="IC41" s="19"/>
      <c r="ID41" s="19">
        <v>385146577</v>
      </c>
      <c r="IE41" s="19" t="s">
        <v>172</v>
      </c>
      <c r="IF41" s="19"/>
      <c r="IG41" s="19">
        <v>103878319</v>
      </c>
      <c r="IH41" s="19">
        <v>2118753929</v>
      </c>
      <c r="II41" s="19"/>
      <c r="IJ41" s="19">
        <v>777326656</v>
      </c>
      <c r="IK41" s="19">
        <v>320251746</v>
      </c>
      <c r="IL41" s="19">
        <v>210245783</v>
      </c>
      <c r="IM41" s="19"/>
      <c r="IN41" s="19"/>
      <c r="IO41" s="19">
        <v>1051132054</v>
      </c>
      <c r="IP41" s="19">
        <v>1964367030</v>
      </c>
      <c r="IQ41" s="19"/>
      <c r="IR41" s="19">
        <v>28542729</v>
      </c>
      <c r="IS41" s="19"/>
      <c r="IT41" s="19"/>
      <c r="IU41" s="19"/>
      <c r="IV41" s="19"/>
      <c r="IW41" s="19"/>
      <c r="IX41" s="19">
        <v>214657890</v>
      </c>
      <c r="IY41" s="19"/>
      <c r="IZ41" s="19">
        <v>67369728</v>
      </c>
      <c r="JA41" s="19">
        <v>6541772870</v>
      </c>
      <c r="JB41" s="19"/>
      <c r="JC41" s="19">
        <v>18900191</v>
      </c>
      <c r="JD41" s="19"/>
      <c r="JE41" s="19">
        <v>234831608</v>
      </c>
      <c r="JF41" s="19">
        <v>718624067</v>
      </c>
      <c r="JG41" s="19"/>
      <c r="JH41" s="19"/>
      <c r="JI41" s="19"/>
      <c r="JJ41" s="19"/>
      <c r="JK41" s="19"/>
      <c r="JL41" s="19">
        <v>291824736</v>
      </c>
      <c r="JM41" s="19"/>
      <c r="JN41" s="19">
        <v>1147538795</v>
      </c>
      <c r="JO41" s="19"/>
      <c r="JP41" s="19"/>
      <c r="JQ41" s="19" t="s">
        <v>175</v>
      </c>
      <c r="JR41" s="19"/>
      <c r="JS41" s="19"/>
      <c r="JT41" s="19"/>
      <c r="JU41" s="19"/>
      <c r="JV41" s="19"/>
      <c r="JW41" s="19"/>
      <c r="JX41" s="19"/>
      <c r="JY41" s="19"/>
      <c r="JZ41" s="19"/>
      <c r="KA41" s="19"/>
      <c r="KB41" s="19"/>
      <c r="KC41" s="19"/>
      <c r="KD41" s="19">
        <v>649718468</v>
      </c>
      <c r="KE41" s="19">
        <v>2690000</v>
      </c>
      <c r="KF41" s="19"/>
      <c r="KG41" s="19">
        <v>1471479301</v>
      </c>
      <c r="KH41" s="19"/>
      <c r="KI41" s="19"/>
      <c r="KJ41" s="19"/>
      <c r="KK41" s="19"/>
      <c r="KL41" s="19"/>
      <c r="KM41" s="19">
        <v>35561082</v>
      </c>
      <c r="KN41" s="19"/>
      <c r="KO41" s="19">
        <v>112887386</v>
      </c>
      <c r="KP41" s="19"/>
      <c r="KQ41" s="19"/>
      <c r="KR41" s="19">
        <v>27174130</v>
      </c>
      <c r="KS41" s="19">
        <v>2028001</v>
      </c>
      <c r="KT41" s="19"/>
      <c r="KU41" s="19">
        <v>4331081772</v>
      </c>
      <c r="KV41" s="19">
        <v>284522563</v>
      </c>
      <c r="KW41" s="19">
        <v>859600305</v>
      </c>
      <c r="KX41" s="19">
        <v>23931699</v>
      </c>
      <c r="KY41" s="19"/>
      <c r="KZ41" s="58"/>
      <c r="LA41" s="70">
        <v>152162008</v>
      </c>
      <c r="LB41" s="70">
        <v>2124259</v>
      </c>
    </row>
    <row r="42" spans="1:314">
      <c r="A42" s="9" t="s">
        <v>103</v>
      </c>
      <c r="B42" s="15" t="s">
        <v>22</v>
      </c>
      <c r="C42" s="19"/>
      <c r="D42" s="19">
        <v>4259390612</v>
      </c>
      <c r="E42" s="19">
        <f>180068451+740367858+497225445+40925890</f>
        <v>1458587644</v>
      </c>
      <c r="F42" s="19"/>
      <c r="G42" s="19" t="s">
        <v>130</v>
      </c>
      <c r="H42" s="19"/>
      <c r="I42" s="19"/>
      <c r="J42" s="19" t="s">
        <v>176</v>
      </c>
      <c r="K42" s="19">
        <v>3665688476</v>
      </c>
      <c r="L42" s="19" t="s">
        <v>96</v>
      </c>
      <c r="M42" s="19" t="s">
        <v>96</v>
      </c>
      <c r="N42" s="19">
        <v>534998148</v>
      </c>
      <c r="O42" s="19"/>
      <c r="P42" s="19"/>
      <c r="Q42" s="19">
        <v>259908270</v>
      </c>
      <c r="R42" s="19"/>
      <c r="S42" s="19">
        <v>13635347415</v>
      </c>
      <c r="T42" s="19" t="s">
        <v>96</v>
      </c>
      <c r="U42" s="19" t="s">
        <v>96</v>
      </c>
      <c r="V42" s="19" t="s">
        <v>172</v>
      </c>
      <c r="W42" s="19">
        <v>885690701</v>
      </c>
      <c r="X42" s="19"/>
      <c r="Y42" s="19"/>
      <c r="Z42" s="19"/>
      <c r="AA42" s="19">
        <v>4832614188</v>
      </c>
      <c r="AB42" s="19"/>
      <c r="AC42" s="19">
        <v>2716115306</v>
      </c>
      <c r="AD42" s="19">
        <v>4518117874</v>
      </c>
      <c r="AE42" s="19">
        <v>355914337</v>
      </c>
      <c r="AF42" s="56" t="s">
        <v>172</v>
      </c>
      <c r="AG42" s="19"/>
      <c r="AH42" s="19" t="s">
        <v>167</v>
      </c>
      <c r="AI42" s="19"/>
      <c r="AJ42" s="19"/>
      <c r="AK42" s="19">
        <v>507353309</v>
      </c>
      <c r="AL42" s="19"/>
      <c r="AM42" s="19" t="s">
        <v>4</v>
      </c>
      <c r="AN42" s="19">
        <v>32917716</v>
      </c>
      <c r="AO42" s="19"/>
      <c r="AP42" s="19"/>
      <c r="AQ42" s="19" t="s">
        <v>172</v>
      </c>
      <c r="AR42" s="19"/>
      <c r="AS42" s="19"/>
      <c r="AT42" s="19" t="s">
        <v>172</v>
      </c>
      <c r="AU42" s="19"/>
      <c r="AV42" s="19"/>
      <c r="AW42" s="19"/>
      <c r="AX42" s="19" t="s">
        <v>4</v>
      </c>
      <c r="AY42" s="19">
        <v>145105541</v>
      </c>
      <c r="AZ42" s="19">
        <v>1063829746</v>
      </c>
      <c r="BA42" s="19" t="s">
        <v>167</v>
      </c>
      <c r="BB42" s="19"/>
      <c r="BC42" s="19" t="s">
        <v>4</v>
      </c>
      <c r="BD42" s="19" t="s">
        <v>172</v>
      </c>
      <c r="BE42" s="19">
        <v>1532837718</v>
      </c>
      <c r="BF42" s="19" t="s">
        <v>96</v>
      </c>
      <c r="BG42" s="19">
        <v>1697619417</v>
      </c>
      <c r="BH42" s="19">
        <v>1103311658</v>
      </c>
      <c r="BI42" s="19">
        <v>715102592</v>
      </c>
      <c r="BJ42" s="19">
        <v>640621020</v>
      </c>
      <c r="BK42" s="19">
        <v>1047406698</v>
      </c>
      <c r="BL42" s="19"/>
      <c r="BM42" s="19">
        <f>1027761397+155277951+25181816</f>
        <v>1208221164</v>
      </c>
      <c r="BN42" s="19"/>
      <c r="BO42" s="19" t="s">
        <v>96</v>
      </c>
      <c r="BP42" s="19" t="s">
        <v>96</v>
      </c>
      <c r="BQ42" s="19" t="s">
        <v>175</v>
      </c>
      <c r="BR42" s="19">
        <v>12427727016</v>
      </c>
      <c r="BS42" s="19" t="s">
        <v>172</v>
      </c>
      <c r="BT42" s="19"/>
      <c r="BU42" s="19">
        <v>1056709005</v>
      </c>
      <c r="BV42" s="19"/>
      <c r="BW42" s="19"/>
      <c r="BX42" s="19"/>
      <c r="BY42" s="19"/>
      <c r="BZ42" s="19"/>
      <c r="CA42" s="19"/>
      <c r="CB42" s="19"/>
      <c r="CC42" s="19"/>
      <c r="CD42" s="19">
        <v>2941403952</v>
      </c>
      <c r="CE42" s="19" t="s">
        <v>172</v>
      </c>
      <c r="CF42" s="19">
        <v>174972152</v>
      </c>
      <c r="CG42" s="19"/>
      <c r="CH42" s="19">
        <v>550691972</v>
      </c>
      <c r="CI42" s="19" t="s">
        <v>172</v>
      </c>
      <c r="CJ42" s="19">
        <v>149993268</v>
      </c>
      <c r="CK42" s="19">
        <v>2745421188</v>
      </c>
      <c r="CL42" s="19">
        <v>598254938</v>
      </c>
      <c r="CM42" s="19"/>
      <c r="CN42" s="19"/>
      <c r="CO42" s="19"/>
      <c r="CP42" s="19">
        <v>205521605</v>
      </c>
      <c r="CQ42" s="19" t="s">
        <v>96</v>
      </c>
      <c r="CR42" s="19"/>
      <c r="CS42" s="56" t="s">
        <v>172</v>
      </c>
      <c r="CT42" s="19"/>
      <c r="CU42" s="19"/>
      <c r="CV42" s="19"/>
      <c r="CW42" s="19"/>
      <c r="CX42" s="19"/>
      <c r="CY42" s="19" t="s">
        <v>96</v>
      </c>
      <c r="CZ42" s="19">
        <v>65678455</v>
      </c>
      <c r="DA42" s="19" t="s">
        <v>175</v>
      </c>
      <c r="DB42" s="19">
        <v>368738520</v>
      </c>
      <c r="DC42" s="19"/>
      <c r="DD42" s="19"/>
      <c r="DE42" s="19"/>
      <c r="DF42" s="19"/>
      <c r="DG42" s="19"/>
      <c r="DH42" s="19">
        <v>933000</v>
      </c>
      <c r="DI42" s="19">
        <v>5229871167</v>
      </c>
      <c r="DJ42" s="19"/>
      <c r="DK42" s="19">
        <v>11490230526</v>
      </c>
      <c r="DL42" s="19"/>
      <c r="DM42" s="19"/>
      <c r="DN42" s="19">
        <v>1459331278</v>
      </c>
      <c r="DO42" s="19"/>
      <c r="DP42" s="19">
        <v>2169472728</v>
      </c>
      <c r="DQ42" s="19">
        <v>209721479</v>
      </c>
      <c r="DR42" s="19">
        <v>1074735977</v>
      </c>
      <c r="DS42" s="19"/>
      <c r="DT42" s="19"/>
      <c r="DU42" s="19"/>
      <c r="DV42" s="19"/>
      <c r="DW42" s="19">
        <v>852330752</v>
      </c>
      <c r="DX42" s="19"/>
      <c r="DY42" s="19"/>
      <c r="DZ42" s="19"/>
      <c r="EA42" s="19"/>
      <c r="EB42" s="19">
        <v>145478772</v>
      </c>
      <c r="EC42" s="19"/>
      <c r="ED42" s="19"/>
      <c r="EE42" s="19">
        <v>976177650</v>
      </c>
      <c r="EF42" s="19">
        <v>1051457686</v>
      </c>
      <c r="EG42" s="19">
        <v>3789588204</v>
      </c>
      <c r="EH42" s="19"/>
      <c r="EI42" s="19"/>
      <c r="EJ42" s="19"/>
      <c r="EK42" s="19"/>
      <c r="EL42" s="19">
        <v>3196417011</v>
      </c>
      <c r="EM42" s="19">
        <v>599077786</v>
      </c>
      <c r="EN42" s="19"/>
      <c r="EO42" s="19">
        <v>1400442555</v>
      </c>
      <c r="EP42" s="19">
        <v>623368628</v>
      </c>
      <c r="EQ42" s="19"/>
      <c r="ER42" s="19"/>
      <c r="ES42" s="19"/>
      <c r="ET42" s="19"/>
      <c r="EU42" s="19"/>
      <c r="EV42" s="19"/>
      <c r="EW42" s="19">
        <v>130319733</v>
      </c>
      <c r="EX42" s="19"/>
      <c r="EY42" s="19"/>
      <c r="EZ42" s="19"/>
      <c r="FA42" s="19"/>
      <c r="FB42" s="19"/>
      <c r="FC42" s="19">
        <v>2460796448</v>
      </c>
      <c r="FD42" s="19">
        <v>176438017</v>
      </c>
      <c r="FE42" s="19"/>
      <c r="FF42" s="19"/>
      <c r="FG42" s="19" t="s">
        <v>172</v>
      </c>
      <c r="FH42" s="19">
        <v>117196811</v>
      </c>
      <c r="FI42" s="19" t="s">
        <v>172</v>
      </c>
      <c r="FJ42" s="19"/>
      <c r="FK42" s="19">
        <f>1405208949+433956545+1042073488</f>
        <v>2881238982</v>
      </c>
      <c r="FL42" s="19">
        <v>282273967</v>
      </c>
      <c r="FM42" s="19"/>
      <c r="FN42" s="19">
        <v>1340063400</v>
      </c>
      <c r="FO42" s="56" t="s">
        <v>172</v>
      </c>
      <c r="FP42" s="19"/>
      <c r="FQ42" s="19">
        <v>71500000</v>
      </c>
      <c r="FR42" s="19"/>
      <c r="FS42" s="19">
        <v>177252638</v>
      </c>
      <c r="FT42" s="19">
        <v>17496837514</v>
      </c>
      <c r="FU42" s="19"/>
      <c r="FV42" s="19" t="s">
        <v>172</v>
      </c>
      <c r="FW42" s="19"/>
      <c r="FX42" s="19"/>
      <c r="FY42" s="19" t="s">
        <v>172</v>
      </c>
      <c r="FZ42" s="19" t="s">
        <v>175</v>
      </c>
      <c r="GA42" s="19"/>
      <c r="GB42" s="19"/>
      <c r="GC42" s="19"/>
      <c r="GD42" s="19" t="s">
        <v>172</v>
      </c>
      <c r="GE42" s="19" t="s">
        <v>172</v>
      </c>
      <c r="GF42" s="19">
        <v>1792456525</v>
      </c>
      <c r="GG42" s="19">
        <v>1028528176</v>
      </c>
      <c r="GH42" s="19" t="s">
        <v>172</v>
      </c>
      <c r="GI42" s="19">
        <v>56412641</v>
      </c>
      <c r="GJ42" s="19" t="s">
        <v>172</v>
      </c>
      <c r="GK42" s="19">
        <v>292799843</v>
      </c>
      <c r="GL42" s="19" t="s">
        <v>172</v>
      </c>
      <c r="GM42" s="19"/>
      <c r="GN42" s="19"/>
      <c r="GO42" s="19" t="s">
        <v>172</v>
      </c>
      <c r="GP42" s="19">
        <v>6211888229</v>
      </c>
      <c r="GQ42" s="19">
        <v>230592411</v>
      </c>
      <c r="GR42" s="19">
        <v>287315055</v>
      </c>
      <c r="GS42" s="19"/>
      <c r="GT42" s="19"/>
      <c r="GU42" s="19"/>
      <c r="GV42" s="19"/>
      <c r="GW42" s="19">
        <v>4846386673</v>
      </c>
      <c r="GX42" s="19">
        <v>1490225663</v>
      </c>
      <c r="GY42" s="19">
        <v>82147901</v>
      </c>
      <c r="GZ42" s="19">
        <v>969649919</v>
      </c>
      <c r="HA42" s="19" t="s">
        <v>172</v>
      </c>
      <c r="HB42" s="19"/>
      <c r="HC42" s="19">
        <v>590441457</v>
      </c>
      <c r="HD42" s="19">
        <v>410370504</v>
      </c>
      <c r="HE42" s="19" t="s">
        <v>172</v>
      </c>
      <c r="HF42" s="19"/>
      <c r="HG42" s="19">
        <v>2437580180</v>
      </c>
      <c r="HH42" s="19" t="s">
        <v>172</v>
      </c>
      <c r="HI42" s="19"/>
      <c r="HJ42" s="19" t="s">
        <v>172</v>
      </c>
      <c r="HK42" s="19">
        <v>2778526369</v>
      </c>
      <c r="HL42" s="19">
        <f>134204821</f>
        <v>134204821</v>
      </c>
      <c r="HM42" s="19"/>
      <c r="HN42" s="19"/>
      <c r="HO42" s="19">
        <v>799033084</v>
      </c>
      <c r="HP42" s="19"/>
      <c r="HQ42" s="19"/>
      <c r="HR42" s="19">
        <v>7484842648</v>
      </c>
      <c r="HS42" s="19">
        <v>195690187</v>
      </c>
      <c r="HT42" s="19"/>
      <c r="HU42" s="19"/>
      <c r="HV42" s="19"/>
      <c r="HW42" s="19" t="s">
        <v>172</v>
      </c>
      <c r="HX42" s="19">
        <v>4230292747</v>
      </c>
      <c r="HY42" s="19" t="s">
        <v>172</v>
      </c>
      <c r="HZ42" s="19">
        <f>4549953022</f>
        <v>4549953022</v>
      </c>
      <c r="IA42" s="19"/>
      <c r="IB42" s="19"/>
      <c r="IC42" s="19"/>
      <c r="ID42" s="19"/>
      <c r="IE42" s="19" t="s">
        <v>172</v>
      </c>
      <c r="IF42" s="19"/>
      <c r="IG42" s="19">
        <v>72004072</v>
      </c>
      <c r="IH42" s="19"/>
      <c r="II42" s="19">
        <v>402184759</v>
      </c>
      <c r="IJ42" s="19"/>
      <c r="IK42" s="19">
        <v>777408497</v>
      </c>
      <c r="IL42" s="19">
        <v>395685926</v>
      </c>
      <c r="IM42" s="19"/>
      <c r="IN42" s="19"/>
      <c r="IO42" s="19">
        <v>474905020</v>
      </c>
      <c r="IP42" s="19"/>
      <c r="IQ42" s="19"/>
      <c r="IR42" s="19"/>
      <c r="IS42" s="19">
        <v>2720348191</v>
      </c>
      <c r="IT42" s="19">
        <v>48504769</v>
      </c>
      <c r="IU42" s="19"/>
      <c r="IV42" s="19"/>
      <c r="IW42" s="19"/>
      <c r="IX42" s="19"/>
      <c r="IY42" s="19">
        <v>330936360</v>
      </c>
      <c r="IZ42" s="19">
        <v>82691472</v>
      </c>
      <c r="JA42" s="19"/>
      <c r="JB42" s="19">
        <v>724875092</v>
      </c>
      <c r="JC42" s="19">
        <v>177455412</v>
      </c>
      <c r="JD42" s="19"/>
      <c r="JE42" s="19"/>
      <c r="JF42" s="19"/>
      <c r="JG42" s="19"/>
      <c r="JH42" s="19"/>
      <c r="JI42" s="19">
        <v>150885632</v>
      </c>
      <c r="JJ42" s="19"/>
      <c r="JK42" s="19"/>
      <c r="JL42" s="19"/>
      <c r="JM42" s="19"/>
      <c r="JN42" s="19">
        <v>2502298817</v>
      </c>
      <c r="JO42" s="19"/>
      <c r="JP42" s="19"/>
      <c r="JQ42" s="19" t="s">
        <v>175</v>
      </c>
      <c r="JR42" s="19">
        <v>238645764</v>
      </c>
      <c r="JS42" s="19">
        <f>222332488+181964699+20862400</f>
        <v>425159587</v>
      </c>
      <c r="JT42" s="19">
        <v>304162735</v>
      </c>
      <c r="JU42" s="19">
        <v>1330194393</v>
      </c>
      <c r="JV42" s="19"/>
      <c r="JW42" s="19"/>
      <c r="JX42" s="19"/>
      <c r="JY42" s="19"/>
      <c r="JZ42" s="19">
        <v>57989249</v>
      </c>
      <c r="KA42" s="19"/>
      <c r="KB42" s="19">
        <v>7595672493</v>
      </c>
      <c r="KC42" s="19">
        <v>665432903</v>
      </c>
      <c r="KD42" s="19"/>
      <c r="KE42" s="19">
        <v>124670346</v>
      </c>
      <c r="KF42" s="19">
        <v>117134000</v>
      </c>
      <c r="KG42" s="19"/>
      <c r="KH42" s="19"/>
      <c r="KI42" s="19"/>
      <c r="KJ42" s="19"/>
      <c r="KK42" s="19">
        <v>143250181</v>
      </c>
      <c r="KL42" s="19">
        <v>541878769</v>
      </c>
      <c r="KM42" s="19"/>
      <c r="KN42" s="19"/>
      <c r="KO42" s="19">
        <v>2237670632</v>
      </c>
      <c r="KP42" s="19"/>
      <c r="KQ42" s="19">
        <v>77192311</v>
      </c>
      <c r="KR42" s="19"/>
      <c r="KS42" s="19">
        <v>625202176</v>
      </c>
      <c r="KT42" s="19"/>
      <c r="KU42" s="19">
        <v>390174200</v>
      </c>
      <c r="KV42" s="19"/>
      <c r="KW42" s="19"/>
      <c r="KX42" s="19"/>
      <c r="KY42" s="19">
        <v>1191379413</v>
      </c>
      <c r="KZ42" s="58">
        <v>697726570</v>
      </c>
      <c r="LA42" s="70">
        <v>60973872</v>
      </c>
      <c r="LB42" s="70">
        <v>126833636</v>
      </c>
    </row>
    <row r="43" spans="1:314">
      <c r="A43" s="9" t="s">
        <v>103</v>
      </c>
      <c r="B43" s="15" t="s">
        <v>28</v>
      </c>
      <c r="C43" s="19">
        <f>1893073612-38655000-3060000</f>
        <v>1851358612</v>
      </c>
      <c r="D43" s="19"/>
      <c r="E43" s="19"/>
      <c r="F43" s="19">
        <f>197053853+2573088278</f>
        <v>2770142131</v>
      </c>
      <c r="G43" s="19" t="s">
        <v>130</v>
      </c>
      <c r="H43" s="19"/>
      <c r="I43" s="19">
        <f>10241361803-7200000</f>
        <v>10234161803</v>
      </c>
      <c r="J43" s="19" t="s">
        <v>176</v>
      </c>
      <c r="K43" s="19"/>
      <c r="L43" s="19" t="s">
        <v>96</v>
      </c>
      <c r="M43" s="19" t="s">
        <v>96</v>
      </c>
      <c r="N43" s="19"/>
      <c r="O43" s="19">
        <v>13349966197</v>
      </c>
      <c r="P43" s="19">
        <f>2927352105+1599652013+1154102114+982771418</f>
        <v>6663877650</v>
      </c>
      <c r="Q43" s="19">
        <v>217407665</v>
      </c>
      <c r="R43" s="19">
        <v>68518729</v>
      </c>
      <c r="S43" s="19"/>
      <c r="T43" s="19" t="s">
        <v>96</v>
      </c>
      <c r="U43" s="19" t="s">
        <v>96</v>
      </c>
      <c r="V43" s="19" t="s">
        <v>172</v>
      </c>
      <c r="W43" s="19">
        <v>577487303</v>
      </c>
      <c r="X43" s="19">
        <f>2161372186+1423964096</f>
        <v>3585336282</v>
      </c>
      <c r="Y43" s="19">
        <v>329406957</v>
      </c>
      <c r="Z43" s="19">
        <f>120000000+508363635</f>
        <v>628363635</v>
      </c>
      <c r="AA43" s="19"/>
      <c r="AB43" s="19">
        <v>327154290</v>
      </c>
      <c r="AC43" s="19"/>
      <c r="AD43" s="19"/>
      <c r="AE43" s="19">
        <v>408483337</v>
      </c>
      <c r="AF43" s="56" t="s">
        <v>172</v>
      </c>
      <c r="AG43" s="19">
        <v>191466341</v>
      </c>
      <c r="AH43" s="19" t="s">
        <v>167</v>
      </c>
      <c r="AI43" s="19">
        <v>36500000</v>
      </c>
      <c r="AJ43" s="19"/>
      <c r="AK43" s="19"/>
      <c r="AL43" s="19">
        <v>504795591</v>
      </c>
      <c r="AM43" s="19" t="s">
        <v>4</v>
      </c>
      <c r="AN43" s="19">
        <f>1210911427-32917716-46022520</f>
        <v>1131971191</v>
      </c>
      <c r="AO43" s="19">
        <v>1516635439</v>
      </c>
      <c r="AP43" s="19">
        <v>1088287435</v>
      </c>
      <c r="AQ43" s="19" t="s">
        <v>172</v>
      </c>
      <c r="AR43" s="19"/>
      <c r="AS43" s="19">
        <f>906684334+91004662+150227268</f>
        <v>1147916264</v>
      </c>
      <c r="AT43" s="19" t="s">
        <v>172</v>
      </c>
      <c r="AU43" s="19">
        <v>456179072</v>
      </c>
      <c r="AV43" s="19"/>
      <c r="AW43" s="19">
        <v>321468165</v>
      </c>
      <c r="AX43" s="19" t="s">
        <v>4</v>
      </c>
      <c r="AY43" s="19">
        <v>197636363</v>
      </c>
      <c r="AZ43" s="19"/>
      <c r="BA43" s="19" t="s">
        <v>167</v>
      </c>
      <c r="BB43" s="19">
        <v>25862900</v>
      </c>
      <c r="BC43" s="19" t="s">
        <v>4</v>
      </c>
      <c r="BD43" s="19" t="s">
        <v>172</v>
      </c>
      <c r="BE43" s="19"/>
      <c r="BF43" s="19" t="s">
        <v>96</v>
      </c>
      <c r="BG43" s="19">
        <v>13769754</v>
      </c>
      <c r="BH43" s="19"/>
      <c r="BI43" s="19"/>
      <c r="BJ43" s="19">
        <v>481676507</v>
      </c>
      <c r="BK43" s="19">
        <v>1489682189</v>
      </c>
      <c r="BL43" s="19">
        <v>1325502567</v>
      </c>
      <c r="BM43" s="19">
        <f>814828974+1031241546</f>
        <v>1846070520</v>
      </c>
      <c r="BN43" s="19">
        <v>150863066</v>
      </c>
      <c r="BO43" s="19" t="s">
        <v>96</v>
      </c>
      <c r="BP43" s="19" t="s">
        <v>96</v>
      </c>
      <c r="BQ43" s="19" t="s">
        <v>175</v>
      </c>
      <c r="BR43" s="19"/>
      <c r="BS43" s="19" t="s">
        <v>172</v>
      </c>
      <c r="BT43" s="19">
        <v>18119994</v>
      </c>
      <c r="BU43" s="19"/>
      <c r="BV43" s="19">
        <f>17442734+1390908</f>
        <v>18833642</v>
      </c>
      <c r="BW43" s="19">
        <v>589699545</v>
      </c>
      <c r="BX43" s="19">
        <f>84039801+276418636</f>
        <v>360458437</v>
      </c>
      <c r="BY43" s="19"/>
      <c r="BZ43" s="19"/>
      <c r="CA43" s="19">
        <f>1265907070+2555154923</f>
        <v>3821061993</v>
      </c>
      <c r="CB43" s="19">
        <v>366932104</v>
      </c>
      <c r="CC43" s="19"/>
      <c r="CD43" s="19"/>
      <c r="CE43" s="19" t="s">
        <v>172</v>
      </c>
      <c r="CF43" s="19"/>
      <c r="CG43" s="19">
        <f>1115031600+39050230</f>
        <v>1154081830</v>
      </c>
      <c r="CH43" s="19">
        <v>7010000</v>
      </c>
      <c r="CI43" s="19" t="s">
        <v>172</v>
      </c>
      <c r="CJ43" s="19"/>
      <c r="CK43" s="19"/>
      <c r="CL43" s="19"/>
      <c r="CM43" s="19">
        <f>27664000+113818000+452909230+74425000+7352400487+544343590+585148600</f>
        <v>9150708907</v>
      </c>
      <c r="CN43" s="19"/>
      <c r="CO43" s="19">
        <v>180466856</v>
      </c>
      <c r="CP43" s="19">
        <v>3500288023</v>
      </c>
      <c r="CQ43" s="19" t="s">
        <v>96</v>
      </c>
      <c r="CR43" s="19">
        <v>1088546956</v>
      </c>
      <c r="CS43" s="56" t="s">
        <v>172</v>
      </c>
      <c r="CT43" s="19">
        <v>2840743905</v>
      </c>
      <c r="CU43" s="19">
        <v>1082375031</v>
      </c>
      <c r="CV43" s="19"/>
      <c r="CW43" s="19">
        <f>3211938580-83273181</f>
        <v>3128665399</v>
      </c>
      <c r="CX43" s="19">
        <f>9958183690-509165945-1400000</f>
        <v>9447617745</v>
      </c>
      <c r="CY43" s="19" t="s">
        <v>96</v>
      </c>
      <c r="CZ43" s="19">
        <f>3641304543+197684756</f>
        <v>3838989299</v>
      </c>
      <c r="DA43" s="19" t="s">
        <v>175</v>
      </c>
      <c r="DB43" s="19"/>
      <c r="DC43" s="19">
        <v>60235720</v>
      </c>
      <c r="DD43" s="19"/>
      <c r="DE43" s="19"/>
      <c r="DF43" s="19">
        <v>39578090</v>
      </c>
      <c r="DG43" s="19"/>
      <c r="DH43" s="19">
        <v>1601225305</v>
      </c>
      <c r="DI43" s="19"/>
      <c r="DJ43" s="19">
        <v>109016809</v>
      </c>
      <c r="DK43" s="19">
        <f>7131862165+123481928</f>
        <v>7255344093</v>
      </c>
      <c r="DL43" s="19">
        <v>874593069</v>
      </c>
      <c r="DM43" s="19"/>
      <c r="DN43" s="19"/>
      <c r="DO43" s="19">
        <v>87623745</v>
      </c>
      <c r="DP43" s="19"/>
      <c r="DQ43" s="19"/>
      <c r="DR43" s="19"/>
      <c r="DS43" s="19"/>
      <c r="DT43" s="19">
        <v>2144223332</v>
      </c>
      <c r="DU43" s="19">
        <v>390033365</v>
      </c>
      <c r="DV43" s="19">
        <v>609257500</v>
      </c>
      <c r="DW43" s="19"/>
      <c r="DX43" s="19">
        <v>9704114293</v>
      </c>
      <c r="DY43" s="19"/>
      <c r="DZ43" s="19">
        <v>1483069759</v>
      </c>
      <c r="EA43" s="19"/>
      <c r="EB43" s="19">
        <f>293708000+445072240+72594600+59956700+71815500+707935030+11152923468</f>
        <v>12804005538</v>
      </c>
      <c r="EC43" s="19"/>
      <c r="ED43" s="19"/>
      <c r="EE43" s="19"/>
      <c r="EF43" s="19"/>
      <c r="EG43" s="19">
        <v>57592577</v>
      </c>
      <c r="EH43" s="19">
        <v>115012334</v>
      </c>
      <c r="EI43" s="19">
        <v>25505683746</v>
      </c>
      <c r="EJ43" s="19">
        <f>54674500+700000</f>
        <v>55374500</v>
      </c>
      <c r="EK43" s="19">
        <f>48424312+140172191</f>
        <v>188596503</v>
      </c>
      <c r="EL43" s="19"/>
      <c r="EM43" s="19"/>
      <c r="EN43" s="19">
        <f>78055030+1901477750+184346490+1153630680+1305512338+3622494028</f>
        <v>8245516316</v>
      </c>
      <c r="EO43" s="19"/>
      <c r="EP43" s="19"/>
      <c r="EQ43" s="19"/>
      <c r="ER43" s="19">
        <f>407991260+365495660+620223660+6943857202+484393356</f>
        <v>8821961138</v>
      </c>
      <c r="ES43" s="19"/>
      <c r="ET43" s="19">
        <v>3922181625</v>
      </c>
      <c r="EU43" s="19">
        <f>2133614105+97945042+113095229</f>
        <v>2344654376</v>
      </c>
      <c r="EV43" s="19"/>
      <c r="EW43" s="19"/>
      <c r="EX43" s="19">
        <v>2917313317</v>
      </c>
      <c r="EY43" s="19">
        <f>779817666+402370011+38744828+1080524872+1206680840+9546583+3276231381</f>
        <v>6793916181</v>
      </c>
      <c r="EZ43" s="19">
        <f>779196258+1065000</f>
        <v>780261258</v>
      </c>
      <c r="FA43" s="19"/>
      <c r="FB43" s="19"/>
      <c r="FC43" s="19"/>
      <c r="FD43" s="19"/>
      <c r="FE43" s="19"/>
      <c r="FF43" s="19">
        <v>566842562</v>
      </c>
      <c r="FG43" s="19" t="s">
        <v>172</v>
      </c>
      <c r="FH43" s="19"/>
      <c r="FI43" s="19" t="s">
        <v>172</v>
      </c>
      <c r="FJ43" s="19"/>
      <c r="FK43" s="19">
        <v>231258529</v>
      </c>
      <c r="FL43" s="19"/>
      <c r="FM43" s="19">
        <v>434887004</v>
      </c>
      <c r="FN43" s="19"/>
      <c r="FO43" s="56" t="s">
        <v>172</v>
      </c>
      <c r="FP43" s="19"/>
      <c r="FQ43" s="19"/>
      <c r="FR43" s="19"/>
      <c r="FS43" s="19">
        <f>210014906+143882672</f>
        <v>353897578</v>
      </c>
      <c r="FT43" s="19"/>
      <c r="FU43" s="19">
        <v>66048213</v>
      </c>
      <c r="FV43" s="19" t="s">
        <v>172</v>
      </c>
      <c r="FW43" s="19">
        <v>16573200</v>
      </c>
      <c r="FX43" s="19"/>
      <c r="FY43" s="19" t="s">
        <v>172</v>
      </c>
      <c r="FZ43" s="19" t="s">
        <v>175</v>
      </c>
      <c r="GA43" s="19"/>
      <c r="GB43" s="19"/>
      <c r="GC43" s="19">
        <v>191165513</v>
      </c>
      <c r="GD43" s="19" t="s">
        <v>172</v>
      </c>
      <c r="GE43" s="19" t="s">
        <v>172</v>
      </c>
      <c r="GF43" s="19"/>
      <c r="GG43" s="19"/>
      <c r="GH43" s="19" t="s">
        <v>172</v>
      </c>
      <c r="GI43" s="19">
        <v>10959090</v>
      </c>
      <c r="GJ43" s="19" t="s">
        <v>172</v>
      </c>
      <c r="GK43" s="19"/>
      <c r="GL43" s="19" t="s">
        <v>172</v>
      </c>
      <c r="GM43" s="19"/>
      <c r="GN43" s="19"/>
      <c r="GO43" s="19" t="s">
        <v>172</v>
      </c>
      <c r="GP43" s="19"/>
      <c r="GQ43" s="19"/>
      <c r="GR43" s="19"/>
      <c r="GS43" s="19"/>
      <c r="GT43" s="19">
        <v>37790906</v>
      </c>
      <c r="GU43" s="19">
        <v>107342150</v>
      </c>
      <c r="GV43" s="19">
        <f>710426070+23100000+17365000+3902796645+5246600+252318800+1484520+893364300+39917220+5569200+60942640</f>
        <v>5912530995</v>
      </c>
      <c r="GW43" s="19">
        <v>2102301021</v>
      </c>
      <c r="GX43" s="19">
        <v>19273615</v>
      </c>
      <c r="GY43" s="19">
        <v>289903500</v>
      </c>
      <c r="GZ43" s="19">
        <v>331368956</v>
      </c>
      <c r="HA43" s="19" t="s">
        <v>172</v>
      </c>
      <c r="HB43" s="19">
        <v>596936040</v>
      </c>
      <c r="HC43" s="19"/>
      <c r="HD43" s="19"/>
      <c r="HE43" s="19" t="s">
        <v>172</v>
      </c>
      <c r="HF43" s="19">
        <v>6641475203</v>
      </c>
      <c r="HG43" s="19">
        <v>26738890</v>
      </c>
      <c r="HH43" s="19" t="s">
        <v>172</v>
      </c>
      <c r="HI43" s="19"/>
      <c r="HJ43" s="19" t="s">
        <v>172</v>
      </c>
      <c r="HK43" s="19">
        <v>46864659</v>
      </c>
      <c r="HL43" s="19">
        <f>7900000</f>
        <v>7900000</v>
      </c>
      <c r="HM43" s="19">
        <f>658820405+61586729</f>
        <v>720407134</v>
      </c>
      <c r="HN43" s="19">
        <v>0</v>
      </c>
      <c r="HO43" s="19">
        <v>1138777132</v>
      </c>
      <c r="HP43" s="19">
        <v>71517151</v>
      </c>
      <c r="HQ43" s="19">
        <f>597702650+1224798373</f>
        <v>1822501023</v>
      </c>
      <c r="HR43" s="19"/>
      <c r="HS43" s="19">
        <f>413118895+602366</f>
        <v>413721261</v>
      </c>
      <c r="HT43" s="19"/>
      <c r="HU43" s="19"/>
      <c r="HV43" s="19"/>
      <c r="HW43" s="19" t="s">
        <v>172</v>
      </c>
      <c r="HX43" s="19"/>
      <c r="HY43" s="19" t="s">
        <v>172</v>
      </c>
      <c r="HZ43" s="19">
        <v>79734199</v>
      </c>
      <c r="IA43" s="19">
        <f>36682000+45750120</f>
        <v>82432120</v>
      </c>
      <c r="IB43" s="19"/>
      <c r="IC43" s="19">
        <v>7691142715</v>
      </c>
      <c r="ID43" s="19"/>
      <c r="IE43" s="19" t="s">
        <v>172</v>
      </c>
      <c r="IF43" s="19">
        <f>265492000+10391790+1338000+55983110</f>
        <v>333204900</v>
      </c>
      <c r="IG43" s="19">
        <v>38033924</v>
      </c>
      <c r="IH43" s="19">
        <v>102758292</v>
      </c>
      <c r="II43" s="19"/>
      <c r="IJ43" s="19"/>
      <c r="IK43" s="19">
        <v>228589467</v>
      </c>
      <c r="IL43" s="19">
        <v>13933807</v>
      </c>
      <c r="IM43" s="19">
        <v>1071947666</v>
      </c>
      <c r="IN43" s="19">
        <v>1704862072</v>
      </c>
      <c r="IO43" s="19"/>
      <c r="IP43" s="19"/>
      <c r="IQ43" s="19">
        <f>1750487644+840000</f>
        <v>1751327644</v>
      </c>
      <c r="IR43" s="19">
        <f>1299148804+603360539</f>
        <v>1902509343</v>
      </c>
      <c r="IS43" s="19"/>
      <c r="IT43" s="19">
        <v>400587068</v>
      </c>
      <c r="IU43" s="19">
        <f>7392299911+158761300+966000</f>
        <v>7552027211</v>
      </c>
      <c r="IV43" s="19"/>
      <c r="IW43" s="19">
        <v>581546360</v>
      </c>
      <c r="IX43" s="19"/>
      <c r="IY43" s="19"/>
      <c r="IZ43" s="19">
        <v>436156879</v>
      </c>
      <c r="JA43" s="19"/>
      <c r="JB43" s="19"/>
      <c r="JC43" s="19"/>
      <c r="JD43" s="19">
        <v>978964880</v>
      </c>
      <c r="JE43" s="19"/>
      <c r="JF43" s="19"/>
      <c r="JG43" s="19">
        <v>57001797</v>
      </c>
      <c r="JH43" s="19">
        <v>231254881</v>
      </c>
      <c r="JI43" s="19">
        <f>8952728+29429643</f>
        <v>38382371</v>
      </c>
      <c r="JJ43" s="19">
        <v>82764964</v>
      </c>
      <c r="JK43" s="19"/>
      <c r="JL43" s="19">
        <f>991202321+421875020+594771950+101777860+169047700+3068217560</f>
        <v>5346892411</v>
      </c>
      <c r="JM43" s="19">
        <v>892989919</v>
      </c>
      <c r="JN43" s="19"/>
      <c r="JO43" s="19"/>
      <c r="JP43" s="19"/>
      <c r="JQ43" s="19" t="s">
        <v>175</v>
      </c>
      <c r="JR43" s="19"/>
      <c r="JS43" s="19">
        <v>0</v>
      </c>
      <c r="JT43" s="19">
        <f>41153089+4177271</f>
        <v>45330360</v>
      </c>
      <c r="JU43" s="19"/>
      <c r="JV43" s="19">
        <f>2277975184+645664752+300579114</f>
        <v>3224219050</v>
      </c>
      <c r="JW43" s="19"/>
      <c r="JX43" s="19">
        <f>811788894+6749030+6178798670+182285320</f>
        <v>7179621914</v>
      </c>
      <c r="JY43" s="19">
        <f>1229476170+578984780+3285700039</f>
        <v>5094160989</v>
      </c>
      <c r="JZ43" s="19"/>
      <c r="KA43" s="19">
        <v>854430814</v>
      </c>
      <c r="KB43" s="19"/>
      <c r="KC43" s="19"/>
      <c r="KD43" s="19">
        <v>4422277531</v>
      </c>
      <c r="KE43" s="19"/>
      <c r="KF43" s="19">
        <f>57471273+653300000</f>
        <v>710771273</v>
      </c>
      <c r="KG43" s="19"/>
      <c r="KH43" s="19"/>
      <c r="KI43" s="19">
        <f>7285326+19450000+3350000+10000000</f>
        <v>40085326</v>
      </c>
      <c r="KJ43" s="19">
        <f>838329320+5339320+52268090+236000+113680+918022810+128313810</f>
        <v>1942623030</v>
      </c>
      <c r="KK43" s="19"/>
      <c r="KL43" s="19"/>
      <c r="KM43" s="19">
        <f>591688713+90223120+9937200</f>
        <v>691849033</v>
      </c>
      <c r="KN43" s="19">
        <v>487865452</v>
      </c>
      <c r="KO43" s="19"/>
      <c r="KP43" s="19">
        <f>606072055+2273317420+94721780+9164000+972000+3422240+335180</f>
        <v>2988004675</v>
      </c>
      <c r="KQ43" s="19"/>
      <c r="KR43" s="19">
        <v>247095336</v>
      </c>
      <c r="KS43" s="19"/>
      <c r="KT43" s="19">
        <f>505942542+114888866</f>
        <v>620831408</v>
      </c>
      <c r="KU43" s="19"/>
      <c r="KV43" s="19"/>
      <c r="KW43" s="19"/>
      <c r="KX43" s="19"/>
      <c r="KY43" s="19">
        <v>785090928</v>
      </c>
      <c r="KZ43" s="58"/>
      <c r="LA43" s="70">
        <v>0</v>
      </c>
      <c r="LB43" s="70"/>
    </row>
    <row r="44" spans="1:314">
      <c r="A44" s="9" t="s">
        <v>103</v>
      </c>
      <c r="B44" s="15" t="s">
        <v>24</v>
      </c>
      <c r="C44" s="19">
        <f>38655000+3060000</f>
        <v>41715000</v>
      </c>
      <c r="D44" s="19">
        <f>15811250+30610790</f>
        <v>46422040</v>
      </c>
      <c r="E44" s="19"/>
      <c r="F44" s="19">
        <f>22844548+3662241</f>
        <v>26506789</v>
      </c>
      <c r="G44" s="19" t="s">
        <v>130</v>
      </c>
      <c r="H44" s="19">
        <v>10354630272</v>
      </c>
      <c r="I44" s="19">
        <v>7200000</v>
      </c>
      <c r="J44" s="19" t="s">
        <v>176</v>
      </c>
      <c r="K44" s="19"/>
      <c r="L44" s="19" t="s">
        <v>96</v>
      </c>
      <c r="M44" s="19" t="s">
        <v>96</v>
      </c>
      <c r="N44" s="19">
        <f>132060068+3700186+24332728+159046642</f>
        <v>319139624</v>
      </c>
      <c r="O44" s="19"/>
      <c r="P44" s="19">
        <f>33911320+15410510+336453382+68449225+35087367</f>
        <v>489311804</v>
      </c>
      <c r="Q44" s="19"/>
      <c r="R44" s="19"/>
      <c r="S44" s="19"/>
      <c r="T44" s="19" t="s">
        <v>96</v>
      </c>
      <c r="U44" s="19" t="s">
        <v>96</v>
      </c>
      <c r="V44" s="19" t="s">
        <v>172</v>
      </c>
      <c r="W44" s="19">
        <v>2019775</v>
      </c>
      <c r="X44" s="19">
        <f>187667302+925000</f>
        <v>188592302</v>
      </c>
      <c r="Y44" s="19"/>
      <c r="Z44" s="19">
        <f>133227565</f>
        <v>133227565</v>
      </c>
      <c r="AA44" s="19">
        <f>16219958+49675615</f>
        <v>65895573</v>
      </c>
      <c r="AB44" s="19"/>
      <c r="AC44" s="19">
        <v>12185337</v>
      </c>
      <c r="AD44" s="19"/>
      <c r="AE44" s="19">
        <v>4400000</v>
      </c>
      <c r="AF44" s="56" t="s">
        <v>172</v>
      </c>
      <c r="AG44" s="19"/>
      <c r="AH44" s="19" t="s">
        <v>167</v>
      </c>
      <c r="AI44" s="19">
        <f>5350000+3181818</f>
        <v>8531818</v>
      </c>
      <c r="AJ44" s="19"/>
      <c r="AK44" s="19">
        <v>24000000</v>
      </c>
      <c r="AL44" s="19">
        <v>361166450</v>
      </c>
      <c r="AM44" s="19" t="s">
        <v>4</v>
      </c>
      <c r="AN44" s="19">
        <v>46022520</v>
      </c>
      <c r="AO44" s="19"/>
      <c r="AP44" s="19"/>
      <c r="AQ44" s="19" t="s">
        <v>172</v>
      </c>
      <c r="AR44" s="19"/>
      <c r="AS44" s="19">
        <v>392488450</v>
      </c>
      <c r="AT44" s="19" t="s">
        <v>172</v>
      </c>
      <c r="AU44" s="19">
        <v>151037044</v>
      </c>
      <c r="AV44" s="19">
        <v>284071982</v>
      </c>
      <c r="AW44" s="19">
        <v>19986188</v>
      </c>
      <c r="AX44" s="19" t="s">
        <v>4</v>
      </c>
      <c r="AY44" s="19"/>
      <c r="AZ44" s="19"/>
      <c r="BA44" s="19" t="s">
        <v>167</v>
      </c>
      <c r="BB44" s="19"/>
      <c r="BC44" s="19" t="s">
        <v>4</v>
      </c>
      <c r="BD44" s="19" t="s">
        <v>172</v>
      </c>
      <c r="BE44" s="19">
        <v>9350000</v>
      </c>
      <c r="BF44" s="19" t="s">
        <v>96</v>
      </c>
      <c r="BG44" s="19">
        <f>48539745+1500000+4528451+1436600+22000000</f>
        <v>78004796</v>
      </c>
      <c r="BH44" s="19">
        <v>2847746</v>
      </c>
      <c r="BI44" s="19">
        <v>79000000</v>
      </c>
      <c r="BJ44" s="19">
        <v>5000000</v>
      </c>
      <c r="BK44" s="19"/>
      <c r="BL44" s="19"/>
      <c r="BM44" s="19"/>
      <c r="BN44" s="19">
        <v>11360000</v>
      </c>
      <c r="BO44" s="19" t="s">
        <v>96</v>
      </c>
      <c r="BP44" s="19" t="s">
        <v>96</v>
      </c>
      <c r="BQ44" s="19" t="s">
        <v>175</v>
      </c>
      <c r="BR44" s="19"/>
      <c r="BS44" s="19" t="s">
        <v>172</v>
      </c>
      <c r="BT44" s="19"/>
      <c r="BU44" s="19"/>
      <c r="BV44" s="19">
        <v>178972723</v>
      </c>
      <c r="BW44" s="19"/>
      <c r="BX44" s="19">
        <f>177000000+176052721</f>
        <v>353052721</v>
      </c>
      <c r="BY44" s="19">
        <f>1818181+15601121</f>
        <v>17419302</v>
      </c>
      <c r="BZ44" s="19"/>
      <c r="CA44" s="19">
        <v>14169636</v>
      </c>
      <c r="CB44" s="19">
        <v>550000</v>
      </c>
      <c r="CC44" s="19">
        <v>4160000</v>
      </c>
      <c r="CD44" s="19"/>
      <c r="CE44" s="19" t="s">
        <v>172</v>
      </c>
      <c r="CF44" s="19"/>
      <c r="CG44" s="19">
        <v>59509938</v>
      </c>
      <c r="CH44" s="19">
        <v>3451503</v>
      </c>
      <c r="CI44" s="19" t="s">
        <v>172</v>
      </c>
      <c r="CJ44" s="19"/>
      <c r="CK44" s="19"/>
      <c r="CL44" s="19"/>
      <c r="CM44" s="19">
        <f>297359274+93025390</f>
        <v>390384664</v>
      </c>
      <c r="CN44" s="19">
        <v>372757631</v>
      </c>
      <c r="CO44" s="19"/>
      <c r="CP44" s="19"/>
      <c r="CQ44" s="19" t="s">
        <v>96</v>
      </c>
      <c r="CR44" s="19"/>
      <c r="CS44" s="56" t="s">
        <v>172</v>
      </c>
      <c r="CT44" s="19"/>
      <c r="CU44" s="19"/>
      <c r="CV44" s="19"/>
      <c r="CW44" s="19">
        <f>11022266+0+72250915</f>
        <v>83273181</v>
      </c>
      <c r="CX44" s="19">
        <v>1400000</v>
      </c>
      <c r="CY44" s="19" t="s">
        <v>96</v>
      </c>
      <c r="CZ44" s="19">
        <f>47700565+150974211+454545+23179046</f>
        <v>222308367</v>
      </c>
      <c r="DA44" s="19" t="s">
        <v>175</v>
      </c>
      <c r="DB44" s="19">
        <v>212461192</v>
      </c>
      <c r="DC44" s="19"/>
      <c r="DD44" s="19"/>
      <c r="DE44" s="19">
        <f>216085210+896177437+573646169+618590390</f>
        <v>2304499206</v>
      </c>
      <c r="DF44" s="19"/>
      <c r="DG44" s="19">
        <v>896107492</v>
      </c>
      <c r="DH44" s="19"/>
      <c r="DI44" s="19">
        <f>82918697+189410762</f>
        <v>272329459</v>
      </c>
      <c r="DJ44" s="19"/>
      <c r="DK44" s="19">
        <f>130422038</f>
        <v>130422038</v>
      </c>
      <c r="DL44" s="19"/>
      <c r="DM44" s="19">
        <v>18353172</v>
      </c>
      <c r="DN44" s="19">
        <f>29172230+7139971+29067800</f>
        <v>65380001</v>
      </c>
      <c r="DO44" s="19"/>
      <c r="DP44" s="19"/>
      <c r="DQ44" s="19">
        <v>5305802</v>
      </c>
      <c r="DR44" s="19">
        <f>87417455+15458000</f>
        <v>102875455</v>
      </c>
      <c r="DS44" s="19"/>
      <c r="DT44" s="19">
        <v>3754093</v>
      </c>
      <c r="DU44" s="19"/>
      <c r="DV44" s="19">
        <f>5992634858+405795551+11700000</f>
        <v>6410130409</v>
      </c>
      <c r="DW44" s="19"/>
      <c r="DX44" s="19"/>
      <c r="DY44" s="19">
        <v>743976687</v>
      </c>
      <c r="DZ44" s="19"/>
      <c r="EA44" s="19">
        <v>79260291</v>
      </c>
      <c r="EB44" s="19">
        <f>61466971+249038500+2937060</f>
        <v>313442531</v>
      </c>
      <c r="EC44" s="19">
        <v>3520724</v>
      </c>
      <c r="ED44" s="19"/>
      <c r="EE44" s="19">
        <v>340485651</v>
      </c>
      <c r="EF44" s="19">
        <v>49000000</v>
      </c>
      <c r="EG44" s="19"/>
      <c r="EH44" s="19">
        <v>118213997</v>
      </c>
      <c r="EI44" s="19"/>
      <c r="EJ44" s="19">
        <f>1000000+150000000</f>
        <v>151000000</v>
      </c>
      <c r="EK44" s="19">
        <v>1020082273</v>
      </c>
      <c r="EL44" s="19"/>
      <c r="EM44" s="19">
        <v>107961906</v>
      </c>
      <c r="EN44" s="19">
        <f>1914591816+16204288+16586237</f>
        <v>1947382341</v>
      </c>
      <c r="EO44" s="19"/>
      <c r="EP44" s="19">
        <f>1751640+656987307</f>
        <v>658738947</v>
      </c>
      <c r="EQ44" s="19">
        <v>8623571347</v>
      </c>
      <c r="ER44" s="19">
        <v>750000</v>
      </c>
      <c r="ES44" s="19"/>
      <c r="ET44" s="19"/>
      <c r="EU44" s="19">
        <v>607874042</v>
      </c>
      <c r="EV44" s="19"/>
      <c r="EW44" s="19">
        <v>350229005</v>
      </c>
      <c r="EX44" s="19">
        <v>62127741</v>
      </c>
      <c r="EY44" s="19">
        <v>34480000</v>
      </c>
      <c r="EZ44" s="19">
        <f>219091+117950750+165831500</f>
        <v>284001341</v>
      </c>
      <c r="FA44" s="19">
        <v>1331245430</v>
      </c>
      <c r="FB44" s="19"/>
      <c r="FC44" s="19"/>
      <c r="FD44" s="19">
        <v>24000000</v>
      </c>
      <c r="FE44" s="19"/>
      <c r="FF44" s="19"/>
      <c r="FG44" s="19" t="s">
        <v>172</v>
      </c>
      <c r="FH44" s="19">
        <v>1622089060</v>
      </c>
      <c r="FI44" s="19" t="s">
        <v>172</v>
      </c>
      <c r="FJ44" s="19">
        <v>394157261</v>
      </c>
      <c r="FK44" s="19">
        <f>195920484+255174837+18287436+11338457</f>
        <v>480721214</v>
      </c>
      <c r="FL44" s="19"/>
      <c r="FM44" s="19">
        <v>26883214</v>
      </c>
      <c r="FN44" s="19">
        <v>1538915876</v>
      </c>
      <c r="FO44" s="56" t="s">
        <v>172</v>
      </c>
      <c r="FP44" s="19">
        <v>214755020</v>
      </c>
      <c r="FQ44" s="19"/>
      <c r="FR44" s="19"/>
      <c r="FS44" s="19"/>
      <c r="FT44" s="19">
        <v>10572397</v>
      </c>
      <c r="FU44" s="19"/>
      <c r="FV44" s="19" t="s">
        <v>172</v>
      </c>
      <c r="FW44" s="19"/>
      <c r="FX44" s="19"/>
      <c r="FY44" s="19" t="s">
        <v>172</v>
      </c>
      <c r="FZ44" s="19" t="s">
        <v>175</v>
      </c>
      <c r="GA44" s="19">
        <v>860539624</v>
      </c>
      <c r="GB44" s="19">
        <v>72364754</v>
      </c>
      <c r="GC44" s="19"/>
      <c r="GD44" s="19" t="s">
        <v>172</v>
      </c>
      <c r="GE44" s="19" t="s">
        <v>172</v>
      </c>
      <c r="GF44" s="19"/>
      <c r="GG44" s="19"/>
      <c r="GH44" s="19" t="s">
        <v>172</v>
      </c>
      <c r="GI44" s="19"/>
      <c r="GJ44" s="19" t="s">
        <v>172</v>
      </c>
      <c r="GK44" s="19"/>
      <c r="GL44" s="19" t="s">
        <v>172</v>
      </c>
      <c r="GM44" s="19">
        <v>155207193</v>
      </c>
      <c r="GN44" s="19">
        <v>402518202</v>
      </c>
      <c r="GO44" s="19" t="s">
        <v>172</v>
      </c>
      <c r="GP44" s="19">
        <v>1814224004</v>
      </c>
      <c r="GQ44" s="19">
        <v>363944988</v>
      </c>
      <c r="GR44" s="19"/>
      <c r="GS44" s="19">
        <v>68705431</v>
      </c>
      <c r="GT44" s="19"/>
      <c r="GU44" s="19">
        <v>134099872</v>
      </c>
      <c r="GV44" s="19">
        <f>42000000+82245600+99519500</f>
        <v>223765100</v>
      </c>
      <c r="GW44" s="19"/>
      <c r="GX44" s="19">
        <v>10585757</v>
      </c>
      <c r="GY44" s="19">
        <v>44839000</v>
      </c>
      <c r="GZ44" s="19">
        <v>84245000</v>
      </c>
      <c r="HA44" s="19" t="s">
        <v>172</v>
      </c>
      <c r="HB44" s="19"/>
      <c r="HC44" s="19"/>
      <c r="HD44" s="19">
        <v>272727</v>
      </c>
      <c r="HE44" s="19" t="s">
        <v>172</v>
      </c>
      <c r="HF44" s="19">
        <v>40552614</v>
      </c>
      <c r="HG44" s="19">
        <v>29483291</v>
      </c>
      <c r="HH44" s="19" t="s">
        <v>172</v>
      </c>
      <c r="HI44" s="19">
        <v>584641998</v>
      </c>
      <c r="HJ44" s="19" t="s">
        <v>172</v>
      </c>
      <c r="HK44" s="19">
        <v>14741820</v>
      </c>
      <c r="HL44" s="19">
        <f>596030000+367384448+186784090</f>
        <v>1150198538</v>
      </c>
      <c r="HM44" s="19">
        <v>30998347</v>
      </c>
      <c r="HN44" s="19">
        <f>70656290+31042291</f>
        <v>101698581</v>
      </c>
      <c r="HO44" s="19">
        <v>570972065</v>
      </c>
      <c r="HP44" s="19"/>
      <c r="HQ44" s="19">
        <v>26382366</v>
      </c>
      <c r="HR44" s="19">
        <v>26323016</v>
      </c>
      <c r="HS44" s="19"/>
      <c r="HT44" s="19">
        <v>52000000</v>
      </c>
      <c r="HU44" s="19">
        <f>1738320234</f>
        <v>1738320234</v>
      </c>
      <c r="HV44" s="19">
        <v>53874770</v>
      </c>
      <c r="HW44" s="19" t="s">
        <v>172</v>
      </c>
      <c r="HX44" s="19"/>
      <c r="HY44" s="19" t="s">
        <v>172</v>
      </c>
      <c r="HZ44" s="19">
        <f>1159592762+34388681</f>
        <v>1193981443</v>
      </c>
      <c r="IA44" s="19">
        <v>108639240</v>
      </c>
      <c r="IB44" s="19">
        <v>1729077380</v>
      </c>
      <c r="IC44" s="19">
        <f>297789817+20925554+2272728</f>
        <v>320988099</v>
      </c>
      <c r="ID44" s="19"/>
      <c r="IE44" s="19" t="s">
        <v>172</v>
      </c>
      <c r="IF44" s="19">
        <v>36350887</v>
      </c>
      <c r="IG44" s="19"/>
      <c r="IH44" s="19">
        <v>12320910</v>
      </c>
      <c r="II44" s="19">
        <v>55846490</v>
      </c>
      <c r="IJ44" s="19"/>
      <c r="IK44" s="19"/>
      <c r="IL44" s="19">
        <v>40956088</v>
      </c>
      <c r="IM44" s="19"/>
      <c r="IN44" s="19">
        <v>159762211</v>
      </c>
      <c r="IO44" s="19"/>
      <c r="IP44" s="19">
        <v>753320396</v>
      </c>
      <c r="IQ44" s="19">
        <f>112150484+193724260+59106808</f>
        <v>364981552</v>
      </c>
      <c r="IR44" s="19">
        <v>0</v>
      </c>
      <c r="IS44" s="19"/>
      <c r="IT44" s="19">
        <v>236799861</v>
      </c>
      <c r="IU44" s="19">
        <f>14826000+430860370+26171390+20000000+66660000</f>
        <v>558517760</v>
      </c>
      <c r="IV44" s="19">
        <v>1857044610</v>
      </c>
      <c r="IW44" s="19"/>
      <c r="IX44" s="19">
        <f>1270985604+1314309+2880105</f>
        <v>1275180018</v>
      </c>
      <c r="IY44" s="19">
        <f>9268759+314261163</f>
        <v>323529922</v>
      </c>
      <c r="IZ44" s="19">
        <v>25700000</v>
      </c>
      <c r="JA44" s="19"/>
      <c r="JB44" s="19"/>
      <c r="JC44" s="19"/>
      <c r="JD44" s="19">
        <v>430860909</v>
      </c>
      <c r="JE44" s="19"/>
      <c r="JF44" s="19">
        <f>481287446+812459989</f>
        <v>1293747435</v>
      </c>
      <c r="JG44" s="19">
        <v>1396850</v>
      </c>
      <c r="JH44" s="19"/>
      <c r="JI44" s="19">
        <v>68939500</v>
      </c>
      <c r="JJ44" s="19"/>
      <c r="JK44" s="19">
        <f>448985852+14700000</f>
        <v>463685852</v>
      </c>
      <c r="JL44" s="19">
        <v>43316600</v>
      </c>
      <c r="JM44" s="19"/>
      <c r="JN44" s="19"/>
      <c r="JO44" s="19">
        <f>115214000+54578000+77250730</f>
        <v>247042730</v>
      </c>
      <c r="JP44" s="19">
        <v>566678720</v>
      </c>
      <c r="JQ44" s="19" t="s">
        <v>175</v>
      </c>
      <c r="JR44" s="19"/>
      <c r="JS44" s="19">
        <v>0</v>
      </c>
      <c r="JT44" s="19"/>
      <c r="JU44" s="19"/>
      <c r="JV44" s="19">
        <f>12576027+1285216348</f>
        <v>1297792375</v>
      </c>
      <c r="JW44" s="19">
        <f>126082450+160245622+1620795130+88601340+14349265</f>
        <v>2010073807</v>
      </c>
      <c r="JX44" s="19">
        <v>0</v>
      </c>
      <c r="JY44" s="19">
        <f>1208386316+9045000+15780000</f>
        <v>1233211316</v>
      </c>
      <c r="JZ44" s="19"/>
      <c r="KA44" s="19"/>
      <c r="KB44" s="19"/>
      <c r="KC44" s="19"/>
      <c r="KD44" s="19">
        <v>215848655</v>
      </c>
      <c r="KE44" s="19"/>
      <c r="KF44" s="19"/>
      <c r="KG44" s="19">
        <v>90528000</v>
      </c>
      <c r="KH44" s="19">
        <v>416343919</v>
      </c>
      <c r="KI44" s="19">
        <f>83667829+5400000</f>
        <v>89067829</v>
      </c>
      <c r="KJ44" s="19">
        <v>96662525</v>
      </c>
      <c r="KK44" s="19">
        <v>32235927</v>
      </c>
      <c r="KL44" s="19"/>
      <c r="KM44" s="19"/>
      <c r="KN44" s="19"/>
      <c r="KO44" s="19"/>
      <c r="KP44" s="19"/>
      <c r="KQ44" s="19"/>
      <c r="KR44" s="19">
        <v>98007273</v>
      </c>
      <c r="KS44" s="19">
        <v>34328000</v>
      </c>
      <c r="KT44" s="19">
        <v>77375557</v>
      </c>
      <c r="KU44" s="19">
        <v>969975814</v>
      </c>
      <c r="KV44" s="19">
        <v>0</v>
      </c>
      <c r="KW44" s="19"/>
      <c r="KX44" s="19"/>
      <c r="KY44" s="19"/>
      <c r="KZ44" s="58"/>
      <c r="LA44" s="70">
        <v>95886400</v>
      </c>
      <c r="LB44" s="70">
        <v>4752592</v>
      </c>
    </row>
    <row r="45" spans="1:314">
      <c r="A45" s="9" t="s">
        <v>103</v>
      </c>
      <c r="B45" s="10" t="s">
        <v>144</v>
      </c>
      <c r="C45" s="19">
        <f>SUM(C46:C49)</f>
        <v>0</v>
      </c>
      <c r="D45" s="19">
        <f>SUM(D46:D49)</f>
        <v>3861851016</v>
      </c>
      <c r="E45" s="19">
        <f>SUM(E46:E49)</f>
        <v>1748528599</v>
      </c>
      <c r="F45" s="19">
        <f>SUM(F46:F49)</f>
        <v>214785157</v>
      </c>
      <c r="G45" s="19" t="s">
        <v>130</v>
      </c>
      <c r="H45" s="19">
        <f>SUM(H46:H49)</f>
        <v>0</v>
      </c>
      <c r="I45" s="19">
        <f>SUM(I46:I49)</f>
        <v>0</v>
      </c>
      <c r="J45" s="19" t="s">
        <v>176</v>
      </c>
      <c r="K45" s="19">
        <f>SUM(K46:K49)</f>
        <v>3353132154</v>
      </c>
      <c r="L45" s="19" t="s">
        <v>96</v>
      </c>
      <c r="M45" s="19" t="s">
        <v>96</v>
      </c>
      <c r="N45" s="19">
        <f t="shared" ref="N45:S45" si="107">SUM(N46:N49)</f>
        <v>343068277</v>
      </c>
      <c r="O45" s="19">
        <f t="shared" si="107"/>
        <v>608784178</v>
      </c>
      <c r="P45" s="19">
        <f t="shared" si="107"/>
        <v>760661995</v>
      </c>
      <c r="Q45" s="19">
        <f t="shared" si="107"/>
        <v>269143156</v>
      </c>
      <c r="R45" s="19">
        <f t="shared" si="107"/>
        <v>161319072</v>
      </c>
      <c r="S45" s="19">
        <f t="shared" si="107"/>
        <v>8367355485</v>
      </c>
      <c r="T45" s="19" t="s">
        <v>96</v>
      </c>
      <c r="U45" s="19" t="s">
        <v>96</v>
      </c>
      <c r="V45" s="19" t="s">
        <v>172</v>
      </c>
      <c r="W45" s="19">
        <f t="shared" ref="W45:AE45" si="108">SUM(W46:W49)</f>
        <v>197724033</v>
      </c>
      <c r="X45" s="19">
        <f t="shared" si="108"/>
        <v>1942757897</v>
      </c>
      <c r="Y45" s="19">
        <f t="shared" si="108"/>
        <v>0</v>
      </c>
      <c r="Z45" s="19">
        <f t="shared" si="108"/>
        <v>233159973</v>
      </c>
      <c r="AA45" s="19">
        <f t="shared" si="108"/>
        <v>4150147713</v>
      </c>
      <c r="AB45" s="19">
        <f t="shared" si="108"/>
        <v>0</v>
      </c>
      <c r="AC45" s="19">
        <f t="shared" si="108"/>
        <v>1935882987</v>
      </c>
      <c r="AD45" s="19">
        <f t="shared" si="108"/>
        <v>3760820096</v>
      </c>
      <c r="AE45" s="19">
        <f t="shared" si="108"/>
        <v>270815993</v>
      </c>
      <c r="AF45" s="56" t="s">
        <v>172</v>
      </c>
      <c r="AG45" s="19">
        <f>SUM(AG46:AG49)</f>
        <v>0</v>
      </c>
      <c r="AH45" s="19" t="s">
        <v>167</v>
      </c>
      <c r="AI45" s="19">
        <f>SUM(AI46:AI49)</f>
        <v>488119487</v>
      </c>
      <c r="AJ45" s="19">
        <f>SUM(AJ46:AJ49)</f>
        <v>162907514</v>
      </c>
      <c r="AK45" s="19">
        <f>SUM(AK46:AK49)</f>
        <v>2226091999</v>
      </c>
      <c r="AL45" s="19">
        <f>SUM(AL46:AL49)</f>
        <v>0</v>
      </c>
      <c r="AM45" s="19" t="s">
        <v>4</v>
      </c>
      <c r="AN45" s="19">
        <f>SUM(AN46:AN49)</f>
        <v>27013904</v>
      </c>
      <c r="AO45" s="19">
        <f>SUM(AO46:AO49)</f>
        <v>605040759</v>
      </c>
      <c r="AP45" s="19">
        <f>SUM(AP46:AP49)</f>
        <v>0</v>
      </c>
      <c r="AQ45" s="19" t="s">
        <v>172</v>
      </c>
      <c r="AR45" s="19">
        <f>SUM(AR46:AR49)</f>
        <v>1232149857</v>
      </c>
      <c r="AS45" s="19">
        <f>SUM(AS46:AS49)</f>
        <v>0</v>
      </c>
      <c r="AT45" s="19" t="s">
        <v>172</v>
      </c>
      <c r="AU45" s="19">
        <f>SUM(AU46:AU49)</f>
        <v>0</v>
      </c>
      <c r="AV45" s="19">
        <f>SUM(AV46:AV49)</f>
        <v>0</v>
      </c>
      <c r="AW45" s="19">
        <f>SUM(AW46:AW49)</f>
        <v>0</v>
      </c>
      <c r="AX45" s="19" t="s">
        <v>4</v>
      </c>
      <c r="AY45" s="19">
        <f>SUM(AY46:AY49)</f>
        <v>67070338</v>
      </c>
      <c r="AZ45" s="19">
        <f>SUM(AZ46:AZ49)</f>
        <v>598084620</v>
      </c>
      <c r="BA45" s="19" t="s">
        <v>167</v>
      </c>
      <c r="BB45" s="19">
        <f>SUM(BB46:BB49)</f>
        <v>0</v>
      </c>
      <c r="BC45" s="19" t="s">
        <v>4</v>
      </c>
      <c r="BD45" s="19" t="s">
        <v>172</v>
      </c>
      <c r="BE45" s="19">
        <f>SUM(BE46:BE49)</f>
        <v>1132508678</v>
      </c>
      <c r="BF45" s="19" t="s">
        <v>96</v>
      </c>
      <c r="BG45" s="19">
        <f t="shared" ref="BG45:BN45" si="109">SUM(BG46:BG49)</f>
        <v>1365448735</v>
      </c>
      <c r="BH45" s="19">
        <f t="shared" si="109"/>
        <v>858594167</v>
      </c>
      <c r="BI45" s="19">
        <f t="shared" si="109"/>
        <v>485954914</v>
      </c>
      <c r="BJ45" s="19">
        <f t="shared" si="109"/>
        <v>476707230</v>
      </c>
      <c r="BK45" s="19">
        <f t="shared" si="109"/>
        <v>1235618196</v>
      </c>
      <c r="BL45" s="19">
        <f t="shared" si="109"/>
        <v>0</v>
      </c>
      <c r="BM45" s="19">
        <f t="shared" si="109"/>
        <v>1446746027</v>
      </c>
      <c r="BN45" s="19">
        <f t="shared" si="109"/>
        <v>142012213</v>
      </c>
      <c r="BO45" s="19" t="s">
        <v>96</v>
      </c>
      <c r="BP45" s="19" t="s">
        <v>96</v>
      </c>
      <c r="BQ45" s="19" t="s">
        <v>175</v>
      </c>
      <c r="BR45" s="19">
        <f>SUM(BR46:BR49)</f>
        <v>6763476698</v>
      </c>
      <c r="BS45" s="19" t="s">
        <v>172</v>
      </c>
      <c r="BT45" s="19">
        <f t="shared" ref="BT45:CD45" si="110">SUM(BT46:BT49)</f>
        <v>10825913</v>
      </c>
      <c r="BU45" s="19">
        <f t="shared" si="110"/>
        <v>575330817</v>
      </c>
      <c r="BV45" s="19">
        <f t="shared" si="110"/>
        <v>0</v>
      </c>
      <c r="BW45" s="19">
        <f t="shared" si="110"/>
        <v>0</v>
      </c>
      <c r="BX45" s="19">
        <f t="shared" si="110"/>
        <v>0</v>
      </c>
      <c r="BY45" s="19">
        <f t="shared" si="110"/>
        <v>5143552144</v>
      </c>
      <c r="BZ45" s="19">
        <f t="shared" si="110"/>
        <v>776549951</v>
      </c>
      <c r="CA45" s="19">
        <f t="shared" si="110"/>
        <v>0</v>
      </c>
      <c r="CB45" s="19">
        <f t="shared" si="110"/>
        <v>20069453</v>
      </c>
      <c r="CC45" s="19">
        <f t="shared" si="110"/>
        <v>1625190420</v>
      </c>
      <c r="CD45" s="19">
        <f t="shared" si="110"/>
        <v>2138064343</v>
      </c>
      <c r="CE45" s="19" t="s">
        <v>172</v>
      </c>
      <c r="CF45" s="19">
        <f>SUM(CF46:CF49)</f>
        <v>119331014</v>
      </c>
      <c r="CG45" s="19">
        <f>SUM(CG46:CG49)</f>
        <v>0</v>
      </c>
      <c r="CH45" s="19">
        <f>SUM(CH46:CH49)</f>
        <v>257544166</v>
      </c>
      <c r="CI45" s="19" t="s">
        <v>172</v>
      </c>
      <c r="CJ45" s="19">
        <f t="shared" ref="CJ45:CP45" si="111">SUM(CJ46:CJ49)</f>
        <v>214049962</v>
      </c>
      <c r="CK45" s="19">
        <f t="shared" si="111"/>
        <v>1876291426</v>
      </c>
      <c r="CL45" s="19">
        <f t="shared" si="111"/>
        <v>640688832</v>
      </c>
      <c r="CM45" s="19">
        <f t="shared" si="111"/>
        <v>0</v>
      </c>
      <c r="CN45" s="19">
        <f t="shared" si="111"/>
        <v>0</v>
      </c>
      <c r="CO45" s="19">
        <f t="shared" si="111"/>
        <v>0</v>
      </c>
      <c r="CP45" s="19">
        <f t="shared" si="111"/>
        <v>1230291896</v>
      </c>
      <c r="CQ45" s="19" t="s">
        <v>96</v>
      </c>
      <c r="CR45" s="19">
        <f>SUM(CR46:CR49)</f>
        <v>795439770</v>
      </c>
      <c r="CS45" s="56" t="s">
        <v>172</v>
      </c>
      <c r="CT45" s="19">
        <f>SUM(CT46:CT49)</f>
        <v>99880185</v>
      </c>
      <c r="CU45" s="19">
        <f>SUM(CU46:CU49)</f>
        <v>0</v>
      </c>
      <c r="CV45" s="19">
        <v>125844625</v>
      </c>
      <c r="CW45" s="19">
        <f>SUM(CW46:CW49)</f>
        <v>476111900</v>
      </c>
      <c r="CX45" s="19">
        <f>SUM(CX46:CX49)</f>
        <v>6465247838</v>
      </c>
      <c r="CY45" s="19" t="s">
        <v>96</v>
      </c>
      <c r="CZ45" s="19">
        <f>SUM(CZ46:CZ49)</f>
        <v>58203854</v>
      </c>
      <c r="DA45" s="19" t="s">
        <v>175</v>
      </c>
      <c r="DB45" s="19">
        <f t="shared" ref="DB45:DR45" si="112">SUM(DB46:DB49)</f>
        <v>261858998</v>
      </c>
      <c r="DC45" s="19">
        <f t="shared" si="112"/>
        <v>0</v>
      </c>
      <c r="DD45" s="19">
        <f t="shared" si="112"/>
        <v>3527006</v>
      </c>
      <c r="DE45" s="19">
        <f t="shared" si="112"/>
        <v>6808620</v>
      </c>
      <c r="DF45" s="19">
        <f t="shared" si="112"/>
        <v>14485653</v>
      </c>
      <c r="DG45" s="19">
        <f t="shared" si="112"/>
        <v>0</v>
      </c>
      <c r="DH45" s="19">
        <f t="shared" si="112"/>
        <v>964893152</v>
      </c>
      <c r="DI45" s="19">
        <f t="shared" si="112"/>
        <v>4473907287</v>
      </c>
      <c r="DJ45" s="19">
        <f t="shared" si="112"/>
        <v>4458773</v>
      </c>
      <c r="DK45" s="19">
        <f t="shared" si="112"/>
        <v>16599757389</v>
      </c>
      <c r="DL45" s="19">
        <f t="shared" si="112"/>
        <v>1856000</v>
      </c>
      <c r="DM45" s="19">
        <f t="shared" si="112"/>
        <v>488839999</v>
      </c>
      <c r="DN45" s="19">
        <f t="shared" si="112"/>
        <v>1507675088</v>
      </c>
      <c r="DO45" s="19">
        <f t="shared" si="112"/>
        <v>0</v>
      </c>
      <c r="DP45" s="19">
        <f t="shared" si="112"/>
        <v>1657475432</v>
      </c>
      <c r="DQ45" s="19">
        <f t="shared" si="112"/>
        <v>164556256</v>
      </c>
      <c r="DR45" s="19">
        <f t="shared" si="112"/>
        <v>405916589</v>
      </c>
      <c r="DS45" s="19">
        <f>SUM(DS46:DS49)</f>
        <v>0</v>
      </c>
      <c r="DT45" s="19">
        <f t="shared" ref="DT45:FF45" si="113">SUM(DT46:DT49)</f>
        <v>52934256</v>
      </c>
      <c r="DU45" s="19">
        <f t="shared" si="113"/>
        <v>0</v>
      </c>
      <c r="DV45" s="19">
        <f t="shared" si="113"/>
        <v>0</v>
      </c>
      <c r="DW45" s="19">
        <f t="shared" si="113"/>
        <v>1032263889</v>
      </c>
      <c r="DX45" s="19">
        <f t="shared" si="113"/>
        <v>0</v>
      </c>
      <c r="DY45" s="19">
        <f t="shared" si="113"/>
        <v>141382374</v>
      </c>
      <c r="DZ45" s="19">
        <f t="shared" si="113"/>
        <v>1252885626</v>
      </c>
      <c r="EA45" s="19">
        <f t="shared" si="113"/>
        <v>0</v>
      </c>
      <c r="EB45" s="19">
        <f t="shared" si="113"/>
        <v>372168228</v>
      </c>
      <c r="EC45" s="19">
        <f t="shared" si="113"/>
        <v>311426132</v>
      </c>
      <c r="ED45" s="19">
        <f t="shared" si="113"/>
        <v>4005000</v>
      </c>
      <c r="EE45" s="19">
        <f t="shared" si="113"/>
        <v>857942789</v>
      </c>
      <c r="EF45" s="19">
        <f t="shared" si="113"/>
        <v>273275705</v>
      </c>
      <c r="EG45" s="19">
        <f t="shared" si="113"/>
        <v>3554858509</v>
      </c>
      <c r="EH45" s="19">
        <f t="shared" si="113"/>
        <v>0</v>
      </c>
      <c r="EI45" s="19">
        <f t="shared" si="113"/>
        <v>33766516089</v>
      </c>
      <c r="EJ45" s="19">
        <f t="shared" si="113"/>
        <v>0</v>
      </c>
      <c r="EK45" s="19">
        <f t="shared" si="113"/>
        <v>0</v>
      </c>
      <c r="EL45" s="19">
        <f t="shared" si="113"/>
        <v>3693177737</v>
      </c>
      <c r="EM45" s="19">
        <f t="shared" si="113"/>
        <v>602325330</v>
      </c>
      <c r="EN45" s="19">
        <f t="shared" si="113"/>
        <v>0</v>
      </c>
      <c r="EO45" s="19">
        <f t="shared" si="113"/>
        <v>488417336</v>
      </c>
      <c r="EP45" s="19">
        <f t="shared" si="113"/>
        <v>203770251</v>
      </c>
      <c r="EQ45" s="19">
        <f t="shared" si="113"/>
        <v>0</v>
      </c>
      <c r="ER45" s="19">
        <f t="shared" si="113"/>
        <v>226781209</v>
      </c>
      <c r="ES45" s="19">
        <f t="shared" si="113"/>
        <v>741158845</v>
      </c>
      <c r="ET45" s="19">
        <f t="shared" si="113"/>
        <v>0</v>
      </c>
      <c r="EU45" s="19">
        <f t="shared" si="113"/>
        <v>0</v>
      </c>
      <c r="EV45" s="19">
        <f t="shared" si="113"/>
        <v>165592266</v>
      </c>
      <c r="EW45" s="19">
        <f t="shared" si="113"/>
        <v>445997561</v>
      </c>
      <c r="EX45" s="19">
        <f t="shared" si="113"/>
        <v>44684408</v>
      </c>
      <c r="EY45" s="19">
        <f t="shared" si="113"/>
        <v>0</v>
      </c>
      <c r="EZ45" s="19">
        <f t="shared" si="113"/>
        <v>140103556</v>
      </c>
      <c r="FA45" s="19">
        <f t="shared" si="113"/>
        <v>671034596</v>
      </c>
      <c r="FB45" s="19">
        <f t="shared" si="113"/>
        <v>370285110</v>
      </c>
      <c r="FC45" s="19">
        <f t="shared" si="113"/>
        <v>1724993697</v>
      </c>
      <c r="FD45" s="19">
        <f t="shared" si="113"/>
        <v>379346448</v>
      </c>
      <c r="FE45" s="19">
        <f t="shared" si="113"/>
        <v>22032595802</v>
      </c>
      <c r="FF45" s="19">
        <f t="shared" si="113"/>
        <v>0</v>
      </c>
      <c r="FG45" s="19" t="s">
        <v>172</v>
      </c>
      <c r="FH45" s="19">
        <f>SUM(FH46:FH49)</f>
        <v>1528810286</v>
      </c>
      <c r="FI45" s="19" t="s">
        <v>172</v>
      </c>
      <c r="FJ45" s="19">
        <f>SUM(FJ46:FJ49)</f>
        <v>22144710</v>
      </c>
      <c r="FK45" s="19">
        <f>SUM(FK46:FK49)</f>
        <v>1643353432</v>
      </c>
      <c r="FL45" s="19">
        <f>SUM(FL46:FL49)</f>
        <v>478565465</v>
      </c>
      <c r="FM45" s="19">
        <f>SUM(FM46:FM49)</f>
        <v>169303565</v>
      </c>
      <c r="FN45" s="19">
        <f>SUM(FN46:FN49)</f>
        <v>459291035</v>
      </c>
      <c r="FO45" s="56" t="s">
        <v>172</v>
      </c>
      <c r="FP45" s="19">
        <f t="shared" ref="FP45:FU45" si="114">SUM(FP46:FP49)</f>
        <v>12135639</v>
      </c>
      <c r="FQ45" s="19">
        <f t="shared" si="114"/>
        <v>27818233</v>
      </c>
      <c r="FR45" s="19">
        <f t="shared" si="114"/>
        <v>181660380</v>
      </c>
      <c r="FS45" s="19">
        <f t="shared" si="114"/>
        <v>248554913</v>
      </c>
      <c r="FT45" s="19">
        <f t="shared" si="114"/>
        <v>13359688713</v>
      </c>
      <c r="FU45" s="19">
        <f t="shared" si="114"/>
        <v>0</v>
      </c>
      <c r="FV45" s="19" t="s">
        <v>172</v>
      </c>
      <c r="FW45" s="19">
        <f>SUM(FW46:FW49)</f>
        <v>17533114</v>
      </c>
      <c r="FX45" s="19">
        <f>SUM(FX46:FX49)</f>
        <v>0</v>
      </c>
      <c r="FY45" s="19" t="s">
        <v>172</v>
      </c>
      <c r="FZ45" s="19" t="s">
        <v>175</v>
      </c>
      <c r="GA45" s="19">
        <f>SUM(GA46:GA49)</f>
        <v>29419234</v>
      </c>
      <c r="GB45" s="19">
        <f>SUM(GB46:GB49)</f>
        <v>79459943</v>
      </c>
      <c r="GC45" s="19">
        <f>SUM(GC46:GC49)</f>
        <v>0</v>
      </c>
      <c r="GD45" s="19" t="s">
        <v>172</v>
      </c>
      <c r="GE45" s="19" t="s">
        <v>172</v>
      </c>
      <c r="GF45" s="19">
        <f>SUM(GF46:GF49)</f>
        <v>1587119451</v>
      </c>
      <c r="GG45" s="19">
        <f>SUM(GG46:GG49)</f>
        <v>2834914043</v>
      </c>
      <c r="GH45" s="19" t="s">
        <v>172</v>
      </c>
      <c r="GI45" s="19">
        <f t="shared" ref="GI45:KH45" si="115">SUM(GI46:GI49)</f>
        <v>60008030</v>
      </c>
      <c r="GJ45" s="19" t="s">
        <v>172</v>
      </c>
      <c r="GK45" s="19">
        <f t="shared" si="115"/>
        <v>151849669</v>
      </c>
      <c r="GL45" s="19" t="s">
        <v>172</v>
      </c>
      <c r="GM45" s="19">
        <f t="shared" si="115"/>
        <v>0</v>
      </c>
      <c r="GN45" s="19">
        <f t="shared" si="115"/>
        <v>0</v>
      </c>
      <c r="GO45" s="19" t="s">
        <v>172</v>
      </c>
      <c r="GP45" s="19">
        <f t="shared" si="115"/>
        <v>11047231759</v>
      </c>
      <c r="GQ45" s="19">
        <f t="shared" si="115"/>
        <v>335721547</v>
      </c>
      <c r="GR45" s="19">
        <f t="shared" si="115"/>
        <v>1139514726</v>
      </c>
      <c r="GS45" s="19">
        <f t="shared" si="115"/>
        <v>0</v>
      </c>
      <c r="GT45" s="19">
        <f t="shared" si="115"/>
        <v>103772253</v>
      </c>
      <c r="GU45" s="19">
        <f t="shared" si="115"/>
        <v>0</v>
      </c>
      <c r="GV45" s="19">
        <f>SUM(GV46:GV49)</f>
        <v>65083779</v>
      </c>
      <c r="GW45" s="19">
        <f>SUM(GW46:GW49)</f>
        <v>6708188809</v>
      </c>
      <c r="GX45" s="19">
        <f t="shared" si="115"/>
        <v>1584585315</v>
      </c>
      <c r="GY45" s="19">
        <f t="shared" si="115"/>
        <v>415345114</v>
      </c>
      <c r="GZ45" s="19">
        <f t="shared" si="115"/>
        <v>227172789</v>
      </c>
      <c r="HA45" s="19" t="s">
        <v>172</v>
      </c>
      <c r="HB45" s="19">
        <f t="shared" si="115"/>
        <v>0</v>
      </c>
      <c r="HC45" s="19">
        <f t="shared" si="115"/>
        <v>322882110</v>
      </c>
      <c r="HD45" s="19">
        <f t="shared" si="115"/>
        <v>167932575</v>
      </c>
      <c r="HE45" s="19" t="s">
        <v>172</v>
      </c>
      <c r="HF45" s="19">
        <f t="shared" si="115"/>
        <v>0</v>
      </c>
      <c r="HG45" s="19">
        <f t="shared" si="115"/>
        <v>1467585485</v>
      </c>
      <c r="HH45" s="19" t="s">
        <v>172</v>
      </c>
      <c r="HI45" s="19">
        <f t="shared" si="115"/>
        <v>0</v>
      </c>
      <c r="HJ45" s="19" t="s">
        <v>172</v>
      </c>
      <c r="HK45" s="19">
        <f t="shared" si="115"/>
        <v>2060864878</v>
      </c>
      <c r="HL45" s="19">
        <f t="shared" si="115"/>
        <v>1125977897</v>
      </c>
      <c r="HM45" s="19">
        <f t="shared" si="115"/>
        <v>10186710</v>
      </c>
      <c r="HN45" s="19">
        <f t="shared" si="115"/>
        <v>0</v>
      </c>
      <c r="HO45" s="19">
        <f t="shared" si="115"/>
        <v>1650494144</v>
      </c>
      <c r="HP45" s="19">
        <f t="shared" si="115"/>
        <v>775304000</v>
      </c>
      <c r="HQ45" s="19">
        <f t="shared" si="115"/>
        <v>0</v>
      </c>
      <c r="HR45" s="19">
        <f t="shared" si="115"/>
        <v>6963217965</v>
      </c>
      <c r="HS45" s="19">
        <f t="shared" si="115"/>
        <v>161835442</v>
      </c>
      <c r="HT45" s="19">
        <f t="shared" si="115"/>
        <v>12347984</v>
      </c>
      <c r="HU45" s="19">
        <f t="shared" si="115"/>
        <v>41937788</v>
      </c>
      <c r="HV45" s="19">
        <f t="shared" si="115"/>
        <v>133222800</v>
      </c>
      <c r="HW45" s="19" t="s">
        <v>172</v>
      </c>
      <c r="HX45" s="19">
        <f t="shared" si="115"/>
        <v>3196166191</v>
      </c>
      <c r="HY45" s="19" t="s">
        <v>172</v>
      </c>
      <c r="HZ45" s="19">
        <f>SUM(HZ46:HZ49)</f>
        <v>4553023323</v>
      </c>
      <c r="IA45" s="19">
        <f t="shared" si="115"/>
        <v>0</v>
      </c>
      <c r="IB45" s="19">
        <f t="shared" si="115"/>
        <v>16533454</v>
      </c>
      <c r="IC45" s="19">
        <f t="shared" si="115"/>
        <v>559086611</v>
      </c>
      <c r="ID45" s="19">
        <f t="shared" si="115"/>
        <v>85880929</v>
      </c>
      <c r="IE45" s="19" t="s">
        <v>172</v>
      </c>
      <c r="IF45" s="19">
        <f t="shared" si="115"/>
        <v>366586665</v>
      </c>
      <c r="IG45" s="19">
        <f t="shared" si="115"/>
        <v>24827554</v>
      </c>
      <c r="IH45" s="19">
        <f t="shared" si="115"/>
        <v>1498256882</v>
      </c>
      <c r="II45" s="19">
        <f t="shared" si="115"/>
        <v>171672649</v>
      </c>
      <c r="IJ45" s="19">
        <f t="shared" si="115"/>
        <v>229419179</v>
      </c>
      <c r="IK45" s="19">
        <f t="shared" si="115"/>
        <v>819305020</v>
      </c>
      <c r="IL45" s="19">
        <f t="shared" si="115"/>
        <v>274419877</v>
      </c>
      <c r="IM45" s="19">
        <f>SUM(IM46:IM49)</f>
        <v>0</v>
      </c>
      <c r="IN45" s="19">
        <f t="shared" si="115"/>
        <v>0</v>
      </c>
      <c r="IO45" s="19">
        <f t="shared" si="115"/>
        <v>401701202</v>
      </c>
      <c r="IP45" s="19">
        <f t="shared" si="115"/>
        <v>1400056981</v>
      </c>
      <c r="IQ45" s="19">
        <f t="shared" si="115"/>
        <v>0</v>
      </c>
      <c r="IR45" s="19">
        <f t="shared" si="115"/>
        <v>492473954</v>
      </c>
      <c r="IS45" s="19">
        <f t="shared" si="115"/>
        <v>1722290297</v>
      </c>
      <c r="IT45" s="19">
        <f t="shared" si="115"/>
        <v>120789585</v>
      </c>
      <c r="IU45" s="19">
        <f t="shared" si="115"/>
        <v>0</v>
      </c>
      <c r="IV45" s="19">
        <f t="shared" si="115"/>
        <v>0</v>
      </c>
      <c r="IW45" s="19">
        <f t="shared" si="115"/>
        <v>0</v>
      </c>
      <c r="IX45" s="19">
        <f t="shared" si="115"/>
        <v>377138777</v>
      </c>
      <c r="IY45" s="19">
        <f t="shared" si="115"/>
        <v>84838141</v>
      </c>
      <c r="IZ45" s="19">
        <f t="shared" si="115"/>
        <v>150511299</v>
      </c>
      <c r="JA45" s="19">
        <f t="shared" si="115"/>
        <v>4313720912</v>
      </c>
      <c r="JB45" s="19">
        <f t="shared" si="115"/>
        <v>98482881</v>
      </c>
      <c r="JC45" s="19">
        <f t="shared" si="115"/>
        <v>113487215</v>
      </c>
      <c r="JD45" s="19">
        <f t="shared" si="115"/>
        <v>0</v>
      </c>
      <c r="JE45" s="19">
        <f t="shared" si="115"/>
        <v>87586087</v>
      </c>
      <c r="JF45" s="19">
        <f t="shared" si="115"/>
        <v>546125660</v>
      </c>
      <c r="JG45" s="19">
        <f t="shared" si="115"/>
        <v>0</v>
      </c>
      <c r="JH45" s="19">
        <f t="shared" si="115"/>
        <v>0</v>
      </c>
      <c r="JI45" s="19">
        <f t="shared" si="115"/>
        <v>68806730</v>
      </c>
      <c r="JJ45" s="19">
        <f t="shared" si="115"/>
        <v>0</v>
      </c>
      <c r="JK45" s="19">
        <f t="shared" si="115"/>
        <v>294109377</v>
      </c>
      <c r="JL45" s="19">
        <f t="shared" si="115"/>
        <v>146244560</v>
      </c>
      <c r="JM45" s="19">
        <f t="shared" si="115"/>
        <v>0</v>
      </c>
      <c r="JN45" s="19">
        <f t="shared" si="115"/>
        <v>2821520196</v>
      </c>
      <c r="JO45" s="19">
        <f t="shared" si="115"/>
        <v>0</v>
      </c>
      <c r="JP45" s="19">
        <f t="shared" si="115"/>
        <v>459912335</v>
      </c>
      <c r="JQ45" s="19" t="s">
        <v>175</v>
      </c>
      <c r="JR45" s="19">
        <f t="shared" si="115"/>
        <v>168504484</v>
      </c>
      <c r="JS45" s="19">
        <f t="shared" si="115"/>
        <v>153024568</v>
      </c>
      <c r="JT45" s="19">
        <f t="shared" si="115"/>
        <v>88245888</v>
      </c>
      <c r="JU45" s="19">
        <f t="shared" si="115"/>
        <v>1022961343</v>
      </c>
      <c r="JV45" s="19">
        <f t="shared" si="115"/>
        <v>78614204</v>
      </c>
      <c r="JW45" s="19">
        <f t="shared" si="115"/>
        <v>0</v>
      </c>
      <c r="JX45" s="19">
        <f t="shared" si="115"/>
        <v>0</v>
      </c>
      <c r="JY45" s="19">
        <f t="shared" si="115"/>
        <v>932263914</v>
      </c>
      <c r="JZ45" s="19">
        <f t="shared" si="115"/>
        <v>30842719</v>
      </c>
      <c r="KA45" s="19">
        <f t="shared" si="115"/>
        <v>156725151</v>
      </c>
      <c r="KB45" s="19">
        <f t="shared" si="115"/>
        <v>5914077107</v>
      </c>
      <c r="KC45" s="19">
        <f t="shared" si="115"/>
        <v>226669081</v>
      </c>
      <c r="KD45" s="19">
        <f t="shared" si="115"/>
        <v>3952071406</v>
      </c>
      <c r="KE45" s="19">
        <f t="shared" si="115"/>
        <v>108859629</v>
      </c>
      <c r="KF45" s="19">
        <f t="shared" si="115"/>
        <v>800254518</v>
      </c>
      <c r="KG45" s="19">
        <f t="shared" si="115"/>
        <v>625994219</v>
      </c>
      <c r="KH45" s="19">
        <f t="shared" si="115"/>
        <v>0</v>
      </c>
      <c r="KI45" s="19">
        <f t="shared" ref="KI45:KM45" si="116">SUM(KI46:KI49)</f>
        <v>0</v>
      </c>
      <c r="KJ45" s="19">
        <v>0</v>
      </c>
      <c r="KK45" s="19">
        <f t="shared" si="116"/>
        <v>475939939</v>
      </c>
      <c r="KL45" s="19">
        <f t="shared" si="116"/>
        <v>536413380</v>
      </c>
      <c r="KM45" s="19">
        <f t="shared" si="116"/>
        <v>8909072</v>
      </c>
      <c r="KN45" s="19">
        <v>0</v>
      </c>
      <c r="KO45" s="19">
        <f t="shared" ref="KO45:KY45" si="117">SUM(KO46:KO49)</f>
        <v>1771470233</v>
      </c>
      <c r="KP45" s="19">
        <f t="shared" si="117"/>
        <v>0</v>
      </c>
      <c r="KQ45" s="19">
        <f t="shared" si="117"/>
        <v>70613272</v>
      </c>
      <c r="KR45" s="19">
        <f t="shared" si="117"/>
        <v>7110000</v>
      </c>
      <c r="KS45" s="19">
        <f t="shared" si="117"/>
        <v>460357457</v>
      </c>
      <c r="KT45" s="19">
        <f t="shared" si="117"/>
        <v>392792758</v>
      </c>
      <c r="KU45" s="19">
        <f t="shared" si="117"/>
        <v>4513552645</v>
      </c>
      <c r="KV45" s="19">
        <f t="shared" si="117"/>
        <v>91221034</v>
      </c>
      <c r="KW45" s="19">
        <f t="shared" si="117"/>
        <v>704250633</v>
      </c>
      <c r="KX45" s="19">
        <f t="shared" si="117"/>
        <v>11172659</v>
      </c>
      <c r="KY45" s="19">
        <f t="shared" si="117"/>
        <v>1361984248</v>
      </c>
      <c r="KZ45" s="71">
        <f>KZ46+KZ47+KZ48+KZ49</f>
        <v>565980285</v>
      </c>
      <c r="LA45" s="70">
        <v>193802429</v>
      </c>
      <c r="LB45" s="70">
        <v>39187004</v>
      </c>
    </row>
    <row r="46" spans="1:314">
      <c r="A46" s="9" t="s">
        <v>103</v>
      </c>
      <c r="B46" s="15" t="s">
        <v>67</v>
      </c>
      <c r="C46" s="19"/>
      <c r="D46" s="19"/>
      <c r="E46" s="19">
        <v>550629657</v>
      </c>
      <c r="F46" s="19">
        <v>129554337</v>
      </c>
      <c r="G46" s="19" t="s">
        <v>130</v>
      </c>
      <c r="H46" s="19"/>
      <c r="I46" s="19"/>
      <c r="J46" s="19" t="s">
        <v>176</v>
      </c>
      <c r="K46" s="19"/>
      <c r="L46" s="19" t="s">
        <v>96</v>
      </c>
      <c r="M46" s="19" t="s">
        <v>96</v>
      </c>
      <c r="N46" s="19">
        <v>2228745</v>
      </c>
      <c r="O46" s="19"/>
      <c r="P46" s="19"/>
      <c r="Q46" s="19"/>
      <c r="R46" s="19">
        <v>161319072</v>
      </c>
      <c r="S46" s="19">
        <v>395694492</v>
      </c>
      <c r="T46" s="19" t="s">
        <v>96</v>
      </c>
      <c r="U46" s="19" t="s">
        <v>96</v>
      </c>
      <c r="V46" s="19" t="s">
        <v>172</v>
      </c>
      <c r="W46" s="19"/>
      <c r="X46" s="19"/>
      <c r="Y46" s="19"/>
      <c r="Z46" s="19">
        <v>122515000</v>
      </c>
      <c r="AA46" s="19"/>
      <c r="AB46" s="19"/>
      <c r="AC46" s="19"/>
      <c r="AD46" s="19"/>
      <c r="AE46" s="19"/>
      <c r="AF46" s="56" t="s">
        <v>172</v>
      </c>
      <c r="AG46" s="19"/>
      <c r="AH46" s="19" t="s">
        <v>167</v>
      </c>
      <c r="AI46" s="19">
        <v>488119487</v>
      </c>
      <c r="AJ46" s="19">
        <v>162907514</v>
      </c>
      <c r="AK46" s="19">
        <v>1645717881</v>
      </c>
      <c r="AL46" s="19"/>
      <c r="AM46" s="19" t="s">
        <v>4</v>
      </c>
      <c r="AN46" s="19"/>
      <c r="AO46" s="19"/>
      <c r="AP46" s="19"/>
      <c r="AQ46" s="19" t="s">
        <v>172</v>
      </c>
      <c r="AR46" s="19">
        <v>1232149857</v>
      </c>
      <c r="AS46" s="19"/>
      <c r="AT46" s="19" t="s">
        <v>172</v>
      </c>
      <c r="AU46" s="19"/>
      <c r="AV46" s="19"/>
      <c r="AW46" s="19"/>
      <c r="AX46" s="19" t="s">
        <v>4</v>
      </c>
      <c r="AY46" s="19"/>
      <c r="AZ46" s="19"/>
      <c r="BA46" s="19" t="s">
        <v>167</v>
      </c>
      <c r="BB46" s="19"/>
      <c r="BC46" s="19" t="s">
        <v>4</v>
      </c>
      <c r="BD46" s="19" t="s">
        <v>172</v>
      </c>
      <c r="BE46" s="19"/>
      <c r="BF46" s="19" t="s">
        <v>96</v>
      </c>
      <c r="BG46" s="19">
        <v>220336228</v>
      </c>
      <c r="BH46" s="19"/>
      <c r="BI46" s="19"/>
      <c r="BJ46" s="19">
        <v>140466620</v>
      </c>
      <c r="BK46" s="19"/>
      <c r="BL46" s="19"/>
      <c r="BM46" s="19">
        <v>87930498</v>
      </c>
      <c r="BN46" s="19"/>
      <c r="BO46" s="19" t="s">
        <v>96</v>
      </c>
      <c r="BP46" s="19" t="s">
        <v>96</v>
      </c>
      <c r="BQ46" s="19" t="s">
        <v>175</v>
      </c>
      <c r="BR46" s="19"/>
      <c r="BS46" s="19" t="s">
        <v>172</v>
      </c>
      <c r="BT46" s="19">
        <v>10825913</v>
      </c>
      <c r="BU46" s="19"/>
      <c r="BV46" s="19"/>
      <c r="BW46" s="19"/>
      <c r="BX46" s="19"/>
      <c r="BY46" s="19">
        <v>5143552144</v>
      </c>
      <c r="BZ46" s="19">
        <v>776549951</v>
      </c>
      <c r="CA46" s="19"/>
      <c r="CB46" s="19">
        <v>20069453</v>
      </c>
      <c r="CC46" s="19">
        <v>1625190420</v>
      </c>
      <c r="CD46" s="19"/>
      <c r="CE46" s="19" t="s">
        <v>172</v>
      </c>
      <c r="CF46" s="19"/>
      <c r="CG46" s="19"/>
      <c r="CH46" s="19">
        <v>3152455</v>
      </c>
      <c r="CI46" s="19" t="s">
        <v>172</v>
      </c>
      <c r="CJ46" s="19">
        <v>94582365</v>
      </c>
      <c r="CK46" s="19"/>
      <c r="CL46" s="19"/>
      <c r="CM46" s="19"/>
      <c r="CN46" s="19"/>
      <c r="CO46" s="19"/>
      <c r="CP46" s="19">
        <v>1111281726</v>
      </c>
      <c r="CQ46" s="19" t="s">
        <v>96</v>
      </c>
      <c r="CR46" s="19"/>
      <c r="CS46" s="56" t="s">
        <v>172</v>
      </c>
      <c r="CT46" s="19">
        <v>99880185</v>
      </c>
      <c r="CU46" s="19"/>
      <c r="CV46" s="19">
        <v>125844625</v>
      </c>
      <c r="CW46" s="19">
        <v>476111900</v>
      </c>
      <c r="CX46" s="19">
        <v>538705219</v>
      </c>
      <c r="CY46" s="19" t="s">
        <v>96</v>
      </c>
      <c r="CZ46" s="19">
        <v>4671090</v>
      </c>
      <c r="DA46" s="19" t="s">
        <v>175</v>
      </c>
      <c r="DB46" s="19">
        <v>89974363</v>
      </c>
      <c r="DC46" s="19"/>
      <c r="DD46" s="19">
        <v>3527006</v>
      </c>
      <c r="DE46" s="19">
        <v>6808620</v>
      </c>
      <c r="DF46" s="19">
        <v>14485653</v>
      </c>
      <c r="DG46" s="19"/>
      <c r="DH46" s="19">
        <v>45350</v>
      </c>
      <c r="DI46" s="19">
        <v>32928115</v>
      </c>
      <c r="DJ46" s="19">
        <v>4458773</v>
      </c>
      <c r="DK46" s="19">
        <v>754231022</v>
      </c>
      <c r="DL46" s="19">
        <v>1856000</v>
      </c>
      <c r="DM46" s="19">
        <v>488839999</v>
      </c>
      <c r="DN46" s="19">
        <v>236753952</v>
      </c>
      <c r="DO46" s="19"/>
      <c r="DP46" s="19"/>
      <c r="DQ46" s="19"/>
      <c r="DR46" s="19"/>
      <c r="DS46" s="19"/>
      <c r="DT46" s="19">
        <v>50852173</v>
      </c>
      <c r="DU46" s="19"/>
      <c r="DV46" s="19"/>
      <c r="DW46" s="19">
        <v>342458286</v>
      </c>
      <c r="DX46" s="19"/>
      <c r="DY46" s="19"/>
      <c r="DZ46" s="19"/>
      <c r="EA46" s="19"/>
      <c r="EB46" s="19"/>
      <c r="EC46" s="19">
        <v>311426132</v>
      </c>
      <c r="ED46" s="19">
        <v>4005000</v>
      </c>
      <c r="EE46" s="19"/>
      <c r="EF46" s="19"/>
      <c r="EG46" s="19">
        <v>4373000</v>
      </c>
      <c r="EH46" s="19"/>
      <c r="EI46" s="19"/>
      <c r="EJ46" s="19"/>
      <c r="EK46" s="19"/>
      <c r="EL46" s="19"/>
      <c r="EM46" s="19">
        <v>56431064</v>
      </c>
      <c r="EN46" s="19"/>
      <c r="EO46" s="19"/>
      <c r="EP46" s="19"/>
      <c r="EQ46" s="19"/>
      <c r="ER46" s="19"/>
      <c r="ES46" s="19">
        <v>741158845</v>
      </c>
      <c r="ET46" s="19"/>
      <c r="EU46" s="19"/>
      <c r="EV46" s="19">
        <v>165592266</v>
      </c>
      <c r="EW46" s="19">
        <v>366568880</v>
      </c>
      <c r="EX46" s="19">
        <v>44684408</v>
      </c>
      <c r="EY46" s="19"/>
      <c r="EZ46" s="19">
        <v>41182070</v>
      </c>
      <c r="FA46" s="19"/>
      <c r="FB46" s="19">
        <v>370285110</v>
      </c>
      <c r="FC46" s="19"/>
      <c r="FD46" s="19"/>
      <c r="FE46" s="19">
        <v>22032595802</v>
      </c>
      <c r="FF46" s="19"/>
      <c r="FG46" s="19" t="s">
        <v>172</v>
      </c>
      <c r="FH46" s="19">
        <v>1368069862</v>
      </c>
      <c r="FI46" s="19" t="s">
        <v>172</v>
      </c>
      <c r="FJ46" s="19">
        <v>22144710</v>
      </c>
      <c r="FK46" s="19">
        <v>839922838</v>
      </c>
      <c r="FL46" s="19"/>
      <c r="FM46" s="19">
        <v>169303565</v>
      </c>
      <c r="FN46" s="19">
        <v>33500000</v>
      </c>
      <c r="FO46" s="56" t="s">
        <v>172</v>
      </c>
      <c r="FP46" s="19">
        <v>12135639</v>
      </c>
      <c r="FQ46" s="19"/>
      <c r="FR46" s="19">
        <v>181660380</v>
      </c>
      <c r="FS46" s="19"/>
      <c r="FT46" s="19"/>
      <c r="FU46" s="19"/>
      <c r="FV46" s="19" t="s">
        <v>172</v>
      </c>
      <c r="FW46" s="19">
        <v>6691223</v>
      </c>
      <c r="FX46" s="19"/>
      <c r="FY46" s="19" t="s">
        <v>172</v>
      </c>
      <c r="FZ46" s="19" t="s">
        <v>175</v>
      </c>
      <c r="GA46" s="19">
        <v>29419234</v>
      </c>
      <c r="GB46" s="19">
        <v>79459943</v>
      </c>
      <c r="GC46" s="19"/>
      <c r="GD46" s="19" t="s">
        <v>172</v>
      </c>
      <c r="GE46" s="19" t="s">
        <v>172</v>
      </c>
      <c r="GF46" s="19"/>
      <c r="GG46" s="19">
        <v>1315772335</v>
      </c>
      <c r="GH46" s="19" t="s">
        <v>172</v>
      </c>
      <c r="GI46" s="19">
        <v>20937402</v>
      </c>
      <c r="GJ46" s="19" t="s">
        <v>172</v>
      </c>
      <c r="GK46" s="19">
        <v>14971349</v>
      </c>
      <c r="GL46" s="19" t="s">
        <v>172</v>
      </c>
      <c r="GM46" s="19"/>
      <c r="GN46" s="19"/>
      <c r="GO46" s="19" t="s">
        <v>172</v>
      </c>
      <c r="GP46" s="19">
        <v>5109983612</v>
      </c>
      <c r="GQ46" s="19"/>
      <c r="GR46" s="19">
        <v>167544258</v>
      </c>
      <c r="GS46" s="19"/>
      <c r="GT46" s="19">
        <v>103772253</v>
      </c>
      <c r="GU46" s="19"/>
      <c r="GV46" s="19">
        <v>65083779</v>
      </c>
      <c r="GW46" s="19">
        <v>807582439</v>
      </c>
      <c r="GX46" s="19">
        <v>499557529</v>
      </c>
      <c r="GY46" s="19"/>
      <c r="GZ46" s="19"/>
      <c r="HA46" s="19" t="s">
        <v>172</v>
      </c>
      <c r="HB46" s="19"/>
      <c r="HC46" s="19">
        <v>149440530</v>
      </c>
      <c r="HD46" s="19"/>
      <c r="HE46" s="19" t="s">
        <v>172</v>
      </c>
      <c r="HF46" s="19"/>
      <c r="HG46" s="19"/>
      <c r="HH46" s="19" t="s">
        <v>172</v>
      </c>
      <c r="HI46" s="19"/>
      <c r="HJ46" s="19" t="s">
        <v>172</v>
      </c>
      <c r="HK46" s="19">
        <v>174743363</v>
      </c>
      <c r="HL46" s="19"/>
      <c r="HM46" s="19">
        <v>10186710</v>
      </c>
      <c r="HN46" s="19"/>
      <c r="HO46" s="19"/>
      <c r="HP46" s="19">
        <v>775304000</v>
      </c>
      <c r="HQ46" s="19"/>
      <c r="HR46" s="19">
        <v>26323016</v>
      </c>
      <c r="HS46" s="19"/>
      <c r="HT46" s="19">
        <v>12347984</v>
      </c>
      <c r="HU46" s="19">
        <v>41937788</v>
      </c>
      <c r="HV46" s="19">
        <v>133222800</v>
      </c>
      <c r="HW46" s="19" t="s">
        <v>172</v>
      </c>
      <c r="HX46" s="19"/>
      <c r="HY46" s="19" t="s">
        <v>172</v>
      </c>
      <c r="HZ46" s="19">
        <v>34722820</v>
      </c>
      <c r="IA46" s="19"/>
      <c r="IB46" s="19">
        <v>6361570</v>
      </c>
      <c r="IC46" s="19"/>
      <c r="ID46" s="19">
        <v>85880929</v>
      </c>
      <c r="IE46" s="19" t="s">
        <v>172</v>
      </c>
      <c r="IF46" s="19">
        <v>51753250</v>
      </c>
      <c r="IG46" s="19">
        <v>24827554</v>
      </c>
      <c r="IH46" s="19">
        <v>985467114</v>
      </c>
      <c r="II46" s="19"/>
      <c r="IJ46" s="19">
        <v>229419179</v>
      </c>
      <c r="IK46" s="19">
        <v>202912768</v>
      </c>
      <c r="IL46" s="19">
        <v>116475092</v>
      </c>
      <c r="IM46" s="19"/>
      <c r="IN46" s="19"/>
      <c r="IO46" s="19">
        <v>214107980</v>
      </c>
      <c r="IP46" s="19">
        <v>1400056981</v>
      </c>
      <c r="IQ46" s="19"/>
      <c r="IR46" s="19">
        <v>20126970</v>
      </c>
      <c r="IS46" s="19"/>
      <c r="IT46" s="19"/>
      <c r="IU46" s="19"/>
      <c r="IV46" s="19"/>
      <c r="IW46" s="19"/>
      <c r="IX46" s="19">
        <v>377138777</v>
      </c>
      <c r="IY46" s="19"/>
      <c r="IZ46" s="19">
        <v>10999454</v>
      </c>
      <c r="JA46" s="19">
        <v>4313720912</v>
      </c>
      <c r="JB46" s="19"/>
      <c r="JC46" s="19">
        <v>16850406</v>
      </c>
      <c r="JD46" s="19"/>
      <c r="JE46" s="19">
        <v>87586087</v>
      </c>
      <c r="JF46" s="19">
        <v>546125660</v>
      </c>
      <c r="JG46" s="19"/>
      <c r="JH46" s="19"/>
      <c r="JI46" s="19"/>
      <c r="JJ46" s="19"/>
      <c r="JK46" s="19"/>
      <c r="JL46" s="19">
        <v>146244560</v>
      </c>
      <c r="JM46" s="19"/>
      <c r="JN46" s="19">
        <v>1051587600</v>
      </c>
      <c r="JO46" s="19"/>
      <c r="JP46" s="19"/>
      <c r="JQ46" s="19" t="s">
        <v>175</v>
      </c>
      <c r="JR46" s="19"/>
      <c r="JS46" s="19"/>
      <c r="JT46" s="19"/>
      <c r="JU46" s="19"/>
      <c r="JV46" s="19">
        <v>78614204</v>
      </c>
      <c r="JW46" s="19"/>
      <c r="JX46" s="19"/>
      <c r="JY46" s="19"/>
      <c r="JZ46" s="19"/>
      <c r="KA46" s="19">
        <v>156725151</v>
      </c>
      <c r="KB46" s="19"/>
      <c r="KC46" s="19"/>
      <c r="KD46" s="19">
        <v>621999164</v>
      </c>
      <c r="KE46" s="19"/>
      <c r="KF46" s="19"/>
      <c r="KG46" s="19">
        <v>625994219</v>
      </c>
      <c r="KH46" s="19"/>
      <c r="KI46" s="19"/>
      <c r="KJ46" s="19"/>
      <c r="KK46" s="19">
        <v>0</v>
      </c>
      <c r="KL46" s="19"/>
      <c r="KM46" s="19">
        <v>8909072</v>
      </c>
      <c r="KN46" s="19"/>
      <c r="KO46" s="19">
        <v>1800418</v>
      </c>
      <c r="KP46" s="19"/>
      <c r="KQ46" s="19"/>
      <c r="KR46" s="19">
        <v>7110000</v>
      </c>
      <c r="KS46" s="19">
        <v>454544</v>
      </c>
      <c r="KT46" s="19">
        <v>7033169</v>
      </c>
      <c r="KU46" s="19">
        <v>4182611972</v>
      </c>
      <c r="KV46" s="19">
        <v>91221034</v>
      </c>
      <c r="KW46" s="19">
        <v>704250633</v>
      </c>
      <c r="KX46" s="19"/>
      <c r="KY46" s="19"/>
      <c r="KZ46" s="58">
        <v>7430000</v>
      </c>
      <c r="LA46" s="70">
        <v>139609429</v>
      </c>
      <c r="LB46" s="70"/>
    </row>
    <row r="47" spans="1:314">
      <c r="A47" s="9" t="s">
        <v>103</v>
      </c>
      <c r="B47" s="15" t="s">
        <v>72</v>
      </c>
      <c r="C47" s="19"/>
      <c r="D47" s="19">
        <v>3861851016</v>
      </c>
      <c r="E47" s="19">
        <v>1197898942</v>
      </c>
      <c r="F47" s="19"/>
      <c r="G47" s="19" t="s">
        <v>130</v>
      </c>
      <c r="H47" s="19"/>
      <c r="I47" s="19"/>
      <c r="J47" s="19" t="s">
        <v>176</v>
      </c>
      <c r="K47" s="19">
        <v>3353132154</v>
      </c>
      <c r="L47" s="19" t="s">
        <v>96</v>
      </c>
      <c r="M47" s="19" t="s">
        <v>96</v>
      </c>
      <c r="N47" s="19">
        <v>340839532</v>
      </c>
      <c r="O47" s="19"/>
      <c r="P47" s="19"/>
      <c r="Q47" s="19">
        <v>269143156</v>
      </c>
      <c r="R47" s="19"/>
      <c r="S47" s="19">
        <v>7971660993</v>
      </c>
      <c r="T47" s="19" t="s">
        <v>96</v>
      </c>
      <c r="U47" s="19" t="s">
        <v>96</v>
      </c>
      <c r="V47" s="19" t="s">
        <v>172</v>
      </c>
      <c r="W47" s="19">
        <v>197724033</v>
      </c>
      <c r="X47" s="19"/>
      <c r="Y47" s="19"/>
      <c r="Z47" s="19"/>
      <c r="AA47" s="19">
        <v>4150147713</v>
      </c>
      <c r="AB47" s="19"/>
      <c r="AC47" s="19">
        <v>1935882987</v>
      </c>
      <c r="AD47" s="19">
        <v>3760820096</v>
      </c>
      <c r="AE47" s="19">
        <v>209835734</v>
      </c>
      <c r="AF47" s="56" t="s">
        <v>172</v>
      </c>
      <c r="AG47" s="19"/>
      <c r="AH47" s="19" t="s">
        <v>167</v>
      </c>
      <c r="AI47" s="19"/>
      <c r="AJ47" s="19"/>
      <c r="AK47" s="19">
        <v>580374118</v>
      </c>
      <c r="AL47" s="19"/>
      <c r="AM47" s="19" t="s">
        <v>4</v>
      </c>
      <c r="AN47" s="19">
        <v>27013904</v>
      </c>
      <c r="AO47" s="19"/>
      <c r="AP47" s="19"/>
      <c r="AQ47" s="19" t="s">
        <v>172</v>
      </c>
      <c r="AR47" s="19"/>
      <c r="AS47" s="19"/>
      <c r="AT47" s="19" t="s">
        <v>172</v>
      </c>
      <c r="AU47" s="19"/>
      <c r="AV47" s="19"/>
      <c r="AW47" s="19"/>
      <c r="AX47" s="19" t="s">
        <v>4</v>
      </c>
      <c r="AY47" s="19">
        <v>67070338</v>
      </c>
      <c r="AZ47" s="19">
        <v>598084620</v>
      </c>
      <c r="BA47" s="19" t="s">
        <v>167</v>
      </c>
      <c r="BB47" s="19"/>
      <c r="BC47" s="19" t="s">
        <v>4</v>
      </c>
      <c r="BD47" s="19" t="s">
        <v>172</v>
      </c>
      <c r="BE47" s="19">
        <v>1132508678</v>
      </c>
      <c r="BF47" s="19" t="s">
        <v>96</v>
      </c>
      <c r="BG47" s="19">
        <v>1130589479</v>
      </c>
      <c r="BH47" s="19">
        <v>858594167</v>
      </c>
      <c r="BI47" s="19">
        <v>485954914</v>
      </c>
      <c r="BJ47" s="19">
        <v>336240610</v>
      </c>
      <c r="BK47" s="19">
        <v>1231672156</v>
      </c>
      <c r="BL47" s="19"/>
      <c r="BM47" s="19">
        <v>568684233</v>
      </c>
      <c r="BN47" s="19"/>
      <c r="BO47" s="19" t="s">
        <v>96</v>
      </c>
      <c r="BP47" s="19" t="s">
        <v>96</v>
      </c>
      <c r="BQ47" s="19" t="s">
        <v>175</v>
      </c>
      <c r="BR47" s="19">
        <v>6763476698</v>
      </c>
      <c r="BS47" s="19" t="s">
        <v>172</v>
      </c>
      <c r="BT47" s="19"/>
      <c r="BU47" s="19">
        <v>575330817</v>
      </c>
      <c r="BV47" s="19"/>
      <c r="BW47" s="19"/>
      <c r="BX47" s="19"/>
      <c r="BY47" s="19"/>
      <c r="BZ47" s="19"/>
      <c r="CA47" s="19"/>
      <c r="CB47" s="19"/>
      <c r="CC47" s="19"/>
      <c r="CD47" s="19">
        <v>2138064343</v>
      </c>
      <c r="CE47" s="19" t="s">
        <v>172</v>
      </c>
      <c r="CF47" s="19">
        <v>119331014</v>
      </c>
      <c r="CG47" s="19"/>
      <c r="CH47" s="19">
        <v>254391711</v>
      </c>
      <c r="CI47" s="19" t="s">
        <v>172</v>
      </c>
      <c r="CJ47" s="19">
        <v>119467597</v>
      </c>
      <c r="CK47" s="19">
        <v>1876291426</v>
      </c>
      <c r="CL47" s="19">
        <v>640688832</v>
      </c>
      <c r="CM47" s="19"/>
      <c r="CN47" s="19"/>
      <c r="CO47" s="19"/>
      <c r="CP47" s="19">
        <v>119010170</v>
      </c>
      <c r="CQ47" s="19" t="s">
        <v>96</v>
      </c>
      <c r="CR47" s="19"/>
      <c r="CS47" s="56" t="s">
        <v>172</v>
      </c>
      <c r="CT47" s="19"/>
      <c r="CU47" s="19"/>
      <c r="CV47" s="19"/>
      <c r="CW47" s="19"/>
      <c r="CX47" s="19"/>
      <c r="CY47" s="19" t="s">
        <v>96</v>
      </c>
      <c r="CZ47" s="19">
        <v>53532764</v>
      </c>
      <c r="DA47" s="19" t="s">
        <v>175</v>
      </c>
      <c r="DB47" s="19">
        <v>171884635</v>
      </c>
      <c r="DC47" s="19"/>
      <c r="DD47" s="19"/>
      <c r="DE47" s="19"/>
      <c r="DF47" s="19"/>
      <c r="DG47" s="19"/>
      <c r="DH47" s="19">
        <v>171236</v>
      </c>
      <c r="DI47" s="19">
        <v>4440979172</v>
      </c>
      <c r="DJ47" s="19"/>
      <c r="DK47" s="19">
        <v>10556746060</v>
      </c>
      <c r="DL47" s="19"/>
      <c r="DM47" s="19"/>
      <c r="DN47" s="19">
        <v>1270921136</v>
      </c>
      <c r="DO47" s="19"/>
      <c r="DP47" s="19">
        <v>1657475432</v>
      </c>
      <c r="DQ47" s="19">
        <v>164556256</v>
      </c>
      <c r="DR47" s="19">
        <v>405916589</v>
      </c>
      <c r="DS47" s="19"/>
      <c r="DT47" s="19"/>
      <c r="DU47" s="19"/>
      <c r="DV47" s="19"/>
      <c r="DW47" s="19">
        <v>689805603</v>
      </c>
      <c r="DX47" s="19"/>
      <c r="DY47" s="19">
        <v>141382374</v>
      </c>
      <c r="DZ47" s="19"/>
      <c r="EA47" s="19"/>
      <c r="EB47" s="19">
        <v>372168228</v>
      </c>
      <c r="EC47" s="19"/>
      <c r="ED47" s="19"/>
      <c r="EE47" s="19">
        <v>857942789</v>
      </c>
      <c r="EF47" s="19">
        <v>273275705</v>
      </c>
      <c r="EG47" s="19">
        <v>3519480509</v>
      </c>
      <c r="EH47" s="19"/>
      <c r="EI47" s="19"/>
      <c r="EJ47" s="19"/>
      <c r="EK47" s="19"/>
      <c r="EL47" s="19">
        <v>3693177737</v>
      </c>
      <c r="EM47" s="19">
        <v>545894266</v>
      </c>
      <c r="EN47" s="19"/>
      <c r="EO47" s="19">
        <v>488417336</v>
      </c>
      <c r="EP47" s="19">
        <v>203770251</v>
      </c>
      <c r="EQ47" s="19"/>
      <c r="ER47" s="19"/>
      <c r="ES47" s="19"/>
      <c r="ET47" s="19"/>
      <c r="EU47" s="19"/>
      <c r="EV47" s="19"/>
      <c r="EW47" s="19">
        <v>79428681</v>
      </c>
      <c r="EX47" s="19"/>
      <c r="EY47" s="19"/>
      <c r="EZ47" s="19"/>
      <c r="FA47" s="19"/>
      <c r="FB47" s="19"/>
      <c r="FC47" s="19">
        <v>1724993697</v>
      </c>
      <c r="FD47" s="19">
        <v>379346448</v>
      </c>
      <c r="FE47" s="19"/>
      <c r="FF47" s="19"/>
      <c r="FG47" s="19" t="s">
        <v>172</v>
      </c>
      <c r="FH47" s="19">
        <v>160740424</v>
      </c>
      <c r="FI47" s="19" t="s">
        <v>172</v>
      </c>
      <c r="FJ47" s="19"/>
      <c r="FK47" s="19">
        <v>803430594</v>
      </c>
      <c r="FL47" s="19">
        <v>478565465</v>
      </c>
      <c r="FM47" s="19"/>
      <c r="FN47" s="19">
        <v>425791035</v>
      </c>
      <c r="FO47" s="56" t="s">
        <v>172</v>
      </c>
      <c r="FP47" s="19"/>
      <c r="FQ47" s="19">
        <v>27818233</v>
      </c>
      <c r="FR47" s="19"/>
      <c r="FS47" s="19">
        <v>248554913</v>
      </c>
      <c r="FT47" s="19">
        <v>13359688713</v>
      </c>
      <c r="FU47" s="19"/>
      <c r="FV47" s="19" t="s">
        <v>172</v>
      </c>
      <c r="FW47" s="19">
        <v>10841891</v>
      </c>
      <c r="FX47" s="19"/>
      <c r="FY47" s="19" t="s">
        <v>172</v>
      </c>
      <c r="FZ47" s="19" t="s">
        <v>175</v>
      </c>
      <c r="GA47" s="19"/>
      <c r="GB47" s="19"/>
      <c r="GC47" s="19"/>
      <c r="GD47" s="19" t="s">
        <v>172</v>
      </c>
      <c r="GE47" s="19" t="s">
        <v>172</v>
      </c>
      <c r="GF47" s="19">
        <v>1587119451</v>
      </c>
      <c r="GG47" s="19">
        <v>1519141708</v>
      </c>
      <c r="GH47" s="19" t="s">
        <v>172</v>
      </c>
      <c r="GI47" s="19">
        <v>39070628</v>
      </c>
      <c r="GJ47" s="19" t="s">
        <v>172</v>
      </c>
      <c r="GK47" s="19">
        <v>136878320</v>
      </c>
      <c r="GL47" s="19" t="s">
        <v>172</v>
      </c>
      <c r="GM47" s="19"/>
      <c r="GN47" s="19"/>
      <c r="GO47" s="19" t="s">
        <v>172</v>
      </c>
      <c r="GP47" s="19">
        <v>5937248147</v>
      </c>
      <c r="GQ47" s="19">
        <v>335721547</v>
      </c>
      <c r="GR47" s="19">
        <v>971970468</v>
      </c>
      <c r="GS47" s="19"/>
      <c r="GT47" s="19"/>
      <c r="GU47" s="19"/>
      <c r="GV47" s="19"/>
      <c r="GW47" s="19">
        <v>2952961939</v>
      </c>
      <c r="GX47" s="19">
        <v>1085027786</v>
      </c>
      <c r="GY47" s="19">
        <v>415345114</v>
      </c>
      <c r="GZ47" s="19">
        <v>227172789</v>
      </c>
      <c r="HA47" s="19" t="s">
        <v>172</v>
      </c>
      <c r="HB47" s="19"/>
      <c r="HC47" s="19">
        <v>173441580</v>
      </c>
      <c r="HD47" s="19">
        <v>167932575</v>
      </c>
      <c r="HE47" s="19" t="s">
        <v>172</v>
      </c>
      <c r="HF47" s="19"/>
      <c r="HG47" s="19">
        <v>1466080390</v>
      </c>
      <c r="HH47" s="19" t="s">
        <v>172</v>
      </c>
      <c r="HI47" s="19"/>
      <c r="HJ47" s="19" t="s">
        <v>172</v>
      </c>
      <c r="HK47" s="19">
        <v>1886121515</v>
      </c>
      <c r="HL47" s="19">
        <v>1125977897</v>
      </c>
      <c r="HM47" s="19"/>
      <c r="HN47" s="19"/>
      <c r="HO47" s="19">
        <v>1226284705</v>
      </c>
      <c r="HP47" s="19"/>
      <c r="HQ47" s="19"/>
      <c r="HR47" s="19">
        <v>6936894949</v>
      </c>
      <c r="HS47" s="19">
        <v>161835442</v>
      </c>
      <c r="HT47" s="19"/>
      <c r="HU47" s="19"/>
      <c r="HV47" s="19"/>
      <c r="HW47" s="19" t="s">
        <v>172</v>
      </c>
      <c r="HX47" s="19">
        <v>3196166191</v>
      </c>
      <c r="HY47" s="19" t="s">
        <v>172</v>
      </c>
      <c r="HZ47" s="19">
        <v>4518300503</v>
      </c>
      <c r="IA47" s="19"/>
      <c r="IB47" s="19">
        <v>10171884</v>
      </c>
      <c r="IC47" s="19">
        <v>559086611</v>
      </c>
      <c r="ID47" s="19"/>
      <c r="IE47" s="19" t="s">
        <v>172</v>
      </c>
      <c r="IF47" s="19"/>
      <c r="IG47" s="19"/>
      <c r="IH47" s="19"/>
      <c r="II47" s="19">
        <v>171672649</v>
      </c>
      <c r="IJ47" s="19"/>
      <c r="IK47" s="19">
        <v>616392252</v>
      </c>
      <c r="IL47" s="19">
        <v>157944785</v>
      </c>
      <c r="IM47" s="19"/>
      <c r="IN47" s="19"/>
      <c r="IO47" s="19">
        <v>187593222</v>
      </c>
      <c r="IP47" s="19"/>
      <c r="IQ47" s="19"/>
      <c r="IR47" s="19"/>
      <c r="IS47" s="19">
        <v>1722290297</v>
      </c>
      <c r="IT47" s="19">
        <v>120789585</v>
      </c>
      <c r="IU47" s="19"/>
      <c r="IV47" s="19"/>
      <c r="IW47" s="19"/>
      <c r="IX47" s="19"/>
      <c r="IY47" s="19">
        <v>84838141</v>
      </c>
      <c r="IZ47" s="19">
        <v>139511845</v>
      </c>
      <c r="JA47" s="19"/>
      <c r="JB47" s="19">
        <v>98482881</v>
      </c>
      <c r="JC47" s="19">
        <v>96636809</v>
      </c>
      <c r="JD47" s="19"/>
      <c r="JE47" s="19"/>
      <c r="JF47" s="19"/>
      <c r="JG47" s="19">
        <f>7862703-7862703</f>
        <v>0</v>
      </c>
      <c r="JH47" s="19"/>
      <c r="JI47" s="19">
        <v>68806730</v>
      </c>
      <c r="JJ47" s="19"/>
      <c r="JK47" s="19">
        <v>294109377</v>
      </c>
      <c r="JL47" s="19"/>
      <c r="JM47" s="19"/>
      <c r="JN47" s="19">
        <v>1769932596</v>
      </c>
      <c r="JO47" s="19"/>
      <c r="JP47" s="19"/>
      <c r="JQ47" s="19" t="s">
        <v>175</v>
      </c>
      <c r="JR47" s="19">
        <v>168504484</v>
      </c>
      <c r="JS47" s="19">
        <f>73552183+75144300+4328085</f>
        <v>153024568</v>
      </c>
      <c r="JT47" s="19">
        <v>88245888</v>
      </c>
      <c r="JU47" s="19">
        <v>1022961343</v>
      </c>
      <c r="JV47" s="19"/>
      <c r="JW47" s="19"/>
      <c r="JX47" s="19"/>
      <c r="JY47" s="19"/>
      <c r="JZ47" s="19">
        <v>30842719</v>
      </c>
      <c r="KA47" s="19"/>
      <c r="KB47" s="19">
        <v>5914077107</v>
      </c>
      <c r="KC47" s="19">
        <v>226669081</v>
      </c>
      <c r="KD47" s="19"/>
      <c r="KE47" s="19">
        <v>108859629</v>
      </c>
      <c r="KF47" s="19">
        <v>800254518</v>
      </c>
      <c r="KG47" s="19"/>
      <c r="KH47" s="19"/>
      <c r="KI47" s="19"/>
      <c r="KJ47" s="19"/>
      <c r="KK47" s="19">
        <v>475939939</v>
      </c>
      <c r="KL47" s="19">
        <v>536413380</v>
      </c>
      <c r="KM47" s="19"/>
      <c r="KN47" s="19"/>
      <c r="KO47" s="19">
        <v>1769669815</v>
      </c>
      <c r="KP47" s="19"/>
      <c r="KQ47" s="19">
        <v>70613272</v>
      </c>
      <c r="KR47" s="19"/>
      <c r="KS47" s="19">
        <v>459902913</v>
      </c>
      <c r="KT47" s="19"/>
      <c r="KU47" s="19">
        <v>330940673</v>
      </c>
      <c r="KV47" s="19"/>
      <c r="KW47" s="19"/>
      <c r="KX47" s="19">
        <v>11172659</v>
      </c>
      <c r="KY47" s="19">
        <v>797366482</v>
      </c>
      <c r="KZ47" s="58">
        <v>558550285</v>
      </c>
      <c r="LA47" s="70">
        <v>54193000</v>
      </c>
      <c r="LB47" s="70">
        <v>37947093</v>
      </c>
    </row>
    <row r="48" spans="1:314">
      <c r="A48" s="9" t="s">
        <v>103</v>
      </c>
      <c r="B48" s="15" t="s">
        <v>63</v>
      </c>
      <c r="C48" s="19"/>
      <c r="D48" s="19"/>
      <c r="E48" s="19"/>
      <c r="F48" s="19">
        <v>85230820</v>
      </c>
      <c r="G48" s="19" t="s">
        <v>130</v>
      </c>
      <c r="H48" s="19"/>
      <c r="I48" s="19"/>
      <c r="J48" s="19" t="s">
        <v>176</v>
      </c>
      <c r="K48" s="19"/>
      <c r="L48" s="19" t="s">
        <v>96</v>
      </c>
      <c r="M48" s="19" t="s">
        <v>96</v>
      </c>
      <c r="N48" s="19"/>
      <c r="O48" s="19">
        <v>608784178</v>
      </c>
      <c r="P48" s="19">
        <v>760661995</v>
      </c>
      <c r="Q48" s="19"/>
      <c r="R48" s="19"/>
      <c r="S48" s="19"/>
      <c r="T48" s="19" t="s">
        <v>96</v>
      </c>
      <c r="U48" s="19" t="s">
        <v>96</v>
      </c>
      <c r="V48" s="19" t="s">
        <v>172</v>
      </c>
      <c r="W48" s="19"/>
      <c r="X48" s="19">
        <v>1942757897</v>
      </c>
      <c r="Y48" s="19"/>
      <c r="Z48" s="19">
        <v>110644973</v>
      </c>
      <c r="AA48" s="19"/>
      <c r="AB48" s="19"/>
      <c r="AC48" s="19"/>
      <c r="AD48" s="19"/>
      <c r="AE48" s="19">
        <v>60980259</v>
      </c>
      <c r="AF48" s="56" t="s">
        <v>172</v>
      </c>
      <c r="AG48" s="19"/>
      <c r="AH48" s="19" t="s">
        <v>167</v>
      </c>
      <c r="AI48" s="19"/>
      <c r="AJ48" s="19"/>
      <c r="AK48" s="19"/>
      <c r="AL48" s="19"/>
      <c r="AM48" s="19" t="s">
        <v>4</v>
      </c>
      <c r="AN48" s="19"/>
      <c r="AO48" s="19">
        <v>605040759</v>
      </c>
      <c r="AP48" s="19"/>
      <c r="AQ48" s="19" t="s">
        <v>172</v>
      </c>
      <c r="AR48" s="19"/>
      <c r="AS48" s="19"/>
      <c r="AT48" s="19" t="s">
        <v>172</v>
      </c>
      <c r="AU48" s="19"/>
      <c r="AV48" s="19"/>
      <c r="AW48" s="19"/>
      <c r="AX48" s="19" t="s">
        <v>4</v>
      </c>
      <c r="AY48" s="19"/>
      <c r="AZ48" s="19"/>
      <c r="BA48" s="19" t="s">
        <v>167</v>
      </c>
      <c r="BB48" s="19"/>
      <c r="BC48" s="19" t="s">
        <v>4</v>
      </c>
      <c r="BD48" s="19" t="s">
        <v>172</v>
      </c>
      <c r="BE48" s="19"/>
      <c r="BF48" s="19" t="s">
        <v>96</v>
      </c>
      <c r="BG48" s="19">
        <v>14523028</v>
      </c>
      <c r="BH48" s="19"/>
      <c r="BI48" s="19"/>
      <c r="BJ48" s="19"/>
      <c r="BK48" s="19">
        <v>3946040</v>
      </c>
      <c r="BL48" s="19"/>
      <c r="BM48" s="19">
        <v>790131296</v>
      </c>
      <c r="BN48" s="19">
        <v>142012213</v>
      </c>
      <c r="BO48" s="19" t="s">
        <v>96</v>
      </c>
      <c r="BP48" s="19" t="s">
        <v>96</v>
      </c>
      <c r="BQ48" s="19" t="s">
        <v>175</v>
      </c>
      <c r="BR48" s="19"/>
      <c r="BS48" s="19" t="s">
        <v>172</v>
      </c>
      <c r="BT48" s="19"/>
      <c r="BU48" s="19"/>
      <c r="BV48" s="19"/>
      <c r="BW48" s="19"/>
      <c r="BX48" s="19"/>
      <c r="BY48" s="19"/>
      <c r="BZ48" s="19"/>
      <c r="CA48" s="19"/>
      <c r="CB48" s="19"/>
      <c r="CC48" s="19"/>
      <c r="CD48" s="19"/>
      <c r="CE48" s="19" t="s">
        <v>172</v>
      </c>
      <c r="CF48" s="19"/>
      <c r="CG48" s="19"/>
      <c r="CH48" s="19"/>
      <c r="CI48" s="19" t="s">
        <v>172</v>
      </c>
      <c r="CJ48" s="19"/>
      <c r="CK48" s="19"/>
      <c r="CL48" s="19"/>
      <c r="CM48" s="19"/>
      <c r="CN48" s="19"/>
      <c r="CO48" s="19"/>
      <c r="CP48" s="19"/>
      <c r="CQ48" s="19" t="s">
        <v>96</v>
      </c>
      <c r="CR48" s="19">
        <v>795439770</v>
      </c>
      <c r="CS48" s="56" t="s">
        <v>172</v>
      </c>
      <c r="CT48" s="19"/>
      <c r="CU48" s="19"/>
      <c r="CV48" s="19"/>
      <c r="CW48" s="19"/>
      <c r="CX48" s="19">
        <f>55554291+5870988328</f>
        <v>5926542619</v>
      </c>
      <c r="CY48" s="19" t="s">
        <v>96</v>
      </c>
      <c r="CZ48" s="19"/>
      <c r="DA48" s="19" t="s">
        <v>175</v>
      </c>
      <c r="DB48" s="19"/>
      <c r="DC48" s="19"/>
      <c r="DD48" s="19"/>
      <c r="DE48" s="19"/>
      <c r="DF48" s="19"/>
      <c r="DG48" s="19"/>
      <c r="DH48" s="19">
        <v>964676566</v>
      </c>
      <c r="DI48" s="19"/>
      <c r="DJ48" s="19"/>
      <c r="DK48" s="19">
        <v>5288780307</v>
      </c>
      <c r="DL48" s="19"/>
      <c r="DM48" s="19"/>
      <c r="DN48" s="19"/>
      <c r="DO48" s="19"/>
      <c r="DP48" s="19"/>
      <c r="DQ48" s="19"/>
      <c r="DR48" s="19"/>
      <c r="DS48" s="19"/>
      <c r="DT48" s="19"/>
      <c r="DU48" s="19"/>
      <c r="DV48" s="19"/>
      <c r="DW48" s="19"/>
      <c r="DX48" s="19"/>
      <c r="DY48" s="19"/>
      <c r="DZ48" s="19">
        <v>1252885626</v>
      </c>
      <c r="EA48" s="19"/>
      <c r="EB48" s="19"/>
      <c r="EC48" s="19"/>
      <c r="ED48" s="19"/>
      <c r="EE48" s="19"/>
      <c r="EF48" s="19"/>
      <c r="EG48" s="19">
        <v>31005000</v>
      </c>
      <c r="EH48" s="19"/>
      <c r="EI48" s="19">
        <v>33766516089</v>
      </c>
      <c r="EJ48" s="19"/>
      <c r="EK48" s="19"/>
      <c r="EL48" s="19"/>
      <c r="EM48" s="19"/>
      <c r="EN48" s="19"/>
      <c r="EO48" s="19"/>
      <c r="EP48" s="19"/>
      <c r="EQ48" s="19"/>
      <c r="ER48" s="19">
        <v>226781209</v>
      </c>
      <c r="ES48" s="19"/>
      <c r="ET48" s="19"/>
      <c r="EU48" s="19"/>
      <c r="EV48" s="19"/>
      <c r="EW48" s="19"/>
      <c r="EX48" s="19"/>
      <c r="EY48" s="19"/>
      <c r="EZ48" s="19">
        <f>62739801+21815815+14365870</f>
        <v>98921486</v>
      </c>
      <c r="FA48" s="19"/>
      <c r="FB48" s="19"/>
      <c r="FC48" s="19"/>
      <c r="FD48" s="19"/>
      <c r="FE48" s="19"/>
      <c r="FF48" s="19"/>
      <c r="FG48" s="19" t="s">
        <v>172</v>
      </c>
      <c r="FH48" s="19"/>
      <c r="FI48" s="19" t="s">
        <v>172</v>
      </c>
      <c r="FJ48" s="19"/>
      <c r="FK48" s="19"/>
      <c r="FL48" s="19"/>
      <c r="FM48" s="19"/>
      <c r="FN48" s="19"/>
      <c r="FO48" s="56" t="s">
        <v>172</v>
      </c>
      <c r="FP48" s="19"/>
      <c r="FQ48" s="19"/>
      <c r="FR48" s="19"/>
      <c r="FS48" s="19"/>
      <c r="FT48" s="19"/>
      <c r="FU48" s="19"/>
      <c r="FV48" s="19" t="s">
        <v>172</v>
      </c>
      <c r="FW48" s="19"/>
      <c r="FX48" s="19"/>
      <c r="FY48" s="19" t="s">
        <v>172</v>
      </c>
      <c r="FZ48" s="19" t="s">
        <v>175</v>
      </c>
      <c r="GA48" s="19"/>
      <c r="GB48" s="19"/>
      <c r="GC48" s="19"/>
      <c r="GD48" s="19" t="s">
        <v>172</v>
      </c>
      <c r="GE48" s="19" t="s">
        <v>172</v>
      </c>
      <c r="GF48" s="19"/>
      <c r="GG48" s="19"/>
      <c r="GH48" s="19" t="s">
        <v>172</v>
      </c>
      <c r="GI48" s="19"/>
      <c r="GJ48" s="19" t="s">
        <v>172</v>
      </c>
      <c r="GK48" s="19"/>
      <c r="GL48" s="19" t="s">
        <v>172</v>
      </c>
      <c r="GM48" s="19"/>
      <c r="GN48" s="19"/>
      <c r="GO48" s="19" t="s">
        <v>172</v>
      </c>
      <c r="GP48" s="19"/>
      <c r="GQ48" s="19"/>
      <c r="GR48" s="19"/>
      <c r="GS48" s="19"/>
      <c r="GT48" s="19"/>
      <c r="GU48" s="19"/>
      <c r="GV48" s="19"/>
      <c r="GW48" s="19">
        <v>2947644431</v>
      </c>
      <c r="GX48" s="19"/>
      <c r="GY48" s="19"/>
      <c r="GZ48" s="19"/>
      <c r="HA48" s="19" t="s">
        <v>172</v>
      </c>
      <c r="HB48" s="19"/>
      <c r="HC48" s="19"/>
      <c r="HD48" s="19"/>
      <c r="HE48" s="19" t="s">
        <v>172</v>
      </c>
      <c r="HF48" s="19"/>
      <c r="HG48" s="19">
        <v>1505095</v>
      </c>
      <c r="HH48" s="19" t="s">
        <v>172</v>
      </c>
      <c r="HI48" s="19"/>
      <c r="HJ48" s="19" t="s">
        <v>172</v>
      </c>
      <c r="HK48" s="19"/>
      <c r="HL48" s="19"/>
      <c r="HM48" s="19"/>
      <c r="HN48" s="19"/>
      <c r="HO48" s="19"/>
      <c r="HP48" s="19"/>
      <c r="HQ48" s="19"/>
      <c r="HR48" s="19"/>
      <c r="HS48" s="19"/>
      <c r="HT48" s="19"/>
      <c r="HU48" s="19"/>
      <c r="HV48" s="19"/>
      <c r="HW48" s="19" t="s">
        <v>172</v>
      </c>
      <c r="HX48" s="19"/>
      <c r="HY48" s="19" t="s">
        <v>172</v>
      </c>
      <c r="HZ48" s="19"/>
      <c r="IA48" s="19"/>
      <c r="IB48" s="19"/>
      <c r="IC48" s="19"/>
      <c r="ID48" s="19"/>
      <c r="IE48" s="19" t="s">
        <v>172</v>
      </c>
      <c r="IF48" s="19">
        <f>265492000+29107608+8066600</f>
        <v>302666208</v>
      </c>
      <c r="IG48" s="19"/>
      <c r="IH48" s="19">
        <v>512789768</v>
      </c>
      <c r="II48" s="19"/>
      <c r="IJ48" s="19"/>
      <c r="IK48" s="19"/>
      <c r="IL48" s="19"/>
      <c r="IM48" s="19"/>
      <c r="IN48" s="19"/>
      <c r="IO48" s="19"/>
      <c r="IP48" s="19"/>
      <c r="IQ48" s="19"/>
      <c r="IR48" s="19">
        <v>472346984</v>
      </c>
      <c r="IS48" s="19"/>
      <c r="IT48" s="19"/>
      <c r="IU48" s="19"/>
      <c r="IV48" s="19"/>
      <c r="IW48" s="19"/>
      <c r="IX48" s="19"/>
      <c r="IY48" s="19"/>
      <c r="IZ48" s="19"/>
      <c r="JA48" s="19"/>
      <c r="JB48" s="19"/>
      <c r="JC48" s="19"/>
      <c r="JD48" s="19"/>
      <c r="JE48" s="19"/>
      <c r="JF48" s="19"/>
      <c r="JG48" s="19"/>
      <c r="JH48" s="19"/>
      <c r="JI48" s="19"/>
      <c r="JJ48" s="19"/>
      <c r="JK48" s="19"/>
      <c r="JL48" s="19"/>
      <c r="JM48" s="19"/>
      <c r="JN48" s="19"/>
      <c r="JO48" s="19"/>
      <c r="JP48" s="19"/>
      <c r="JQ48" s="19" t="s">
        <v>175</v>
      </c>
      <c r="JR48" s="19"/>
      <c r="JS48" s="19">
        <v>0</v>
      </c>
      <c r="JT48" s="19"/>
      <c r="JU48" s="19"/>
      <c r="JV48" s="19"/>
      <c r="JW48" s="19"/>
      <c r="JX48" s="19"/>
      <c r="JY48" s="19"/>
      <c r="JZ48" s="19"/>
      <c r="KA48" s="19"/>
      <c r="KB48" s="19"/>
      <c r="KC48" s="19"/>
      <c r="KD48" s="19">
        <v>3330072242</v>
      </c>
      <c r="KE48" s="19"/>
      <c r="KF48" s="19"/>
      <c r="KG48" s="19"/>
      <c r="KH48" s="19"/>
      <c r="KI48" s="19"/>
      <c r="KJ48" s="19"/>
      <c r="KK48" s="19"/>
      <c r="KL48" s="19"/>
      <c r="KM48" s="19"/>
      <c r="KN48" s="19"/>
      <c r="KO48" s="19"/>
      <c r="KP48" s="19"/>
      <c r="KQ48" s="19"/>
      <c r="KR48" s="19"/>
      <c r="KS48" s="19"/>
      <c r="KT48" s="19">
        <v>385759589</v>
      </c>
      <c r="KU48" s="19"/>
      <c r="KV48" s="19"/>
      <c r="KW48" s="19"/>
      <c r="KX48" s="19"/>
      <c r="KY48" s="19">
        <v>564617766</v>
      </c>
      <c r="KZ48" s="58"/>
      <c r="LA48" s="70"/>
      <c r="LB48" s="70"/>
    </row>
    <row r="49" spans="1:314">
      <c r="A49" s="9" t="s">
        <v>103</v>
      </c>
      <c r="B49" s="15" t="s">
        <v>64</v>
      </c>
      <c r="C49" s="19"/>
      <c r="D49" s="19"/>
      <c r="E49" s="19"/>
      <c r="F49" s="19"/>
      <c r="G49" s="19" t="s">
        <v>130</v>
      </c>
      <c r="H49" s="19"/>
      <c r="I49" s="19"/>
      <c r="J49" s="19" t="s">
        <v>176</v>
      </c>
      <c r="K49" s="19"/>
      <c r="L49" s="19" t="s">
        <v>96</v>
      </c>
      <c r="M49" s="19" t="s">
        <v>96</v>
      </c>
      <c r="N49" s="19"/>
      <c r="O49" s="19"/>
      <c r="P49" s="19"/>
      <c r="Q49" s="19"/>
      <c r="R49" s="19"/>
      <c r="S49" s="19"/>
      <c r="T49" s="19" t="s">
        <v>96</v>
      </c>
      <c r="U49" s="19" t="s">
        <v>96</v>
      </c>
      <c r="V49" s="19" t="s">
        <v>172</v>
      </c>
      <c r="W49" s="19"/>
      <c r="X49" s="19"/>
      <c r="Y49" s="19"/>
      <c r="Z49" s="19"/>
      <c r="AA49" s="19"/>
      <c r="AB49" s="19"/>
      <c r="AC49" s="19"/>
      <c r="AD49" s="19"/>
      <c r="AE49" s="19"/>
      <c r="AF49" s="56" t="s">
        <v>172</v>
      </c>
      <c r="AG49" s="19"/>
      <c r="AH49" s="19" t="s">
        <v>167</v>
      </c>
      <c r="AI49" s="19"/>
      <c r="AJ49" s="19"/>
      <c r="AK49" s="19"/>
      <c r="AL49" s="19"/>
      <c r="AM49" s="19" t="s">
        <v>4</v>
      </c>
      <c r="AN49" s="19"/>
      <c r="AO49" s="19"/>
      <c r="AP49" s="19"/>
      <c r="AQ49" s="19" t="s">
        <v>172</v>
      </c>
      <c r="AR49" s="19"/>
      <c r="AS49" s="19"/>
      <c r="AT49" s="19" t="s">
        <v>172</v>
      </c>
      <c r="AU49" s="19"/>
      <c r="AV49" s="19"/>
      <c r="AW49" s="19"/>
      <c r="AX49" s="19" t="s">
        <v>4</v>
      </c>
      <c r="AY49" s="19"/>
      <c r="AZ49" s="19"/>
      <c r="BA49" s="19" t="s">
        <v>167</v>
      </c>
      <c r="BB49" s="19"/>
      <c r="BC49" s="19" t="s">
        <v>4</v>
      </c>
      <c r="BD49" s="19" t="s">
        <v>172</v>
      </c>
      <c r="BE49" s="19"/>
      <c r="BF49" s="19" t="s">
        <v>96</v>
      </c>
      <c r="BG49" s="19"/>
      <c r="BH49" s="19"/>
      <c r="BI49" s="19"/>
      <c r="BJ49" s="19"/>
      <c r="BK49" s="19"/>
      <c r="BL49" s="19"/>
      <c r="BM49" s="19"/>
      <c r="BN49" s="19"/>
      <c r="BO49" s="19" t="s">
        <v>96</v>
      </c>
      <c r="BP49" s="19" t="s">
        <v>96</v>
      </c>
      <c r="BQ49" s="19" t="s">
        <v>175</v>
      </c>
      <c r="BR49" s="19"/>
      <c r="BS49" s="19" t="s">
        <v>172</v>
      </c>
      <c r="BT49" s="19"/>
      <c r="BU49" s="19"/>
      <c r="BV49" s="19"/>
      <c r="BW49" s="19"/>
      <c r="BX49" s="19"/>
      <c r="BY49" s="19"/>
      <c r="BZ49" s="19"/>
      <c r="CA49" s="19"/>
      <c r="CB49" s="19"/>
      <c r="CC49" s="19"/>
      <c r="CD49" s="19"/>
      <c r="CE49" s="19" t="s">
        <v>172</v>
      </c>
      <c r="CF49" s="19"/>
      <c r="CG49" s="19"/>
      <c r="CH49" s="19"/>
      <c r="CI49" s="19" t="s">
        <v>172</v>
      </c>
      <c r="CJ49" s="19"/>
      <c r="CK49" s="19"/>
      <c r="CL49" s="19"/>
      <c r="CM49" s="19"/>
      <c r="CN49" s="19"/>
      <c r="CO49" s="19"/>
      <c r="CP49" s="19"/>
      <c r="CQ49" s="19" t="s">
        <v>96</v>
      </c>
      <c r="CR49" s="19"/>
      <c r="CS49" s="56" t="s">
        <v>172</v>
      </c>
      <c r="CT49" s="19"/>
      <c r="CU49" s="19"/>
      <c r="CV49" s="19"/>
      <c r="CW49" s="19"/>
      <c r="CX49" s="19"/>
      <c r="CY49" s="19" t="s">
        <v>96</v>
      </c>
      <c r="CZ49" s="19"/>
      <c r="DA49" s="19" t="s">
        <v>175</v>
      </c>
      <c r="DB49" s="19"/>
      <c r="DC49" s="19"/>
      <c r="DD49" s="19"/>
      <c r="DE49" s="19"/>
      <c r="DF49" s="19"/>
      <c r="DG49" s="19"/>
      <c r="DH49" s="19"/>
      <c r="DI49" s="19"/>
      <c r="DJ49" s="19"/>
      <c r="DK49" s="19"/>
      <c r="DL49" s="19"/>
      <c r="DM49" s="19"/>
      <c r="DN49" s="19"/>
      <c r="DO49" s="19"/>
      <c r="DP49" s="19"/>
      <c r="DQ49" s="19"/>
      <c r="DR49" s="19"/>
      <c r="DS49" s="19"/>
      <c r="DT49" s="19">
        <v>2082083</v>
      </c>
      <c r="DU49" s="19"/>
      <c r="DV49" s="19"/>
      <c r="DW49" s="19"/>
      <c r="DX49" s="19"/>
      <c r="DY49" s="19"/>
      <c r="DZ49" s="19"/>
      <c r="EA49" s="19"/>
      <c r="EB49" s="19"/>
      <c r="EC49" s="19"/>
      <c r="ED49" s="19"/>
      <c r="EE49" s="19"/>
      <c r="EF49" s="19"/>
      <c r="EG49" s="19"/>
      <c r="EH49" s="19"/>
      <c r="EI49" s="19"/>
      <c r="EJ49" s="19"/>
      <c r="EK49" s="19"/>
      <c r="EL49" s="19"/>
      <c r="EM49" s="19"/>
      <c r="EN49" s="19"/>
      <c r="EO49" s="19"/>
      <c r="EP49" s="19"/>
      <c r="EQ49" s="19"/>
      <c r="ER49" s="19"/>
      <c r="ES49" s="19"/>
      <c r="ET49" s="19"/>
      <c r="EU49" s="19"/>
      <c r="EV49" s="19"/>
      <c r="EW49" s="19"/>
      <c r="EX49" s="19"/>
      <c r="EY49" s="19"/>
      <c r="EZ49" s="19"/>
      <c r="FA49" s="19">
        <v>671034596</v>
      </c>
      <c r="FB49" s="19"/>
      <c r="FC49" s="19"/>
      <c r="FD49" s="19"/>
      <c r="FE49" s="19"/>
      <c r="FF49" s="19"/>
      <c r="FG49" s="19" t="s">
        <v>172</v>
      </c>
      <c r="FH49" s="19"/>
      <c r="FI49" s="19" t="s">
        <v>172</v>
      </c>
      <c r="FJ49" s="19"/>
      <c r="FK49" s="19"/>
      <c r="FL49" s="19"/>
      <c r="FM49" s="19"/>
      <c r="FN49" s="19"/>
      <c r="FO49" s="56" t="s">
        <v>172</v>
      </c>
      <c r="FP49" s="19"/>
      <c r="FQ49" s="19"/>
      <c r="FR49" s="19"/>
      <c r="FS49" s="19"/>
      <c r="FT49" s="19"/>
      <c r="FU49" s="19"/>
      <c r="FV49" s="19" t="s">
        <v>172</v>
      </c>
      <c r="FW49" s="19"/>
      <c r="FX49" s="19"/>
      <c r="FY49" s="19" t="s">
        <v>172</v>
      </c>
      <c r="FZ49" s="19" t="s">
        <v>175</v>
      </c>
      <c r="GA49" s="19"/>
      <c r="GB49" s="19"/>
      <c r="GC49" s="19"/>
      <c r="GD49" s="19" t="s">
        <v>172</v>
      </c>
      <c r="GE49" s="19" t="s">
        <v>172</v>
      </c>
      <c r="GF49" s="19"/>
      <c r="GG49" s="19"/>
      <c r="GH49" s="19" t="s">
        <v>172</v>
      </c>
      <c r="GI49" s="19"/>
      <c r="GJ49" s="19" t="s">
        <v>172</v>
      </c>
      <c r="GK49" s="19"/>
      <c r="GL49" s="19" t="s">
        <v>172</v>
      </c>
      <c r="GM49" s="19"/>
      <c r="GN49" s="19"/>
      <c r="GO49" s="19" t="s">
        <v>172</v>
      </c>
      <c r="GP49" s="19"/>
      <c r="GQ49" s="19"/>
      <c r="GR49" s="19"/>
      <c r="GS49" s="19"/>
      <c r="GT49" s="19"/>
      <c r="GU49" s="19"/>
      <c r="GV49" s="19"/>
      <c r="GW49" s="19"/>
      <c r="GX49" s="19"/>
      <c r="GY49" s="19"/>
      <c r="GZ49" s="19"/>
      <c r="HA49" s="19" t="s">
        <v>172</v>
      </c>
      <c r="HB49" s="19"/>
      <c r="HC49" s="19"/>
      <c r="HD49" s="19"/>
      <c r="HE49" s="19" t="s">
        <v>172</v>
      </c>
      <c r="HF49" s="19"/>
      <c r="HG49" s="19"/>
      <c r="HH49" s="19" t="s">
        <v>172</v>
      </c>
      <c r="HI49" s="19"/>
      <c r="HJ49" s="19" t="s">
        <v>172</v>
      </c>
      <c r="HK49" s="19"/>
      <c r="HL49" s="19"/>
      <c r="HM49" s="19"/>
      <c r="HN49" s="19"/>
      <c r="HO49" s="19">
        <v>424209439</v>
      </c>
      <c r="HP49" s="19"/>
      <c r="HQ49" s="19"/>
      <c r="HR49" s="19"/>
      <c r="HS49" s="19"/>
      <c r="HT49" s="19"/>
      <c r="HU49" s="19"/>
      <c r="HV49" s="19"/>
      <c r="HW49" s="19" t="s">
        <v>172</v>
      </c>
      <c r="HX49" s="19"/>
      <c r="HY49" s="19" t="s">
        <v>172</v>
      </c>
      <c r="HZ49" s="19"/>
      <c r="IA49" s="19"/>
      <c r="IB49" s="19"/>
      <c r="IC49" s="19"/>
      <c r="ID49" s="19"/>
      <c r="IE49" s="19" t="s">
        <v>172</v>
      </c>
      <c r="IF49" s="19">
        <v>12167207</v>
      </c>
      <c r="IG49" s="19"/>
      <c r="IH49" s="19"/>
      <c r="II49" s="19"/>
      <c r="IJ49" s="19"/>
      <c r="IK49" s="19"/>
      <c r="IL49" s="19"/>
      <c r="IM49" s="19"/>
      <c r="IN49" s="19"/>
      <c r="IO49" s="19"/>
      <c r="IP49" s="19"/>
      <c r="IQ49" s="19"/>
      <c r="IR49" s="19">
        <v>0</v>
      </c>
      <c r="IS49" s="19"/>
      <c r="IT49" s="19"/>
      <c r="IU49" s="19"/>
      <c r="IV49" s="19"/>
      <c r="IW49" s="19"/>
      <c r="IX49" s="19"/>
      <c r="IY49" s="19"/>
      <c r="IZ49" s="19"/>
      <c r="JA49" s="19"/>
      <c r="JB49" s="19"/>
      <c r="JC49" s="19"/>
      <c r="JD49" s="19"/>
      <c r="JE49" s="19"/>
      <c r="JF49" s="19"/>
      <c r="JG49" s="19"/>
      <c r="JH49" s="19"/>
      <c r="JI49" s="19"/>
      <c r="JJ49" s="19"/>
      <c r="JK49" s="19"/>
      <c r="JL49" s="19"/>
      <c r="JM49" s="19"/>
      <c r="JN49" s="19"/>
      <c r="JO49" s="19"/>
      <c r="JP49" s="19">
        <v>459912335</v>
      </c>
      <c r="JQ49" s="19" t="s">
        <v>175</v>
      </c>
      <c r="JR49" s="19"/>
      <c r="JS49" s="19">
        <v>0</v>
      </c>
      <c r="JT49" s="19"/>
      <c r="JU49" s="19"/>
      <c r="JV49" s="19"/>
      <c r="JW49" s="19"/>
      <c r="JX49" s="19"/>
      <c r="JY49" s="19">
        <v>932263914</v>
      </c>
      <c r="JZ49" s="19"/>
      <c r="KA49" s="19"/>
      <c r="KB49" s="19"/>
      <c r="KC49" s="19"/>
      <c r="KD49" s="19"/>
      <c r="KE49" s="19"/>
      <c r="KF49" s="19"/>
      <c r="KG49" s="19"/>
      <c r="KH49" s="19"/>
      <c r="KI49" s="19"/>
      <c r="KJ49" s="19"/>
      <c r="KK49" s="19"/>
      <c r="KL49" s="19"/>
      <c r="KM49" s="19"/>
      <c r="KN49" s="19"/>
      <c r="KO49" s="19"/>
      <c r="KP49" s="19"/>
      <c r="KQ49" s="19"/>
      <c r="KR49" s="19"/>
      <c r="KS49" s="19"/>
      <c r="KT49" s="19"/>
      <c r="KU49" s="19"/>
      <c r="KV49" s="19"/>
      <c r="KW49" s="19"/>
      <c r="KX49" s="19"/>
      <c r="KY49" s="19"/>
      <c r="KZ49" s="58"/>
      <c r="LA49" s="70"/>
      <c r="LB49" s="70">
        <v>1239911</v>
      </c>
    </row>
    <row r="50" spans="1:314">
      <c r="A50" s="9" t="s">
        <v>103</v>
      </c>
      <c r="B50" s="10" t="s">
        <v>14</v>
      </c>
      <c r="C50" s="19">
        <f>C40-C45</f>
        <v>1893073612</v>
      </c>
      <c r="D50" s="19">
        <f>D40-D45</f>
        <v>443961636</v>
      </c>
      <c r="E50" s="19">
        <f>E40-E45</f>
        <v>394053952</v>
      </c>
      <c r="F50" s="19">
        <f>F40-F45</f>
        <v>2730148862</v>
      </c>
      <c r="G50" s="19" t="s">
        <v>130</v>
      </c>
      <c r="H50" s="19">
        <f>H40-H45</f>
        <v>10354630272</v>
      </c>
      <c r="I50" s="19">
        <f>I40-I45</f>
        <v>10241361803</v>
      </c>
      <c r="J50" s="19" t="s">
        <v>176</v>
      </c>
      <c r="K50" s="19">
        <f>K40-K45</f>
        <v>312556322</v>
      </c>
      <c r="L50" s="19" t="s">
        <v>96</v>
      </c>
      <c r="M50" s="19" t="s">
        <v>96</v>
      </c>
      <c r="N50" s="19">
        <f t="shared" ref="N50:S50" si="118">N40-N45</f>
        <v>527193935</v>
      </c>
      <c r="O50" s="19">
        <f t="shared" si="118"/>
        <v>12741182019</v>
      </c>
      <c r="P50" s="19">
        <f t="shared" si="118"/>
        <v>6392527459</v>
      </c>
      <c r="Q50" s="19">
        <f t="shared" si="118"/>
        <v>208172779</v>
      </c>
      <c r="R50" s="19">
        <f t="shared" si="118"/>
        <v>267042229</v>
      </c>
      <c r="S50" s="19">
        <f t="shared" si="118"/>
        <v>5710521876</v>
      </c>
      <c r="T50" s="19" t="s">
        <v>96</v>
      </c>
      <c r="U50" s="19" t="s">
        <v>96</v>
      </c>
      <c r="V50" s="19" t="s">
        <v>172</v>
      </c>
      <c r="W50" s="19">
        <f t="shared" ref="W50:AE50" si="119">W40-W45</f>
        <v>1267473746</v>
      </c>
      <c r="X50" s="19">
        <f t="shared" si="119"/>
        <v>1831170687</v>
      </c>
      <c r="Y50" s="19">
        <f t="shared" si="119"/>
        <v>329406957</v>
      </c>
      <c r="Z50" s="19">
        <f t="shared" si="119"/>
        <v>882685771</v>
      </c>
      <c r="AA50" s="19">
        <f t="shared" si="119"/>
        <v>748362048</v>
      </c>
      <c r="AB50" s="19">
        <f t="shared" si="119"/>
        <v>327154290</v>
      </c>
      <c r="AC50" s="19">
        <f t="shared" si="119"/>
        <v>792417656</v>
      </c>
      <c r="AD50" s="19">
        <f t="shared" si="119"/>
        <v>757297778</v>
      </c>
      <c r="AE50" s="19">
        <f t="shared" si="119"/>
        <v>497981681</v>
      </c>
      <c r="AF50" s="56" t="s">
        <v>172</v>
      </c>
      <c r="AG50" s="19">
        <f>AG40-AG45</f>
        <v>191466341</v>
      </c>
      <c r="AH50" s="19" t="s">
        <v>167</v>
      </c>
      <c r="AI50" s="19">
        <f>AI40-AI45</f>
        <v>159627355</v>
      </c>
      <c r="AJ50" s="19">
        <f>AJ40-AJ45</f>
        <v>471165283</v>
      </c>
      <c r="AK50" s="19">
        <f>AK40-AK45</f>
        <v>296449533</v>
      </c>
      <c r="AL50" s="19">
        <f>AL40-AL45</f>
        <v>865962041</v>
      </c>
      <c r="AM50" s="19" t="s">
        <v>4</v>
      </c>
      <c r="AN50" s="19">
        <f>AN40-AN45</f>
        <v>1183897523</v>
      </c>
      <c r="AO50" s="19">
        <f>AO40-AO45</f>
        <v>911594680</v>
      </c>
      <c r="AP50" s="19">
        <f>AP40-AP45</f>
        <v>1088287435</v>
      </c>
      <c r="AQ50" s="19" t="s">
        <v>172</v>
      </c>
      <c r="AR50" s="19">
        <f>AR40-AR45</f>
        <v>528093153</v>
      </c>
      <c r="AS50" s="19">
        <f>AS40-AS45</f>
        <v>1540404714</v>
      </c>
      <c r="AT50" s="19" t="s">
        <v>172</v>
      </c>
      <c r="AU50" s="19">
        <f>AU40-AU45</f>
        <v>607216116</v>
      </c>
      <c r="AV50" s="19">
        <f>AV40-AV45</f>
        <v>284071982</v>
      </c>
      <c r="AW50" s="19">
        <f>AW40-AW45</f>
        <v>341454353</v>
      </c>
      <c r="AX50" s="19" t="s">
        <v>4</v>
      </c>
      <c r="AY50" s="19">
        <f>AY40-AY45</f>
        <v>275671566</v>
      </c>
      <c r="AZ50" s="19">
        <f>AZ40-AZ45</f>
        <v>465745126</v>
      </c>
      <c r="BA50" s="19" t="s">
        <v>167</v>
      </c>
      <c r="BB50" s="19">
        <f>BB40-BB45</f>
        <v>25862900</v>
      </c>
      <c r="BC50" s="19" t="s">
        <v>4</v>
      </c>
      <c r="BD50" s="19" t="s">
        <v>172</v>
      </c>
      <c r="BE50" s="19">
        <f>BE40-BE45</f>
        <v>409679040</v>
      </c>
      <c r="BF50" s="19" t="s">
        <v>96</v>
      </c>
      <c r="BG50" s="19">
        <f t="shared" ref="BG50:BN50" si="120">BG40-BG45</f>
        <v>798242033</v>
      </c>
      <c r="BH50" s="19">
        <f t="shared" si="120"/>
        <v>247565237</v>
      </c>
      <c r="BI50" s="19">
        <f t="shared" si="120"/>
        <v>308147678</v>
      </c>
      <c r="BJ50" s="19">
        <f t="shared" si="120"/>
        <v>675402189</v>
      </c>
      <c r="BK50" s="19">
        <f t="shared" si="120"/>
        <v>1301470691</v>
      </c>
      <c r="BL50" s="19">
        <f t="shared" si="120"/>
        <v>1325502567</v>
      </c>
      <c r="BM50" s="19">
        <f t="shared" si="120"/>
        <v>1607545657</v>
      </c>
      <c r="BN50" s="19">
        <f t="shared" si="120"/>
        <v>20210853</v>
      </c>
      <c r="BO50" s="19" t="s">
        <v>96</v>
      </c>
      <c r="BP50" s="19" t="s">
        <v>96</v>
      </c>
      <c r="BQ50" s="19" t="s">
        <v>175</v>
      </c>
      <c r="BR50" s="19">
        <f>BR40-BR45</f>
        <v>5664250318</v>
      </c>
      <c r="BS50" s="19" t="s">
        <v>172</v>
      </c>
      <c r="BT50" s="19">
        <f t="shared" ref="BT50:CD50" si="121">BT40-BT45</f>
        <v>32877785</v>
      </c>
      <c r="BU50" s="19">
        <f t="shared" si="121"/>
        <v>481378188</v>
      </c>
      <c r="BV50" s="19">
        <f t="shared" si="121"/>
        <v>197806365</v>
      </c>
      <c r="BW50" s="19">
        <f t="shared" si="121"/>
        <v>589699545</v>
      </c>
      <c r="BX50" s="19">
        <f t="shared" si="121"/>
        <v>713511158</v>
      </c>
      <c r="BY50" s="19">
        <f t="shared" si="121"/>
        <v>1179604377</v>
      </c>
      <c r="BZ50" s="19">
        <f t="shared" si="121"/>
        <v>1320075633</v>
      </c>
      <c r="CA50" s="19">
        <f t="shared" si="121"/>
        <v>3835231629</v>
      </c>
      <c r="CB50" s="19">
        <f t="shared" si="121"/>
        <v>419251535</v>
      </c>
      <c r="CC50" s="19">
        <f t="shared" si="121"/>
        <v>235025751</v>
      </c>
      <c r="CD50" s="19">
        <f t="shared" si="121"/>
        <v>803339609</v>
      </c>
      <c r="CE50" s="19" t="s">
        <v>172</v>
      </c>
      <c r="CF50" s="19">
        <f>CF40-CF45</f>
        <v>55641138</v>
      </c>
      <c r="CG50" s="19">
        <f>CG40-CG45</f>
        <v>1213591768</v>
      </c>
      <c r="CH50" s="19">
        <f>CH40-CH45</f>
        <v>307117490</v>
      </c>
      <c r="CI50" s="19" t="s">
        <v>172</v>
      </c>
      <c r="CJ50" s="19">
        <f t="shared" ref="CJ50:CP50" si="122">CJ40-CJ45</f>
        <v>48265613</v>
      </c>
      <c r="CK50" s="19">
        <f t="shared" si="122"/>
        <v>869129762</v>
      </c>
      <c r="CL50" s="19">
        <f t="shared" si="122"/>
        <v>-36740526</v>
      </c>
      <c r="CM50" s="19">
        <f t="shared" si="122"/>
        <v>9541093571</v>
      </c>
      <c r="CN50" s="19">
        <f t="shared" si="122"/>
        <v>372757631</v>
      </c>
      <c r="CO50" s="19">
        <f t="shared" si="122"/>
        <v>180466856</v>
      </c>
      <c r="CP50" s="19">
        <f t="shared" si="122"/>
        <v>5031019826</v>
      </c>
      <c r="CQ50" s="19" t="s">
        <v>96</v>
      </c>
      <c r="CR50" s="19">
        <f>CR40-CR45</f>
        <v>293107186</v>
      </c>
      <c r="CS50" s="56" t="s">
        <v>172</v>
      </c>
      <c r="CT50" s="19">
        <f>CT40-CT45</f>
        <v>2855865790</v>
      </c>
      <c r="CU50" s="19">
        <f>CU40-CU45</f>
        <v>1082375031</v>
      </c>
      <c r="CV50" s="19">
        <v>50173285</v>
      </c>
      <c r="CW50" s="19">
        <f>CW40-CW45</f>
        <v>2735826680</v>
      </c>
      <c r="CX50" s="19">
        <f>CX40-CX45</f>
        <v>3492935852</v>
      </c>
      <c r="CY50" s="19" t="s">
        <v>96</v>
      </c>
      <c r="CZ50" s="19">
        <f>CZ40-CZ45</f>
        <v>4074612394</v>
      </c>
      <c r="DA50" s="19" t="s">
        <v>175</v>
      </c>
      <c r="DB50" s="19">
        <f t="shared" ref="DB50:DR50" si="123">DB40-DB45</f>
        <v>319340714</v>
      </c>
      <c r="DC50" s="19">
        <f t="shared" si="123"/>
        <v>60235720</v>
      </c>
      <c r="DD50" s="19">
        <f t="shared" si="123"/>
        <v>36033460</v>
      </c>
      <c r="DE50" s="19">
        <f t="shared" si="123"/>
        <v>2314554414</v>
      </c>
      <c r="DF50" s="19">
        <f t="shared" si="123"/>
        <v>45523540</v>
      </c>
      <c r="DG50" s="19">
        <f t="shared" si="123"/>
        <v>896107492</v>
      </c>
      <c r="DH50" s="19">
        <f t="shared" si="123"/>
        <v>637778853</v>
      </c>
      <c r="DI50" s="19">
        <f t="shared" si="123"/>
        <v>1062490584</v>
      </c>
      <c r="DJ50" s="19">
        <f t="shared" si="123"/>
        <v>113818704</v>
      </c>
      <c r="DK50" s="19">
        <f t="shared" si="123"/>
        <v>3180922482</v>
      </c>
      <c r="DL50" s="19">
        <f t="shared" si="123"/>
        <v>876239344</v>
      </c>
      <c r="DM50" s="19">
        <f t="shared" si="123"/>
        <v>64024882</v>
      </c>
      <c r="DN50" s="19">
        <f t="shared" si="123"/>
        <v>237028718</v>
      </c>
      <c r="DO50" s="19">
        <f t="shared" si="123"/>
        <v>87623745</v>
      </c>
      <c r="DP50" s="19">
        <f t="shared" si="123"/>
        <v>511997296</v>
      </c>
      <c r="DQ50" s="19">
        <f t="shared" si="123"/>
        <v>50471025</v>
      </c>
      <c r="DR50" s="19">
        <f t="shared" si="123"/>
        <v>771694843</v>
      </c>
      <c r="DS50" s="19">
        <f>DS40-DS45</f>
        <v>1039644714</v>
      </c>
      <c r="DT50" s="19">
        <f t="shared" ref="DT50:FF50" si="124">DT40-DT45</f>
        <v>2339814485</v>
      </c>
      <c r="DU50" s="19">
        <f t="shared" si="124"/>
        <v>390033365</v>
      </c>
      <c r="DV50" s="19">
        <f t="shared" si="124"/>
        <v>7019387909</v>
      </c>
      <c r="DW50" s="19">
        <f t="shared" si="124"/>
        <v>297676427</v>
      </c>
      <c r="DX50" s="19">
        <f t="shared" si="124"/>
        <v>9704114293</v>
      </c>
      <c r="DY50" s="19">
        <f t="shared" si="124"/>
        <v>602594313</v>
      </c>
      <c r="DZ50" s="19">
        <f t="shared" si="124"/>
        <v>230184133</v>
      </c>
      <c r="EA50" s="19">
        <f t="shared" si="124"/>
        <v>79260291</v>
      </c>
      <c r="EB50" s="19">
        <f t="shared" si="124"/>
        <v>12890758613</v>
      </c>
      <c r="EC50" s="19">
        <f t="shared" si="124"/>
        <v>544609746</v>
      </c>
      <c r="ED50" s="19">
        <f t="shared" si="124"/>
        <v>130490488</v>
      </c>
      <c r="EE50" s="19">
        <f t="shared" si="124"/>
        <v>458720512</v>
      </c>
      <c r="EF50" s="19">
        <f t="shared" si="124"/>
        <v>827181981</v>
      </c>
      <c r="EG50" s="19">
        <f t="shared" si="124"/>
        <v>317364394</v>
      </c>
      <c r="EH50" s="19">
        <f t="shared" si="124"/>
        <v>233226331</v>
      </c>
      <c r="EI50" s="19">
        <f t="shared" si="124"/>
        <v>-8252600147</v>
      </c>
      <c r="EJ50" s="19">
        <f t="shared" si="124"/>
        <v>206374500</v>
      </c>
      <c r="EK50" s="19">
        <f t="shared" si="124"/>
        <v>1208678776</v>
      </c>
      <c r="EL50" s="19">
        <f t="shared" si="124"/>
        <v>-496760726</v>
      </c>
      <c r="EM50" s="19">
        <f t="shared" si="124"/>
        <v>169871908</v>
      </c>
      <c r="EN50" s="19">
        <f t="shared" si="124"/>
        <v>10192898657</v>
      </c>
      <c r="EO50" s="19">
        <f t="shared" si="124"/>
        <v>912025219</v>
      </c>
      <c r="EP50" s="19">
        <f t="shared" si="124"/>
        <v>1078337324</v>
      </c>
      <c r="EQ50" s="19">
        <f t="shared" si="124"/>
        <v>8623571347</v>
      </c>
      <c r="ER50" s="19">
        <f t="shared" si="124"/>
        <v>8595929929</v>
      </c>
      <c r="ES50" s="19">
        <f t="shared" si="124"/>
        <v>62939371</v>
      </c>
      <c r="ET50" s="19">
        <f t="shared" si="124"/>
        <v>3922181625</v>
      </c>
      <c r="EU50" s="19">
        <f t="shared" si="124"/>
        <v>2952528418</v>
      </c>
      <c r="EV50" s="19">
        <f t="shared" si="124"/>
        <v>197196705</v>
      </c>
      <c r="EW50" s="19">
        <f t="shared" si="124"/>
        <v>424370229</v>
      </c>
      <c r="EX50" s="19">
        <f t="shared" si="124"/>
        <v>2949365514</v>
      </c>
      <c r="EY50" s="19">
        <f t="shared" si="124"/>
        <v>6828396181</v>
      </c>
      <c r="EZ50" s="19">
        <f t="shared" si="124"/>
        <v>962421539</v>
      </c>
      <c r="FA50" s="19">
        <f t="shared" si="124"/>
        <v>660210834</v>
      </c>
      <c r="FB50" s="19">
        <f t="shared" si="124"/>
        <v>158567619</v>
      </c>
      <c r="FC50" s="19">
        <f t="shared" si="124"/>
        <v>735802751</v>
      </c>
      <c r="FD50" s="19">
        <f t="shared" si="124"/>
        <v>-178908431</v>
      </c>
      <c r="FE50" s="19">
        <f t="shared" si="124"/>
        <v>6973576765</v>
      </c>
      <c r="FF50" s="19">
        <f t="shared" si="124"/>
        <v>566842562</v>
      </c>
      <c r="FG50" s="19" t="s">
        <v>172</v>
      </c>
      <c r="FH50" s="19">
        <f>FH40-FH45</f>
        <v>1240331842</v>
      </c>
      <c r="FI50" s="19" t="s">
        <v>172</v>
      </c>
      <c r="FJ50" s="19">
        <f>FJ40-FJ45</f>
        <v>416816130</v>
      </c>
      <c r="FK50" s="19">
        <f>FK40-FK45</f>
        <v>1987770542</v>
      </c>
      <c r="FL50" s="19">
        <f>FL40-FL45</f>
        <v>-196291498</v>
      </c>
      <c r="FM50" s="19">
        <f>FM40-FM45</f>
        <v>305979659</v>
      </c>
      <c r="FN50" s="19">
        <f>FN40-FN45</f>
        <v>2448575001</v>
      </c>
      <c r="FO50" s="56" t="s">
        <v>172</v>
      </c>
      <c r="FP50" s="19">
        <f t="shared" ref="FP50:FU50" si="125">FP40-FP45</f>
        <v>202619381</v>
      </c>
      <c r="FQ50" s="19">
        <f t="shared" si="125"/>
        <v>43681767</v>
      </c>
      <c r="FR50" s="19">
        <f t="shared" si="125"/>
        <v>685766285</v>
      </c>
      <c r="FS50" s="19">
        <f t="shared" si="125"/>
        <v>282595303</v>
      </c>
      <c r="FT50" s="19">
        <f t="shared" si="125"/>
        <v>4147721198</v>
      </c>
      <c r="FU50" s="19">
        <f t="shared" si="125"/>
        <v>66048213</v>
      </c>
      <c r="FV50" s="19" t="s">
        <v>172</v>
      </c>
      <c r="FW50" s="19">
        <f>FW40-FW45</f>
        <v>15944608</v>
      </c>
      <c r="FX50" s="19">
        <f>FX40-FX45</f>
        <v>169809472</v>
      </c>
      <c r="FY50" s="19" t="s">
        <v>172</v>
      </c>
      <c r="FZ50" s="19" t="s">
        <v>175</v>
      </c>
      <c r="GA50" s="19">
        <f>GA40-GA45</f>
        <v>1047783304</v>
      </c>
      <c r="GB50" s="19">
        <f>GB40-GB45</f>
        <v>98817432</v>
      </c>
      <c r="GC50" s="19">
        <f>GC40-GC45</f>
        <v>191165513</v>
      </c>
      <c r="GD50" s="19" t="s">
        <v>172</v>
      </c>
      <c r="GE50" s="19" t="s">
        <v>172</v>
      </c>
      <c r="GF50" s="19">
        <f>GF40-GF45</f>
        <v>205337074</v>
      </c>
      <c r="GG50" s="19">
        <f>GG40-GG45</f>
        <v>921387566</v>
      </c>
      <c r="GH50" s="19" t="s">
        <v>172</v>
      </c>
      <c r="GI50" s="19">
        <f t="shared" ref="GI50:KH50" si="126">GI40-GI45</f>
        <v>41872104</v>
      </c>
      <c r="GJ50" s="19" t="s">
        <v>172</v>
      </c>
      <c r="GK50" s="19">
        <f t="shared" si="126"/>
        <v>206244370</v>
      </c>
      <c r="GL50" s="19" t="s">
        <v>172</v>
      </c>
      <c r="GM50" s="19">
        <f t="shared" si="126"/>
        <v>155207193</v>
      </c>
      <c r="GN50" s="19">
        <f t="shared" si="126"/>
        <v>402518202</v>
      </c>
      <c r="GO50" s="19" t="s">
        <v>172</v>
      </c>
      <c r="GP50" s="19">
        <f t="shared" si="126"/>
        <v>1484636021</v>
      </c>
      <c r="GQ50" s="19">
        <f t="shared" si="126"/>
        <v>258815852</v>
      </c>
      <c r="GR50" s="19">
        <f t="shared" si="126"/>
        <v>1096176291</v>
      </c>
      <c r="GS50" s="19">
        <f t="shared" si="126"/>
        <v>68705431</v>
      </c>
      <c r="GT50" s="19">
        <f t="shared" si="126"/>
        <v>152048198</v>
      </c>
      <c r="GU50" s="19">
        <f t="shared" si="126"/>
        <v>241442022</v>
      </c>
      <c r="GV50" s="19">
        <f>GV40-GV45</f>
        <v>6154145654</v>
      </c>
      <c r="GW50" s="19">
        <f>GW40-GW45</f>
        <v>946573940</v>
      </c>
      <c r="GX50" s="19">
        <f t="shared" si="126"/>
        <v>447390213</v>
      </c>
      <c r="GY50" s="19">
        <f t="shared" si="126"/>
        <v>1545287</v>
      </c>
      <c r="GZ50" s="19">
        <f t="shared" si="126"/>
        <v>1158091086</v>
      </c>
      <c r="HA50" s="19" t="s">
        <v>172</v>
      </c>
      <c r="HB50" s="19">
        <f t="shared" si="126"/>
        <v>596936040</v>
      </c>
      <c r="HC50" s="19">
        <f t="shared" si="126"/>
        <v>273178247</v>
      </c>
      <c r="HD50" s="19">
        <f t="shared" si="126"/>
        <v>242710656</v>
      </c>
      <c r="HE50" s="19" t="s">
        <v>172</v>
      </c>
      <c r="HF50" s="19">
        <f t="shared" si="126"/>
        <v>6682027817</v>
      </c>
      <c r="HG50" s="19">
        <f t="shared" si="126"/>
        <v>1026216876</v>
      </c>
      <c r="HH50" s="19" t="s">
        <v>172</v>
      </c>
      <c r="HI50" s="19">
        <f t="shared" si="126"/>
        <v>584641998</v>
      </c>
      <c r="HJ50" s="19" t="s">
        <v>172</v>
      </c>
      <c r="HK50" s="19">
        <f t="shared" si="126"/>
        <v>1111510670</v>
      </c>
      <c r="HL50" s="19">
        <f t="shared" si="126"/>
        <v>166325462</v>
      </c>
      <c r="HM50" s="19">
        <f t="shared" si="126"/>
        <v>758392909</v>
      </c>
      <c r="HN50" s="19">
        <f t="shared" si="126"/>
        <v>101698581</v>
      </c>
      <c r="HO50" s="19">
        <f t="shared" si="126"/>
        <v>858288137</v>
      </c>
      <c r="HP50" s="19">
        <f t="shared" si="126"/>
        <v>514836658</v>
      </c>
      <c r="HQ50" s="19">
        <f t="shared" si="126"/>
        <v>1848883389</v>
      </c>
      <c r="HR50" s="19">
        <f t="shared" si="126"/>
        <v>547947699</v>
      </c>
      <c r="HS50" s="19">
        <f t="shared" si="126"/>
        <v>447576006</v>
      </c>
      <c r="HT50" s="19">
        <f t="shared" si="126"/>
        <v>193564010</v>
      </c>
      <c r="HU50" s="19">
        <f t="shared" si="126"/>
        <v>1777284169</v>
      </c>
      <c r="HV50" s="19">
        <f t="shared" si="126"/>
        <v>167366947</v>
      </c>
      <c r="HW50" s="19" t="s">
        <v>172</v>
      </c>
      <c r="HX50" s="19">
        <f t="shared" si="126"/>
        <v>1038416211</v>
      </c>
      <c r="HY50" s="19" t="s">
        <v>172</v>
      </c>
      <c r="HZ50" s="19">
        <f t="shared" si="126"/>
        <v>1270645341</v>
      </c>
      <c r="IA50" s="19">
        <f t="shared" si="126"/>
        <v>191071360</v>
      </c>
      <c r="IB50" s="19">
        <f t="shared" si="126"/>
        <v>1733036991</v>
      </c>
      <c r="IC50" s="19">
        <f t="shared" si="126"/>
        <v>7453044203</v>
      </c>
      <c r="ID50" s="19">
        <f t="shared" si="126"/>
        <v>299265648</v>
      </c>
      <c r="IE50" s="19" t="s">
        <v>172</v>
      </c>
      <c r="IF50" s="19">
        <f t="shared" si="126"/>
        <v>2969122</v>
      </c>
      <c r="IG50" s="19">
        <f t="shared" si="126"/>
        <v>189088761</v>
      </c>
      <c r="IH50" s="19">
        <f t="shared" si="126"/>
        <v>735576249</v>
      </c>
      <c r="II50" s="19">
        <f t="shared" si="126"/>
        <v>286358600</v>
      </c>
      <c r="IJ50" s="19">
        <f t="shared" si="126"/>
        <v>547907477</v>
      </c>
      <c r="IK50" s="19">
        <f t="shared" si="126"/>
        <v>506944690</v>
      </c>
      <c r="IL50" s="19">
        <f t="shared" si="126"/>
        <v>386401727</v>
      </c>
      <c r="IM50" s="19">
        <f>IM40-IM45</f>
        <v>1071947666</v>
      </c>
      <c r="IN50" s="19">
        <f t="shared" si="126"/>
        <v>1864624283</v>
      </c>
      <c r="IO50" s="19">
        <f t="shared" si="126"/>
        <v>1124335872</v>
      </c>
      <c r="IP50" s="19">
        <f t="shared" si="126"/>
        <v>1317630445</v>
      </c>
      <c r="IQ50" s="19">
        <f t="shared" si="126"/>
        <v>2116309196</v>
      </c>
      <c r="IR50" s="19">
        <f t="shared" si="126"/>
        <v>1438578118</v>
      </c>
      <c r="IS50" s="19">
        <f t="shared" si="126"/>
        <v>998057894</v>
      </c>
      <c r="IT50" s="19">
        <f t="shared" si="126"/>
        <v>565102113</v>
      </c>
      <c r="IU50" s="19">
        <f t="shared" si="126"/>
        <v>8110544971</v>
      </c>
      <c r="IV50" s="19">
        <f t="shared" si="126"/>
        <v>1857044610</v>
      </c>
      <c r="IW50" s="19">
        <f t="shared" si="126"/>
        <v>581546360</v>
      </c>
      <c r="IX50" s="19">
        <f t="shared" si="126"/>
        <v>1112699131</v>
      </c>
      <c r="IY50" s="19">
        <f t="shared" si="126"/>
        <v>569628141</v>
      </c>
      <c r="IZ50" s="19">
        <f t="shared" si="126"/>
        <v>461406780</v>
      </c>
      <c r="JA50" s="19">
        <f t="shared" si="126"/>
        <v>2228051958</v>
      </c>
      <c r="JB50" s="19">
        <f t="shared" si="126"/>
        <v>626392211</v>
      </c>
      <c r="JC50" s="19">
        <f t="shared" si="126"/>
        <v>82868388</v>
      </c>
      <c r="JD50" s="19">
        <f t="shared" si="126"/>
        <v>1409825789</v>
      </c>
      <c r="JE50" s="19">
        <f t="shared" si="126"/>
        <v>147245521</v>
      </c>
      <c r="JF50" s="19">
        <f t="shared" si="126"/>
        <v>1466245842</v>
      </c>
      <c r="JG50" s="19">
        <f t="shared" si="126"/>
        <v>58398647</v>
      </c>
      <c r="JH50" s="19">
        <f t="shared" si="126"/>
        <v>231254881</v>
      </c>
      <c r="JI50" s="19">
        <f t="shared" si="126"/>
        <v>189400773</v>
      </c>
      <c r="JJ50" s="19">
        <f t="shared" si="126"/>
        <v>82764964</v>
      </c>
      <c r="JK50" s="19">
        <f t="shared" si="126"/>
        <v>169576475</v>
      </c>
      <c r="JL50" s="19">
        <f t="shared" si="126"/>
        <v>5535789187</v>
      </c>
      <c r="JM50" s="19">
        <f t="shared" si="126"/>
        <v>892989919</v>
      </c>
      <c r="JN50" s="19">
        <f t="shared" si="126"/>
        <v>828317416</v>
      </c>
      <c r="JO50" s="19">
        <f t="shared" si="126"/>
        <v>247042730</v>
      </c>
      <c r="JP50" s="19">
        <f t="shared" si="126"/>
        <v>106766385</v>
      </c>
      <c r="JQ50" s="19" t="s">
        <v>175</v>
      </c>
      <c r="JR50" s="19">
        <f t="shared" si="126"/>
        <v>70141280</v>
      </c>
      <c r="JS50" s="19">
        <f t="shared" si="126"/>
        <v>272135019</v>
      </c>
      <c r="JT50" s="19">
        <f t="shared" si="126"/>
        <v>261247207</v>
      </c>
      <c r="JU50" s="19">
        <f t="shared" si="126"/>
        <v>307233050</v>
      </c>
      <c r="JV50" s="19">
        <f t="shared" si="126"/>
        <v>4443397221</v>
      </c>
      <c r="JW50" s="19">
        <f t="shared" si="126"/>
        <v>2010073807</v>
      </c>
      <c r="JX50" s="19">
        <f t="shared" si="126"/>
        <v>7179621914</v>
      </c>
      <c r="JY50" s="19">
        <f t="shared" si="126"/>
        <v>5395108391</v>
      </c>
      <c r="JZ50" s="19">
        <f t="shared" si="126"/>
        <v>27146530</v>
      </c>
      <c r="KA50" s="19">
        <f t="shared" si="126"/>
        <v>697705663</v>
      </c>
      <c r="KB50" s="19">
        <f t="shared" si="126"/>
        <v>1681595386</v>
      </c>
      <c r="KC50" s="19">
        <f t="shared" si="126"/>
        <v>438763822</v>
      </c>
      <c r="KD50" s="19">
        <f t="shared" si="126"/>
        <v>1335773248</v>
      </c>
      <c r="KE50" s="19">
        <f t="shared" si="126"/>
        <v>18500717</v>
      </c>
      <c r="KF50" s="19">
        <f t="shared" si="126"/>
        <v>27650755</v>
      </c>
      <c r="KG50" s="19">
        <f t="shared" si="126"/>
        <v>936013082</v>
      </c>
      <c r="KH50" s="19">
        <f t="shared" si="126"/>
        <v>416343919</v>
      </c>
      <c r="KI50" s="19">
        <f t="shared" ref="KI50:KY50" si="127">KI40-KI45</f>
        <v>129153155</v>
      </c>
      <c r="KJ50" s="19">
        <f t="shared" si="127"/>
        <v>2039285555</v>
      </c>
      <c r="KK50" s="19">
        <f t="shared" si="127"/>
        <v>-300453831</v>
      </c>
      <c r="KL50" s="19">
        <f t="shared" si="127"/>
        <v>5465389</v>
      </c>
      <c r="KM50" s="19">
        <f t="shared" si="127"/>
        <v>718501043</v>
      </c>
      <c r="KN50" s="19">
        <f t="shared" si="127"/>
        <v>487865452</v>
      </c>
      <c r="KO50" s="19">
        <f t="shared" si="127"/>
        <v>579087785</v>
      </c>
      <c r="KP50" s="19">
        <f t="shared" si="127"/>
        <v>2988004675</v>
      </c>
      <c r="KQ50" s="19">
        <f t="shared" si="127"/>
        <v>6579039</v>
      </c>
      <c r="KR50" s="19">
        <f t="shared" si="127"/>
        <v>365166739</v>
      </c>
      <c r="KS50" s="19">
        <f t="shared" si="127"/>
        <v>201200720</v>
      </c>
      <c r="KT50" s="19">
        <f t="shared" si="127"/>
        <v>305414207</v>
      </c>
      <c r="KU50" s="19">
        <f t="shared" si="127"/>
        <v>1177679141</v>
      </c>
      <c r="KV50" s="19">
        <f t="shared" si="127"/>
        <v>193301529</v>
      </c>
      <c r="KW50" s="19">
        <f t="shared" si="127"/>
        <v>155349672</v>
      </c>
      <c r="KX50" s="19">
        <f t="shared" si="127"/>
        <v>12759040</v>
      </c>
      <c r="KY50" s="19">
        <f t="shared" si="127"/>
        <v>614486093</v>
      </c>
      <c r="KZ50" s="72">
        <v>131746285</v>
      </c>
      <c r="LA50" s="70">
        <v>115219851</v>
      </c>
      <c r="LB50" s="70">
        <v>94523483</v>
      </c>
    </row>
    <row r="51" spans="1:314">
      <c r="A51" s="9" t="s">
        <v>103</v>
      </c>
      <c r="B51" s="10" t="s">
        <v>102</v>
      </c>
      <c r="C51" s="19">
        <f>SUM(C52:C57)</f>
        <v>1994964277</v>
      </c>
      <c r="D51" s="19">
        <f>SUM(D52:D57)</f>
        <v>547451563</v>
      </c>
      <c r="E51" s="19">
        <f>SUM(E52:E57)</f>
        <v>520610133</v>
      </c>
      <c r="F51" s="19">
        <f>SUM(F52:F57)</f>
        <v>2334723020</v>
      </c>
      <c r="G51" s="19" t="s">
        <v>130</v>
      </c>
      <c r="H51" s="19">
        <f>SUM(H52:H57)</f>
        <v>10779588620</v>
      </c>
      <c r="I51" s="19">
        <f>SUM(I52:I57)</f>
        <v>10229944562</v>
      </c>
      <c r="J51" s="19" t="s">
        <v>176</v>
      </c>
      <c r="K51" s="19">
        <f>SUM(K52:K57)</f>
        <v>1211319839</v>
      </c>
      <c r="L51" s="19" t="s">
        <v>96</v>
      </c>
      <c r="M51" s="19" t="s">
        <v>96</v>
      </c>
      <c r="N51" s="19">
        <f t="shared" ref="N51:S51" si="128">SUM(N52:N57)</f>
        <v>1071189621</v>
      </c>
      <c r="O51" s="19">
        <f t="shared" si="128"/>
        <v>13086726574</v>
      </c>
      <c r="P51" s="19">
        <f t="shared" si="128"/>
        <v>6391338054</v>
      </c>
      <c r="Q51" s="19">
        <f t="shared" si="128"/>
        <v>306340262</v>
      </c>
      <c r="R51" s="19">
        <f t="shared" si="128"/>
        <v>353759576</v>
      </c>
      <c r="S51" s="19">
        <f t="shared" si="128"/>
        <v>5497088329</v>
      </c>
      <c r="T51" s="19" t="s">
        <v>96</v>
      </c>
      <c r="U51" s="19" t="s">
        <v>96</v>
      </c>
      <c r="V51" s="19" t="s">
        <v>172</v>
      </c>
      <c r="W51" s="19">
        <f t="shared" ref="W51:AE51" si="129">SUM(W52:W57)</f>
        <v>1349534582</v>
      </c>
      <c r="X51" s="19">
        <f t="shared" si="129"/>
        <v>1080258094</v>
      </c>
      <c r="Y51" s="19">
        <f t="shared" si="129"/>
        <v>409311272</v>
      </c>
      <c r="Z51" s="19">
        <f t="shared" si="129"/>
        <v>624229648</v>
      </c>
      <c r="AA51" s="19">
        <f t="shared" si="129"/>
        <v>494966613</v>
      </c>
      <c r="AB51" s="19">
        <f t="shared" si="129"/>
        <v>435309792</v>
      </c>
      <c r="AC51" s="19">
        <f t="shared" si="129"/>
        <v>281236007</v>
      </c>
      <c r="AD51" s="19">
        <f t="shared" si="129"/>
        <v>471425147</v>
      </c>
      <c r="AE51" s="19">
        <f t="shared" si="129"/>
        <v>585202715</v>
      </c>
      <c r="AF51" s="56" t="s">
        <v>172</v>
      </c>
      <c r="AG51" s="19">
        <f>SUM(AG52:AG57)</f>
        <v>373340312</v>
      </c>
      <c r="AH51" s="19" t="s">
        <v>167</v>
      </c>
      <c r="AI51" s="19">
        <f>SUM(AI52:AI57)</f>
        <v>315906549</v>
      </c>
      <c r="AJ51" s="19">
        <f>SUM(AJ52:AJ57)</f>
        <v>468368273</v>
      </c>
      <c r="AK51" s="19">
        <f>SUM(AK52:AK57)</f>
        <v>415692174</v>
      </c>
      <c r="AL51" s="19">
        <f>SUM(AL52:AL57)</f>
        <v>1158253840</v>
      </c>
      <c r="AM51" s="19" t="s">
        <v>4</v>
      </c>
      <c r="AN51" s="19">
        <f>SUM(AN52:AN57)</f>
        <v>1087104067</v>
      </c>
      <c r="AO51" s="19">
        <f>SUM(AO52:AO57)</f>
        <v>1250987386</v>
      </c>
      <c r="AP51" s="19">
        <f>SUM(AP52:AP57)</f>
        <v>975357126</v>
      </c>
      <c r="AQ51" s="19" t="s">
        <v>172</v>
      </c>
      <c r="AR51" s="19">
        <f>SUM(AR52:AR57)</f>
        <v>1614517146</v>
      </c>
      <c r="AS51" s="19">
        <f>SUM(AS52:AS57)</f>
        <v>1360069163</v>
      </c>
      <c r="AT51" s="19" t="s">
        <v>172</v>
      </c>
      <c r="AU51" s="19">
        <f>SUM(AU52:AU57)</f>
        <v>1297215439</v>
      </c>
      <c r="AV51" s="19">
        <f>SUM(AV52:AV57)</f>
        <v>86262100</v>
      </c>
      <c r="AW51" s="19">
        <f>SUM(AW52:AW57)</f>
        <v>305056108</v>
      </c>
      <c r="AX51" s="19" t="s">
        <v>4</v>
      </c>
      <c r="AY51" s="19">
        <f>SUM(AY52:AY57)</f>
        <v>332601354</v>
      </c>
      <c r="AZ51" s="19">
        <f>SUM(AZ52:AZ57)</f>
        <v>445223394</v>
      </c>
      <c r="BA51" s="19" t="s">
        <v>167</v>
      </c>
      <c r="BB51" s="19">
        <f>SUM(BB52:BB57)</f>
        <v>88052107</v>
      </c>
      <c r="BC51" s="19" t="s">
        <v>4</v>
      </c>
      <c r="BD51" s="19" t="s">
        <v>172</v>
      </c>
      <c r="BE51" s="19">
        <f>SUM(BE52:BE57)</f>
        <v>284490335</v>
      </c>
      <c r="BF51" s="19" t="s">
        <v>96</v>
      </c>
      <c r="BG51" s="19">
        <f t="shared" ref="BG51:BN51" si="130">SUM(BG52:BG57)</f>
        <v>1079683389</v>
      </c>
      <c r="BH51" s="19">
        <f t="shared" si="130"/>
        <v>250390115</v>
      </c>
      <c r="BI51" s="19">
        <f t="shared" si="130"/>
        <v>306512309</v>
      </c>
      <c r="BJ51" s="19">
        <f t="shared" si="130"/>
        <v>664865132</v>
      </c>
      <c r="BK51" s="19">
        <f t="shared" si="130"/>
        <v>1235417899</v>
      </c>
      <c r="BL51" s="19">
        <f t="shared" si="130"/>
        <v>1689200706</v>
      </c>
      <c r="BM51" s="19">
        <f t="shared" si="130"/>
        <v>1738433094</v>
      </c>
      <c r="BN51" s="19">
        <f t="shared" si="130"/>
        <v>76381272</v>
      </c>
      <c r="BO51" s="19" t="s">
        <v>96</v>
      </c>
      <c r="BP51" s="19" t="s">
        <v>96</v>
      </c>
      <c r="BQ51" s="19" t="s">
        <v>175</v>
      </c>
      <c r="BR51" s="19">
        <f>SUM(BR52:BR57)</f>
        <v>4814238504</v>
      </c>
      <c r="BS51" s="19" t="s">
        <v>172</v>
      </c>
      <c r="BT51" s="19">
        <f t="shared" ref="BT51:CD51" si="131">SUM(BT52:BT57)</f>
        <v>38286832</v>
      </c>
      <c r="BU51" s="19">
        <f t="shared" si="131"/>
        <v>579232441</v>
      </c>
      <c r="BV51" s="19">
        <f t="shared" si="131"/>
        <v>270864069</v>
      </c>
      <c r="BW51" s="19">
        <f t="shared" si="131"/>
        <v>634488683</v>
      </c>
      <c r="BX51" s="19">
        <f t="shared" si="131"/>
        <v>707011003</v>
      </c>
      <c r="BY51" s="19">
        <f t="shared" si="131"/>
        <v>2447897220</v>
      </c>
      <c r="BZ51" s="19">
        <f t="shared" si="131"/>
        <v>615060087</v>
      </c>
      <c r="CA51" s="19">
        <f t="shared" si="131"/>
        <v>3585914655</v>
      </c>
      <c r="CB51" s="19">
        <f t="shared" si="131"/>
        <v>369282620</v>
      </c>
      <c r="CC51" s="19">
        <f t="shared" si="131"/>
        <v>306132843</v>
      </c>
      <c r="CD51" s="19">
        <f t="shared" si="131"/>
        <v>790937797</v>
      </c>
      <c r="CE51" s="19" t="s">
        <v>172</v>
      </c>
      <c r="CF51" s="19">
        <f>SUM(CF52:CF57)</f>
        <v>192555196</v>
      </c>
      <c r="CG51" s="19">
        <f>SUM(CG52:CG57)</f>
        <v>1281064335</v>
      </c>
      <c r="CH51" s="19">
        <f>SUM(CH52:CH57)</f>
        <v>286820102</v>
      </c>
      <c r="CI51" s="19" t="s">
        <v>172</v>
      </c>
      <c r="CJ51" s="19">
        <f t="shared" ref="CJ51:CP51" si="132">SUM(CJ52:CJ57)</f>
        <v>47361875</v>
      </c>
      <c r="CK51" s="19">
        <f t="shared" si="132"/>
        <v>804998406</v>
      </c>
      <c r="CL51" s="19">
        <f t="shared" si="132"/>
        <v>64149083</v>
      </c>
      <c r="CM51" s="19">
        <f t="shared" si="132"/>
        <v>9043721194</v>
      </c>
      <c r="CN51" s="19">
        <f t="shared" si="132"/>
        <v>334346143</v>
      </c>
      <c r="CO51" s="19">
        <f t="shared" si="132"/>
        <v>200245464</v>
      </c>
      <c r="CP51" s="19">
        <f t="shared" si="132"/>
        <v>5034959656</v>
      </c>
      <c r="CQ51" s="19" t="s">
        <v>96</v>
      </c>
      <c r="CR51" s="19">
        <f>SUM(CR52:CR57)</f>
        <v>466916045</v>
      </c>
      <c r="CS51" s="56" t="s">
        <v>172</v>
      </c>
      <c r="CT51" s="19">
        <f>SUM(CT52:CT57)</f>
        <v>18352850265</v>
      </c>
      <c r="CU51" s="19">
        <f>SUM(CU52:CU57)</f>
        <v>1034154269</v>
      </c>
      <c r="CV51" s="19">
        <v>74344528</v>
      </c>
      <c r="CW51" s="19">
        <f>SUM(CW52:CW57)</f>
        <v>3220682564</v>
      </c>
      <c r="CX51" s="19">
        <f>SUM(CX52:CX57)</f>
        <v>4681260047</v>
      </c>
      <c r="CY51" s="19" t="s">
        <v>96</v>
      </c>
      <c r="CZ51" s="19">
        <f>SUM(CZ52:CZ57)</f>
        <v>3750927741</v>
      </c>
      <c r="DA51" s="19" t="s">
        <v>175</v>
      </c>
      <c r="DB51" s="19">
        <f t="shared" ref="DB51:DR51" si="133">SUM(DB52:DB57)</f>
        <v>373110144</v>
      </c>
      <c r="DC51" s="19">
        <f t="shared" si="133"/>
        <v>53254638</v>
      </c>
      <c r="DD51" s="19">
        <f t="shared" si="133"/>
        <v>83881588</v>
      </c>
      <c r="DE51" s="19">
        <f t="shared" si="133"/>
        <v>2193592445</v>
      </c>
      <c r="DF51" s="19">
        <f t="shared" si="133"/>
        <v>87145494</v>
      </c>
      <c r="DG51" s="19">
        <f t="shared" si="133"/>
        <v>956114549</v>
      </c>
      <c r="DH51" s="19">
        <f t="shared" si="133"/>
        <v>577674133</v>
      </c>
      <c r="DI51" s="19">
        <f t="shared" si="133"/>
        <v>964930847</v>
      </c>
      <c r="DJ51" s="19">
        <f t="shared" si="133"/>
        <v>234835426</v>
      </c>
      <c r="DK51" s="19">
        <f t="shared" si="133"/>
        <v>1731931206</v>
      </c>
      <c r="DL51" s="19">
        <f t="shared" si="133"/>
        <v>996603818</v>
      </c>
      <c r="DM51" s="19">
        <f t="shared" si="133"/>
        <v>223890083</v>
      </c>
      <c r="DN51" s="19">
        <f t="shared" si="133"/>
        <v>394562737</v>
      </c>
      <c r="DO51" s="19">
        <f t="shared" si="133"/>
        <v>107235806</v>
      </c>
      <c r="DP51" s="19">
        <f t="shared" si="133"/>
        <v>519000756</v>
      </c>
      <c r="DQ51" s="19">
        <f t="shared" si="133"/>
        <v>47840104</v>
      </c>
      <c r="DR51" s="19">
        <f t="shared" si="133"/>
        <v>1232757783</v>
      </c>
      <c r="DS51" s="19">
        <f>SUM(DS52:DS57)</f>
        <v>1122923491</v>
      </c>
      <c r="DT51" s="19">
        <f t="shared" ref="DT51:FF51" si="134">SUM(DT52:DT57)</f>
        <v>2482079230</v>
      </c>
      <c r="DU51" s="19">
        <f t="shared" si="134"/>
        <v>344119666</v>
      </c>
      <c r="DV51" s="19">
        <f t="shared" si="134"/>
        <v>8518159073</v>
      </c>
      <c r="DW51" s="19">
        <f t="shared" si="134"/>
        <v>330500122</v>
      </c>
      <c r="DX51" s="19">
        <f t="shared" si="134"/>
        <v>10613506847</v>
      </c>
      <c r="DY51" s="19">
        <f t="shared" si="134"/>
        <v>543532251</v>
      </c>
      <c r="DZ51" s="19">
        <f t="shared" si="134"/>
        <v>207405672</v>
      </c>
      <c r="EA51" s="19">
        <f t="shared" si="134"/>
        <v>80754229</v>
      </c>
      <c r="EB51" s="19">
        <f>SUM(EB52:EB57)</f>
        <v>11782888412</v>
      </c>
      <c r="EC51" s="19">
        <f t="shared" si="134"/>
        <v>511034013</v>
      </c>
      <c r="ED51" s="19">
        <f t="shared" si="134"/>
        <v>399876337</v>
      </c>
      <c r="EE51" s="19">
        <f t="shared" si="134"/>
        <v>213939143</v>
      </c>
      <c r="EF51" s="19">
        <f t="shared" si="134"/>
        <v>515562004</v>
      </c>
      <c r="EG51" s="19">
        <f t="shared" si="134"/>
        <v>5058478897</v>
      </c>
      <c r="EH51" s="19">
        <f t="shared" si="134"/>
        <v>338578286</v>
      </c>
      <c r="EI51" s="19">
        <f t="shared" si="134"/>
        <v>6099190477</v>
      </c>
      <c r="EJ51" s="19">
        <f t="shared" si="134"/>
        <v>754884577</v>
      </c>
      <c r="EK51" s="19">
        <f t="shared" si="134"/>
        <v>1933191652</v>
      </c>
      <c r="EL51" s="19">
        <f t="shared" si="134"/>
        <v>347010071</v>
      </c>
      <c r="EM51" s="19">
        <f t="shared" si="134"/>
        <v>164365162</v>
      </c>
      <c r="EN51" s="19">
        <f t="shared" si="134"/>
        <v>9538169414</v>
      </c>
      <c r="EO51" s="19">
        <f t="shared" si="134"/>
        <v>930500544</v>
      </c>
      <c r="EP51" s="19">
        <f t="shared" si="134"/>
        <v>1003291626</v>
      </c>
      <c r="EQ51" s="19">
        <f t="shared" si="134"/>
        <v>8001427933</v>
      </c>
      <c r="ER51" s="19">
        <f t="shared" si="134"/>
        <v>9098799291</v>
      </c>
      <c r="ES51" s="19">
        <f t="shared" si="134"/>
        <v>477350171</v>
      </c>
      <c r="ET51" s="19">
        <f t="shared" si="134"/>
        <v>9641912125</v>
      </c>
      <c r="EU51" s="19">
        <f t="shared" si="134"/>
        <v>2263582209</v>
      </c>
      <c r="EV51" s="19">
        <f t="shared" si="134"/>
        <v>187009700</v>
      </c>
      <c r="EW51" s="19">
        <f t="shared" si="134"/>
        <v>417659096</v>
      </c>
      <c r="EX51" s="19">
        <f t="shared" si="134"/>
        <v>2836884652</v>
      </c>
      <c r="EY51" s="19">
        <f t="shared" si="134"/>
        <v>6677404676</v>
      </c>
      <c r="EZ51" s="19">
        <f t="shared" si="134"/>
        <v>1137888134</v>
      </c>
      <c r="FA51" s="19">
        <f t="shared" si="134"/>
        <v>681252858</v>
      </c>
      <c r="FB51" s="19">
        <f t="shared" si="134"/>
        <v>196548247</v>
      </c>
      <c r="FC51" s="19">
        <f t="shared" si="134"/>
        <v>694086571</v>
      </c>
      <c r="FD51" s="19">
        <f t="shared" si="134"/>
        <v>343590580</v>
      </c>
      <c r="FE51" s="19">
        <f t="shared" si="134"/>
        <v>6412269350</v>
      </c>
      <c r="FF51" s="19">
        <f t="shared" si="134"/>
        <v>577101709</v>
      </c>
      <c r="FG51" s="19" t="s">
        <v>172</v>
      </c>
      <c r="FH51" s="19">
        <f>SUM(FH52:FH57)</f>
        <v>1185272879</v>
      </c>
      <c r="FI51" s="19" t="s">
        <v>172</v>
      </c>
      <c r="FJ51" s="19">
        <f>SUM(FJ52:FJ57)</f>
        <v>422505764</v>
      </c>
      <c r="FK51" s="19">
        <f>SUM(FK52:FK57)</f>
        <v>2146921406</v>
      </c>
      <c r="FL51" s="19">
        <f>SUM(FL52:FL57)</f>
        <v>354338611</v>
      </c>
      <c r="FM51" s="19">
        <f>SUM(FM52:FM57)</f>
        <v>1173989440</v>
      </c>
      <c r="FN51" s="19">
        <f>SUM(FN52:FN57)</f>
        <v>2269001064</v>
      </c>
      <c r="FO51" s="56" t="s">
        <v>172</v>
      </c>
      <c r="FP51" s="19">
        <f t="shared" ref="FP51:FU51" si="135">SUM(FP52:FP57)</f>
        <v>287681160</v>
      </c>
      <c r="FQ51" s="19">
        <f t="shared" si="135"/>
        <v>68158879</v>
      </c>
      <c r="FR51" s="19">
        <f t="shared" si="135"/>
        <v>967422466</v>
      </c>
      <c r="FS51" s="19">
        <f t="shared" si="135"/>
        <v>1030851772</v>
      </c>
      <c r="FT51" s="19">
        <f t="shared" si="135"/>
        <v>5270399664</v>
      </c>
      <c r="FU51" s="19">
        <f t="shared" si="135"/>
        <v>117313297</v>
      </c>
      <c r="FV51" s="19" t="s">
        <v>172</v>
      </c>
      <c r="FW51" s="19">
        <f>SUM(FW52:FW57)</f>
        <v>28103771</v>
      </c>
      <c r="FX51" s="19">
        <f>SUM(FX52:FX57)</f>
        <v>359380782</v>
      </c>
      <c r="FY51" s="19" t="s">
        <v>172</v>
      </c>
      <c r="FZ51" s="19" t="s">
        <v>175</v>
      </c>
      <c r="GA51" s="19">
        <f>SUM(GA52:GA57)</f>
        <v>2608195767</v>
      </c>
      <c r="GB51" s="19">
        <f>SUM(GB52:GB57)</f>
        <v>355253474</v>
      </c>
      <c r="GC51" s="19">
        <f>SUM(GC52:GC57)</f>
        <v>198160008</v>
      </c>
      <c r="GD51" s="19" t="s">
        <v>172</v>
      </c>
      <c r="GE51" s="19" t="s">
        <v>172</v>
      </c>
      <c r="GF51" s="19">
        <f>SUM(GF52:GF57)</f>
        <v>768848769</v>
      </c>
      <c r="GG51" s="19">
        <f>SUM(GG52:GG57)</f>
        <v>2851273108</v>
      </c>
      <c r="GH51" s="19" t="s">
        <v>172</v>
      </c>
      <c r="GI51" s="19">
        <f t="shared" ref="GI51:KH51" si="136">SUM(GI52:GI57)</f>
        <v>54059093</v>
      </c>
      <c r="GJ51" s="19" t="s">
        <v>172</v>
      </c>
      <c r="GK51" s="19">
        <f t="shared" si="136"/>
        <v>534495814</v>
      </c>
      <c r="GL51" s="19" t="s">
        <v>172</v>
      </c>
      <c r="GM51" s="19">
        <f t="shared" si="136"/>
        <v>580471308</v>
      </c>
      <c r="GN51" s="19">
        <f t="shared" si="136"/>
        <v>418237451</v>
      </c>
      <c r="GO51" s="19" t="s">
        <v>172</v>
      </c>
      <c r="GP51" s="19">
        <f t="shared" si="136"/>
        <v>1224485557</v>
      </c>
      <c r="GQ51" s="19">
        <f t="shared" si="136"/>
        <v>217333467</v>
      </c>
      <c r="GR51" s="19">
        <f t="shared" si="136"/>
        <v>1347204161</v>
      </c>
      <c r="GS51" s="19">
        <f t="shared" si="136"/>
        <v>769248795</v>
      </c>
      <c r="GT51" s="19">
        <f t="shared" si="136"/>
        <v>397351983</v>
      </c>
      <c r="GU51" s="19">
        <f t="shared" si="136"/>
        <v>281101394</v>
      </c>
      <c r="GV51" s="19">
        <f>SUM(GV52:GV57)</f>
        <v>6291320624</v>
      </c>
      <c r="GW51" s="19">
        <f>SUM(GW52:GW57)</f>
        <v>6909038621</v>
      </c>
      <c r="GX51" s="19">
        <f t="shared" si="136"/>
        <v>419992397</v>
      </c>
      <c r="GY51" s="19">
        <f t="shared" si="136"/>
        <v>1345779494</v>
      </c>
      <c r="GZ51" s="19">
        <f t="shared" si="136"/>
        <v>1273605908</v>
      </c>
      <c r="HA51" s="19" t="s">
        <v>172</v>
      </c>
      <c r="HB51" s="19">
        <f t="shared" si="136"/>
        <v>1111858616</v>
      </c>
      <c r="HC51" s="19">
        <f t="shared" si="136"/>
        <v>444851062</v>
      </c>
      <c r="HD51" s="19">
        <f t="shared" si="136"/>
        <v>689153570</v>
      </c>
      <c r="HE51" s="19" t="s">
        <v>172</v>
      </c>
      <c r="HF51" s="19">
        <f t="shared" si="136"/>
        <v>6629130973</v>
      </c>
      <c r="HG51" s="19">
        <f t="shared" si="136"/>
        <v>572943294</v>
      </c>
      <c r="HH51" s="19" t="s">
        <v>172</v>
      </c>
      <c r="HI51" s="19">
        <f t="shared" si="136"/>
        <v>3115541549</v>
      </c>
      <c r="HJ51" s="19" t="s">
        <v>172</v>
      </c>
      <c r="HK51" s="19">
        <f t="shared" si="136"/>
        <v>1755727960</v>
      </c>
      <c r="HL51" s="19">
        <f t="shared" si="136"/>
        <v>224551338</v>
      </c>
      <c r="HM51" s="19">
        <f t="shared" si="136"/>
        <v>900200276</v>
      </c>
      <c r="HN51" s="19">
        <f t="shared" si="136"/>
        <v>167141560</v>
      </c>
      <c r="HO51" s="19">
        <f t="shared" si="136"/>
        <v>720969410</v>
      </c>
      <c r="HP51" s="19">
        <f t="shared" si="136"/>
        <v>1443842250</v>
      </c>
      <c r="HQ51" s="19">
        <f t="shared" si="136"/>
        <v>1764990370</v>
      </c>
      <c r="HR51" s="19">
        <f t="shared" si="136"/>
        <v>2276054119</v>
      </c>
      <c r="HS51" s="19">
        <f t="shared" si="136"/>
        <v>406333804</v>
      </c>
      <c r="HT51" s="19">
        <f t="shared" si="136"/>
        <v>215376020</v>
      </c>
      <c r="HU51" s="19">
        <f t="shared" si="136"/>
        <v>3902929242</v>
      </c>
      <c r="HV51" s="19">
        <f t="shared" si="136"/>
        <v>248911567</v>
      </c>
      <c r="HW51" s="19" t="s">
        <v>172</v>
      </c>
      <c r="HX51" s="19">
        <f t="shared" si="136"/>
        <v>741027705</v>
      </c>
      <c r="HY51" s="19" t="s">
        <v>172</v>
      </c>
      <c r="HZ51" s="19">
        <f t="shared" si="136"/>
        <v>559243332</v>
      </c>
      <c r="IA51" s="19">
        <f t="shared" si="136"/>
        <v>206960172</v>
      </c>
      <c r="IB51" s="19">
        <f t="shared" si="136"/>
        <v>1495147697</v>
      </c>
      <c r="IC51" s="19">
        <f t="shared" si="136"/>
        <v>6907324650</v>
      </c>
      <c r="ID51" s="19">
        <f t="shared" si="136"/>
        <v>324438145</v>
      </c>
      <c r="IE51" s="19" t="s">
        <v>172</v>
      </c>
      <c r="IF51" s="19">
        <f t="shared" si="136"/>
        <v>89997737</v>
      </c>
      <c r="IG51" s="19">
        <f t="shared" si="136"/>
        <v>177924656</v>
      </c>
      <c r="IH51" s="19">
        <f t="shared" si="136"/>
        <v>958097635</v>
      </c>
      <c r="II51" s="19">
        <f t="shared" si="136"/>
        <v>308841460</v>
      </c>
      <c r="IJ51" s="19">
        <f t="shared" si="136"/>
        <v>668969029</v>
      </c>
      <c r="IK51" s="19">
        <f t="shared" si="136"/>
        <v>492357317</v>
      </c>
      <c r="IL51" s="19">
        <f t="shared" si="136"/>
        <v>319067858</v>
      </c>
      <c r="IM51" s="19">
        <f>SUM(IM52:IM57)</f>
        <v>2410233699</v>
      </c>
      <c r="IN51" s="19">
        <f t="shared" si="136"/>
        <v>3888922042</v>
      </c>
      <c r="IO51" s="19">
        <f t="shared" si="136"/>
        <v>1173331402</v>
      </c>
      <c r="IP51" s="19">
        <f t="shared" si="136"/>
        <v>1459929816</v>
      </c>
      <c r="IQ51" s="19">
        <f t="shared" si="136"/>
        <v>2313416901</v>
      </c>
      <c r="IR51" s="19">
        <f t="shared" si="136"/>
        <v>1409357245</v>
      </c>
      <c r="IS51" s="19">
        <f t="shared" si="136"/>
        <v>503591397</v>
      </c>
      <c r="IT51" s="19">
        <f t="shared" si="136"/>
        <v>527269980</v>
      </c>
      <c r="IU51" s="19">
        <f t="shared" si="136"/>
        <v>7977331228</v>
      </c>
      <c r="IV51" s="19">
        <f t="shared" si="136"/>
        <v>1836888300</v>
      </c>
      <c r="IW51" s="19">
        <f t="shared" si="136"/>
        <v>1398929270</v>
      </c>
      <c r="IX51" s="19">
        <f t="shared" si="136"/>
        <v>1088276730</v>
      </c>
      <c r="IY51" s="19">
        <f t="shared" si="136"/>
        <v>1082204172</v>
      </c>
      <c r="IZ51" s="19">
        <f t="shared" si="136"/>
        <v>527478937</v>
      </c>
      <c r="JA51" s="19">
        <f t="shared" si="136"/>
        <v>1947919957</v>
      </c>
      <c r="JB51" s="19">
        <f t="shared" si="136"/>
        <v>588542493</v>
      </c>
      <c r="JC51" s="19">
        <f t="shared" si="136"/>
        <v>138854537</v>
      </c>
      <c r="JD51" s="19">
        <f t="shared" si="136"/>
        <v>1099798077</v>
      </c>
      <c r="JE51" s="19">
        <f t="shared" si="136"/>
        <v>165720221</v>
      </c>
      <c r="JF51" s="19">
        <f t="shared" si="136"/>
        <v>1366441963</v>
      </c>
      <c r="JG51" s="19">
        <f t="shared" si="136"/>
        <v>77701406</v>
      </c>
      <c r="JH51" s="19">
        <f t="shared" si="136"/>
        <v>248464931</v>
      </c>
      <c r="JI51" s="19">
        <f t="shared" si="136"/>
        <v>198396680</v>
      </c>
      <c r="JJ51" s="19">
        <f t="shared" si="136"/>
        <v>111641254</v>
      </c>
      <c r="JK51" s="19">
        <f t="shared" si="136"/>
        <v>195611593</v>
      </c>
      <c r="JL51" s="19">
        <f t="shared" si="136"/>
        <v>5489477650</v>
      </c>
      <c r="JM51" s="19">
        <f t="shared" si="136"/>
        <v>868072132</v>
      </c>
      <c r="JN51" s="19">
        <f t="shared" si="136"/>
        <v>455321927</v>
      </c>
      <c r="JO51" s="19">
        <f t="shared" si="136"/>
        <v>264377492</v>
      </c>
      <c r="JP51" s="19">
        <f t="shared" si="136"/>
        <v>173950991</v>
      </c>
      <c r="JQ51" s="19" t="s">
        <v>175</v>
      </c>
      <c r="JR51" s="19">
        <f t="shared" si="136"/>
        <v>968817558</v>
      </c>
      <c r="JS51" s="19">
        <f t="shared" si="136"/>
        <v>395899645</v>
      </c>
      <c r="JT51" s="19">
        <f t="shared" si="136"/>
        <v>260223278</v>
      </c>
      <c r="JU51" s="19">
        <f t="shared" si="136"/>
        <v>307732108</v>
      </c>
      <c r="JV51" s="19">
        <f t="shared" si="136"/>
        <v>4357494577</v>
      </c>
      <c r="JW51" s="19">
        <f t="shared" si="136"/>
        <v>2013512313</v>
      </c>
      <c r="JX51" s="19">
        <f t="shared" si="136"/>
        <v>7018137316</v>
      </c>
      <c r="JY51" s="19">
        <f t="shared" si="136"/>
        <v>5337670079</v>
      </c>
      <c r="JZ51" s="19">
        <f t="shared" si="136"/>
        <v>29800540</v>
      </c>
      <c r="KA51" s="19">
        <f t="shared" si="136"/>
        <v>646933632</v>
      </c>
      <c r="KB51" s="19">
        <f t="shared" si="136"/>
        <v>1041475055</v>
      </c>
      <c r="KC51" s="19">
        <f t="shared" si="136"/>
        <v>442081498</v>
      </c>
      <c r="KD51" s="19">
        <f t="shared" si="136"/>
        <v>1329244263</v>
      </c>
      <c r="KE51" s="19">
        <f t="shared" si="136"/>
        <v>38513922</v>
      </c>
      <c r="KF51" s="19">
        <f t="shared" si="136"/>
        <v>873056731</v>
      </c>
      <c r="KG51" s="19">
        <f t="shared" si="136"/>
        <v>851760232</v>
      </c>
      <c r="KH51" s="19">
        <f t="shared" si="136"/>
        <v>395289815</v>
      </c>
      <c r="KI51" s="19">
        <f>SUM(KI52:KI57)</f>
        <v>190570106</v>
      </c>
      <c r="KJ51" s="19">
        <f>SUM(KJ52:KJ57)</f>
        <v>1951078940</v>
      </c>
      <c r="KK51" s="19">
        <f>SUM(KK52:KK57)</f>
        <v>1164274984</v>
      </c>
      <c r="KL51" s="19">
        <f t="shared" ref="KL51:KT51" si="137">SUM(KL52:KL57)</f>
        <v>15637703000</v>
      </c>
      <c r="KM51" s="19">
        <f t="shared" si="137"/>
        <v>768337664</v>
      </c>
      <c r="KN51" s="19">
        <f t="shared" si="137"/>
        <v>3231058423</v>
      </c>
      <c r="KO51" s="19">
        <f t="shared" si="137"/>
        <v>1449145738</v>
      </c>
      <c r="KP51" s="19">
        <f t="shared" si="137"/>
        <v>3105984880</v>
      </c>
      <c r="KQ51" s="19">
        <f t="shared" si="137"/>
        <v>56569785</v>
      </c>
      <c r="KR51" s="19">
        <f t="shared" si="137"/>
        <v>319712409</v>
      </c>
      <c r="KS51" s="19">
        <f t="shared" si="137"/>
        <v>196196773</v>
      </c>
      <c r="KT51" s="19">
        <f t="shared" si="137"/>
        <v>279697746</v>
      </c>
      <c r="KU51" s="19">
        <f>SUM(KU52:KU57)</f>
        <v>1101673018</v>
      </c>
      <c r="KV51" s="19">
        <f>SUM(KV52:KV57)</f>
        <v>200605510</v>
      </c>
      <c r="KW51" s="19">
        <f>SUM(KW52:KW57)</f>
        <v>262004653</v>
      </c>
      <c r="KX51" s="19">
        <f>SUM(KX52:KX57)</f>
        <v>77363923</v>
      </c>
      <c r="KY51" s="19">
        <f>SUM(KY52:KY57)</f>
        <v>544716690</v>
      </c>
      <c r="KZ51" s="58">
        <v>116786038</v>
      </c>
      <c r="LA51" s="70">
        <v>19642399</v>
      </c>
      <c r="LB51" s="70">
        <v>99523813</v>
      </c>
    </row>
    <row r="52" spans="1:314">
      <c r="A52" s="9" t="s">
        <v>103</v>
      </c>
      <c r="B52" s="15" t="s">
        <v>26</v>
      </c>
      <c r="C52" s="19">
        <f>30120000+1525908530+17160000+103770+123953092</f>
        <v>1697245392</v>
      </c>
      <c r="D52" s="19">
        <f>380357400+37407600+44122100</f>
        <v>461887100</v>
      </c>
      <c r="E52" s="19">
        <f>41700000+190062420+7060000+31679790</f>
        <v>270502210</v>
      </c>
      <c r="F52" s="19">
        <f>49222670+1487343969+74222720+106385196</f>
        <v>1717174555</v>
      </c>
      <c r="G52" s="19" t="s">
        <v>130</v>
      </c>
      <c r="H52" s="19">
        <f>7548464425+64590000+65116356+596032372</f>
        <v>8274203153</v>
      </c>
      <c r="I52" s="19">
        <f>2800861340+5214531384+281452638</f>
        <v>8296845362</v>
      </c>
      <c r="J52" s="19" t="s">
        <v>176</v>
      </c>
      <c r="K52" s="19">
        <f>629806110+37199400+76546973</f>
        <v>743552483</v>
      </c>
      <c r="L52" s="19" t="s">
        <v>96</v>
      </c>
      <c r="M52" s="19" t="s">
        <v>96</v>
      </c>
      <c r="N52" s="19">
        <f>383865890+4900000+189613036+25732091</f>
        <v>604111017</v>
      </c>
      <c r="O52" s="19">
        <f>114475886+9157471396+34716200+642313229</f>
        <v>9948976711</v>
      </c>
      <c r="P52" s="19">
        <f>4385325127+6000000+430936441</f>
        <v>4822261568</v>
      </c>
      <c r="Q52" s="19">
        <f>123977792+9686145</f>
        <v>133663937</v>
      </c>
      <c r="R52" s="19">
        <f>138224740+9482000</f>
        <v>147706740</v>
      </c>
      <c r="S52" s="19">
        <f>744916257+189917020</f>
        <v>934833277</v>
      </c>
      <c r="T52" s="19" t="s">
        <v>96</v>
      </c>
      <c r="U52" s="19" t="s">
        <v>96</v>
      </c>
      <c r="V52" s="19" t="s">
        <v>172</v>
      </c>
      <c r="W52" s="19">
        <f>92894040+187227124+37754000+11502847</f>
        <v>329378011</v>
      </c>
      <c r="X52" s="19">
        <f>307900000+66900000+48397000+63983250</f>
        <v>487180250</v>
      </c>
      <c r="Y52" s="19">
        <f>236943688+1800000+490000+23592665</f>
        <v>262826353</v>
      </c>
      <c r="Z52" s="19">
        <f>163537197</f>
        <v>163537197</v>
      </c>
      <c r="AA52" s="19">
        <f>224400000+2400000+36786372+52500000</f>
        <v>316086372</v>
      </c>
      <c r="AB52" s="19">
        <f>91548860+4533334</f>
        <v>96082194</v>
      </c>
      <c r="AC52" s="19">
        <f>72609091+54592902+3967500</f>
        <v>131169493</v>
      </c>
      <c r="AD52" s="19">
        <f>152271740+2710710+3428339</f>
        <v>158410789</v>
      </c>
      <c r="AE52" s="19">
        <f>274244397+98210+9658893</f>
        <v>284001500</v>
      </c>
      <c r="AF52" s="56" t="s">
        <v>172</v>
      </c>
      <c r="AG52" s="19">
        <f>239482898+1160000+32328105</f>
        <v>272971003</v>
      </c>
      <c r="AH52" s="19" t="s">
        <v>167</v>
      </c>
      <c r="AI52" s="19">
        <f>16000000+89731845+22995750</f>
        <v>128727595</v>
      </c>
      <c r="AJ52" s="19">
        <f>261173600+4975330+5157260</f>
        <v>271306190</v>
      </c>
      <c r="AK52" s="19">
        <f>66000000+165306610</f>
        <v>231306610</v>
      </c>
      <c r="AL52" s="19">
        <f>438309392+404000+45405688</f>
        <v>484119080</v>
      </c>
      <c r="AM52" s="19" t="s">
        <v>4</v>
      </c>
      <c r="AN52" s="19">
        <f>56200000+569521975+5700000+61900699</f>
        <v>693322674</v>
      </c>
      <c r="AO52" s="19">
        <f>516121372+43185564</f>
        <v>559306936</v>
      </c>
      <c r="AP52" s="19">
        <f>467863732+40598303</f>
        <v>508462035</v>
      </c>
      <c r="AQ52" s="19" t="s">
        <v>172</v>
      </c>
      <c r="AR52" s="19">
        <f>507599483+17857910+35709265</f>
        <v>561166658</v>
      </c>
      <c r="AS52" s="19">
        <f>439205426+240000+11831310</f>
        <v>451276736</v>
      </c>
      <c r="AT52" s="19" t="s">
        <v>172</v>
      </c>
      <c r="AU52" s="19">
        <f>620149960+35795432</f>
        <v>655945392</v>
      </c>
      <c r="AV52" s="19">
        <f>36838167+1800000+3143160</f>
        <v>41781327</v>
      </c>
      <c r="AW52" s="19">
        <f>155506340+3837820+3996510</f>
        <v>163340670</v>
      </c>
      <c r="AX52" s="19" t="s">
        <v>4</v>
      </c>
      <c r="AY52" s="19">
        <f>206763500+16671440</f>
        <v>223434940</v>
      </c>
      <c r="AZ52" s="19">
        <f>72000000+84365645+3570000+13387079</f>
        <v>173322724</v>
      </c>
      <c r="BA52" s="19" t="s">
        <v>167</v>
      </c>
      <c r="BB52" s="19">
        <f>63258400+2101941</f>
        <v>65360341</v>
      </c>
      <c r="BC52" s="19" t="s">
        <v>4</v>
      </c>
      <c r="BD52" s="19" t="s">
        <v>172</v>
      </c>
      <c r="BE52" s="19">
        <f>94366666+15167403</f>
        <v>109534069</v>
      </c>
      <c r="BF52" s="19" t="s">
        <v>96</v>
      </c>
      <c r="BG52" s="19">
        <f>40000080+342578500+2600000+1696000+20430843+5889427</f>
        <v>413194850</v>
      </c>
      <c r="BH52" s="19">
        <f>91896115+3324900+6482400+4012936</f>
        <v>105716351</v>
      </c>
      <c r="BI52" s="19">
        <f>154688930+5600000+20316243</f>
        <v>180605173</v>
      </c>
      <c r="BJ52" s="19">
        <f>50557680+191976874+13393526</f>
        <v>255928080</v>
      </c>
      <c r="BK52" s="19">
        <f>496662206+15229474</f>
        <v>511891680</v>
      </c>
      <c r="BL52" s="19">
        <f>372863371+29440628</f>
        <v>402303999</v>
      </c>
      <c r="BM52" s="19">
        <f>685922365+11186000+61093584</f>
        <v>758201949</v>
      </c>
      <c r="BN52" s="19">
        <f>51826560</f>
        <v>51826560</v>
      </c>
      <c r="BO52" s="19" t="s">
        <v>96</v>
      </c>
      <c r="BP52" s="19" t="s">
        <v>96</v>
      </c>
      <c r="BQ52" s="19" t="s">
        <v>175</v>
      </c>
      <c r="BR52" s="19">
        <f>1413290213+1120970+62326089</f>
        <v>1476737272</v>
      </c>
      <c r="BS52" s="19" t="s">
        <v>172</v>
      </c>
      <c r="BT52" s="19">
        <f>17450360</f>
        <v>17450360</v>
      </c>
      <c r="BU52" s="19">
        <f>277738614+3495593+21370839</f>
        <v>302605046</v>
      </c>
      <c r="BV52" s="19">
        <f>94995440+100000+1200000+7142240</f>
        <v>103437680</v>
      </c>
      <c r="BW52" s="19">
        <f>356554470+24348247+11056685</f>
        <v>391959402</v>
      </c>
      <c r="BX52" s="19">
        <f>187970526+4200000+824000+8618380</f>
        <v>201612906</v>
      </c>
      <c r="BY52" s="19">
        <f>1062508893+1450000+10560247+59941714</f>
        <v>1134460854</v>
      </c>
      <c r="BZ52" s="19">
        <f>304040640+4000000+25336720</f>
        <v>333377360</v>
      </c>
      <c r="CA52" s="19">
        <f>1335511989</f>
        <v>1335511989</v>
      </c>
      <c r="CB52" s="19">
        <f>142407333+2700000+8613690</f>
        <v>153721023</v>
      </c>
      <c r="CC52" s="19">
        <f>144312700+11635211</f>
        <v>155947911</v>
      </c>
      <c r="CD52" s="19">
        <f>259645020+62632277+25272224</f>
        <v>347549521</v>
      </c>
      <c r="CE52" s="19" t="s">
        <v>172</v>
      </c>
      <c r="CF52" s="19">
        <f>80040000</f>
        <v>80040000</v>
      </c>
      <c r="CG52" s="19">
        <f>1036346265+4400000+30181670+14194301</f>
        <v>1085122236</v>
      </c>
      <c r="CH52" s="19">
        <f>166295516+7839431</f>
        <v>174134947</v>
      </c>
      <c r="CI52" s="19" t="s">
        <v>172</v>
      </c>
      <c r="CJ52" s="19">
        <v>36000000</v>
      </c>
      <c r="CK52" s="19">
        <f>658994194+52836270</f>
        <v>711830464</v>
      </c>
      <c r="CL52" s="19">
        <f>23744186+6562376</f>
        <v>30306562</v>
      </c>
      <c r="CM52" s="19">
        <f>7284110120+29000000+110130890+26991794+481007920</f>
        <v>7931240724</v>
      </c>
      <c r="CN52" s="19">
        <v>121080670</v>
      </c>
      <c r="CO52" s="19">
        <f>91689666+3931000+8053011</f>
        <v>103673677</v>
      </c>
      <c r="CP52" s="19">
        <f>542678946+7545150</f>
        <v>550224096</v>
      </c>
      <c r="CQ52" s="19" t="s">
        <v>96</v>
      </c>
      <c r="CR52" s="19">
        <f>313307835+19668220</f>
        <v>332976055</v>
      </c>
      <c r="CS52" s="56" t="s">
        <v>172</v>
      </c>
      <c r="CT52" s="19">
        <f>3874348728+567219997</f>
        <v>4441568725</v>
      </c>
      <c r="CU52" s="19">
        <f>579704441+16909180</f>
        <v>596613621</v>
      </c>
      <c r="CV52" s="19">
        <v>37422359</v>
      </c>
      <c r="CW52" s="19">
        <f>2022326949+1950000+10715628+129709582</f>
        <v>2164702159</v>
      </c>
      <c r="CX52" s="19">
        <f>1881291169+291738975</f>
        <v>2173030144</v>
      </c>
      <c r="CY52" s="19" t="s">
        <v>96</v>
      </c>
      <c r="CZ52" s="19">
        <f>701070878+55422580+90972933</f>
        <v>847466391</v>
      </c>
      <c r="DA52" s="19" t="s">
        <v>175</v>
      </c>
      <c r="DB52" s="19">
        <f>30000000+142039131+4525064</f>
        <v>176564195</v>
      </c>
      <c r="DC52" s="19"/>
      <c r="DD52" s="19">
        <f>24000000+3154470</f>
        <v>27154470</v>
      </c>
      <c r="DE52" s="19">
        <f>1344498792+54072190</f>
        <v>1398570982</v>
      </c>
      <c r="DF52" s="19">
        <f>46480640+2707167</f>
        <v>49187807</v>
      </c>
      <c r="DG52" s="19">
        <f>26400000+550725945+2194547+27750000+1507500</f>
        <v>608577992</v>
      </c>
      <c r="DH52" s="19">
        <f>327559919+17498627</f>
        <v>345058546</v>
      </c>
      <c r="DI52" s="19">
        <f>142953520+264802449</f>
        <v>407755969</v>
      </c>
      <c r="DJ52" s="19">
        <f>50200000+45900000+4100000+16794897</f>
        <v>116994897</v>
      </c>
      <c r="DK52" s="19">
        <f>263545706+27350000+35882501</f>
        <v>326778207</v>
      </c>
      <c r="DL52" s="19">
        <f>489144200+1548000+37973171</f>
        <v>528665371</v>
      </c>
      <c r="DM52" s="19">
        <f>127075600+7083019</f>
        <v>134158619</v>
      </c>
      <c r="DN52" s="19">
        <f>18900000+115917384+4253875</f>
        <v>139071259</v>
      </c>
      <c r="DO52" s="19">
        <f>39912000+59340079+1050000+2368310</f>
        <v>102670389</v>
      </c>
      <c r="DP52" s="19">
        <v>145070833</v>
      </c>
      <c r="DQ52" s="19">
        <f>9500000+19386290</f>
        <v>28886290</v>
      </c>
      <c r="DR52" s="19">
        <f>475516222+8060000+1860000+8422416</f>
        <v>493858638</v>
      </c>
      <c r="DS52" s="19">
        <f>758134890+40270000+76972615</f>
        <v>875377505</v>
      </c>
      <c r="DT52" s="19">
        <f>60000000+629181241+16003240+112975198</f>
        <v>818159679</v>
      </c>
      <c r="DU52" s="19">
        <f>355581412+21112886</f>
        <v>376694298</v>
      </c>
      <c r="DV52" s="19">
        <f>843393462+39154504+81676473+113656197+4293520+6875236+148414860+1896576</f>
        <v>1239360828</v>
      </c>
      <c r="DW52" s="19">
        <f>148179022+16128332</f>
        <v>164307354</v>
      </c>
      <c r="DX52" s="19">
        <f>4271326410+396625145</f>
        <v>4667951555</v>
      </c>
      <c r="DY52" s="19">
        <v>431973449</v>
      </c>
      <c r="DZ52" s="19">
        <f>56048000+91664640</f>
        <v>147712640</v>
      </c>
      <c r="EA52" s="19">
        <v>60000000</v>
      </c>
      <c r="EB52" s="19">
        <f>9741855825+49074940+787590996+38108934</f>
        <v>10616630695</v>
      </c>
      <c r="EC52" s="19">
        <f>171644792+7287915</f>
        <v>178932707</v>
      </c>
      <c r="ED52" s="19">
        <f>272212120+22624910</f>
        <v>294837030</v>
      </c>
      <c r="EE52" s="19">
        <f>38331331+34644743+9693053+9707925</f>
        <v>92377052</v>
      </c>
      <c r="EF52" s="19">
        <f>131400000+53680160+48271450</f>
        <v>233351610</v>
      </c>
      <c r="EG52" s="19">
        <f>1735356833+10593000+168573498</f>
        <v>1914523331</v>
      </c>
      <c r="EH52" s="19">
        <f>45991560+8501534</f>
        <v>54493094</v>
      </c>
      <c r="EI52" s="19">
        <f>1900985713+291473576</f>
        <v>2192459289</v>
      </c>
      <c r="EJ52" s="19">
        <f>315990000+31875175</f>
        <v>347865175</v>
      </c>
      <c r="EK52" s="19">
        <f>98700000+759311394+108745484+102311289</f>
        <v>1069068167</v>
      </c>
      <c r="EL52" s="19">
        <v>133216793</v>
      </c>
      <c r="EM52" s="19">
        <f>53303360+52242070</f>
        <v>105545430</v>
      </c>
      <c r="EN52" s="19">
        <f>6273814880+549280364</f>
        <v>6823095244</v>
      </c>
      <c r="EO52" s="19">
        <f>376679436+91334564+2329734+28790366</f>
        <v>499134100</v>
      </c>
      <c r="EP52" s="19">
        <f>734855010+58901790</f>
        <v>793756800</v>
      </c>
      <c r="EQ52" s="19">
        <f>6736795300+363980326</f>
        <v>7100775626</v>
      </c>
      <c r="ER52" s="19">
        <f>7252933704+643538199</f>
        <v>7896471903</v>
      </c>
      <c r="ES52" s="19">
        <v>223481993</v>
      </c>
      <c r="ET52" s="19">
        <f>1847684836+80556+355279618</f>
        <v>2203045010</v>
      </c>
      <c r="EU52" s="19">
        <f>710523675+73168443</f>
        <v>783692118</v>
      </c>
      <c r="EV52" s="19">
        <f>122872632+6997769</f>
        <v>129870401</v>
      </c>
      <c r="EW52" s="19">
        <f>111164366+3115370</f>
        <v>114279736</v>
      </c>
      <c r="EX52" s="19">
        <f>353517577+225208844+20126305</f>
        <v>598852726</v>
      </c>
      <c r="EY52" s="19">
        <f>4651974865+127865657+408909551</f>
        <v>5188750073</v>
      </c>
      <c r="EZ52" s="19">
        <f>420659837+45078410</f>
        <v>465738247</v>
      </c>
      <c r="FA52" s="19">
        <f>461709855+55716986+2468100+48054438</f>
        <v>567949379</v>
      </c>
      <c r="FB52" s="19">
        <f>83212200+200000+6688710</f>
        <v>90100910</v>
      </c>
      <c r="FC52" s="19">
        <f>184967360+3800000+11217240</f>
        <v>199984600</v>
      </c>
      <c r="FD52" s="19">
        <f>162220000+4710000</f>
        <v>166930000</v>
      </c>
      <c r="FE52" s="19">
        <f>1920778593+95703699</f>
        <v>2016482292</v>
      </c>
      <c r="FF52" s="19">
        <f>328282650+7940000+23452540</f>
        <v>359675190</v>
      </c>
      <c r="FG52" s="19" t="s">
        <v>172</v>
      </c>
      <c r="FH52" s="19">
        <f>786474975+15825550</f>
        <v>802300525</v>
      </c>
      <c r="FI52" s="19" t="s">
        <v>172</v>
      </c>
      <c r="FJ52" s="19">
        <f>50796680+139486600+4901310</f>
        <v>195184590</v>
      </c>
      <c r="FK52" s="19">
        <f>12890820+1441040942+21724473+6944100+38425649</f>
        <v>1521025984</v>
      </c>
      <c r="FL52" s="19">
        <v>25379820</v>
      </c>
      <c r="FM52" s="19">
        <f>679490977+55176904</f>
        <v>734667881</v>
      </c>
      <c r="FN52" s="19">
        <f>826647888+131958554</f>
        <v>958606442</v>
      </c>
      <c r="FO52" s="56" t="s">
        <v>172</v>
      </c>
      <c r="FP52" s="19">
        <f>141384551+25827774</f>
        <v>167212325</v>
      </c>
      <c r="FQ52" s="19">
        <v>41055944</v>
      </c>
      <c r="FR52" s="19">
        <f>436102856+16000000+2527343</f>
        <v>454630199</v>
      </c>
      <c r="FS52" s="19">
        <f>534248474+21069863</f>
        <v>555318337</v>
      </c>
      <c r="FT52" s="19">
        <f>511993167+78357738</f>
        <v>590350905</v>
      </c>
      <c r="FU52" s="19">
        <v>46336340</v>
      </c>
      <c r="FV52" s="19" t="s">
        <v>172</v>
      </c>
      <c r="FW52" s="19">
        <v>4200000</v>
      </c>
      <c r="FX52" s="19">
        <f>218320000+4934211</f>
        <v>223254211</v>
      </c>
      <c r="FY52" s="19" t="s">
        <v>172</v>
      </c>
      <c r="FZ52" s="19" t="s">
        <v>175</v>
      </c>
      <c r="GA52" s="19">
        <f>1315022385+9600000+210000</f>
        <v>1324832385</v>
      </c>
      <c r="GB52" s="19">
        <f>241222830+6459579</f>
        <v>247682409</v>
      </c>
      <c r="GC52" s="19">
        <f>128978830+2752520</f>
        <v>131731350</v>
      </c>
      <c r="GD52" s="19" t="s">
        <v>172</v>
      </c>
      <c r="GE52" s="19" t="s">
        <v>172</v>
      </c>
      <c r="GF52" s="19">
        <v>258825624</v>
      </c>
      <c r="GG52" s="19">
        <v>997209087</v>
      </c>
      <c r="GH52" s="19" t="s">
        <v>172</v>
      </c>
      <c r="GI52" s="19">
        <v>18000000</v>
      </c>
      <c r="GJ52" s="19" t="s">
        <v>172</v>
      </c>
      <c r="GK52" s="19">
        <f>189855342+17586870</f>
        <v>207442212</v>
      </c>
      <c r="GL52" s="19" t="s">
        <v>172</v>
      </c>
      <c r="GM52" s="19">
        <f>222001736+7007721</f>
        <v>229009457</v>
      </c>
      <c r="GN52" s="19">
        <v>49124105</v>
      </c>
      <c r="GO52" s="19" t="s">
        <v>172</v>
      </c>
      <c r="GP52" s="19">
        <v>440237821</v>
      </c>
      <c r="GQ52" s="19">
        <f>48000000+84100000+15510000</f>
        <v>147610000</v>
      </c>
      <c r="GR52" s="19">
        <v>385784033</v>
      </c>
      <c r="GS52" s="19">
        <v>437320848</v>
      </c>
      <c r="GT52" s="19">
        <v>200529656</v>
      </c>
      <c r="GU52" s="19">
        <v>180215490</v>
      </c>
      <c r="GV52" s="19">
        <v>5262174606</v>
      </c>
      <c r="GW52" s="19">
        <v>3557477114</v>
      </c>
      <c r="GX52" s="19">
        <v>209166790</v>
      </c>
      <c r="GY52" s="19">
        <v>1010006516</v>
      </c>
      <c r="GZ52" s="19">
        <f>678729410+2218900+51571411</f>
        <v>732519721</v>
      </c>
      <c r="HA52" s="19" t="s">
        <v>172</v>
      </c>
      <c r="HB52" s="19">
        <v>441386947</v>
      </c>
      <c r="HC52" s="19">
        <v>194930714</v>
      </c>
      <c r="HD52" s="19">
        <v>239994238</v>
      </c>
      <c r="HE52" s="19" t="s">
        <v>172</v>
      </c>
      <c r="HF52" s="19">
        <f>5475053300+23238730+418367238</f>
        <v>5916659268</v>
      </c>
      <c r="HG52" s="19">
        <f>184303980+16709495+17395990</f>
        <v>218409465</v>
      </c>
      <c r="HH52" s="19" t="s">
        <v>172</v>
      </c>
      <c r="HI52" s="19">
        <f>1060367787+129270305</f>
        <v>1189638092</v>
      </c>
      <c r="HJ52" s="19" t="s">
        <v>172</v>
      </c>
      <c r="HK52" s="19">
        <f>229949992+732245395+450000+74587997+17602787</f>
        <v>1054836171</v>
      </c>
      <c r="HL52" s="19">
        <f>125100000+490000+8688581</f>
        <v>134278581</v>
      </c>
      <c r="HM52" s="19">
        <f>411499420+10419924+19096</f>
        <v>421938440</v>
      </c>
      <c r="HN52" s="19">
        <f>116953880+8781740</f>
        <v>125735620</v>
      </c>
      <c r="HO52" s="19">
        <f>185381860+352130624+79528252+300000</f>
        <v>617340736</v>
      </c>
      <c r="HP52" s="19">
        <f>763053810+791745502+117843935</f>
        <v>1672643247</v>
      </c>
      <c r="HQ52" s="19">
        <f>1826032661+8074000+45290667+42642526</f>
        <v>1922039854</v>
      </c>
      <c r="HR52" s="19">
        <f>3857070424+8160187+257905805</f>
        <v>4123136416</v>
      </c>
      <c r="HS52" s="19">
        <f>46452631+212375845+13172249+18001309</f>
        <v>290002034</v>
      </c>
      <c r="HT52" s="19">
        <f>150740000+8013752</f>
        <v>158753752</v>
      </c>
      <c r="HU52" s="19">
        <f>753861731+140097416</f>
        <v>893959147</v>
      </c>
      <c r="HV52" s="19">
        <f>90114562+9268560+5878331</f>
        <v>105261453</v>
      </c>
      <c r="HW52" s="19" t="s">
        <v>172</v>
      </c>
      <c r="HX52" s="19">
        <f>49245578+55463953</f>
        <v>104709531</v>
      </c>
      <c r="HY52" s="19" t="s">
        <v>172</v>
      </c>
      <c r="HZ52" s="19">
        <f>87837500+254714603+21242752</f>
        <v>363794855</v>
      </c>
      <c r="IA52" s="19">
        <f>154536520+4832370+12618936+3800000</f>
        <v>175787826</v>
      </c>
      <c r="IB52" s="19">
        <f>357593525+44965252</f>
        <v>402558777</v>
      </c>
      <c r="IC52" s="19">
        <f>4715612120+7569607+639351690</f>
        <v>5362533417</v>
      </c>
      <c r="ID52" s="19">
        <f>255963520+10450000+5439260+5099372</f>
        <v>276952152</v>
      </c>
      <c r="IE52" s="19" t="s">
        <v>172</v>
      </c>
      <c r="IF52" s="19">
        <f>41986130+1959644</f>
        <v>43945774</v>
      </c>
      <c r="IG52" s="19">
        <f>116031680+1000000+2876880</f>
        <v>119908560</v>
      </c>
      <c r="IH52" s="19">
        <f>286652410+19983381</f>
        <v>306635791</v>
      </c>
      <c r="II52" s="19">
        <v>86523405</v>
      </c>
      <c r="IJ52" s="19">
        <f>458585487+40982061</f>
        <v>499567548</v>
      </c>
      <c r="IK52" s="19">
        <f>210817676+13199829</f>
        <v>224017505</v>
      </c>
      <c r="IL52" s="19">
        <f>202559236+100000+4690250</f>
        <v>207349486</v>
      </c>
      <c r="IM52" s="19">
        <f>1461548612+1587635+71620917</f>
        <v>1534757164</v>
      </c>
      <c r="IN52" s="19">
        <f>1243596254+11200000+85101620+25981626</f>
        <v>1365879500</v>
      </c>
      <c r="IO52" s="19">
        <f>94800000+328983728+13429192+6007515</f>
        <v>443220435</v>
      </c>
      <c r="IP52" s="19">
        <f>523680030+38780795</f>
        <v>562460825</v>
      </c>
      <c r="IQ52" s="19">
        <f>256277833+21865945</f>
        <v>278143778</v>
      </c>
      <c r="IR52" s="19">
        <f>830038440+41462267</f>
        <v>871500707</v>
      </c>
      <c r="IS52" s="19">
        <f>178399833+30054000</f>
        <v>208453833</v>
      </c>
      <c r="IT52" s="19">
        <f>58013820+232325944+22181302</f>
        <v>312521066</v>
      </c>
      <c r="IU52" s="19">
        <f>6632231630+526792611</f>
        <v>7159024241</v>
      </c>
      <c r="IV52" s="19">
        <f>1399419190+99273200</f>
        <v>1498692390</v>
      </c>
      <c r="IW52" s="19">
        <f>651730825+11562812</f>
        <v>663293637</v>
      </c>
      <c r="IX52" s="19">
        <f>361967400+347044060+18013260+56333672</f>
        <v>783358392</v>
      </c>
      <c r="IY52" s="19">
        <f>259888335+3800000</f>
        <v>263688335</v>
      </c>
      <c r="IZ52" s="19">
        <f>298071810+155720</f>
        <v>298227530</v>
      </c>
      <c r="JA52" s="19">
        <f>611073338+68696902+92787938</f>
        <v>772558178</v>
      </c>
      <c r="JB52" s="19">
        <f>169348379+2857037</f>
        <v>172205416</v>
      </c>
      <c r="JC52" s="19">
        <v>67892520</v>
      </c>
      <c r="JD52" s="19">
        <f>55646550+207739775+32000000+23331876</f>
        <v>318718201</v>
      </c>
      <c r="JE52" s="19">
        <f>79562640+5200000+1465800</f>
        <v>86228440</v>
      </c>
      <c r="JF52" s="19">
        <v>737793620</v>
      </c>
      <c r="JG52" s="19">
        <f>5040000+62124000</f>
        <v>67164000</v>
      </c>
      <c r="JH52" s="19">
        <f>22400000+99847322+6785550</f>
        <v>129032872</v>
      </c>
      <c r="JI52" s="19">
        <f>43500000+72000000+2471170</f>
        <v>117971170</v>
      </c>
      <c r="JJ52" s="19">
        <f>59817408</f>
        <v>59817408</v>
      </c>
      <c r="JK52" s="19">
        <f>39600000+27127196+300000+5976345+8890698</f>
        <v>81894239</v>
      </c>
      <c r="JL52" s="19">
        <f>4288342610+41990720+348325724</f>
        <v>4678659054</v>
      </c>
      <c r="JM52" s="19">
        <v>264633708</v>
      </c>
      <c r="JN52" s="19">
        <f>117360000+18632858</f>
        <v>135992858</v>
      </c>
      <c r="JO52" s="19">
        <f>24493510+157481780+900000+2405479</f>
        <v>185280769</v>
      </c>
      <c r="JP52" s="19"/>
      <c r="JQ52" s="19" t="s">
        <v>175</v>
      </c>
      <c r="JR52" s="19">
        <f>455199988+16580240</f>
        <v>471780228</v>
      </c>
      <c r="JS52" s="19">
        <f>116650560+155871888+3714000+21663057</f>
        <v>297899505</v>
      </c>
      <c r="JT52" s="19">
        <f>111593962+5960448</f>
        <v>117554410</v>
      </c>
      <c r="JU52" s="19">
        <v>192702075</v>
      </c>
      <c r="JV52" s="19">
        <f>3139467764+7144661+269105703</f>
        <v>3415718128</v>
      </c>
      <c r="JW52" s="19">
        <f>770573930+80217060</f>
        <v>850790990</v>
      </c>
      <c r="JX52" s="19">
        <f>5870128924+464916207</f>
        <v>6335045131</v>
      </c>
      <c r="JY52" s="19">
        <f>3886817225+51704290+21760000+292729101</f>
        <v>4253010616</v>
      </c>
      <c r="JZ52" s="19">
        <v>7455785</v>
      </c>
      <c r="KA52" s="19">
        <f>307262916+84202485+2022470</f>
        <v>393487871</v>
      </c>
      <c r="KB52" s="19">
        <f>204000000+134105596+20969010+9035646</f>
        <v>368110252</v>
      </c>
      <c r="KC52" s="19">
        <f>79200000+137185874+1500000+4207738</f>
        <v>222093612</v>
      </c>
      <c r="KD52" s="19">
        <f>898891811+248096806</f>
        <v>1146988617</v>
      </c>
      <c r="KE52" s="19">
        <v>22000000</v>
      </c>
      <c r="KF52" s="19">
        <f>419520861+26015450+3330752</f>
        <v>448867063</v>
      </c>
      <c r="KG52" s="19">
        <v>155723121</v>
      </c>
      <c r="KH52" s="19">
        <v>170881216</v>
      </c>
      <c r="KI52" s="19">
        <f>85821000+500000+6521966</f>
        <v>92842966</v>
      </c>
      <c r="KJ52" s="19">
        <f>672367080+14760000+49259397+39370420+2064770+13561030+6141190+535765290+34605627+25881850+2140170+91639350+6338687</f>
        <v>1493894861</v>
      </c>
      <c r="KK52" s="19">
        <f>117600000+322680282+2500000+17910602</f>
        <v>460690884</v>
      </c>
      <c r="KL52" s="19">
        <f>3759439000+318575000</f>
        <v>4078014000</v>
      </c>
      <c r="KM52" s="19">
        <f>511803517+11710361</f>
        <v>523513878</v>
      </c>
      <c r="KN52" s="19">
        <f>1441993007+12391013+171827649</f>
        <v>1626211669</v>
      </c>
      <c r="KO52" s="19">
        <f>501811781+45477577</f>
        <v>547289358</v>
      </c>
      <c r="KP52" s="19">
        <f>2544201561+18044720+5327659+204198073+238092330</f>
        <v>3009864343</v>
      </c>
      <c r="KQ52" s="19">
        <f>30200000</f>
        <v>30200000</v>
      </c>
      <c r="KR52" s="19">
        <f>36000000+190463026+2742000</f>
        <v>229205026</v>
      </c>
      <c r="KS52" s="19">
        <f>53100000+55951611+1900000+4341663</f>
        <v>115293274</v>
      </c>
      <c r="KT52" s="19">
        <f>167127962+11194734</f>
        <v>178322696</v>
      </c>
      <c r="KU52" s="19">
        <f>238145064+12500000+2520000+8703483</f>
        <v>261868547</v>
      </c>
      <c r="KV52" s="19">
        <f>153091562+2400000+3762931</f>
        <v>159254493</v>
      </c>
      <c r="KW52" s="19">
        <f>250340280</f>
        <v>250340280</v>
      </c>
      <c r="KX52" s="19">
        <f>15335484</f>
        <v>15335484</v>
      </c>
      <c r="KY52" s="19">
        <v>313626834</v>
      </c>
      <c r="KZ52" s="58">
        <f>45946560</f>
        <v>45946560</v>
      </c>
      <c r="LA52" s="70">
        <v>21939625</v>
      </c>
      <c r="LB52" s="70">
        <v>92065147</v>
      </c>
    </row>
    <row r="53" spans="1:314">
      <c r="A53" s="9" t="s">
        <v>103</v>
      </c>
      <c r="B53" s="15" t="s">
        <v>35</v>
      </c>
      <c r="C53" s="19"/>
      <c r="D53" s="19">
        <v>-594599000</v>
      </c>
      <c r="E53" s="19"/>
      <c r="F53" s="19"/>
      <c r="G53" s="19" t="s">
        <v>130</v>
      </c>
      <c r="H53" s="19"/>
      <c r="I53" s="19">
        <v>-100756810</v>
      </c>
      <c r="J53" s="19" t="s">
        <v>176</v>
      </c>
      <c r="K53" s="19"/>
      <c r="L53" s="19" t="s">
        <v>96</v>
      </c>
      <c r="M53" s="19" t="s">
        <v>96</v>
      </c>
      <c r="N53" s="19"/>
      <c r="O53" s="19"/>
      <c r="P53" s="19"/>
      <c r="Q53" s="19">
        <v>-1184620</v>
      </c>
      <c r="R53" s="19"/>
      <c r="S53" s="19"/>
      <c r="T53" s="19" t="s">
        <v>96</v>
      </c>
      <c r="U53" s="19" t="s">
        <v>96</v>
      </c>
      <c r="V53" s="19" t="s">
        <v>172</v>
      </c>
      <c r="W53" s="19">
        <v>-389880</v>
      </c>
      <c r="X53" s="19"/>
      <c r="Y53" s="19">
        <v>-49529710</v>
      </c>
      <c r="Z53" s="19"/>
      <c r="AA53" s="19"/>
      <c r="AB53" s="19"/>
      <c r="AC53" s="19"/>
      <c r="AD53" s="19"/>
      <c r="AE53" s="19"/>
      <c r="AF53" s="56" t="s">
        <v>172</v>
      </c>
      <c r="AG53" s="19"/>
      <c r="AH53" s="19" t="s">
        <v>167</v>
      </c>
      <c r="AI53" s="19"/>
      <c r="AJ53" s="19">
        <v>-1783600</v>
      </c>
      <c r="AK53" s="19"/>
      <c r="AL53" s="19"/>
      <c r="AM53" s="19" t="s">
        <v>4</v>
      </c>
      <c r="AN53" s="19"/>
      <c r="AO53" s="19"/>
      <c r="AP53" s="19"/>
      <c r="AQ53" s="19" t="s">
        <v>172</v>
      </c>
      <c r="AR53" s="19"/>
      <c r="AS53" s="19">
        <v>-46320400</v>
      </c>
      <c r="AT53" s="19" t="s">
        <v>172</v>
      </c>
      <c r="AU53" s="19"/>
      <c r="AV53" s="19"/>
      <c r="AW53" s="19">
        <f>-9644000-21600000</f>
        <v>-31244000</v>
      </c>
      <c r="AX53" s="19" t="s">
        <v>4</v>
      </c>
      <c r="AY53" s="19"/>
      <c r="AZ53" s="19"/>
      <c r="BA53" s="19" t="s">
        <v>167</v>
      </c>
      <c r="BB53" s="19"/>
      <c r="BC53" s="19" t="s">
        <v>4</v>
      </c>
      <c r="BD53" s="19" t="s">
        <v>172</v>
      </c>
      <c r="BE53" s="19"/>
      <c r="BF53" s="19" t="s">
        <v>96</v>
      </c>
      <c r="BG53" s="19"/>
      <c r="BH53" s="19">
        <f>-16875000-1209600</f>
        <v>-18084600</v>
      </c>
      <c r="BI53" s="19"/>
      <c r="BJ53" s="19">
        <v>-120000</v>
      </c>
      <c r="BK53" s="19"/>
      <c r="BL53" s="19"/>
      <c r="BM53" s="19">
        <v>-44100000</v>
      </c>
      <c r="BN53" s="19"/>
      <c r="BO53" s="19" t="s">
        <v>96</v>
      </c>
      <c r="BP53" s="19" t="s">
        <v>96</v>
      </c>
      <c r="BQ53" s="19" t="s">
        <v>175</v>
      </c>
      <c r="BR53" s="19">
        <v>-22622690</v>
      </c>
      <c r="BS53" s="19" t="s">
        <v>172</v>
      </c>
      <c r="BT53" s="19"/>
      <c r="BU53" s="19"/>
      <c r="BV53" s="19"/>
      <c r="BW53" s="19">
        <v>-198328751</v>
      </c>
      <c r="BX53" s="19">
        <v>-16828380</v>
      </c>
      <c r="BY53" s="19">
        <f>-27117720-16374160</f>
        <v>-43491880</v>
      </c>
      <c r="BZ53" s="19"/>
      <c r="CA53" s="19">
        <v>-79430730</v>
      </c>
      <c r="CB53" s="19">
        <f>-60000-6867230-12550000</f>
        <v>-19477230</v>
      </c>
      <c r="CC53" s="19">
        <v>-2825000</v>
      </c>
      <c r="CD53" s="19"/>
      <c r="CE53" s="19" t="s">
        <v>172</v>
      </c>
      <c r="CF53" s="19"/>
      <c r="CG53" s="19"/>
      <c r="CH53" s="19">
        <v>-56556960</v>
      </c>
      <c r="CI53" s="19" t="s">
        <v>172</v>
      </c>
      <c r="CJ53" s="19"/>
      <c r="CK53" s="19">
        <f>-35419340-500000-700000-74639000-18754830-61626640-1715800-3625000</f>
        <v>-196980610</v>
      </c>
      <c r="CL53" s="19"/>
      <c r="CM53" s="19">
        <v>-161466820</v>
      </c>
      <c r="CN53" s="19"/>
      <c r="CO53" s="19"/>
      <c r="CP53" s="19">
        <v>-57194200</v>
      </c>
      <c r="CQ53" s="19" t="s">
        <v>96</v>
      </c>
      <c r="CR53" s="19"/>
      <c r="CS53" s="56" t="s">
        <v>172</v>
      </c>
      <c r="CT53" s="19"/>
      <c r="CU53" s="19"/>
      <c r="CV53" s="19"/>
      <c r="CW53" s="19">
        <v>-16012530</v>
      </c>
      <c r="CX53" s="19">
        <v>-7100000</v>
      </c>
      <c r="CY53" s="19" t="s">
        <v>96</v>
      </c>
      <c r="CZ53" s="19">
        <f>-12086640-2787000-7200000</f>
        <v>-22073640</v>
      </c>
      <c r="DA53" s="19" t="s">
        <v>175</v>
      </c>
      <c r="DB53" s="19">
        <f>-879970-628550</f>
        <v>-1508520</v>
      </c>
      <c r="DC53" s="19"/>
      <c r="DD53" s="19"/>
      <c r="DE53" s="19"/>
      <c r="DF53" s="19">
        <f>-74000-6500000</f>
        <v>-6574000</v>
      </c>
      <c r="DG53" s="19">
        <v>-315404088</v>
      </c>
      <c r="DH53" s="19"/>
      <c r="DI53" s="19"/>
      <c r="DJ53" s="19">
        <f>-7600000-6600000</f>
        <v>-14200000</v>
      </c>
      <c r="DK53" s="19">
        <f>-590000-24925000</f>
        <v>-25515000</v>
      </c>
      <c r="DL53" s="19"/>
      <c r="DM53" s="19"/>
      <c r="DN53" s="19"/>
      <c r="DO53" s="19">
        <f>-20867770</f>
        <v>-20867770</v>
      </c>
      <c r="DP53" s="19"/>
      <c r="DQ53" s="19"/>
      <c r="DR53" s="19">
        <v>-28071250</v>
      </c>
      <c r="DS53" s="19"/>
      <c r="DT53" s="19">
        <f>-10766120-12913140</f>
        <v>-23679260</v>
      </c>
      <c r="DU53" s="19">
        <v>-237196000</v>
      </c>
      <c r="DV53" s="19"/>
      <c r="DW53" s="19"/>
      <c r="DX53" s="19"/>
      <c r="DY53" s="19"/>
      <c r="DZ53" s="19"/>
      <c r="EA53" s="19"/>
      <c r="EB53" s="19">
        <v>-128479240</v>
      </c>
      <c r="EC53" s="19"/>
      <c r="ED53" s="19"/>
      <c r="EE53" s="19"/>
      <c r="EF53" s="19"/>
      <c r="EG53" s="19"/>
      <c r="EH53" s="19"/>
      <c r="EI53" s="19"/>
      <c r="EJ53" s="19"/>
      <c r="EK53" s="19">
        <f>-2400000-95388700</f>
        <v>-97788700</v>
      </c>
      <c r="EL53" s="19"/>
      <c r="EM53" s="19"/>
      <c r="EN53" s="19">
        <v>-65057270</v>
      </c>
      <c r="EO53" s="19"/>
      <c r="EP53" s="19"/>
      <c r="EQ53" s="19"/>
      <c r="ER53" s="19"/>
      <c r="ES53" s="19"/>
      <c r="ET53" s="19"/>
      <c r="EU53" s="19"/>
      <c r="EV53" s="19"/>
      <c r="EW53" s="19"/>
      <c r="EX53" s="19">
        <f>-6043320-4549980</f>
        <v>-10593300</v>
      </c>
      <c r="EY53" s="19">
        <v>-84040940</v>
      </c>
      <c r="EZ53" s="19"/>
      <c r="FA53" s="19"/>
      <c r="FB53" s="19">
        <v>-12422680</v>
      </c>
      <c r="FC53" s="19"/>
      <c r="FD53" s="19">
        <v>-18000000</v>
      </c>
      <c r="FE53" s="19"/>
      <c r="FF53" s="19">
        <v>-9594700</v>
      </c>
      <c r="FG53" s="19" t="s">
        <v>172</v>
      </c>
      <c r="FH53" s="19"/>
      <c r="FI53" s="19" t="s">
        <v>172</v>
      </c>
      <c r="FJ53" s="19">
        <v>-30000000</v>
      </c>
      <c r="FK53" s="19">
        <v>-160345038</v>
      </c>
      <c r="FL53" s="19"/>
      <c r="FM53" s="19"/>
      <c r="FN53" s="19"/>
      <c r="FO53" s="56" t="s">
        <v>172</v>
      </c>
      <c r="FP53" s="19"/>
      <c r="FQ53" s="19"/>
      <c r="FR53" s="19"/>
      <c r="FS53" s="19"/>
      <c r="FT53" s="19"/>
      <c r="FU53" s="19"/>
      <c r="FV53" s="19" t="s">
        <v>172</v>
      </c>
      <c r="FW53" s="19"/>
      <c r="FX53" s="19"/>
      <c r="FY53" s="19" t="s">
        <v>172</v>
      </c>
      <c r="FZ53" s="19" t="s">
        <v>175</v>
      </c>
      <c r="GA53" s="19">
        <v>-87286736</v>
      </c>
      <c r="GB53" s="19"/>
      <c r="GC53" s="19">
        <v>-23706410</v>
      </c>
      <c r="GD53" s="19" t="s">
        <v>172</v>
      </c>
      <c r="GE53" s="19" t="s">
        <v>172</v>
      </c>
      <c r="GF53" s="19"/>
      <c r="GG53" s="19"/>
      <c r="GH53" s="19" t="s">
        <v>172</v>
      </c>
      <c r="GI53" s="19"/>
      <c r="GJ53" s="19" t="s">
        <v>172</v>
      </c>
      <c r="GK53" s="19"/>
      <c r="GL53" s="19" t="s">
        <v>172</v>
      </c>
      <c r="GM53" s="19"/>
      <c r="GN53" s="19"/>
      <c r="GO53" s="19" t="s">
        <v>172</v>
      </c>
      <c r="GP53" s="19"/>
      <c r="GQ53" s="19"/>
      <c r="GR53" s="19"/>
      <c r="GS53" s="19"/>
      <c r="GT53" s="19"/>
      <c r="GU53" s="19"/>
      <c r="GV53" s="19">
        <v>-22453210</v>
      </c>
      <c r="GW53" s="19"/>
      <c r="GX53" s="19">
        <v>-53650640</v>
      </c>
      <c r="GY53" s="19"/>
      <c r="GZ53" s="19">
        <v>-84326750</v>
      </c>
      <c r="HA53" s="19" t="s">
        <v>172</v>
      </c>
      <c r="HB53" s="19"/>
      <c r="HC53" s="19"/>
      <c r="HD53" s="19"/>
      <c r="HE53" s="19" t="s">
        <v>172</v>
      </c>
      <c r="HF53" s="19"/>
      <c r="HG53" s="19"/>
      <c r="HH53" s="19" t="s">
        <v>172</v>
      </c>
      <c r="HI53" s="19"/>
      <c r="HJ53" s="19" t="s">
        <v>172</v>
      </c>
      <c r="HK53" s="19"/>
      <c r="HL53" s="19"/>
      <c r="HM53" s="19"/>
      <c r="HN53" s="19"/>
      <c r="HO53" s="19">
        <f>-1200000-16200000-5700000</f>
        <v>-23100000</v>
      </c>
      <c r="HP53" s="19">
        <f>-35290520-2706920-930981013</f>
        <v>-968978453</v>
      </c>
      <c r="HQ53" s="19">
        <f>-316627040-52583670-9500000-32400000</f>
        <v>-411110710</v>
      </c>
      <c r="HR53" s="19">
        <f>-3163102489-184128680</f>
        <v>-3347231169</v>
      </c>
      <c r="HS53" s="19">
        <v>-9785330</v>
      </c>
      <c r="HT53" s="19"/>
      <c r="HU53" s="19"/>
      <c r="HV53" s="19"/>
      <c r="HW53" s="19" t="s">
        <v>172</v>
      </c>
      <c r="HX53" s="19"/>
      <c r="HY53" s="19" t="s">
        <v>172</v>
      </c>
      <c r="HZ53" s="19">
        <f>-11658910-41743870</f>
        <v>-53402780</v>
      </c>
      <c r="IA53" s="19">
        <f>-48594890-24740180-15187500</f>
        <v>-88522570</v>
      </c>
      <c r="IB53" s="19"/>
      <c r="IC53" s="19">
        <f>-482907048-38601360-41862400</f>
        <v>-563370808</v>
      </c>
      <c r="ID53" s="19"/>
      <c r="IE53" s="19" t="s">
        <v>172</v>
      </c>
      <c r="IF53" s="19"/>
      <c r="IG53" s="19">
        <v>-42589960</v>
      </c>
      <c r="IH53" s="19"/>
      <c r="II53" s="19"/>
      <c r="IJ53" s="19"/>
      <c r="IK53" s="19"/>
      <c r="IL53" s="19">
        <v>-34933600</v>
      </c>
      <c r="IM53" s="19"/>
      <c r="IN53" s="19"/>
      <c r="IO53" s="19">
        <f>-49430470-89989100</f>
        <v>-139419570</v>
      </c>
      <c r="IP53" s="19">
        <v>-15731860</v>
      </c>
      <c r="IQ53" s="19"/>
      <c r="IR53" s="19"/>
      <c r="IS53" s="19"/>
      <c r="IT53" s="19">
        <v>-1050000</v>
      </c>
      <c r="IU53" s="19">
        <v>-22074520</v>
      </c>
      <c r="IV53" s="19"/>
      <c r="IW53" s="19"/>
      <c r="IX53" s="19">
        <f>-111141740-55661940</f>
        <v>-166803680</v>
      </c>
      <c r="IY53" s="19"/>
      <c r="IZ53" s="19"/>
      <c r="JA53" s="19"/>
      <c r="JB53" s="19"/>
      <c r="JC53" s="19"/>
      <c r="JD53" s="19">
        <f>-25426500-22250000-55061300-774190</f>
        <v>-103511990</v>
      </c>
      <c r="JE53" s="19"/>
      <c r="JF53" s="19"/>
      <c r="JG53" s="19">
        <v>-30125360</v>
      </c>
      <c r="JH53" s="19">
        <v>-18599330</v>
      </c>
      <c r="JI53" s="19"/>
      <c r="JJ53" s="19">
        <v>-32674500</v>
      </c>
      <c r="JK53" s="19"/>
      <c r="JL53" s="19">
        <f>-34960000-9450000</f>
        <v>-44410000</v>
      </c>
      <c r="JM53" s="19"/>
      <c r="JN53" s="19"/>
      <c r="JO53" s="19"/>
      <c r="JP53" s="19"/>
      <c r="JQ53" s="19" t="s">
        <v>175</v>
      </c>
      <c r="JR53" s="19"/>
      <c r="JS53" s="19">
        <f>-2800000-1386000-58144000</f>
        <v>-62330000</v>
      </c>
      <c r="JT53" s="19"/>
      <c r="JU53" s="19"/>
      <c r="JV53" s="19">
        <f>-4464600-17735510</f>
        <v>-22200110</v>
      </c>
      <c r="JW53" s="19"/>
      <c r="JX53" s="19"/>
      <c r="JY53" s="19"/>
      <c r="JZ53" s="19"/>
      <c r="KA53" s="19"/>
      <c r="KB53" s="19"/>
      <c r="KC53" s="19">
        <f>-24000000-24900000-11550000-8159732-23365161</f>
        <v>-91974893</v>
      </c>
      <c r="KD53" s="19"/>
      <c r="KE53" s="19"/>
      <c r="KF53" s="19"/>
      <c r="KG53" s="19"/>
      <c r="KH53" s="19"/>
      <c r="KI53" s="19">
        <v>-34111000</v>
      </c>
      <c r="KJ53" s="19">
        <f>-4458820-15630960</f>
        <v>-20089780</v>
      </c>
      <c r="KK53" s="19"/>
      <c r="KL53" s="19"/>
      <c r="KM53" s="19">
        <v>-18000000</v>
      </c>
      <c r="KN53" s="19"/>
      <c r="KO53" s="19"/>
      <c r="KP53" s="19">
        <f>-12375600-12237390+318710-10538980</f>
        <v>-34833260</v>
      </c>
      <c r="KQ53" s="19"/>
      <c r="KR53" s="19">
        <f>-4819350-156000-21251600-19922580-19933870-1156920</f>
        <v>-67240320</v>
      </c>
      <c r="KS53" s="19"/>
      <c r="KT53" s="19">
        <v>-44246980</v>
      </c>
      <c r="KU53" s="19"/>
      <c r="KV53" s="19">
        <f>-3614190-18500000-39745890-8117950-5651360-26400000</f>
        <v>-102029390</v>
      </c>
      <c r="KW53" s="19">
        <v>-115253060</v>
      </c>
      <c r="KX53" s="19"/>
      <c r="KY53" s="19"/>
      <c r="KZ53" s="58"/>
      <c r="LA53" s="70">
        <v>-16000000</v>
      </c>
      <c r="LB53" s="70">
        <v>-42123230</v>
      </c>
    </row>
    <row r="54" spans="1:314">
      <c r="A54" s="9" t="s">
        <v>103</v>
      </c>
      <c r="B54" s="15" t="s">
        <v>73</v>
      </c>
      <c r="C54" s="19">
        <f>2792446+14200000</f>
        <v>16992446</v>
      </c>
      <c r="D54" s="19">
        <v>9623509</v>
      </c>
      <c r="E54" s="19">
        <v>38533073</v>
      </c>
      <c r="F54" s="19">
        <v>54339394</v>
      </c>
      <c r="G54" s="19" t="s">
        <v>130</v>
      </c>
      <c r="H54" s="19"/>
      <c r="I54" s="19">
        <f>117359049+42460000</f>
        <v>159819049</v>
      </c>
      <c r="J54" s="19" t="s">
        <v>176</v>
      </c>
      <c r="K54" s="19">
        <f>37507171+106800</f>
        <v>37613971</v>
      </c>
      <c r="L54" s="19" t="s">
        <v>96</v>
      </c>
      <c r="M54" s="19" t="s">
        <v>96</v>
      </c>
      <c r="N54" s="19">
        <f>992040+29450693</f>
        <v>30442733</v>
      </c>
      <c r="O54" s="19">
        <v>409441502</v>
      </c>
      <c r="P54" s="19">
        <f>264901249</f>
        <v>264901249</v>
      </c>
      <c r="Q54" s="19">
        <f>1678646+9567488</f>
        <v>11246134</v>
      </c>
      <c r="R54" s="19">
        <f>520000+677589</f>
        <v>1197589</v>
      </c>
      <c r="S54" s="19">
        <f>476190351+33535732</f>
        <v>509726083</v>
      </c>
      <c r="T54" s="19" t="s">
        <v>96</v>
      </c>
      <c r="U54" s="19" t="s">
        <v>96</v>
      </c>
      <c r="V54" s="19" t="s">
        <v>172</v>
      </c>
      <c r="W54" s="19"/>
      <c r="X54" s="19">
        <v>56010468</v>
      </c>
      <c r="Y54" s="19"/>
      <c r="Z54" s="19">
        <f>30240419</f>
        <v>30240419</v>
      </c>
      <c r="AA54" s="19">
        <f>34068280+96861</f>
        <v>34165141</v>
      </c>
      <c r="AB54" s="19">
        <v>4031309</v>
      </c>
      <c r="AC54" s="19">
        <f>25560723</f>
        <v>25560723</v>
      </c>
      <c r="AD54" s="19">
        <f>1490014+19500</f>
        <v>1509514</v>
      </c>
      <c r="AE54" s="19">
        <v>71452500</v>
      </c>
      <c r="AF54" s="56" t="s">
        <v>172</v>
      </c>
      <c r="AG54" s="19"/>
      <c r="AH54" s="19" t="s">
        <v>167</v>
      </c>
      <c r="AI54" s="19"/>
      <c r="AJ54" s="19">
        <v>230193</v>
      </c>
      <c r="AK54" s="19">
        <v>6401013</v>
      </c>
      <c r="AL54" s="19">
        <f>17158879+10524000</f>
        <v>27682879</v>
      </c>
      <c r="AM54" s="19" t="s">
        <v>4</v>
      </c>
      <c r="AN54" s="19">
        <f>51200101+10991532</f>
        <v>62191633</v>
      </c>
      <c r="AO54" s="19">
        <f>12046524+30538315</f>
        <v>42584839</v>
      </c>
      <c r="AP54" s="19">
        <f>2145945+76162</f>
        <v>2222107</v>
      </c>
      <c r="AQ54" s="19" t="s">
        <v>172</v>
      </c>
      <c r="AR54" s="19">
        <f>114561128+11757629</f>
        <v>126318757</v>
      </c>
      <c r="AS54" s="19"/>
      <c r="AT54" s="19" t="s">
        <v>172</v>
      </c>
      <c r="AU54" s="19">
        <v>54902323</v>
      </c>
      <c r="AV54" s="19">
        <v>16787150</v>
      </c>
      <c r="AW54" s="19">
        <v>22795481</v>
      </c>
      <c r="AX54" s="19" t="s">
        <v>4</v>
      </c>
      <c r="AY54" s="19">
        <f>6571759</f>
        <v>6571759</v>
      </c>
      <c r="AZ54" s="19">
        <v>10719034</v>
      </c>
      <c r="BA54" s="19" t="s">
        <v>167</v>
      </c>
      <c r="BB54" s="19"/>
      <c r="BC54" s="19" t="s">
        <v>4</v>
      </c>
      <c r="BD54" s="19" t="s">
        <v>172</v>
      </c>
      <c r="BE54" s="19">
        <f>21757001+6521468</f>
        <v>28278469</v>
      </c>
      <c r="BF54" s="19" t="s">
        <v>96</v>
      </c>
      <c r="BG54" s="19">
        <f>7281200+5964711</f>
        <v>13245911</v>
      </c>
      <c r="BH54" s="19">
        <f>5662934</f>
        <v>5662934</v>
      </c>
      <c r="BI54" s="19">
        <f>14613530+455124</f>
        <v>15068654</v>
      </c>
      <c r="BJ54" s="19"/>
      <c r="BK54" s="19">
        <f>15994569+15877241</f>
        <v>31871810</v>
      </c>
      <c r="BL54" s="19"/>
      <c r="BM54" s="19"/>
      <c r="BN54" s="19">
        <f>7033455+251936</f>
        <v>7285391</v>
      </c>
      <c r="BO54" s="19" t="s">
        <v>96</v>
      </c>
      <c r="BP54" s="19" t="s">
        <v>96</v>
      </c>
      <c r="BQ54" s="19" t="s">
        <v>175</v>
      </c>
      <c r="BR54" s="19">
        <f>257084133+3300360</f>
        <v>260384493</v>
      </c>
      <c r="BS54" s="19" t="s">
        <v>172</v>
      </c>
      <c r="BT54" s="19">
        <v>2049188</v>
      </c>
      <c r="BU54" s="19"/>
      <c r="BV54" s="19"/>
      <c r="BW54" s="19">
        <v>1502657</v>
      </c>
      <c r="BX54" s="19"/>
      <c r="BY54" s="19">
        <f>3848233+15924675</f>
        <v>19772908</v>
      </c>
      <c r="BZ54" s="19">
        <f>5423746+277200</f>
        <v>5700946</v>
      </c>
      <c r="CA54" s="19">
        <v>65112589</v>
      </c>
      <c r="CB54" s="19">
        <v>36819813</v>
      </c>
      <c r="CC54" s="19"/>
      <c r="CD54" s="19"/>
      <c r="CE54" s="19" t="s">
        <v>172</v>
      </c>
      <c r="CF54" s="19">
        <f>536961</f>
        <v>536961</v>
      </c>
      <c r="CG54" s="19">
        <f>7745285</f>
        <v>7745285</v>
      </c>
      <c r="CH54" s="19">
        <f>5449762+1280972</f>
        <v>6730734</v>
      </c>
      <c r="CI54" s="19" t="s">
        <v>172</v>
      </c>
      <c r="CJ54" s="19"/>
      <c r="CK54" s="19">
        <v>10415615</v>
      </c>
      <c r="CL54" s="19"/>
      <c r="CM54" s="19">
        <v>86076234</v>
      </c>
      <c r="CN54" s="19">
        <v>2264288</v>
      </c>
      <c r="CO54" s="19">
        <f>14768665+2000000</f>
        <v>16768665</v>
      </c>
      <c r="CP54" s="19">
        <v>15826969</v>
      </c>
      <c r="CQ54" s="19" t="s">
        <v>96</v>
      </c>
      <c r="CR54" s="19"/>
      <c r="CS54" s="56" t="s">
        <v>172</v>
      </c>
      <c r="CT54" s="19">
        <f>249794402+2167667</f>
        <v>251962069</v>
      </c>
      <c r="CU54" s="19">
        <v>11177392</v>
      </c>
      <c r="CV54" s="19">
        <v>1000000</v>
      </c>
      <c r="CW54" s="19">
        <v>238234074</v>
      </c>
      <c r="CX54" s="19">
        <f>33398102+7009780</f>
        <v>40407882</v>
      </c>
      <c r="CY54" s="19" t="s">
        <v>96</v>
      </c>
      <c r="CZ54" s="19">
        <v>178113286</v>
      </c>
      <c r="DA54" s="19" t="s">
        <v>175</v>
      </c>
      <c r="DB54" s="19">
        <v>8615454</v>
      </c>
      <c r="DC54" s="19">
        <v>725348</v>
      </c>
      <c r="DD54" s="19">
        <v>15488660</v>
      </c>
      <c r="DE54" s="19"/>
      <c r="DF54" s="19">
        <v>623860</v>
      </c>
      <c r="DG54" s="19">
        <f>28202354+16593545</f>
        <v>44795899</v>
      </c>
      <c r="DH54" s="19">
        <f>549486</f>
        <v>549486</v>
      </c>
      <c r="DI54" s="19">
        <f>101883289+12631974</f>
        <v>114515263</v>
      </c>
      <c r="DJ54" s="19">
        <v>6322800</v>
      </c>
      <c r="DK54" s="19">
        <f>172423912+4005480</f>
        <v>176429392</v>
      </c>
      <c r="DL54" s="19">
        <f>6591330+10716054</f>
        <v>17307384</v>
      </c>
      <c r="DM54" s="19">
        <f>1778158</f>
        <v>1778158</v>
      </c>
      <c r="DN54" s="19">
        <f>34024238+20000</f>
        <v>34044238</v>
      </c>
      <c r="DO54" s="19"/>
      <c r="DP54" s="19">
        <f>4781334+359436</f>
        <v>5140770</v>
      </c>
      <c r="DQ54" s="19">
        <v>271098</v>
      </c>
      <c r="DR54" s="19"/>
      <c r="DS54" s="19"/>
      <c r="DT54" s="19">
        <f>118681391+40188322</f>
        <v>158869713</v>
      </c>
      <c r="DU54" s="19">
        <v>1000734</v>
      </c>
      <c r="DV54" s="19">
        <f>6956313+2088965</f>
        <v>9045278</v>
      </c>
      <c r="DW54" s="19">
        <f>14764434+3463525</f>
        <v>18227959</v>
      </c>
      <c r="DX54" s="19">
        <f>97986017+70220004</f>
        <v>168206021</v>
      </c>
      <c r="DY54" s="19">
        <v>10096080</v>
      </c>
      <c r="DZ54" s="19">
        <v>5493195</v>
      </c>
      <c r="EA54" s="19"/>
      <c r="EB54" s="19">
        <f>137443627+254824</f>
        <v>137698451</v>
      </c>
      <c r="EC54" s="19">
        <v>2604557</v>
      </c>
      <c r="ED54" s="19">
        <f>12067916+527082</f>
        <v>12594998</v>
      </c>
      <c r="EE54" s="19">
        <v>23401849</v>
      </c>
      <c r="EF54" s="19">
        <f>59689343+120000</f>
        <v>59809343</v>
      </c>
      <c r="EG54" s="19">
        <f>84697277+167949653</f>
        <v>252646930</v>
      </c>
      <c r="EH54" s="19">
        <f>70632963+1498908</f>
        <v>72131871</v>
      </c>
      <c r="EI54" s="19">
        <f>197666634+36329048</f>
        <v>233995682</v>
      </c>
      <c r="EJ54" s="19">
        <v>3474820</v>
      </c>
      <c r="EK54" s="19">
        <f>28636+26985000</f>
        <v>27013636</v>
      </c>
      <c r="EL54" s="19"/>
      <c r="EM54" s="19">
        <v>1339449</v>
      </c>
      <c r="EN54" s="19">
        <v>40202399</v>
      </c>
      <c r="EO54" s="19">
        <v>28731825</v>
      </c>
      <c r="EP54" s="19">
        <v>42335054</v>
      </c>
      <c r="EQ54" s="19"/>
      <c r="ER54" s="19">
        <f>63803250+1342000</f>
        <v>65145250</v>
      </c>
      <c r="ES54" s="19">
        <f>11648000+2659817</f>
        <v>14307817</v>
      </c>
      <c r="ET54" s="19">
        <v>106517049</v>
      </c>
      <c r="EU54" s="19">
        <v>20224344</v>
      </c>
      <c r="EV54" s="19">
        <v>734478</v>
      </c>
      <c r="EW54" s="19"/>
      <c r="EX54" s="19">
        <f>56332558+3715667</f>
        <v>60048225</v>
      </c>
      <c r="EY54" s="19">
        <v>151855568</v>
      </c>
      <c r="EZ54" s="19">
        <f>38834365</f>
        <v>38834365</v>
      </c>
      <c r="FA54" s="19"/>
      <c r="FB54" s="19">
        <f>45606629+3414735</f>
        <v>49021364</v>
      </c>
      <c r="FC54" s="19">
        <v>145029452</v>
      </c>
      <c r="FD54" s="19">
        <v>28934500</v>
      </c>
      <c r="FE54" s="19">
        <f>64003232+6209845</f>
        <v>70213077</v>
      </c>
      <c r="FF54" s="19"/>
      <c r="FG54" s="19" t="s">
        <v>172</v>
      </c>
      <c r="FH54" s="19">
        <f>811663+14740286</f>
        <v>15551949</v>
      </c>
      <c r="FI54" s="19" t="s">
        <v>172</v>
      </c>
      <c r="FJ54" s="19">
        <v>13689907</v>
      </c>
      <c r="FK54" s="19">
        <v>33470436</v>
      </c>
      <c r="FL54" s="19">
        <f>6268900+2853329</f>
        <v>9122229</v>
      </c>
      <c r="FM54" s="19"/>
      <c r="FN54" s="19">
        <f>50834249+57244319</f>
        <v>108078568</v>
      </c>
      <c r="FO54" s="56" t="s">
        <v>172</v>
      </c>
      <c r="FP54" s="19">
        <f>3480417+2342506</f>
        <v>5822923</v>
      </c>
      <c r="FQ54" s="19"/>
      <c r="FR54" s="19">
        <v>31462150</v>
      </c>
      <c r="FS54" s="19"/>
      <c r="FT54" s="19">
        <f>158693149+8345381</f>
        <v>167038530</v>
      </c>
      <c r="FU54" s="19"/>
      <c r="FV54" s="19" t="s">
        <v>172</v>
      </c>
      <c r="FW54" s="19">
        <f>829377+3600000</f>
        <v>4429377</v>
      </c>
      <c r="FX54" s="19">
        <f>1872314+27903287</f>
        <v>29775601</v>
      </c>
      <c r="FY54" s="19" t="s">
        <v>172</v>
      </c>
      <c r="FZ54" s="19" t="s">
        <v>175</v>
      </c>
      <c r="GA54" s="19">
        <f>105555438+3363728</f>
        <v>108919166</v>
      </c>
      <c r="GB54" s="19"/>
      <c r="GC54" s="19">
        <v>5851044</v>
      </c>
      <c r="GD54" s="19" t="s">
        <v>172</v>
      </c>
      <c r="GE54" s="19" t="s">
        <v>172</v>
      </c>
      <c r="GF54" s="19">
        <v>35818110</v>
      </c>
      <c r="GG54" s="19">
        <v>51623258</v>
      </c>
      <c r="GH54" s="19" t="s">
        <v>172</v>
      </c>
      <c r="GI54" s="19">
        <v>1061967</v>
      </c>
      <c r="GJ54" s="19" t="s">
        <v>172</v>
      </c>
      <c r="GK54" s="19">
        <v>23470356</v>
      </c>
      <c r="GL54" s="19" t="s">
        <v>172</v>
      </c>
      <c r="GM54" s="19"/>
      <c r="GN54" s="19"/>
      <c r="GO54" s="19" t="s">
        <v>172</v>
      </c>
      <c r="GP54" s="19">
        <v>18354107</v>
      </c>
      <c r="GQ54" s="19">
        <v>13346895</v>
      </c>
      <c r="GR54" s="19"/>
      <c r="GS54" s="19">
        <v>27216569</v>
      </c>
      <c r="GT54" s="19">
        <f>40911007</f>
        <v>40911007</v>
      </c>
      <c r="GU54" s="19"/>
      <c r="GV54" s="19">
        <v>129962656</v>
      </c>
      <c r="GW54" s="19">
        <v>350376224</v>
      </c>
      <c r="GX54" s="19">
        <v>22103667</v>
      </c>
      <c r="GY54" s="19">
        <v>6561956</v>
      </c>
      <c r="GZ54" s="19">
        <f>89912711+9232043</f>
        <v>99144754</v>
      </c>
      <c r="HA54" s="19" t="s">
        <v>172</v>
      </c>
      <c r="HB54" s="19">
        <v>6937857</v>
      </c>
      <c r="HC54" s="19">
        <v>2883560</v>
      </c>
      <c r="HD54" s="19">
        <v>23185419</v>
      </c>
      <c r="HE54" s="19" t="s">
        <v>172</v>
      </c>
      <c r="HF54" s="19"/>
      <c r="HG54" s="19">
        <f>4569742+915060</f>
        <v>5484802</v>
      </c>
      <c r="HH54" s="19" t="s">
        <v>172</v>
      </c>
      <c r="HI54" s="19">
        <f>46766886+59950195</f>
        <v>106717081</v>
      </c>
      <c r="HJ54" s="19" t="s">
        <v>172</v>
      </c>
      <c r="HK54" s="19">
        <v>45059959</v>
      </c>
      <c r="HL54" s="19">
        <f>14842604+4596363</f>
        <v>19438967</v>
      </c>
      <c r="HM54" s="19">
        <v>14916086</v>
      </c>
      <c r="HN54" s="19">
        <f>10000000</f>
        <v>10000000</v>
      </c>
      <c r="HO54" s="19">
        <f>10541160+2520000</f>
        <v>13061160</v>
      </c>
      <c r="HP54" s="19">
        <f>89222288+5999999</f>
        <v>95222287</v>
      </c>
      <c r="HQ54" s="19">
        <v>10594000</v>
      </c>
      <c r="HR54" s="19">
        <v>451437276</v>
      </c>
      <c r="HS54" s="19"/>
      <c r="HT54" s="19">
        <v>152240</v>
      </c>
      <c r="HU54" s="19">
        <f>9083189+94315308</f>
        <v>103398497</v>
      </c>
      <c r="HV54" s="19"/>
      <c r="HW54" s="19" t="s">
        <v>172</v>
      </c>
      <c r="HX54" s="19">
        <v>7202435</v>
      </c>
      <c r="HY54" s="19" t="s">
        <v>172</v>
      </c>
      <c r="HZ54" s="19">
        <v>26135473</v>
      </c>
      <c r="IA54" s="19">
        <v>11183627</v>
      </c>
      <c r="IB54" s="19">
        <v>1000000</v>
      </c>
      <c r="IC54" s="19">
        <v>96414756</v>
      </c>
      <c r="ID54" s="19">
        <v>1051640</v>
      </c>
      <c r="IE54" s="19" t="s">
        <v>172</v>
      </c>
      <c r="IF54" s="19">
        <v>2358097</v>
      </c>
      <c r="IG54" s="19">
        <f>507378+306678</f>
        <v>814056</v>
      </c>
      <c r="IH54" s="19">
        <f>23252461+33313133</f>
        <v>56565594</v>
      </c>
      <c r="II54" s="19">
        <f>22494944+35743407</f>
        <v>58238351</v>
      </c>
      <c r="IJ54" s="19"/>
      <c r="IK54" s="19">
        <f>100620064+125000</f>
        <v>100745064</v>
      </c>
      <c r="IL54" s="19">
        <f>13587911+6677527</f>
        <v>20265438</v>
      </c>
      <c r="IM54" s="19">
        <f>59441299+1799999</f>
        <v>61241298</v>
      </c>
      <c r="IN54" s="19"/>
      <c r="IO54" s="19">
        <v>1901264</v>
      </c>
      <c r="IP54" s="19">
        <f>8468876+805667</f>
        <v>9274543</v>
      </c>
      <c r="IQ54" s="19"/>
      <c r="IR54" s="19">
        <v>23110653</v>
      </c>
      <c r="IS54" s="19">
        <f>28961738+389362</f>
        <v>29351100</v>
      </c>
      <c r="IT54" s="19">
        <f>32335880</f>
        <v>32335880</v>
      </c>
      <c r="IU54" s="19">
        <v>4672255</v>
      </c>
      <c r="IV54" s="19">
        <v>48389433</v>
      </c>
      <c r="IW54" s="19">
        <f>23114241+6338428</f>
        <v>29452669</v>
      </c>
      <c r="IX54" s="19">
        <f>62655460+457760</f>
        <v>63113220</v>
      </c>
      <c r="IY54" s="19"/>
      <c r="IZ54" s="19"/>
      <c r="JA54" s="19">
        <f>22073182+10812777</f>
        <v>32885959</v>
      </c>
      <c r="JB54" s="19"/>
      <c r="JC54" s="19">
        <v>31090</v>
      </c>
      <c r="JD54" s="19">
        <f>1353368+378666</f>
        <v>1732034</v>
      </c>
      <c r="JE54" s="19">
        <f>5771458+151459</f>
        <v>5922917</v>
      </c>
      <c r="JF54" s="19"/>
      <c r="JG54" s="19">
        <f>4618498+2140000</f>
        <v>6758498</v>
      </c>
      <c r="JH54" s="19">
        <v>31017346</v>
      </c>
      <c r="JI54" s="19">
        <f>3857009</f>
        <v>3857009</v>
      </c>
      <c r="JJ54" s="19">
        <v>329774</v>
      </c>
      <c r="JK54" s="19"/>
      <c r="JL54" s="19">
        <v>114677677</v>
      </c>
      <c r="JM54" s="19"/>
      <c r="JN54" s="19">
        <v>1542719</v>
      </c>
      <c r="JO54" s="19">
        <f>590833+880000</f>
        <v>1470833</v>
      </c>
      <c r="JP54" s="19">
        <v>5053400</v>
      </c>
      <c r="JQ54" s="19" t="s">
        <v>175</v>
      </c>
      <c r="JR54" s="19">
        <v>2148525</v>
      </c>
      <c r="JS54" s="19">
        <f>32831144</f>
        <v>32831144</v>
      </c>
      <c r="JT54" s="19">
        <v>3422761</v>
      </c>
      <c r="JU54" s="19">
        <f>15277315+6497666</f>
        <v>21774981</v>
      </c>
      <c r="JV54" s="19">
        <v>71718561</v>
      </c>
      <c r="JW54" s="19"/>
      <c r="JX54" s="19">
        <v>2695522</v>
      </c>
      <c r="JY54" s="19">
        <v>38723681</v>
      </c>
      <c r="JZ54" s="19">
        <v>4942074</v>
      </c>
      <c r="KA54" s="19">
        <v>2420000</v>
      </c>
      <c r="KB54" s="19">
        <f>146107451+31532404</f>
        <v>177639855</v>
      </c>
      <c r="KC54" s="19">
        <f>18891615+160000</f>
        <v>19051615</v>
      </c>
      <c r="KD54" s="19">
        <v>1290878</v>
      </c>
      <c r="KE54" s="19"/>
      <c r="KF54" s="19">
        <f>10786941+22272726</f>
        <v>33059667</v>
      </c>
      <c r="KG54" s="19">
        <f>657520+761356</f>
        <v>1418876</v>
      </c>
      <c r="KH54" s="19">
        <f>3063737+18892000</f>
        <v>21955737</v>
      </c>
      <c r="KI54" s="19"/>
      <c r="KJ54" s="19">
        <v>58890817</v>
      </c>
      <c r="KK54" s="19">
        <f>62236327+114232</f>
        <v>62350559</v>
      </c>
      <c r="KL54" s="19">
        <f>809534000+46976000</f>
        <v>856510000</v>
      </c>
      <c r="KM54" s="19">
        <f>41430928+278300</f>
        <v>41709228</v>
      </c>
      <c r="KN54" s="19">
        <v>33347854</v>
      </c>
      <c r="KO54" s="19">
        <f>141658639+29418420</f>
        <v>171077059</v>
      </c>
      <c r="KP54" s="19">
        <v>3625600</v>
      </c>
      <c r="KQ54" s="19"/>
      <c r="KR54" s="19">
        <v>0</v>
      </c>
      <c r="KS54" s="19">
        <v>14898982</v>
      </c>
      <c r="KT54" s="19"/>
      <c r="KU54" s="19">
        <f>159673417+109382005</f>
        <v>269055422</v>
      </c>
      <c r="KV54" s="19">
        <f>14447091+260000</f>
        <v>14707091</v>
      </c>
      <c r="KW54" s="19">
        <v>4935501</v>
      </c>
      <c r="KX54" s="19">
        <v>7073182</v>
      </c>
      <c r="KY54" s="19">
        <f>27790807+46000000</f>
        <v>73790807</v>
      </c>
      <c r="KZ54" s="58"/>
      <c r="LA54" s="70"/>
      <c r="LB54" s="70"/>
    </row>
    <row r="55" spans="1:314">
      <c r="A55" s="9" t="s">
        <v>103</v>
      </c>
      <c r="B55" s="15" t="s">
        <v>58</v>
      </c>
      <c r="C55" s="19"/>
      <c r="D55" s="19"/>
      <c r="E55" s="19"/>
      <c r="F55" s="19"/>
      <c r="G55" s="19" t="s">
        <v>130</v>
      </c>
      <c r="H55" s="19"/>
      <c r="I55" s="19"/>
      <c r="J55" s="19" t="s">
        <v>176</v>
      </c>
      <c r="K55" s="19">
        <v>1072057</v>
      </c>
      <c r="L55" s="19" t="s">
        <v>96</v>
      </c>
      <c r="M55" s="19" t="s">
        <v>96</v>
      </c>
      <c r="N55" s="19">
        <v>2200000</v>
      </c>
      <c r="O55" s="19"/>
      <c r="P55" s="19"/>
      <c r="Q55" s="19"/>
      <c r="R55" s="19"/>
      <c r="S55" s="19">
        <v>3869424</v>
      </c>
      <c r="T55" s="19" t="s">
        <v>96</v>
      </c>
      <c r="U55" s="19" t="s">
        <v>96</v>
      </c>
      <c r="V55" s="19" t="s">
        <v>172</v>
      </c>
      <c r="W55" s="19"/>
      <c r="X55" s="19"/>
      <c r="Y55" s="19"/>
      <c r="Z55" s="19"/>
      <c r="AA55" s="19"/>
      <c r="AB55" s="19"/>
      <c r="AC55" s="19"/>
      <c r="AD55" s="19">
        <v>2190367</v>
      </c>
      <c r="AE55" s="19"/>
      <c r="AF55" s="56" t="s">
        <v>172</v>
      </c>
      <c r="AG55" s="19"/>
      <c r="AH55" s="19" t="s">
        <v>167</v>
      </c>
      <c r="AI55" s="19"/>
      <c r="AJ55" s="19"/>
      <c r="AK55" s="19"/>
      <c r="AL55" s="19"/>
      <c r="AM55" s="19" t="s">
        <v>4</v>
      </c>
      <c r="AN55" s="19"/>
      <c r="AO55" s="19"/>
      <c r="AP55" s="19">
        <v>29465</v>
      </c>
      <c r="AQ55" s="19" t="s">
        <v>172</v>
      </c>
      <c r="AR55" s="19"/>
      <c r="AS55" s="19">
        <v>6160000</v>
      </c>
      <c r="AT55" s="19" t="s">
        <v>172</v>
      </c>
      <c r="AU55" s="19">
        <v>32050000</v>
      </c>
      <c r="AV55" s="19">
        <v>1086425</v>
      </c>
      <c r="AW55" s="19"/>
      <c r="AX55" s="19" t="s">
        <v>4</v>
      </c>
      <c r="AY55" s="19"/>
      <c r="AZ55" s="19"/>
      <c r="BA55" s="19" t="s">
        <v>167</v>
      </c>
      <c r="BB55" s="19"/>
      <c r="BC55" s="19" t="s">
        <v>4</v>
      </c>
      <c r="BD55" s="19" t="s">
        <v>172</v>
      </c>
      <c r="BE55" s="19"/>
      <c r="BF55" s="19" t="s">
        <v>96</v>
      </c>
      <c r="BG55" s="19"/>
      <c r="BH55" s="19"/>
      <c r="BI55" s="19">
        <v>694374</v>
      </c>
      <c r="BJ55" s="19">
        <v>3575592</v>
      </c>
      <c r="BK55" s="19">
        <v>10170580</v>
      </c>
      <c r="BL55" s="19"/>
      <c r="BM55" s="19"/>
      <c r="BN55" s="19"/>
      <c r="BO55" s="19" t="s">
        <v>96</v>
      </c>
      <c r="BP55" s="19" t="s">
        <v>96</v>
      </c>
      <c r="BQ55" s="19" t="s">
        <v>175</v>
      </c>
      <c r="BR55" s="19"/>
      <c r="BS55" s="19" t="s">
        <v>172</v>
      </c>
      <c r="BT55" s="19"/>
      <c r="BU55" s="19"/>
      <c r="BV55" s="19"/>
      <c r="BW55" s="19"/>
      <c r="BX55" s="19"/>
      <c r="BY55" s="19"/>
      <c r="BZ55" s="19"/>
      <c r="CA55" s="19"/>
      <c r="CB55" s="19"/>
      <c r="CC55" s="19"/>
      <c r="CD55" s="19"/>
      <c r="CE55" s="19" t="s">
        <v>172</v>
      </c>
      <c r="CF55" s="19"/>
      <c r="CG55" s="19"/>
      <c r="CH55" s="19"/>
      <c r="CI55" s="19" t="s">
        <v>172</v>
      </c>
      <c r="CJ55" s="19">
        <v>241629</v>
      </c>
      <c r="CK55" s="19"/>
      <c r="CL55" s="19"/>
      <c r="CM55" s="19"/>
      <c r="CN55" s="19"/>
      <c r="CO55" s="19"/>
      <c r="CP55" s="19"/>
      <c r="CQ55" s="19" t="s">
        <v>96</v>
      </c>
      <c r="CR55" s="19">
        <v>70180</v>
      </c>
      <c r="CS55" s="56" t="s">
        <v>172</v>
      </c>
      <c r="CT55" s="19">
        <v>66370000</v>
      </c>
      <c r="CU55" s="19"/>
      <c r="CV55" s="19"/>
      <c r="CW55" s="19"/>
      <c r="CX55" s="19">
        <v>7475000</v>
      </c>
      <c r="CY55" s="19" t="s">
        <v>96</v>
      </c>
      <c r="CZ55" s="19"/>
      <c r="DA55" s="19" t="s">
        <v>175</v>
      </c>
      <c r="DB55" s="19"/>
      <c r="DC55" s="19"/>
      <c r="DD55" s="19"/>
      <c r="DE55" s="19"/>
      <c r="DF55" s="19"/>
      <c r="DG55" s="19"/>
      <c r="DH55" s="19">
        <v>593943</v>
      </c>
      <c r="DI55" s="19">
        <v>2953</v>
      </c>
      <c r="DJ55" s="19"/>
      <c r="DK55" s="19">
        <v>28238350</v>
      </c>
      <c r="DL55" s="19"/>
      <c r="DM55" s="19"/>
      <c r="DN55" s="19"/>
      <c r="DO55" s="19"/>
      <c r="DP55" s="19">
        <v>103999</v>
      </c>
      <c r="DQ55" s="19"/>
      <c r="DR55" s="19"/>
      <c r="DS55" s="19">
        <v>19971847</v>
      </c>
      <c r="DT55" s="19"/>
      <c r="DU55" s="19"/>
      <c r="DV55" s="19"/>
      <c r="DW55" s="19"/>
      <c r="DX55" s="19"/>
      <c r="DY55" s="19">
        <v>-27403</v>
      </c>
      <c r="DZ55" s="19"/>
      <c r="EA55" s="19"/>
      <c r="EB55" s="19">
        <v>2120707</v>
      </c>
      <c r="EC55" s="19"/>
      <c r="ED55" s="19"/>
      <c r="EE55" s="19"/>
      <c r="EF55" s="19"/>
      <c r="EG55" s="19"/>
      <c r="EH55" s="19"/>
      <c r="EI55" s="19">
        <v>142460329</v>
      </c>
      <c r="EJ55" s="19"/>
      <c r="EK55" s="19"/>
      <c r="EL55" s="19"/>
      <c r="EM55" s="19"/>
      <c r="EN55" s="19"/>
      <c r="EO55" s="19"/>
      <c r="EP55" s="19"/>
      <c r="EQ55" s="19"/>
      <c r="ER55" s="19"/>
      <c r="ES55" s="19"/>
      <c r="ET55" s="19"/>
      <c r="EU55" s="19"/>
      <c r="EV55" s="19"/>
      <c r="EW55" s="19"/>
      <c r="EX55" s="19">
        <v>5070400</v>
      </c>
      <c r="EY55" s="19"/>
      <c r="EZ55" s="19"/>
      <c r="FA55" s="19"/>
      <c r="FB55" s="19"/>
      <c r="FC55" s="19">
        <v>1003060</v>
      </c>
      <c r="FD55" s="19"/>
      <c r="FE55" s="19"/>
      <c r="FF55" s="19"/>
      <c r="FG55" s="19" t="s">
        <v>172</v>
      </c>
      <c r="FH55" s="19"/>
      <c r="FI55" s="19" t="s">
        <v>172</v>
      </c>
      <c r="FJ55" s="19"/>
      <c r="FK55" s="19"/>
      <c r="FL55" s="19"/>
      <c r="FM55" s="19"/>
      <c r="FN55" s="19"/>
      <c r="FO55" s="56" t="s">
        <v>172</v>
      </c>
      <c r="FP55" s="19"/>
      <c r="FQ55" s="19"/>
      <c r="FR55" s="19"/>
      <c r="FS55" s="19"/>
      <c r="FT55" s="19"/>
      <c r="FU55" s="19"/>
      <c r="FV55" s="19" t="s">
        <v>172</v>
      </c>
      <c r="FW55" s="19"/>
      <c r="FX55" s="19"/>
      <c r="FY55" s="19" t="s">
        <v>172</v>
      </c>
      <c r="FZ55" s="19" t="s">
        <v>175</v>
      </c>
      <c r="GA55" s="19"/>
      <c r="GB55" s="19"/>
      <c r="GC55" s="19"/>
      <c r="GD55" s="19" t="s">
        <v>172</v>
      </c>
      <c r="GE55" s="19" t="s">
        <v>172</v>
      </c>
      <c r="GF55" s="19"/>
      <c r="GG55" s="19"/>
      <c r="GH55" s="19" t="s">
        <v>172</v>
      </c>
      <c r="GI55" s="19"/>
      <c r="GJ55" s="19" t="s">
        <v>172</v>
      </c>
      <c r="GK55" s="19"/>
      <c r="GL55" s="19" t="s">
        <v>172</v>
      </c>
      <c r="GM55" s="19"/>
      <c r="GN55" s="19"/>
      <c r="GO55" s="19" t="s">
        <v>172</v>
      </c>
      <c r="GP55" s="19"/>
      <c r="GQ55" s="19"/>
      <c r="GR55" s="19"/>
      <c r="GS55" s="19"/>
      <c r="GT55" s="19"/>
      <c r="GU55" s="19"/>
      <c r="GV55" s="19"/>
      <c r="GW55" s="19"/>
      <c r="GX55" s="19"/>
      <c r="GY55" s="19"/>
      <c r="GZ55" s="19"/>
      <c r="HA55" s="19" t="s">
        <v>172</v>
      </c>
      <c r="HB55" s="19"/>
      <c r="HC55" s="19"/>
      <c r="HD55" s="19"/>
      <c r="HE55" s="19" t="s">
        <v>172</v>
      </c>
      <c r="HF55" s="19">
        <v>80308</v>
      </c>
      <c r="HG55" s="19"/>
      <c r="HH55" s="19" t="s">
        <v>172</v>
      </c>
      <c r="HI55" s="19">
        <v>-1737350</v>
      </c>
      <c r="HJ55" s="19" t="s">
        <v>172</v>
      </c>
      <c r="HK55" s="19">
        <v>-3703689</v>
      </c>
      <c r="HL55" s="19"/>
      <c r="HM55" s="19"/>
      <c r="HN55" s="19"/>
      <c r="HO55" s="19"/>
      <c r="HP55" s="19"/>
      <c r="HQ55" s="19"/>
      <c r="HR55" s="19"/>
      <c r="HS55" s="19"/>
      <c r="HT55" s="19"/>
      <c r="HU55" s="19"/>
      <c r="HV55" s="19"/>
      <c r="HW55" s="19" t="s">
        <v>172</v>
      </c>
      <c r="HX55" s="19">
        <v>4300459</v>
      </c>
      <c r="HY55" s="19" t="s">
        <v>172</v>
      </c>
      <c r="HZ55" s="19"/>
      <c r="IA55" s="19"/>
      <c r="IB55" s="19"/>
      <c r="IC55" s="19"/>
      <c r="ID55" s="19"/>
      <c r="IE55" s="19" t="s">
        <v>172</v>
      </c>
      <c r="IF55" s="19"/>
      <c r="IG55" s="19"/>
      <c r="IH55" s="19"/>
      <c r="II55" s="19"/>
      <c r="IJ55" s="19"/>
      <c r="IK55" s="19"/>
      <c r="IL55" s="19"/>
      <c r="IM55" s="19"/>
      <c r="IN55" s="19"/>
      <c r="IO55" s="19"/>
      <c r="IP55" s="19"/>
      <c r="IQ55" s="19"/>
      <c r="IR55" s="19"/>
      <c r="IS55" s="19"/>
      <c r="IT55" s="19"/>
      <c r="IU55" s="19"/>
      <c r="IV55" s="19"/>
      <c r="IW55" s="19"/>
      <c r="IX55" s="19"/>
      <c r="IY55" s="19"/>
      <c r="IZ55" s="19"/>
      <c r="JA55" s="19">
        <v>5261260</v>
      </c>
      <c r="JB55" s="19"/>
      <c r="JC55" s="19"/>
      <c r="JD55" s="19"/>
      <c r="JE55" s="19">
        <v>382247</v>
      </c>
      <c r="JF55" s="19"/>
      <c r="JG55" s="19"/>
      <c r="JH55" s="19"/>
      <c r="JI55" s="19">
        <v>546</v>
      </c>
      <c r="JJ55" s="19"/>
      <c r="JK55" s="19"/>
      <c r="JL55" s="19"/>
      <c r="JM55" s="19"/>
      <c r="JN55" s="19">
        <v>6751623</v>
      </c>
      <c r="JO55" s="19"/>
      <c r="JP55" s="19"/>
      <c r="JQ55" s="19" t="s">
        <v>175</v>
      </c>
      <c r="JR55" s="19"/>
      <c r="JS55" s="19"/>
      <c r="JT55" s="19"/>
      <c r="JU55" s="19"/>
      <c r="JV55" s="19"/>
      <c r="JW55" s="19"/>
      <c r="JX55" s="19"/>
      <c r="JY55" s="19"/>
      <c r="JZ55" s="19"/>
      <c r="KA55" s="19"/>
      <c r="KB55" s="19"/>
      <c r="KC55" s="19"/>
      <c r="KD55" s="19"/>
      <c r="KE55" s="19"/>
      <c r="KF55" s="19"/>
      <c r="KG55" s="19"/>
      <c r="KH55" s="19"/>
      <c r="KI55" s="19">
        <v>0</v>
      </c>
      <c r="KJ55" s="19"/>
      <c r="KK55" s="19"/>
      <c r="KL55" s="19"/>
      <c r="KM55" s="19">
        <v>24628</v>
      </c>
      <c r="KN55" s="19"/>
      <c r="KO55" s="19"/>
      <c r="KP55" s="19"/>
      <c r="KQ55" s="19"/>
      <c r="KR55" s="19"/>
      <c r="KS55" s="19"/>
      <c r="KT55" s="19"/>
      <c r="KU55" s="19"/>
      <c r="KV55" s="19"/>
      <c r="KW55" s="19"/>
      <c r="KX55" s="19"/>
      <c r="KY55" s="19">
        <v>6303510</v>
      </c>
      <c r="KZ55" s="58"/>
      <c r="LA55" s="70"/>
      <c r="LB55" s="70"/>
    </row>
    <row r="56" spans="1:314">
      <c r="A56" s="9" t="s">
        <v>103</v>
      </c>
      <c r="B56" s="15" t="s">
        <v>55</v>
      </c>
      <c r="C56" s="19">
        <v>871990</v>
      </c>
      <c r="D56" s="19">
        <v>8354000</v>
      </c>
      <c r="E56" s="19">
        <v>2718648</v>
      </c>
      <c r="F56" s="19">
        <v>42789150</v>
      </c>
      <c r="G56" s="19" t="s">
        <v>130</v>
      </c>
      <c r="H56" s="19">
        <v>36940180</v>
      </c>
      <c r="I56" s="19">
        <v>164908220</v>
      </c>
      <c r="J56" s="19" t="s">
        <v>176</v>
      </c>
      <c r="K56" s="19">
        <v>65562165</v>
      </c>
      <c r="L56" s="19" t="s">
        <v>96</v>
      </c>
      <c r="M56" s="19" t="s">
        <v>96</v>
      </c>
      <c r="N56" s="19">
        <v>19835080</v>
      </c>
      <c r="O56" s="19">
        <v>21897460</v>
      </c>
      <c r="P56" s="19">
        <v>32967819</v>
      </c>
      <c r="Q56" s="19">
        <v>3665820</v>
      </c>
      <c r="R56" s="19">
        <v>6348280</v>
      </c>
      <c r="S56" s="19">
        <v>84968787</v>
      </c>
      <c r="T56" s="19" t="s">
        <v>96</v>
      </c>
      <c r="U56" s="19" t="s">
        <v>96</v>
      </c>
      <c r="V56" s="19" t="s">
        <v>172</v>
      </c>
      <c r="W56" s="19">
        <v>806740</v>
      </c>
      <c r="X56" s="19">
        <v>49784731</v>
      </c>
      <c r="Y56" s="19">
        <v>21849420</v>
      </c>
      <c r="Z56" s="19">
        <v>3338070</v>
      </c>
      <c r="AA56" s="19">
        <v>7700182</v>
      </c>
      <c r="AB56" s="19">
        <v>3513880</v>
      </c>
      <c r="AC56" s="19">
        <v>16949310</v>
      </c>
      <c r="AD56" s="19">
        <v>4933980</v>
      </c>
      <c r="AE56" s="19">
        <v>34174380</v>
      </c>
      <c r="AF56" s="56" t="s">
        <v>172</v>
      </c>
      <c r="AG56" s="19">
        <v>7373440</v>
      </c>
      <c r="AH56" s="19" t="s">
        <v>167</v>
      </c>
      <c r="AI56" s="19">
        <v>4133350</v>
      </c>
      <c r="AJ56" s="19">
        <v>8403602</v>
      </c>
      <c r="AK56" s="19">
        <v>16073052</v>
      </c>
      <c r="AL56" s="19">
        <v>14450520</v>
      </c>
      <c r="AM56" s="19" t="s">
        <v>4</v>
      </c>
      <c r="AN56" s="19">
        <v>31406526</v>
      </c>
      <c r="AO56" s="19">
        <v>14250360</v>
      </c>
      <c r="AP56" s="19">
        <v>1911860</v>
      </c>
      <c r="AQ56" s="19" t="s">
        <v>172</v>
      </c>
      <c r="AR56" s="19">
        <v>17939940</v>
      </c>
      <c r="AS56" s="19">
        <v>45905330</v>
      </c>
      <c r="AT56" s="19" t="s">
        <v>172</v>
      </c>
      <c r="AU56" s="19">
        <v>85694570</v>
      </c>
      <c r="AV56" s="19">
        <v>62500</v>
      </c>
      <c r="AW56" s="19">
        <v>6247524</v>
      </c>
      <c r="AX56" s="19" t="s">
        <v>4</v>
      </c>
      <c r="AY56" s="19">
        <f>9345214</f>
        <v>9345214</v>
      </c>
      <c r="AZ56" s="19">
        <v>14861690</v>
      </c>
      <c r="BA56" s="19" t="s">
        <v>167</v>
      </c>
      <c r="BB56" s="19">
        <v>3792310</v>
      </c>
      <c r="BC56" s="19" t="s">
        <v>4</v>
      </c>
      <c r="BD56" s="19" t="s">
        <v>172</v>
      </c>
      <c r="BE56" s="19">
        <v>784880</v>
      </c>
      <c r="BF56" s="19" t="s">
        <v>96</v>
      </c>
      <c r="BG56" s="19">
        <v>10151571</v>
      </c>
      <c r="BH56" s="19">
        <v>7658310</v>
      </c>
      <c r="BI56" s="19">
        <v>5951300</v>
      </c>
      <c r="BJ56" s="19">
        <v>13318815</v>
      </c>
      <c r="BK56" s="19">
        <v>25139930</v>
      </c>
      <c r="BL56" s="19">
        <v>13678810</v>
      </c>
      <c r="BM56" s="19">
        <v>32662245</v>
      </c>
      <c r="BN56" s="19">
        <v>996524</v>
      </c>
      <c r="BO56" s="19" t="s">
        <v>96</v>
      </c>
      <c r="BP56" s="19" t="s">
        <v>96</v>
      </c>
      <c r="BQ56" s="19" t="s">
        <v>175</v>
      </c>
      <c r="BR56" s="19">
        <v>39382720</v>
      </c>
      <c r="BS56" s="19" t="s">
        <v>172</v>
      </c>
      <c r="BT56" s="19">
        <v>1836420</v>
      </c>
      <c r="BU56" s="19">
        <v>14629760</v>
      </c>
      <c r="BV56" s="19">
        <v>3306619</v>
      </c>
      <c r="BW56" s="19">
        <v>13336810</v>
      </c>
      <c r="BX56" s="19">
        <v>6091230</v>
      </c>
      <c r="BY56" s="19">
        <v>42504048</v>
      </c>
      <c r="BZ56" s="19">
        <v>11175760</v>
      </c>
      <c r="CA56" s="19">
        <v>61255610</v>
      </c>
      <c r="CB56" s="19">
        <v>4756763</v>
      </c>
      <c r="CC56" s="19">
        <v>103000</v>
      </c>
      <c r="CD56" s="19">
        <v>74219640</v>
      </c>
      <c r="CE56" s="19" t="s">
        <v>172</v>
      </c>
      <c r="CF56" s="19">
        <v>7063190</v>
      </c>
      <c r="CG56" s="19">
        <v>3296080</v>
      </c>
      <c r="CH56" s="19">
        <v>6842070</v>
      </c>
      <c r="CI56" s="19" t="s">
        <v>172</v>
      </c>
      <c r="CJ56" s="19">
        <v>3008020</v>
      </c>
      <c r="CK56" s="19">
        <v>48351853</v>
      </c>
      <c r="CL56" s="19">
        <v>1541370</v>
      </c>
      <c r="CM56" s="19">
        <v>6851322</v>
      </c>
      <c r="CN56" s="19">
        <v>4147020</v>
      </c>
      <c r="CO56" s="19">
        <v>4676585</v>
      </c>
      <c r="CP56" s="19">
        <v>25966424</v>
      </c>
      <c r="CQ56" s="19" t="s">
        <v>96</v>
      </c>
      <c r="CR56" s="19">
        <v>9534300</v>
      </c>
      <c r="CS56" s="56" t="s">
        <v>172</v>
      </c>
      <c r="CT56" s="19">
        <v>201841483</v>
      </c>
      <c r="CU56" s="19">
        <v>15372948</v>
      </c>
      <c r="CV56" s="19">
        <v>1759680</v>
      </c>
      <c r="CW56" s="19">
        <v>7115470</v>
      </c>
      <c r="CX56" s="19">
        <v>86209720</v>
      </c>
      <c r="CY56" s="19" t="s">
        <v>96</v>
      </c>
      <c r="CZ56" s="19">
        <v>48456946</v>
      </c>
      <c r="DA56" s="19" t="s">
        <v>175</v>
      </c>
      <c r="DB56" s="19">
        <v>9274180</v>
      </c>
      <c r="DC56" s="19">
        <v>500220</v>
      </c>
      <c r="DD56" s="19">
        <v>1606920</v>
      </c>
      <c r="DE56" s="19">
        <v>42818937</v>
      </c>
      <c r="DF56" s="19">
        <v>2597550</v>
      </c>
      <c r="DG56" s="19">
        <v>2747120</v>
      </c>
      <c r="DH56" s="19">
        <v>19717760</v>
      </c>
      <c r="DI56" s="19">
        <v>19681480</v>
      </c>
      <c r="DJ56" s="19">
        <v>123860</v>
      </c>
      <c r="DK56" s="19">
        <v>51393750</v>
      </c>
      <c r="DL56" s="19">
        <v>17868940</v>
      </c>
      <c r="DM56" s="19">
        <v>5162189</v>
      </c>
      <c r="DN56" s="19">
        <v>2918858</v>
      </c>
      <c r="DO56" s="19">
        <v>3762590</v>
      </c>
      <c r="DP56" s="19">
        <v>14336200</v>
      </c>
      <c r="DQ56" s="19">
        <v>1885504</v>
      </c>
      <c r="DR56" s="19">
        <v>22845542</v>
      </c>
      <c r="DS56" s="19">
        <v>6399880</v>
      </c>
      <c r="DT56" s="19">
        <v>38544440</v>
      </c>
      <c r="DU56" s="19">
        <v>12483715</v>
      </c>
      <c r="DV56" s="19">
        <f>1174</f>
        <v>1174</v>
      </c>
      <c r="DW56" s="19">
        <v>8183018</v>
      </c>
      <c r="DX56" s="19">
        <v>27183341</v>
      </c>
      <c r="DY56" s="19">
        <v>3136464</v>
      </c>
      <c r="DZ56" s="19">
        <v>10646680</v>
      </c>
      <c r="EA56" s="19">
        <v>15409</v>
      </c>
      <c r="EB56" s="19">
        <v>61112000</v>
      </c>
      <c r="EC56" s="19">
        <v>8113330</v>
      </c>
      <c r="ED56" s="19">
        <v>9146510</v>
      </c>
      <c r="EE56" s="19">
        <v>42851290</v>
      </c>
      <c r="EF56" s="19">
        <v>20383934</v>
      </c>
      <c r="EG56" s="19">
        <v>113385390</v>
      </c>
      <c r="EH56" s="19">
        <v>1112207</v>
      </c>
      <c r="EI56" s="19">
        <v>22356340</v>
      </c>
      <c r="EJ56" s="19">
        <v>62500</v>
      </c>
      <c r="EK56" s="19">
        <v>55576291</v>
      </c>
      <c r="EL56" s="19">
        <v>60016212</v>
      </c>
      <c r="EM56" s="19">
        <v>4858120</v>
      </c>
      <c r="EN56" s="19">
        <v>121882790</v>
      </c>
      <c r="EO56" s="19">
        <v>17995070</v>
      </c>
      <c r="EP56" s="19">
        <v>4861720</v>
      </c>
      <c r="EQ56" s="19">
        <v>80194210</v>
      </c>
      <c r="ER56" s="19">
        <v>215998250</v>
      </c>
      <c r="ES56" s="19">
        <v>18776570</v>
      </c>
      <c r="ET56" s="19">
        <v>80550857</v>
      </c>
      <c r="EU56" s="19">
        <v>27422730</v>
      </c>
      <c r="EV56" s="19">
        <v>2577740</v>
      </c>
      <c r="EW56" s="19">
        <v>6920800</v>
      </c>
      <c r="EX56" s="19">
        <v>16370115</v>
      </c>
      <c r="EY56" s="19">
        <v>150129123</v>
      </c>
      <c r="EZ56" s="19">
        <f>4006279</f>
        <v>4006279</v>
      </c>
      <c r="FA56" s="19">
        <v>22870970</v>
      </c>
      <c r="FB56" s="19">
        <v>3870513</v>
      </c>
      <c r="FC56" s="19">
        <v>4949160</v>
      </c>
      <c r="FD56" s="19">
        <v>10214538</v>
      </c>
      <c r="FE56" s="19">
        <v>69177321</v>
      </c>
      <c r="FF56" s="19">
        <v>14062981</v>
      </c>
      <c r="FG56" s="19" t="s">
        <v>172</v>
      </c>
      <c r="FH56" s="19">
        <v>6091205</v>
      </c>
      <c r="FI56" s="19" t="s">
        <v>172</v>
      </c>
      <c r="FJ56" s="19">
        <v>2448950</v>
      </c>
      <c r="FK56" s="19">
        <v>69456338</v>
      </c>
      <c r="FL56" s="19">
        <v>1124460</v>
      </c>
      <c r="FM56" s="19">
        <v>27341310</v>
      </c>
      <c r="FN56" s="19">
        <v>56202634</v>
      </c>
      <c r="FO56" s="56" t="s">
        <v>172</v>
      </c>
      <c r="FP56" s="19">
        <v>11267790</v>
      </c>
      <c r="FQ56" s="19">
        <v>516860</v>
      </c>
      <c r="FR56" s="19">
        <v>16915732</v>
      </c>
      <c r="FS56" s="19">
        <v>23569730</v>
      </c>
      <c r="FT56" s="19">
        <v>25781350</v>
      </c>
      <c r="FU56" s="19">
        <v>3624000</v>
      </c>
      <c r="FV56" s="19" t="s">
        <v>172</v>
      </c>
      <c r="FW56" s="19">
        <v>192860</v>
      </c>
      <c r="FX56" s="19">
        <v>268400</v>
      </c>
      <c r="FY56" s="19" t="s">
        <v>172</v>
      </c>
      <c r="FZ56" s="19" t="s">
        <v>175</v>
      </c>
      <c r="GA56" s="19">
        <v>48129490</v>
      </c>
      <c r="GB56" s="19">
        <v>7160850</v>
      </c>
      <c r="GC56" s="19">
        <v>5621050</v>
      </c>
      <c r="GD56" s="19" t="s">
        <v>172</v>
      </c>
      <c r="GE56" s="19" t="s">
        <v>172</v>
      </c>
      <c r="GF56" s="19">
        <v>23641110</v>
      </c>
      <c r="GG56" s="19">
        <v>43606210</v>
      </c>
      <c r="GH56" s="19" t="s">
        <v>172</v>
      </c>
      <c r="GI56" s="19">
        <v>1177260</v>
      </c>
      <c r="GJ56" s="19" t="s">
        <v>172</v>
      </c>
      <c r="GK56" s="19">
        <v>9957720</v>
      </c>
      <c r="GL56" s="19" t="s">
        <v>172</v>
      </c>
      <c r="GM56" s="19">
        <v>2628230</v>
      </c>
      <c r="GN56" s="19">
        <v>1904320</v>
      </c>
      <c r="GO56" s="19" t="s">
        <v>172</v>
      </c>
      <c r="GP56" s="19">
        <v>14483026</v>
      </c>
      <c r="GQ56" s="19">
        <v>4784910</v>
      </c>
      <c r="GR56" s="19">
        <v>21214408</v>
      </c>
      <c r="GS56" s="19">
        <v>14765270</v>
      </c>
      <c r="GT56" s="19">
        <v>9155524</v>
      </c>
      <c r="GU56" s="19">
        <v>6971630</v>
      </c>
      <c r="GV56" s="19">
        <v>28912160</v>
      </c>
      <c r="GW56" s="19">
        <v>39835500</v>
      </c>
      <c r="GX56" s="19">
        <v>1519000</v>
      </c>
      <c r="GY56" s="19">
        <v>33684360</v>
      </c>
      <c r="GZ56" s="19">
        <v>35454170</v>
      </c>
      <c r="HA56" s="19" t="s">
        <v>172</v>
      </c>
      <c r="HB56" s="19">
        <v>322323</v>
      </c>
      <c r="HC56" s="19">
        <v>3590590</v>
      </c>
      <c r="HD56" s="19">
        <v>6915299</v>
      </c>
      <c r="HE56" s="19" t="s">
        <v>172</v>
      </c>
      <c r="HF56" s="19">
        <v>176975882</v>
      </c>
      <c r="HG56" s="19">
        <v>1027580</v>
      </c>
      <c r="HH56" s="19" t="s">
        <v>172</v>
      </c>
      <c r="HI56" s="19">
        <v>23374145</v>
      </c>
      <c r="HJ56" s="19" t="s">
        <v>172</v>
      </c>
      <c r="HK56" s="19">
        <v>38282038</v>
      </c>
      <c r="HL56" s="19">
        <v>4065720</v>
      </c>
      <c r="HM56" s="19">
        <v>30518510</v>
      </c>
      <c r="HN56" s="19">
        <v>3725670</v>
      </c>
      <c r="HO56" s="19">
        <f>1747690</f>
        <v>1747690</v>
      </c>
      <c r="HP56" s="19">
        <f>138667560-26076630</f>
        <v>112590930</v>
      </c>
      <c r="HQ56" s="19">
        <v>35549760</v>
      </c>
      <c r="HR56" s="19">
        <v>29745390</v>
      </c>
      <c r="HS56" s="19">
        <v>16219251</v>
      </c>
      <c r="HT56" s="19">
        <v>3803440</v>
      </c>
      <c r="HU56" s="19">
        <v>259430</v>
      </c>
      <c r="HV56" s="19">
        <v>4287260</v>
      </c>
      <c r="HW56" s="19" t="s">
        <v>172</v>
      </c>
      <c r="HX56" s="19">
        <v>25549484</v>
      </c>
      <c r="HY56" s="19" t="s">
        <v>172</v>
      </c>
      <c r="HZ56" s="19">
        <v>3123389</v>
      </c>
      <c r="IA56" s="19">
        <v>13157100</v>
      </c>
      <c r="IB56" s="19">
        <v>32580719</v>
      </c>
      <c r="IC56" s="19">
        <v>219360840</v>
      </c>
      <c r="ID56" s="19">
        <v>10039230</v>
      </c>
      <c r="IE56" s="19" t="s">
        <v>172</v>
      </c>
      <c r="IF56" s="19">
        <v>3931200</v>
      </c>
      <c r="IG56" s="19">
        <v>2639050</v>
      </c>
      <c r="IH56" s="19">
        <v>20783210</v>
      </c>
      <c r="II56" s="19">
        <v>4588660</v>
      </c>
      <c r="IJ56" s="19">
        <v>838500</v>
      </c>
      <c r="IK56" s="19">
        <v>15392440</v>
      </c>
      <c r="IL56" s="19">
        <v>10988310</v>
      </c>
      <c r="IM56" s="19">
        <v>10493701</v>
      </c>
      <c r="IN56" s="19">
        <v>47964630</v>
      </c>
      <c r="IO56" s="19">
        <v>26110688</v>
      </c>
      <c r="IP56" s="19">
        <v>21960170</v>
      </c>
      <c r="IQ56" s="19">
        <v>9872020</v>
      </c>
      <c r="IR56" s="19">
        <v>9634830</v>
      </c>
      <c r="IS56" s="19">
        <v>15753180</v>
      </c>
      <c r="IT56" s="19">
        <v>14649550</v>
      </c>
      <c r="IU56" s="19">
        <v>16483890</v>
      </c>
      <c r="IV56" s="19">
        <v>914071</v>
      </c>
      <c r="IW56" s="19">
        <v>18455334</v>
      </c>
      <c r="IX56" s="19">
        <v>29925996</v>
      </c>
      <c r="IY56" s="19">
        <v>18931111</v>
      </c>
      <c r="IZ56" s="19">
        <v>11149647</v>
      </c>
      <c r="JA56" s="19">
        <v>15956322</v>
      </c>
      <c r="JB56" s="19">
        <v>2768980</v>
      </c>
      <c r="JC56" s="19">
        <v>3375920</v>
      </c>
      <c r="JD56" s="19">
        <v>11417260</v>
      </c>
      <c r="JE56" s="19">
        <v>3222960</v>
      </c>
      <c r="JF56" s="19">
        <v>9030795</v>
      </c>
      <c r="JG56" s="19">
        <v>3453386</v>
      </c>
      <c r="JH56" s="19">
        <v>2679260</v>
      </c>
      <c r="JI56" s="19">
        <v>838330</v>
      </c>
      <c r="JJ56" s="19">
        <v>3548050</v>
      </c>
      <c r="JK56" s="19">
        <v>655817</v>
      </c>
      <c r="JL56" s="19">
        <v>179535279</v>
      </c>
      <c r="JM56" s="19">
        <v>8417420</v>
      </c>
      <c r="JN56" s="19">
        <v>6256045</v>
      </c>
      <c r="JO56" s="19">
        <v>3689101</v>
      </c>
      <c r="JP56" s="19">
        <f>219240+1174422</f>
        <v>1393662</v>
      </c>
      <c r="JQ56" s="19" t="s">
        <v>175</v>
      </c>
      <c r="JR56" s="19">
        <v>16929360</v>
      </c>
      <c r="JS56" s="19">
        <v>11842870</v>
      </c>
      <c r="JT56" s="19">
        <v>8769738</v>
      </c>
      <c r="JU56" s="19">
        <v>4166784</v>
      </c>
      <c r="JV56" s="19">
        <v>85542600</v>
      </c>
      <c r="JW56" s="19">
        <v>16579610</v>
      </c>
      <c r="JX56" s="19">
        <v>474098147</v>
      </c>
      <c r="JY56" s="19">
        <v>95408357</v>
      </c>
      <c r="JZ56" s="19">
        <v>645850</v>
      </c>
      <c r="KA56" s="19">
        <v>560793</v>
      </c>
      <c r="KB56" s="19">
        <v>14552140</v>
      </c>
      <c r="KC56" s="19">
        <v>7375882</v>
      </c>
      <c r="KD56" s="19">
        <v>6252790</v>
      </c>
      <c r="KE56" s="19">
        <v>1416890</v>
      </c>
      <c r="KF56" s="19">
        <v>19632544</v>
      </c>
      <c r="KG56" s="19">
        <v>7120390</v>
      </c>
      <c r="KH56" s="19">
        <v>12200400</v>
      </c>
      <c r="KI56" s="19">
        <v>234620</v>
      </c>
      <c r="KJ56" s="19">
        <v>11873640</v>
      </c>
      <c r="KK56" s="19">
        <v>24490840</v>
      </c>
      <c r="KL56" s="19">
        <v>189020000</v>
      </c>
      <c r="KM56" s="19">
        <v>21064900</v>
      </c>
      <c r="KN56" s="19">
        <v>62500</v>
      </c>
      <c r="KO56" s="19">
        <v>39764480</v>
      </c>
      <c r="KP56" s="19">
        <v>11710600</v>
      </c>
      <c r="KQ56" s="19">
        <v>87360</v>
      </c>
      <c r="KR56" s="19">
        <v>7726870</v>
      </c>
      <c r="KS56" s="19">
        <v>10371660</v>
      </c>
      <c r="KT56" s="19">
        <v>4878990</v>
      </c>
      <c r="KU56" s="19">
        <v>19586230</v>
      </c>
      <c r="KV56" s="19">
        <v>3572190</v>
      </c>
      <c r="KW56" s="19">
        <v>1675050</v>
      </c>
      <c r="KX56" s="19">
        <v>1212460</v>
      </c>
      <c r="KY56" s="19">
        <v>15412280</v>
      </c>
      <c r="KZ56" s="58">
        <v>2170970</v>
      </c>
      <c r="LA56" s="70">
        <v>55000</v>
      </c>
      <c r="LB56" s="70">
        <v>7262600</v>
      </c>
    </row>
    <row r="57" spans="1:314">
      <c r="A57" s="9" t="s">
        <v>103</v>
      </c>
      <c r="B57" s="15" t="s">
        <v>77</v>
      </c>
      <c r="C57" s="19">
        <f>1994964277-C52-C54-C56</f>
        <v>279854449</v>
      </c>
      <c r="D57" s="19">
        <f>547451563-D52-D53-D54-D56</f>
        <v>662185954</v>
      </c>
      <c r="E57" s="19">
        <f>520610133-E52-E54-E56</f>
        <v>208856202</v>
      </c>
      <c r="F57" s="19">
        <f>2334723020-F52-F54-F56</f>
        <v>520419921</v>
      </c>
      <c r="G57" s="19" t="s">
        <v>130</v>
      </c>
      <c r="H57" s="19">
        <f>10779588620-H52-H56</f>
        <v>2468445287</v>
      </c>
      <c r="I57" s="19">
        <f>10229944562-SUM(I52:I56)</f>
        <v>1709128741</v>
      </c>
      <c r="J57" s="19" t="s">
        <v>176</v>
      </c>
      <c r="K57" s="19">
        <f>1211319839-SUM(K52:K56)</f>
        <v>363519163</v>
      </c>
      <c r="L57" s="19" t="s">
        <v>96</v>
      </c>
      <c r="M57" s="19" t="s">
        <v>96</v>
      </c>
      <c r="N57" s="19">
        <f>1071189621-SUM(N52:N56)</f>
        <v>414600791</v>
      </c>
      <c r="O57" s="19">
        <f>13086726574-SUM(O52:O56)</f>
        <v>2706410901</v>
      </c>
      <c r="P57" s="19">
        <f>6391338054-SUM(P52:P56)</f>
        <v>1271207418</v>
      </c>
      <c r="Q57" s="19">
        <f>18479655+25007707+5753804+1383493+62090+18067030+300000+3214590+8161620+600000+1399508+53820+246259+2361962+18327014+6231072+55700000-6400633</f>
        <v>158948991</v>
      </c>
      <c r="R57" s="19">
        <f>15344341+7971576+2117600+3397842+539328+43421921+3269322+11071556+8078064+99682+13904876+8194084+22728892+16974468+3745400+37648015</f>
        <v>198506967</v>
      </c>
      <c r="S57" s="19">
        <f>129884174+56083067+29078956+14703316+13442012+350124+18793109+208230695+3946363+115308802+21447492+909088557-813693519+1233267805+5658272+15410370+1334511+58664081+150879195+263006223+321055918+3829711+1182839620+21081904</f>
        <v>3963690758</v>
      </c>
      <c r="T57" s="19" t="s">
        <v>96</v>
      </c>
      <c r="U57" s="19" t="s">
        <v>96</v>
      </c>
      <c r="V57" s="19" t="s">
        <v>172</v>
      </c>
      <c r="W57" s="19">
        <f>28186272+14174586+1192026+9670794+95327365+18077278+5665190+933137+9904824+11490272+3359150+46131158+769488863+6473816+7579760+432700+500000-8847480</f>
        <v>1019739711</v>
      </c>
      <c r="X57" s="19">
        <f>75391026+5977590+22152220+13107983+37433578+25444518+11366819+18747374+6755392+235000+10361200+1467000+12000000+40910834+151252211+54679900</f>
        <v>487282645</v>
      </c>
      <c r="Y57" s="19">
        <v>174165209</v>
      </c>
      <c r="Z57" s="19">
        <f>624229648-Z54-Z56-Z52</f>
        <v>427113962</v>
      </c>
      <c r="AA57" s="19">
        <f>494966613-AA52-AA54-AA56</f>
        <v>137014918</v>
      </c>
      <c r="AB57" s="19">
        <f>435309792-AB52-AB54-AB56</f>
        <v>331682409</v>
      </c>
      <c r="AC57" s="19">
        <f>281236007-AC52-AC54-AC56</f>
        <v>107556481</v>
      </c>
      <c r="AD57" s="19">
        <f>471425147-AD52-AD54-AD55-AD56</f>
        <v>304380497</v>
      </c>
      <c r="AE57" s="19">
        <f>585202715-AE52-AE54-AE56</f>
        <v>195574335</v>
      </c>
      <c r="AF57" s="56" t="s">
        <v>172</v>
      </c>
      <c r="AG57" s="19">
        <f>373340312-AG52-AG56</f>
        <v>92995869</v>
      </c>
      <c r="AH57" s="19" t="s">
        <v>167</v>
      </c>
      <c r="AI57" s="19">
        <f>315906549-AI52-AI56</f>
        <v>183045604</v>
      </c>
      <c r="AJ57" s="19">
        <f>468368273-SUM(AJ52:AJ56)</f>
        <v>190211888</v>
      </c>
      <c r="AK57" s="19">
        <f>415692174-AK52-AK54-AK56</f>
        <v>161911499</v>
      </c>
      <c r="AL57" s="19">
        <f>1158253840-AL52-AL54-AL56</f>
        <v>632001361</v>
      </c>
      <c r="AM57" s="19" t="s">
        <v>4</v>
      </c>
      <c r="AN57" s="19">
        <f>1087104067-SUM(AN52:AN56)</f>
        <v>300183234</v>
      </c>
      <c r="AO57" s="19">
        <f>1250987386-516121372-43185564-12046524-30538315-14250360</f>
        <v>634845251</v>
      </c>
      <c r="AP57" s="19">
        <f>975357126-467863732-40598303-2145945-76162-1911860-29465</f>
        <v>462731659</v>
      </c>
      <c r="AQ57" s="19" t="s">
        <v>172</v>
      </c>
      <c r="AR57" s="19">
        <f>1614517146-SUM(AR52:AR56)</f>
        <v>909091791</v>
      </c>
      <c r="AS57" s="19">
        <f>1360069163-SUM(AS52:AS56)</f>
        <v>903047497</v>
      </c>
      <c r="AT57" s="19" t="s">
        <v>172</v>
      </c>
      <c r="AU57" s="19">
        <v>468623154</v>
      </c>
      <c r="AV57" s="19">
        <f>471290+4064800+101700+1000000+918220+1057000+209000+4483186+3104542+118860+1787060+9229040</f>
        <v>26544698</v>
      </c>
      <c r="AW57" s="19">
        <f>11842255+191600+1745500+1859138+48498112+9328776+184368+14485345+14424316+18202898-2497430+4004500+15864487+5682568+100000</f>
        <v>143916433</v>
      </c>
      <c r="AX57" s="19" t="s">
        <v>4</v>
      </c>
      <c r="AY57" s="19">
        <f>332601354-SUM(AY52:AY56)</f>
        <v>93249441</v>
      </c>
      <c r="AZ57" s="19">
        <f>445223394-SUM(AZ52:AZ56)</f>
        <v>246319946</v>
      </c>
      <c r="BA57" s="19" t="s">
        <v>167</v>
      </c>
      <c r="BB57" s="19">
        <f>88052107-65360341-3792310</f>
        <v>18899456</v>
      </c>
      <c r="BC57" s="19" t="s">
        <v>4</v>
      </c>
      <c r="BD57" s="19" t="s">
        <v>172</v>
      </c>
      <c r="BE57" s="19">
        <f>284490335-BE52-BE54-BE56</f>
        <v>145892917</v>
      </c>
      <c r="BF57" s="19" t="s">
        <v>96</v>
      </c>
      <c r="BG57" s="19">
        <v>643091057</v>
      </c>
      <c r="BH57" s="19">
        <f>250390115-105716351+18084600-5662934-7658310</f>
        <v>149437120</v>
      </c>
      <c r="BI57" s="19">
        <f>19584823+2130650+1438300+2252980+1050825+20700000+100000+2422710+9780769+11375247+33356504</f>
        <v>104192808</v>
      </c>
      <c r="BJ57" s="19">
        <f>24513216+8239076+504773+3666801+1981150+6500029+55879801+1530046+5832213+3910147+200000+430870+2992851+520418+325906+57356085+223122854+2300773+14837636+18000-6500000-3000000-13000000</f>
        <v>392162645</v>
      </c>
      <c r="BK57" s="19">
        <f>1235417899-496662206-15229474-15994569-15877241-25139930-10170580</f>
        <v>656343899</v>
      </c>
      <c r="BL57" s="19">
        <f>1689200706-372863371-29440628-13678810</f>
        <v>1273217897</v>
      </c>
      <c r="BM57" s="19">
        <f>1738433094-685922365+44100000-11186000-61093584-32662245</f>
        <v>991668900</v>
      </c>
      <c r="BN57" s="19">
        <f>11125900+138071+808121+1608597+3041378+236000+30000+968589+3405981+15000-5104840</f>
        <v>16272797</v>
      </c>
      <c r="BO57" s="19" t="s">
        <v>96</v>
      </c>
      <c r="BP57" s="19" t="s">
        <v>96</v>
      </c>
      <c r="BQ57" s="19" t="s">
        <v>175</v>
      </c>
      <c r="BR57" s="19">
        <f>4814238504-1413290213+22622690-1120970-62326089-39382720-257084133-3300360</f>
        <v>3060356709</v>
      </c>
      <c r="BS57" s="19" t="s">
        <v>172</v>
      </c>
      <c r="BT57" s="19">
        <f>38286832-17450360-1836420-2049188</f>
        <v>16950864</v>
      </c>
      <c r="BU57" s="19">
        <f>579232441-277738614-3495593-21370839-14629760</f>
        <v>261997635</v>
      </c>
      <c r="BV57" s="19">
        <f>270864069-94995440-100000-1200000-7142240-3306619</f>
        <v>164119770</v>
      </c>
      <c r="BW57" s="19">
        <f>634488683-356554470+198328751-24348247-11056685-1502657-13336810</f>
        <v>426018565</v>
      </c>
      <c r="BX57" s="19">
        <f>707011003-187970526+16828380-4200000-824000-8618380-6091230</f>
        <v>516135247</v>
      </c>
      <c r="BY57" s="19">
        <f>2447897220-1062508893+27117720+16374160-1450000-10560247-59941714-42504048-3848233-15924675</f>
        <v>1294651290</v>
      </c>
      <c r="BZ57" s="19">
        <f>615060087-304040640-4000000-25336720-11175760-5423746-277200</f>
        <v>264806021</v>
      </c>
      <c r="CA57" s="19">
        <f>3585914655+79430730-1335511989-61255610-65112589</f>
        <v>2203465197</v>
      </c>
      <c r="CB57" s="19">
        <f>369282620-142407333+60000+6867230+12550000-2700000-8613690-4756763-36819813</f>
        <v>193462251</v>
      </c>
      <c r="CC57" s="19">
        <f>306132843-144312700+2825000-11635211-103000</f>
        <v>152906932</v>
      </c>
      <c r="CD57" s="19">
        <f>88133780+292182+1319577+1993690+21377220+333370+2434885+5166587+19564825+3000000+225552520</f>
        <v>369168636</v>
      </c>
      <c r="CE57" s="19" t="s">
        <v>172</v>
      </c>
      <c r="CF57" s="19">
        <f>192555196-80040000-7063190-536961</f>
        <v>104915045</v>
      </c>
      <c r="CG57" s="19">
        <f>1281064335-1036346265-4400000-30181670-14194301-7745285-3296080</f>
        <v>184900734</v>
      </c>
      <c r="CH57" s="19">
        <f>286820102-166295516+56556960-7839431-6842070-5449762-1280972</f>
        <v>155669311</v>
      </c>
      <c r="CI57" s="19" t="s">
        <v>172</v>
      </c>
      <c r="CJ57" s="19">
        <f>47361875-36000000-3008020-241629</f>
        <v>8112226</v>
      </c>
      <c r="CK57" s="19">
        <f>37577868+983446+558000+18632310+344310+98150+5658333+390000+16405160+7202053+600000+9016600+226000+145456+82728+1721376+88484837+3756546+13685000+25812911</f>
        <v>231381084</v>
      </c>
      <c r="CL57" s="19">
        <f>64149083-23744186-6562376-1541370</f>
        <v>32301151</v>
      </c>
      <c r="CM57" s="19">
        <f>154796263+4249230+1971500+18139008+68673342+640251275+35268692+2315189+8358620+2205300+394900+6543340+29201277+47996361+3548300+12487840+350000+74908000+3711237+65650060</f>
        <v>1181019734</v>
      </c>
      <c r="CN57" s="19">
        <f>334346143-121080670-4147020-2264288</f>
        <v>206854165</v>
      </c>
      <c r="CO57" s="19">
        <f>200245464-91689666-3931000-8053011-4676585-14768665-2000000</f>
        <v>75126537</v>
      </c>
      <c r="CP57" s="19">
        <f>5034959656-542678946-7545150+57194200-25966424-15826969</f>
        <v>4500136367</v>
      </c>
      <c r="CQ57" s="19" t="s">
        <v>96</v>
      </c>
      <c r="CR57" s="19">
        <f>466916045-313307835-19668220-9534300-70180</f>
        <v>124335510</v>
      </c>
      <c r="CS57" s="56" t="s">
        <v>172</v>
      </c>
      <c r="CT57" s="19">
        <f>18352850265-3874348728-567219997-249794402-2167667-201841483-66370000</f>
        <v>13391107988</v>
      </c>
      <c r="CU57" s="19">
        <f>1034154269-579704441-16909180-15372948-11177392</f>
        <v>410990308</v>
      </c>
      <c r="CV57" s="19">
        <v>34162489</v>
      </c>
      <c r="CW57" s="19">
        <f>3220682564-2022326949+16012530-1950000-10715628-129709582-7115470-238234074</f>
        <v>826643391</v>
      </c>
      <c r="CX57" s="19">
        <f>4681260047-1881291169+7100000-291738975-86209720-33398102-7475000-7009780</f>
        <v>2381237301</v>
      </c>
      <c r="CY57" s="19" t="s">
        <v>96</v>
      </c>
      <c r="CZ57" s="19">
        <f>3750927741-701070878+12086640+2787000+7200000-55422580-90972933-178113286-48456946</f>
        <v>2698964758</v>
      </c>
      <c r="DA57" s="19" t="s">
        <v>175</v>
      </c>
      <c r="DB57" s="19">
        <f>116506044-4731480+4315591+1962700+12058010+669283+603380+4960320+253800+9711756+6276000+4466530+2016628+3544200-1664000+1154560+14063871-3096000+7093642</f>
        <v>180164835</v>
      </c>
      <c r="DC57" s="19">
        <f>53254638-725348-500220</f>
        <v>52029070</v>
      </c>
      <c r="DD57" s="19">
        <f>83881588-24000000-3154470-1606920-15488660</f>
        <v>39631538</v>
      </c>
      <c r="DE57" s="19">
        <f>2193592445-1344498792-54072190-42818937</f>
        <v>752202526</v>
      </c>
      <c r="DF57" s="19">
        <f>87145494-46480640+74000+6500000-2707167-2597550-623860</f>
        <v>41310277</v>
      </c>
      <c r="DG57" s="19">
        <f>7080456+1583360+480000+5485770+194280+4560016+1374377+10400249+40920+229091+2536257+5390593+28328439+1130120+545283698+1300000</f>
        <v>615397626</v>
      </c>
      <c r="DH57" s="19">
        <f>577674133-327559919-17498627-549486-19717760-593943</f>
        <v>211754398</v>
      </c>
      <c r="DI57" s="19">
        <f>964930847-142953520-264802449-101883289-12631974-19681480-2953</f>
        <v>422975182</v>
      </c>
      <c r="DJ57" s="19">
        <f>234835426-50200000+7600000-45900000+6600000-4100000-16794897-123860-6322800</f>
        <v>125593869</v>
      </c>
      <c r="DK57" s="19">
        <f>1731931206-263545706+590000-27350000-35882501+24925000-51393750-172423912-28238350-4005480</f>
        <v>1174606507</v>
      </c>
      <c r="DL57" s="19">
        <f>996603818-489144200-1548000-37973171-17868940-6591330-10716054</f>
        <v>432762123</v>
      </c>
      <c r="DM57" s="19">
        <f>223890083-127075600-7083019-1778158-5162189</f>
        <v>82791117</v>
      </c>
      <c r="DN57" s="19">
        <f>394562737-18900000-115917384-4253875-34024238-2918858-20000</f>
        <v>218528382</v>
      </c>
      <c r="DO57" s="19">
        <f>107235806-39912000-59340079+20867770-1050000-2368310-3762590</f>
        <v>21670597</v>
      </c>
      <c r="DP57" s="19">
        <f>519000756-145070833-4781334-359436-14336200-103999</f>
        <v>354348954</v>
      </c>
      <c r="DQ57" s="19">
        <f>3228930+124250+1459000+1696052+2119674+65455+60000+636000+1529462+4078389+1800000</f>
        <v>16797212</v>
      </c>
      <c r="DR57" s="19">
        <f>1232757783-475516222+28071250-8060000-1860000-8422416-22845542</f>
        <v>744124853</v>
      </c>
      <c r="DS57" s="19">
        <f>1122923491-901749232</f>
        <v>221174259</v>
      </c>
      <c r="DT57" s="19">
        <f>2482079230-60000000-629181241+10766120+12913140-16003240-112975198-38544440-118681391-40188322</f>
        <v>1490184658</v>
      </c>
      <c r="DU57" s="19">
        <f>344119666-355581412+237196000-21112886-12483715-1000734</f>
        <v>191136919</v>
      </c>
      <c r="DV57" s="19">
        <f>4264076419+90525193+12215627+90764913+2188098710+45529689+2509714+33369305+561900+36608224+2506925+13567469+48525900+165000+283500+4016150+436427155</f>
        <v>7269751793</v>
      </c>
      <c r="DW57" s="19">
        <f>330500122-148179022-16128332-14764434-3463525-8183018</f>
        <v>139781791</v>
      </c>
      <c r="DX57" s="19">
        <f>10613506847-4271326410-396625145-27183341-97986017-70220004</f>
        <v>5750165930</v>
      </c>
      <c r="DY57" s="19">
        <f>543532251-431973449-3136464-10096080+27403</f>
        <v>98353661</v>
      </c>
      <c r="DZ57" s="19">
        <f>17077850+20300+4000000+861560+1115160+525680+45000+75000+49546+851694+18931367</f>
        <v>43553157</v>
      </c>
      <c r="EA57" s="19">
        <f>1373129+694983+7053200+4855772+2430264+114633+891839+3325000</f>
        <v>20738820</v>
      </c>
      <c r="EB57" s="19">
        <f>11782888412-9741855825+128479240-49074940-787590996-38108934-61112000-137443627-2120707-254824</f>
        <v>1093805799</v>
      </c>
      <c r="EC57" s="19">
        <f>511034013-171644792-7287915-2604557-8113330</f>
        <v>321383419</v>
      </c>
      <c r="ED57" s="19">
        <f>399876337-272212120-22624910-9146510-12067916-527082</f>
        <v>83297799</v>
      </c>
      <c r="EE57" s="19">
        <f>213939143-38331331-34644743-9693053-9707925-42851290-23401849</f>
        <v>55308952</v>
      </c>
      <c r="EF57" s="19">
        <f>515562004-EF52-EF54-EF56</f>
        <v>202017117</v>
      </c>
      <c r="EG57" s="19">
        <f>5058478897-1735356833-10593000-168573498-113385390-84697277-167949653</f>
        <v>2777923246</v>
      </c>
      <c r="EH57" s="19">
        <f>338578286-45991560-8501534-70632963-1498908-1112207</f>
        <v>210841114</v>
      </c>
      <c r="EI57" s="19">
        <f>6099190477-1900985713-291473576-197666634-36329048-22356340-142460329</f>
        <v>3507918837</v>
      </c>
      <c r="EJ57" s="19">
        <f>754884577-315990000-31875175-62500-3474820</f>
        <v>403482082</v>
      </c>
      <c r="EK57" s="19">
        <f>1933191652-98700000-759311394+2400000+95388700-108745484-102311289-55576291-28636-26985000</f>
        <v>879322258</v>
      </c>
      <c r="EL57" s="19">
        <f>347010071-133216793-60016212</f>
        <v>153777066</v>
      </c>
      <c r="EM57" s="19">
        <f>164365162-53303360-52242070-4858120-1339449</f>
        <v>52622163</v>
      </c>
      <c r="EN57" s="19">
        <f>9538169414-6273814880+65057270-549280364-121882790-40202399</f>
        <v>2618046251</v>
      </c>
      <c r="EO57" s="19">
        <f>930500544-376679436-91334564-2329734-28790366-17995070-28731825</f>
        <v>384639549</v>
      </c>
      <c r="EP57" s="19">
        <f>1003291626-734855010-58901790-4861720-42335054</f>
        <v>162338052</v>
      </c>
      <c r="EQ57" s="19">
        <f>8001427933-6736795300-363980326-80194210</f>
        <v>820458097</v>
      </c>
      <c r="ER57" s="19">
        <f>9098799291-7252933704-643538199-63803250-215998250-1342000</f>
        <v>921183888</v>
      </c>
      <c r="ES57" s="19">
        <f>477350171-223481993-11648000-2659817-18776570</f>
        <v>220783791</v>
      </c>
      <c r="ET57" s="19">
        <f>9641912125-1847684836-80556-355279618-80550857-106517049</f>
        <v>7251799209</v>
      </c>
      <c r="EU57" s="19">
        <f>2263582209-710523675-73168443-27422730-20224344</f>
        <v>1432243017</v>
      </c>
      <c r="EV57" s="19">
        <f>187009700-122872632-6997769-734478-2577740</f>
        <v>53827081</v>
      </c>
      <c r="EW57" s="19">
        <f>417659096-111164366-3115370-6920800</f>
        <v>296458560</v>
      </c>
      <c r="EX57" s="19">
        <f>2836884652-353517577+6043320+4549980-225208844-20126305-16370115-56332558-5070400-3715667</f>
        <v>2167136486</v>
      </c>
      <c r="EY57" s="19">
        <f>6677404676-4651974865+84040940-127865657-408909551-150129123-151855568</f>
        <v>1270710852</v>
      </c>
      <c r="EZ57" s="19">
        <f>128695000+42096090+38649283+258261091-4006279-38834365+204448423</f>
        <v>629309243</v>
      </c>
      <c r="FA57" s="19">
        <f>681252858-461709855-55716986-2468100-48054438-22870970</f>
        <v>90432509</v>
      </c>
      <c r="FB57" s="19">
        <f>196548247-83212200+12422680-200000-6688710-3870513-45606629-3414735</f>
        <v>65978140</v>
      </c>
      <c r="FC57" s="19">
        <f>694086571-184967360-3800000-11217240-4949160-145029452-1003060</f>
        <v>343120299</v>
      </c>
      <c r="FD57" s="19">
        <f>343590580-162220000+18000000-4710000-10214538-28934500</f>
        <v>155511542</v>
      </c>
      <c r="FE57" s="19">
        <f>6412269350-1920778593-95703699-64003232-6209845-69177321</f>
        <v>4256396660</v>
      </c>
      <c r="FF57" s="19">
        <f>577101709-328282650+9594700-7940000-23452540-14062981</f>
        <v>212958238</v>
      </c>
      <c r="FG57" s="19" t="s">
        <v>172</v>
      </c>
      <c r="FH57" s="19">
        <f>1185272879-786474975-15825550-811663-14740286-6091205</f>
        <v>361329200</v>
      </c>
      <c r="FI57" s="19" t="s">
        <v>172</v>
      </c>
      <c r="FJ57" s="19">
        <f>422505764-50796680-139486600+30000000-4901310-2448950-13689907</f>
        <v>241182317</v>
      </c>
      <c r="FK57" s="19">
        <f>2146921406-12890820-1441040942+160345038-21724473-6944100-38425649-69456338-33470436</f>
        <v>683313686</v>
      </c>
      <c r="FL57" s="19">
        <f>354338611-25379820-6268900-2853329-1124460</f>
        <v>318712102</v>
      </c>
      <c r="FM57" s="19">
        <f>1173989440-679490977-55176904-27341310</f>
        <v>411980249</v>
      </c>
      <c r="FN57" s="19">
        <f>2269001064-826647888-131958554-50834249-57244319-56202634</f>
        <v>1146113420</v>
      </c>
      <c r="FO57" s="56" t="s">
        <v>172</v>
      </c>
      <c r="FP57" s="19">
        <f>287681160-141384551-25827774-3480417-2342506-11267790</f>
        <v>103378122</v>
      </c>
      <c r="FQ57" s="19">
        <f>8081832+6237210+64990+10526926+1640857+34260</f>
        <v>26586075</v>
      </c>
      <c r="FR57" s="19">
        <f>967422466-436102856-16000000-2527343-16915732-31462150</f>
        <v>464414385</v>
      </c>
      <c r="FS57" s="19">
        <f>1030851772-534248474-21069863-23569730</f>
        <v>451963705</v>
      </c>
      <c r="FT57" s="19">
        <f>5270399664-511993167-78357738-158693149-8345381-25781350</f>
        <v>4487228879</v>
      </c>
      <c r="FU57" s="19">
        <f>117313297-46336340-3624000</f>
        <v>67352957</v>
      </c>
      <c r="FV57" s="19" t="s">
        <v>172</v>
      </c>
      <c r="FW57" s="19">
        <f>28103771-4200000-192860-829377-3600000</f>
        <v>19281534</v>
      </c>
      <c r="FX57" s="19">
        <f>359380782-218320000-4934211-1872314-27903287-268400</f>
        <v>106082570</v>
      </c>
      <c r="FY57" s="19" t="s">
        <v>172</v>
      </c>
      <c r="FZ57" s="19" t="s">
        <v>175</v>
      </c>
      <c r="GA57" s="19">
        <f>2608195767-1315022385+87286736-9600000-210000-48129490-105555438-3363728</f>
        <v>1213601462</v>
      </c>
      <c r="GB57" s="19">
        <f>355253474-241222830-6459579-7160850</f>
        <v>100410215</v>
      </c>
      <c r="GC57" s="19">
        <f>198160008-128978830+23706410-2752520-5621050-5851044</f>
        <v>78662974</v>
      </c>
      <c r="GD57" s="19" t="s">
        <v>172</v>
      </c>
      <c r="GE57" s="19" t="s">
        <v>172</v>
      </c>
      <c r="GF57" s="19">
        <f>768848769-246913040-11912584-35372104-446006-23641110</f>
        <v>450563925</v>
      </c>
      <c r="GG57" s="19">
        <v>1758834553</v>
      </c>
      <c r="GH57" s="19" t="s">
        <v>172</v>
      </c>
      <c r="GI57" s="19">
        <v>33819866</v>
      </c>
      <c r="GJ57" s="19" t="s">
        <v>172</v>
      </c>
      <c r="GK57" s="19">
        <f>534495814-189855342-17586870-23470356-9957720</f>
        <v>293625526</v>
      </c>
      <c r="GL57" s="19" t="s">
        <v>172</v>
      </c>
      <c r="GM57" s="19">
        <f>580471308-GM52-GM53-GM54-GM55-GM56</f>
        <v>348833621</v>
      </c>
      <c r="GN57" s="19">
        <v>367209026</v>
      </c>
      <c r="GO57" s="19" t="s">
        <v>172</v>
      </c>
      <c r="GP57" s="19">
        <v>751410603</v>
      </c>
      <c r="GQ57" s="19">
        <v>51591662</v>
      </c>
      <c r="GR57" s="19">
        <v>940205720</v>
      </c>
      <c r="GS57" s="19">
        <v>289946108</v>
      </c>
      <c r="GT57" s="19">
        <f>397351983-151035107-49494549-40911007-9155524</f>
        <v>146755796</v>
      </c>
      <c r="GU57" s="19">
        <v>93914274</v>
      </c>
      <c r="GV57" s="19">
        <v>892724412</v>
      </c>
      <c r="GW57" s="19">
        <v>2961349783</v>
      </c>
      <c r="GX57" s="19">
        <v>240853580</v>
      </c>
      <c r="GY57" s="19">
        <v>295526662</v>
      </c>
      <c r="GZ57" s="19">
        <v>490814013</v>
      </c>
      <c r="HA57" s="19" t="s">
        <v>172</v>
      </c>
      <c r="HB57" s="19">
        <v>663211489</v>
      </c>
      <c r="HC57" s="19">
        <v>243446198</v>
      </c>
      <c r="HD57" s="19">
        <v>419058614</v>
      </c>
      <c r="HE57" s="19" t="s">
        <v>172</v>
      </c>
      <c r="HF57" s="19">
        <v>535415515</v>
      </c>
      <c r="HG57" s="19">
        <f>572943294-224921847</f>
        <v>348021447</v>
      </c>
      <c r="HH57" s="19" t="s">
        <v>172</v>
      </c>
      <c r="HI57" s="19">
        <f>3115541549-1317991968</f>
        <v>1797549581</v>
      </c>
      <c r="HJ57" s="19" t="s">
        <v>172</v>
      </c>
      <c r="HK57" s="19">
        <f>1755727960-1134474479</f>
        <v>621253481</v>
      </c>
      <c r="HL57" s="19">
        <f>224551338-157783268</f>
        <v>66768070</v>
      </c>
      <c r="HM57" s="19">
        <f>27940+(900200276-467381880)-19096</f>
        <v>432827240</v>
      </c>
      <c r="HN57" s="19">
        <f>167141560-116953880-8781740-10000000-3725670</f>
        <v>27680270</v>
      </c>
      <c r="HO57" s="19">
        <f>720969410-185381860-352130624+1200000+16200000+5700000-300000-79528252-1747690-10541160-2520000</f>
        <v>111919824</v>
      </c>
      <c r="HP57" s="19">
        <f>1443842250-763053810-791745502-117843935+35290520+2706920+930981013-138667560+26076630-89222288-5999999</f>
        <v>532364239</v>
      </c>
      <c r="HQ57" s="19">
        <f>1764990370-1826032661+316627040+52583670+9500000+32400000-8074000-45290667-42642526-35549760-10594000</f>
        <v>207917466</v>
      </c>
      <c r="HR57" s="19">
        <f>2276054119-1257087913</f>
        <v>1018966206</v>
      </c>
      <c r="HS57" s="19">
        <f>406333804-296435955</f>
        <v>109897849</v>
      </c>
      <c r="HT57" s="19">
        <f>215376020-162709432</f>
        <v>52666588</v>
      </c>
      <c r="HU57" s="19">
        <f>3902929242-997617074</f>
        <v>2905312168</v>
      </c>
      <c r="HV57" s="19">
        <f>248911567-109548713</f>
        <v>139362854</v>
      </c>
      <c r="HW57" s="19" t="s">
        <v>172</v>
      </c>
      <c r="HX57" s="19">
        <f>741027705-141761909</f>
        <v>599265796</v>
      </c>
      <c r="HY57" s="19" t="s">
        <v>172</v>
      </c>
      <c r="HZ57" s="19">
        <f>559243332-339650937</f>
        <v>219592395</v>
      </c>
      <c r="IA57" s="19">
        <f>206960172-IA52-IA53-IA54-IA56</f>
        <v>95354189</v>
      </c>
      <c r="IB57" s="19">
        <f>1495147697-436139496</f>
        <v>1059008201</v>
      </c>
      <c r="IC57" s="19">
        <f>6907324650-5114938205</f>
        <v>1792386445</v>
      </c>
      <c r="ID57" s="19">
        <f>324438145-255963520-10450000-5439260-5099372-10039230-1051640</f>
        <v>36395123</v>
      </c>
      <c r="IE57" s="19" t="s">
        <v>172</v>
      </c>
      <c r="IF57" s="19">
        <f>89997737-50235071</f>
        <v>39762666</v>
      </c>
      <c r="IG57" s="19">
        <f>177924656-80771706</f>
        <v>97152950</v>
      </c>
      <c r="IH57" s="19">
        <f>958097635-383984595</f>
        <v>574113040</v>
      </c>
      <c r="II57" s="19">
        <f>308841460-149350416</f>
        <v>159491044</v>
      </c>
      <c r="IJ57" s="19">
        <f>668969029-500406048</f>
        <v>168562981</v>
      </c>
      <c r="IK57" s="19">
        <f>492357317-340155009</f>
        <v>152202308</v>
      </c>
      <c r="IL57" s="19">
        <f>319067858-203669634</f>
        <v>115398224</v>
      </c>
      <c r="IM57" s="19">
        <f>2410233699-IM52-IM54-IM56</f>
        <v>803741536</v>
      </c>
      <c r="IN57" s="19">
        <f>3888922042-1413844130</f>
        <v>2475077912</v>
      </c>
      <c r="IO57" s="19">
        <f>1173331402-331812817</f>
        <v>841518585</v>
      </c>
      <c r="IP57" s="19">
        <f>1459929816-577963678</f>
        <v>881966138</v>
      </c>
      <c r="IQ57" s="19">
        <f>2313416901-288015798</f>
        <v>2025401103</v>
      </c>
      <c r="IR57" s="19">
        <f>1409357245-904246190</f>
        <v>505111055</v>
      </c>
      <c r="IS57" s="19">
        <f>503591397-253558113</f>
        <v>250033284</v>
      </c>
      <c r="IT57" s="19">
        <f>527269980-358456496</f>
        <v>168813484</v>
      </c>
      <c r="IU57" s="19">
        <f>7977331228-6632231630+22074520-526792611-4672255-16483890</f>
        <v>819225362</v>
      </c>
      <c r="IV57" s="19">
        <f>1836888300-1547995894</f>
        <v>288892406</v>
      </c>
      <c r="IW57" s="19">
        <f>1398929270-711201640</f>
        <v>687727630</v>
      </c>
      <c r="IX57" s="19">
        <f>1088276730-709593928</f>
        <v>378682802</v>
      </c>
      <c r="IY57" s="19">
        <f>1082204172-282619446</f>
        <v>799584726</v>
      </c>
      <c r="IZ57" s="19">
        <f>527478937-309377177</f>
        <v>218101760</v>
      </c>
      <c r="JA57" s="19">
        <f>1947919957-611073338-68696902-92787938-15956322-22073182-5261260-10812777</f>
        <v>1121258238</v>
      </c>
      <c r="JB57" s="19">
        <f>588542493-174974396</f>
        <v>413568097</v>
      </c>
      <c r="JC57" s="19">
        <f>138854537-71299530</f>
        <v>67555007</v>
      </c>
      <c r="JD57" s="19">
        <f>1099798077-228355505</f>
        <v>871442572</v>
      </c>
      <c r="JE57" s="19">
        <f>165720221-95756564</f>
        <v>69963657</v>
      </c>
      <c r="JF57" s="19">
        <f>1366441963-746824415</f>
        <v>619617548</v>
      </c>
      <c r="JG57" s="19">
        <f>77701406-47250524</f>
        <v>30450882</v>
      </c>
      <c r="JH57" s="19">
        <f>248464931-22400000-99847322+18599330-6785550-2679260-31017346</f>
        <v>104334783</v>
      </c>
      <c r="JI57" s="19">
        <f>198396680-122667055</f>
        <v>75729625</v>
      </c>
      <c r="JJ57" s="19">
        <f>111641254-31020732</f>
        <v>80620522</v>
      </c>
      <c r="JK57" s="19">
        <f>195611593-82550056</f>
        <v>113061537</v>
      </c>
      <c r="JL57" s="19">
        <f>5489477650-4928462010</f>
        <v>561015640</v>
      </c>
      <c r="JM57" s="19">
        <f>868072132-273051128</f>
        <v>595021004</v>
      </c>
      <c r="JN57" s="19">
        <f>455321927-150543245</f>
        <v>304778682</v>
      </c>
      <c r="JO57" s="19">
        <f>264377492-190440703</f>
        <v>73936789</v>
      </c>
      <c r="JP57" s="19">
        <f>67909700+12073292-219240+93967999-5053400-1174422</f>
        <v>167503929</v>
      </c>
      <c r="JQ57" s="19" t="s">
        <v>175</v>
      </c>
      <c r="JR57" s="19">
        <f>968817558-490858113</f>
        <v>477959445</v>
      </c>
      <c r="JS57" s="19">
        <f>395899645-116650560+2800000+1386000-155871888+58144000-3714000-21663057-11842870-32831144</f>
        <v>115656126</v>
      </c>
      <c r="JT57" s="19">
        <f>260223278-129746909</f>
        <v>130476369</v>
      </c>
      <c r="JU57" s="19">
        <f>307732108-218643840</f>
        <v>89088268</v>
      </c>
      <c r="JV57" s="19">
        <f>4357494577-3550779179</f>
        <v>806715398</v>
      </c>
      <c r="JW57" s="19">
        <f>2013512313-867370600</f>
        <v>1146141713</v>
      </c>
      <c r="JX57" s="19">
        <f>7018137316-6811838800</f>
        <v>206298516</v>
      </c>
      <c r="JY57" s="19">
        <f>5337670079-3886817225-51704290-21760000-292729101-95408357-38723681</f>
        <v>950527425</v>
      </c>
      <c r="JZ57" s="19">
        <f>29800540-13043709</f>
        <v>16756831</v>
      </c>
      <c r="KA57" s="19">
        <f>646933632-396468664</f>
        <v>250464968</v>
      </c>
      <c r="KB57" s="19">
        <f>1041475055-KB52-KB54-KB56</f>
        <v>481172808</v>
      </c>
      <c r="KC57" s="19">
        <f>442081498-156546216</f>
        <v>285535282</v>
      </c>
      <c r="KD57" s="19">
        <f>1329244263-1154532285</f>
        <v>174711978</v>
      </c>
      <c r="KE57" s="19">
        <f>38513922-22000000-1416890</f>
        <v>15097032</v>
      </c>
      <c r="KF57" s="19">
        <f>873056731-501559274</f>
        <v>371497457</v>
      </c>
      <c r="KG57" s="19">
        <f>851760232-164262387</f>
        <v>687497845</v>
      </c>
      <c r="KH57" s="19">
        <f>395289815-205037353</f>
        <v>190252462</v>
      </c>
      <c r="KI57" s="19">
        <f>10418520+47500+948100+781200+500000+3974680+99990+2143700+220000+680000+1950000+1168800+1434786+1980000+1090470+640000+240000+1212000+83667829+3186620+11219325+4000000</f>
        <v>131603520</v>
      </c>
      <c r="KJ57" s="19">
        <f>4578780+67000+1481717+1141565+4080000+32697814+6370060+1619150+50000+3188140+2308000+1110000+3431258+236010+227320594+60699746+22071307+34058261</f>
        <v>406509402</v>
      </c>
      <c r="KK57" s="19">
        <f>32748329+40566694+15406600+1858341+4381664+17505168+60000+80944745+11518143+135815269+13785337+5797500+99410+6676364+16052718+21289042+202407722+5190455+4639200</f>
        <v>616742701</v>
      </c>
      <c r="KL57" s="19">
        <f>519700000+324475000+183221000+7382785000+1326402000+115106000+45916000+243885000+105686000+266983000</f>
        <v>10514159000</v>
      </c>
      <c r="KM57" s="19">
        <f>20999070+11462236+1992032+3057357+360000+6719390+71555335+9865051+2118050+1613080+1437480+844720+1225280+13346890+39949497+4300000+7739562+1440000</f>
        <v>200025030</v>
      </c>
      <c r="KN57" s="19">
        <f>108071694+242232316+13659056+1000000+10992988+97180+961571+133584652+14223000+73816235+124434+375083330+1188576+21000000+19070000+680761+114332510+234810867+192557218+7054843+6895169</f>
        <v>1571436400</v>
      </c>
      <c r="KO57" s="19">
        <f>40145250+17824405+2868487+29650000+1964000+75237768+43019047+18952618+51793784+131205300+62532531+7199994+18479335+4938791+17385802+42230656+124642254+944819</f>
        <v>691014841</v>
      </c>
      <c r="KP57" s="19">
        <f>10700000+7296430+507100+15799960+979460+9725785+2332150+4196380+4000000+20214132+4038800+3830800+795400+478800+12590000+1987500+16144900</f>
        <v>115617597</v>
      </c>
      <c r="KQ57" s="19">
        <f>5544180+3732540+398600+1800000+1144100+5861000+5027005+1744514+854673+60000+115813</f>
        <v>26282425</v>
      </c>
      <c r="KR57" s="19">
        <f>25103067+2974420+300000+675775+4801588+4995395+8160000+5194452+5697623+13830938+351150+30000+13465949+59534067+4906409</f>
        <v>150020833</v>
      </c>
      <c r="KS57" s="19">
        <f>11965313+2685674+693040+2108044+11950+1545384+3216480+40000+7102029+7179808+414500+1400000+106900+1145288+2627979+2491261+574207+10325000</f>
        <v>55632857</v>
      </c>
      <c r="KT57" s="19">
        <f>16566405+1249381+4933600+1456567+6347345+3665312+120000+4613680+460022+12910+3490077+21129082+41442080+22720791+9919588+2616200</f>
        <v>140743040</v>
      </c>
      <c r="KU57" s="19">
        <f>43844189+67103347+3711462+1732206+61100+4592060+31296721+14916461+23611613+166056577+14417825+48943374+5918516+124737368+220000</f>
        <v>551162819</v>
      </c>
      <c r="KV57" s="19">
        <f>11117750+2654855-259355+855630+8018140+1335000+4057164+6208250+8124820+4883980+6000000+10850000+712500+597500+15923947+31787080-1200000+6273521+2401600+36000+182745+4539999</f>
        <v>125101126</v>
      </c>
      <c r="KW57" s="19">
        <f>2322970+50000+195800+140276+3226905+227680+17370000+23836130+6632297+200160+13120750+52829644+154270</f>
        <v>120306882</v>
      </c>
      <c r="KX57" s="19">
        <f>153940+6181170+208600+1500000+19475157+21713191+32940+704449+2500000+1000000+256960+16390</f>
        <v>53742797</v>
      </c>
      <c r="KY57" s="19">
        <f>20767173+27444465+2409145+21585076+2645147+4576820+4070816+29912612+13051100+1555825+6289319+27273+600000+133033+415455+100000</f>
        <v>135583259</v>
      </c>
      <c r="KZ57" s="58">
        <f>KZ51-KZ52-KZ56</f>
        <v>68668508</v>
      </c>
      <c r="LA57" s="70">
        <v>13647774</v>
      </c>
      <c r="LB57" s="70">
        <v>42319296</v>
      </c>
    </row>
    <row r="58" spans="1:314">
      <c r="A58" s="9" t="s">
        <v>103</v>
      </c>
      <c r="B58" s="10" t="s">
        <v>87</v>
      </c>
      <c r="C58" s="19">
        <f>C50-C51</f>
        <v>-101890665</v>
      </c>
      <c r="D58" s="19">
        <f>D50-D51</f>
        <v>-103489927</v>
      </c>
      <c r="E58" s="19">
        <f>E50-E51</f>
        <v>-126556181</v>
      </c>
      <c r="F58" s="19">
        <f>F50-F51</f>
        <v>395425842</v>
      </c>
      <c r="G58" s="19" t="s">
        <v>130</v>
      </c>
      <c r="H58" s="19">
        <f>H50-H51</f>
        <v>-424958348</v>
      </c>
      <c r="I58" s="19">
        <f>I50-I51</f>
        <v>11417241</v>
      </c>
      <c r="J58" s="19" t="s">
        <v>176</v>
      </c>
      <c r="K58" s="19">
        <f>K50-K51</f>
        <v>-898763517</v>
      </c>
      <c r="L58" s="19" t="s">
        <v>96</v>
      </c>
      <c r="M58" s="19" t="s">
        <v>96</v>
      </c>
      <c r="N58" s="19">
        <f t="shared" ref="N58:S58" si="138">N50-N51</f>
        <v>-543995686</v>
      </c>
      <c r="O58" s="19">
        <f t="shared" si="138"/>
        <v>-345544555</v>
      </c>
      <c r="P58" s="19">
        <f t="shared" si="138"/>
        <v>1189405</v>
      </c>
      <c r="Q58" s="19">
        <f>Q50-Q51</f>
        <v>-98167483</v>
      </c>
      <c r="R58" s="19">
        <f t="shared" si="138"/>
        <v>-86717347</v>
      </c>
      <c r="S58" s="19">
        <f t="shared" si="138"/>
        <v>213433547</v>
      </c>
      <c r="T58" s="19" t="s">
        <v>96</v>
      </c>
      <c r="U58" s="19" t="s">
        <v>96</v>
      </c>
      <c r="V58" s="19" t="s">
        <v>172</v>
      </c>
      <c r="W58" s="19">
        <f t="shared" ref="W58:AE58" si="139">W50-W51</f>
        <v>-82060836</v>
      </c>
      <c r="X58" s="19">
        <f t="shared" si="139"/>
        <v>750912593</v>
      </c>
      <c r="Y58" s="19">
        <f t="shared" si="139"/>
        <v>-79904315</v>
      </c>
      <c r="Z58" s="19">
        <f t="shared" si="139"/>
        <v>258456123</v>
      </c>
      <c r="AA58" s="19">
        <f t="shared" si="139"/>
        <v>253395435</v>
      </c>
      <c r="AB58" s="19">
        <f t="shared" si="139"/>
        <v>-108155502</v>
      </c>
      <c r="AC58" s="19">
        <f t="shared" si="139"/>
        <v>511181649</v>
      </c>
      <c r="AD58" s="19">
        <f t="shared" si="139"/>
        <v>285872631</v>
      </c>
      <c r="AE58" s="19">
        <f t="shared" si="139"/>
        <v>-87221034</v>
      </c>
      <c r="AF58" s="56" t="s">
        <v>172</v>
      </c>
      <c r="AG58" s="19">
        <f>AG50-AG51</f>
        <v>-181873971</v>
      </c>
      <c r="AH58" s="19" t="s">
        <v>167</v>
      </c>
      <c r="AI58" s="19">
        <f>AI50-AI51</f>
        <v>-156279194</v>
      </c>
      <c r="AJ58" s="19">
        <f>AJ50-AJ51</f>
        <v>2797010</v>
      </c>
      <c r="AK58" s="19">
        <f>AK50-AK51</f>
        <v>-119242641</v>
      </c>
      <c r="AL58" s="19">
        <f>AL50-AL51</f>
        <v>-292291799</v>
      </c>
      <c r="AM58" s="19" t="s">
        <v>4</v>
      </c>
      <c r="AN58" s="19">
        <f>AN50-AN51</f>
        <v>96793456</v>
      </c>
      <c r="AO58" s="19">
        <f>AO50-AO51</f>
        <v>-339392706</v>
      </c>
      <c r="AP58" s="19">
        <f>AP50-AP51</f>
        <v>112930309</v>
      </c>
      <c r="AQ58" s="19" t="s">
        <v>172</v>
      </c>
      <c r="AR58" s="19">
        <f>AR50-AR51</f>
        <v>-1086423993</v>
      </c>
      <c r="AS58" s="19">
        <f>AS50-AS51</f>
        <v>180335551</v>
      </c>
      <c r="AT58" s="19" t="s">
        <v>172</v>
      </c>
      <c r="AU58" s="19">
        <f>AU50-AU51</f>
        <v>-689999323</v>
      </c>
      <c r="AV58" s="19">
        <f>AV50-AV51</f>
        <v>197809882</v>
      </c>
      <c r="AW58" s="19">
        <f>AW50-AW51</f>
        <v>36398245</v>
      </c>
      <c r="AX58" s="19" t="s">
        <v>4</v>
      </c>
      <c r="AY58" s="19">
        <f>AY50-AY51</f>
        <v>-56929788</v>
      </c>
      <c r="AZ58" s="19">
        <f>AZ50-AZ51</f>
        <v>20521732</v>
      </c>
      <c r="BA58" s="19" t="s">
        <v>167</v>
      </c>
      <c r="BB58" s="19">
        <f>BB50-BB51</f>
        <v>-62189207</v>
      </c>
      <c r="BC58" s="19" t="s">
        <v>4</v>
      </c>
      <c r="BD58" s="19" t="s">
        <v>172</v>
      </c>
      <c r="BE58" s="19">
        <f>BE50-BE51</f>
        <v>125188705</v>
      </c>
      <c r="BF58" s="19" t="s">
        <v>96</v>
      </c>
      <c r="BG58" s="19">
        <f t="shared" ref="BG58:BN58" si="140">BG50-BG51</f>
        <v>-281441356</v>
      </c>
      <c r="BH58" s="19">
        <f t="shared" si="140"/>
        <v>-2824878</v>
      </c>
      <c r="BI58" s="19">
        <f t="shared" si="140"/>
        <v>1635369</v>
      </c>
      <c r="BJ58" s="19">
        <f t="shared" si="140"/>
        <v>10537057</v>
      </c>
      <c r="BK58" s="19">
        <f t="shared" si="140"/>
        <v>66052792</v>
      </c>
      <c r="BL58" s="19">
        <f t="shared" si="140"/>
        <v>-363698139</v>
      </c>
      <c r="BM58" s="19">
        <f t="shared" si="140"/>
        <v>-130887437</v>
      </c>
      <c r="BN58" s="19">
        <f t="shared" si="140"/>
        <v>-56170419</v>
      </c>
      <c r="BO58" s="19" t="s">
        <v>96</v>
      </c>
      <c r="BP58" s="19" t="s">
        <v>96</v>
      </c>
      <c r="BQ58" s="19" t="s">
        <v>175</v>
      </c>
      <c r="BR58" s="19">
        <f>BR50-BR51</f>
        <v>850011814</v>
      </c>
      <c r="BS58" s="19" t="s">
        <v>172</v>
      </c>
      <c r="BT58" s="19">
        <f t="shared" ref="BT58:CD58" si="141">BT50-BT51</f>
        <v>-5409047</v>
      </c>
      <c r="BU58" s="19">
        <f t="shared" si="141"/>
        <v>-97854253</v>
      </c>
      <c r="BV58" s="19">
        <f t="shared" si="141"/>
        <v>-73057704</v>
      </c>
      <c r="BW58" s="19">
        <f t="shared" si="141"/>
        <v>-44789138</v>
      </c>
      <c r="BX58" s="19">
        <f t="shared" si="141"/>
        <v>6500155</v>
      </c>
      <c r="BY58" s="19">
        <f t="shared" si="141"/>
        <v>-1268292843</v>
      </c>
      <c r="BZ58" s="19">
        <f t="shared" si="141"/>
        <v>705015546</v>
      </c>
      <c r="CA58" s="19">
        <f t="shared" si="141"/>
        <v>249316974</v>
      </c>
      <c r="CB58" s="19">
        <f t="shared" si="141"/>
        <v>49968915</v>
      </c>
      <c r="CC58" s="19">
        <f t="shared" si="141"/>
        <v>-71107092</v>
      </c>
      <c r="CD58" s="19">
        <f t="shared" si="141"/>
        <v>12401812</v>
      </c>
      <c r="CE58" s="19" t="s">
        <v>172</v>
      </c>
      <c r="CF58" s="19">
        <f>CF50-CF51</f>
        <v>-136914058</v>
      </c>
      <c r="CG58" s="19">
        <f>CG50-CG51</f>
        <v>-67472567</v>
      </c>
      <c r="CH58" s="19">
        <f>CH50-CH51</f>
        <v>20297388</v>
      </c>
      <c r="CI58" s="19" t="s">
        <v>172</v>
      </c>
      <c r="CJ58" s="19">
        <f t="shared" ref="CJ58:CP58" si="142">CJ50-CJ51</f>
        <v>903738</v>
      </c>
      <c r="CK58" s="19">
        <f t="shared" si="142"/>
        <v>64131356</v>
      </c>
      <c r="CL58" s="19">
        <f t="shared" si="142"/>
        <v>-100889609</v>
      </c>
      <c r="CM58" s="19">
        <f t="shared" si="142"/>
        <v>497372377</v>
      </c>
      <c r="CN58" s="19">
        <f t="shared" si="142"/>
        <v>38411488</v>
      </c>
      <c r="CO58" s="19">
        <f t="shared" si="142"/>
        <v>-19778608</v>
      </c>
      <c r="CP58" s="19">
        <f t="shared" si="142"/>
        <v>-3939830</v>
      </c>
      <c r="CQ58" s="19" t="s">
        <v>96</v>
      </c>
      <c r="CR58" s="19">
        <f>CR50-CR51</f>
        <v>-173808859</v>
      </c>
      <c r="CS58" s="56" t="s">
        <v>172</v>
      </c>
      <c r="CT58" s="19">
        <f>CT50-CT51</f>
        <v>-15496984475</v>
      </c>
      <c r="CU58" s="19">
        <f>CU50-CU51</f>
        <v>48220762</v>
      </c>
      <c r="CV58" s="19">
        <v>-24171243</v>
      </c>
      <c r="CW58" s="19">
        <f>CW50-CW51</f>
        <v>-484855884</v>
      </c>
      <c r="CX58" s="19">
        <f>CX50-CX51</f>
        <v>-1188324195</v>
      </c>
      <c r="CY58" s="19" t="s">
        <v>96</v>
      </c>
      <c r="CZ58" s="19">
        <f>CZ50-CZ51</f>
        <v>323684653</v>
      </c>
      <c r="DA58" s="19" t="s">
        <v>175</v>
      </c>
      <c r="DB58" s="19">
        <f t="shared" ref="DB58:DR58" si="143">DB50-DB51</f>
        <v>-53769430</v>
      </c>
      <c r="DC58" s="19">
        <f t="shared" si="143"/>
        <v>6981082</v>
      </c>
      <c r="DD58" s="19">
        <f t="shared" si="143"/>
        <v>-47848128</v>
      </c>
      <c r="DE58" s="19">
        <f t="shared" si="143"/>
        <v>120961969</v>
      </c>
      <c r="DF58" s="19">
        <f t="shared" si="143"/>
        <v>-41621954</v>
      </c>
      <c r="DG58" s="19">
        <f t="shared" si="143"/>
        <v>-60007057</v>
      </c>
      <c r="DH58" s="19">
        <f t="shared" si="143"/>
        <v>60104720</v>
      </c>
      <c r="DI58" s="19">
        <f t="shared" si="143"/>
        <v>97559737</v>
      </c>
      <c r="DJ58" s="19">
        <f t="shared" si="143"/>
        <v>-121016722</v>
      </c>
      <c r="DK58" s="19">
        <f t="shared" si="143"/>
        <v>1448991276</v>
      </c>
      <c r="DL58" s="19">
        <f t="shared" si="143"/>
        <v>-120364474</v>
      </c>
      <c r="DM58" s="19">
        <f t="shared" si="143"/>
        <v>-159865201</v>
      </c>
      <c r="DN58" s="19">
        <f t="shared" si="143"/>
        <v>-157534019</v>
      </c>
      <c r="DO58" s="19">
        <f>DO50-DO51</f>
        <v>-19612061</v>
      </c>
      <c r="DP58" s="19">
        <f t="shared" si="143"/>
        <v>-7003460</v>
      </c>
      <c r="DQ58" s="19">
        <f t="shared" si="143"/>
        <v>2630921</v>
      </c>
      <c r="DR58" s="19">
        <f t="shared" si="143"/>
        <v>-461062940</v>
      </c>
      <c r="DS58" s="19">
        <f>DS50-DS51</f>
        <v>-83278777</v>
      </c>
      <c r="DT58" s="19">
        <f t="shared" ref="DT58:FF58" si="144">DT50-DT51</f>
        <v>-142264745</v>
      </c>
      <c r="DU58" s="19">
        <f t="shared" si="144"/>
        <v>45913699</v>
      </c>
      <c r="DV58" s="19">
        <f t="shared" si="144"/>
        <v>-1498771164</v>
      </c>
      <c r="DW58" s="19">
        <f t="shared" si="144"/>
        <v>-32823695</v>
      </c>
      <c r="DX58" s="19">
        <f t="shared" si="144"/>
        <v>-909392554</v>
      </c>
      <c r="DY58" s="19">
        <f t="shared" si="144"/>
        <v>59062062</v>
      </c>
      <c r="DZ58" s="19">
        <f t="shared" si="144"/>
        <v>22778461</v>
      </c>
      <c r="EA58" s="19">
        <f t="shared" si="144"/>
        <v>-1493938</v>
      </c>
      <c r="EB58" s="19">
        <f>EB50-EB51</f>
        <v>1107870201</v>
      </c>
      <c r="EC58" s="19">
        <f t="shared" si="144"/>
        <v>33575733</v>
      </c>
      <c r="ED58" s="19">
        <f t="shared" si="144"/>
        <v>-269385849</v>
      </c>
      <c r="EE58" s="19">
        <f t="shared" si="144"/>
        <v>244781369</v>
      </c>
      <c r="EF58" s="19">
        <f t="shared" si="144"/>
        <v>311619977</v>
      </c>
      <c r="EG58" s="19">
        <f t="shared" si="144"/>
        <v>-4741114503</v>
      </c>
      <c r="EH58" s="19">
        <f t="shared" si="144"/>
        <v>-105351955</v>
      </c>
      <c r="EI58" s="19">
        <f t="shared" si="144"/>
        <v>-14351790624</v>
      </c>
      <c r="EJ58" s="19">
        <f t="shared" si="144"/>
        <v>-548510077</v>
      </c>
      <c r="EK58" s="19">
        <f t="shared" si="144"/>
        <v>-724512876</v>
      </c>
      <c r="EL58" s="19">
        <f t="shared" si="144"/>
        <v>-843770797</v>
      </c>
      <c r="EM58" s="19">
        <f t="shared" si="144"/>
        <v>5506746</v>
      </c>
      <c r="EN58" s="19">
        <f t="shared" si="144"/>
        <v>654729243</v>
      </c>
      <c r="EO58" s="19">
        <f t="shared" si="144"/>
        <v>-18475325</v>
      </c>
      <c r="EP58" s="19">
        <f t="shared" si="144"/>
        <v>75045698</v>
      </c>
      <c r="EQ58" s="19">
        <f t="shared" si="144"/>
        <v>622143414</v>
      </c>
      <c r="ER58" s="19">
        <f t="shared" si="144"/>
        <v>-502869362</v>
      </c>
      <c r="ES58" s="19">
        <f t="shared" si="144"/>
        <v>-414410800</v>
      </c>
      <c r="ET58" s="19">
        <f t="shared" si="144"/>
        <v>-5719730500</v>
      </c>
      <c r="EU58" s="19">
        <f t="shared" si="144"/>
        <v>688946209</v>
      </c>
      <c r="EV58" s="19">
        <f t="shared" si="144"/>
        <v>10187005</v>
      </c>
      <c r="EW58" s="19">
        <f t="shared" si="144"/>
        <v>6711133</v>
      </c>
      <c r="EX58" s="19">
        <f t="shared" si="144"/>
        <v>112480862</v>
      </c>
      <c r="EY58" s="19">
        <f t="shared" si="144"/>
        <v>150991505</v>
      </c>
      <c r="EZ58" s="19">
        <f t="shared" si="144"/>
        <v>-175466595</v>
      </c>
      <c r="FA58" s="19">
        <f t="shared" si="144"/>
        <v>-21042024</v>
      </c>
      <c r="FB58" s="19">
        <f t="shared" si="144"/>
        <v>-37980628</v>
      </c>
      <c r="FC58" s="19">
        <f t="shared" si="144"/>
        <v>41716180</v>
      </c>
      <c r="FD58" s="19">
        <f t="shared" si="144"/>
        <v>-522499011</v>
      </c>
      <c r="FE58" s="19">
        <f t="shared" si="144"/>
        <v>561307415</v>
      </c>
      <c r="FF58" s="19">
        <f t="shared" si="144"/>
        <v>-10259147</v>
      </c>
      <c r="FG58" s="19" t="s">
        <v>172</v>
      </c>
      <c r="FH58" s="19">
        <f>FH50-FH51</f>
        <v>55058963</v>
      </c>
      <c r="FI58" s="19" t="s">
        <v>172</v>
      </c>
      <c r="FJ58" s="19">
        <f>FJ50-FJ51</f>
        <v>-5689634</v>
      </c>
      <c r="FK58" s="19">
        <f>FK50-FK51</f>
        <v>-159150864</v>
      </c>
      <c r="FL58" s="19">
        <f>FL50-FL51</f>
        <v>-550630109</v>
      </c>
      <c r="FM58" s="19">
        <f>FM50-FM51</f>
        <v>-868009781</v>
      </c>
      <c r="FN58" s="19">
        <f>FN50-FN51</f>
        <v>179573937</v>
      </c>
      <c r="FO58" s="56" t="s">
        <v>172</v>
      </c>
      <c r="FP58" s="19">
        <f t="shared" ref="FP58:FU58" si="145">FP50-FP51</f>
        <v>-85061779</v>
      </c>
      <c r="FQ58" s="19">
        <f t="shared" si="145"/>
        <v>-24477112</v>
      </c>
      <c r="FR58" s="19">
        <f t="shared" si="145"/>
        <v>-281656181</v>
      </c>
      <c r="FS58" s="19">
        <f t="shared" si="145"/>
        <v>-748256469</v>
      </c>
      <c r="FT58" s="19">
        <f t="shared" si="145"/>
        <v>-1122678466</v>
      </c>
      <c r="FU58" s="19">
        <f t="shared" si="145"/>
        <v>-51265084</v>
      </c>
      <c r="FV58" s="19" t="s">
        <v>172</v>
      </c>
      <c r="FW58" s="19">
        <f>FW50-FW51</f>
        <v>-12159163</v>
      </c>
      <c r="FX58" s="19">
        <f>FX50-FX51</f>
        <v>-189571310</v>
      </c>
      <c r="FY58" s="19" t="s">
        <v>172</v>
      </c>
      <c r="FZ58" s="19" t="s">
        <v>175</v>
      </c>
      <c r="GA58" s="19">
        <f>GA50-GA51</f>
        <v>-1560412463</v>
      </c>
      <c r="GB58" s="19">
        <f>GB50-GB51</f>
        <v>-256436042</v>
      </c>
      <c r="GC58" s="19">
        <f>GC50-GC51</f>
        <v>-6994495</v>
      </c>
      <c r="GD58" s="19" t="s">
        <v>172</v>
      </c>
      <c r="GE58" s="19" t="s">
        <v>172</v>
      </c>
      <c r="GF58" s="19">
        <f>GF50-GF51</f>
        <v>-563511695</v>
      </c>
      <c r="GG58" s="19">
        <f>GG50-GG51</f>
        <v>-1929885542</v>
      </c>
      <c r="GH58" s="19" t="s">
        <v>172</v>
      </c>
      <c r="GI58" s="19">
        <f t="shared" ref="GI58:IK58" si="146">GI50-GI51</f>
        <v>-12186989</v>
      </c>
      <c r="GJ58" s="19" t="s">
        <v>172</v>
      </c>
      <c r="GK58" s="19">
        <f t="shared" si="146"/>
        <v>-328251444</v>
      </c>
      <c r="GL58" s="19" t="s">
        <v>172</v>
      </c>
      <c r="GM58" s="19">
        <f t="shared" si="146"/>
        <v>-425264115</v>
      </c>
      <c r="GN58" s="19">
        <f t="shared" si="146"/>
        <v>-15719249</v>
      </c>
      <c r="GO58" s="19" t="s">
        <v>172</v>
      </c>
      <c r="GP58" s="19">
        <f t="shared" si="146"/>
        <v>260150464</v>
      </c>
      <c r="GQ58" s="19">
        <f t="shared" si="146"/>
        <v>41482385</v>
      </c>
      <c r="GR58" s="19">
        <f t="shared" si="146"/>
        <v>-251027870</v>
      </c>
      <c r="GS58" s="19">
        <f t="shared" si="146"/>
        <v>-700543364</v>
      </c>
      <c r="GT58" s="19">
        <f t="shared" si="146"/>
        <v>-245303785</v>
      </c>
      <c r="GU58" s="19">
        <f t="shared" si="146"/>
        <v>-39659372</v>
      </c>
      <c r="GV58" s="19">
        <f>GV50-GV51</f>
        <v>-137174970</v>
      </c>
      <c r="GW58" s="19">
        <f>GW50-GW51</f>
        <v>-5962464681</v>
      </c>
      <c r="GX58" s="19">
        <f t="shared" si="146"/>
        <v>27397816</v>
      </c>
      <c r="GY58" s="19">
        <f t="shared" si="146"/>
        <v>-1344234207</v>
      </c>
      <c r="GZ58" s="19">
        <f t="shared" si="146"/>
        <v>-115514822</v>
      </c>
      <c r="HA58" s="19" t="s">
        <v>172</v>
      </c>
      <c r="HB58" s="19">
        <f t="shared" si="146"/>
        <v>-514922576</v>
      </c>
      <c r="HC58" s="19">
        <f t="shared" si="146"/>
        <v>-171672815</v>
      </c>
      <c r="HD58" s="19">
        <f t="shared" si="146"/>
        <v>-446442914</v>
      </c>
      <c r="HE58" s="19" t="s">
        <v>172</v>
      </c>
      <c r="HF58" s="19">
        <f t="shared" si="146"/>
        <v>52896844</v>
      </c>
      <c r="HG58" s="19">
        <f t="shared" si="146"/>
        <v>453273582</v>
      </c>
      <c r="HH58" s="19" t="s">
        <v>172</v>
      </c>
      <c r="HI58" s="19">
        <f t="shared" si="146"/>
        <v>-2530899551</v>
      </c>
      <c r="HJ58" s="19" t="s">
        <v>172</v>
      </c>
      <c r="HK58" s="19">
        <f t="shared" si="146"/>
        <v>-644217290</v>
      </c>
      <c r="HL58" s="19">
        <f t="shared" si="146"/>
        <v>-58225876</v>
      </c>
      <c r="HM58" s="19">
        <f>HM50-HM51</f>
        <v>-141807367</v>
      </c>
      <c r="HN58" s="19">
        <f t="shared" si="146"/>
        <v>-65442979</v>
      </c>
      <c r="HO58" s="19">
        <f t="shared" si="146"/>
        <v>137318727</v>
      </c>
      <c r="HP58" s="19">
        <f t="shared" si="146"/>
        <v>-929005592</v>
      </c>
      <c r="HQ58" s="19">
        <f t="shared" si="146"/>
        <v>83893019</v>
      </c>
      <c r="HR58" s="19">
        <f t="shared" si="146"/>
        <v>-1728106420</v>
      </c>
      <c r="HS58" s="19">
        <f t="shared" si="146"/>
        <v>41242202</v>
      </c>
      <c r="HT58" s="19">
        <f t="shared" si="146"/>
        <v>-21812010</v>
      </c>
      <c r="HU58" s="19">
        <f t="shared" si="146"/>
        <v>-2125645073</v>
      </c>
      <c r="HV58" s="19">
        <f t="shared" si="146"/>
        <v>-81544620</v>
      </c>
      <c r="HW58" s="19" t="s">
        <v>172</v>
      </c>
      <c r="HX58" s="19">
        <f t="shared" si="146"/>
        <v>297388506</v>
      </c>
      <c r="HY58" s="19" t="s">
        <v>172</v>
      </c>
      <c r="HZ58" s="19">
        <f t="shared" si="146"/>
        <v>711402009</v>
      </c>
      <c r="IA58" s="19">
        <f t="shared" si="146"/>
        <v>-15888812</v>
      </c>
      <c r="IB58" s="19">
        <f t="shared" si="146"/>
        <v>237889294</v>
      </c>
      <c r="IC58" s="19">
        <f t="shared" si="146"/>
        <v>545719553</v>
      </c>
      <c r="ID58" s="19">
        <f t="shared" si="146"/>
        <v>-25172497</v>
      </c>
      <c r="IE58" s="19" t="s">
        <v>172</v>
      </c>
      <c r="IF58" s="19">
        <f t="shared" si="146"/>
        <v>-87028615</v>
      </c>
      <c r="IG58" s="19">
        <f t="shared" si="146"/>
        <v>11164105</v>
      </c>
      <c r="IH58" s="19">
        <f t="shared" si="146"/>
        <v>-222521386</v>
      </c>
      <c r="II58" s="19">
        <f t="shared" si="146"/>
        <v>-22482860</v>
      </c>
      <c r="IJ58" s="19">
        <f t="shared" si="146"/>
        <v>-121061552</v>
      </c>
      <c r="IK58" s="19">
        <f t="shared" si="146"/>
        <v>14587373</v>
      </c>
      <c r="IL58" s="19">
        <f t="shared" ref="IL58:JN58" si="147">IL50-IL51</f>
        <v>67333869</v>
      </c>
      <c r="IM58" s="19">
        <f>IM50-IM51</f>
        <v>-1338286033</v>
      </c>
      <c r="IN58" s="19">
        <f t="shared" si="147"/>
        <v>-2024297759</v>
      </c>
      <c r="IO58" s="19">
        <f t="shared" si="147"/>
        <v>-48995530</v>
      </c>
      <c r="IP58" s="19">
        <f t="shared" si="147"/>
        <v>-142299371</v>
      </c>
      <c r="IQ58" s="19">
        <f t="shared" si="147"/>
        <v>-197107705</v>
      </c>
      <c r="IR58" s="19">
        <f t="shared" si="147"/>
        <v>29220873</v>
      </c>
      <c r="IS58" s="19">
        <f t="shared" si="147"/>
        <v>494466497</v>
      </c>
      <c r="IT58" s="19">
        <f t="shared" si="147"/>
        <v>37832133</v>
      </c>
      <c r="IU58" s="19">
        <f t="shared" si="147"/>
        <v>133213743</v>
      </c>
      <c r="IV58" s="19">
        <f t="shared" si="147"/>
        <v>20156310</v>
      </c>
      <c r="IW58" s="19">
        <f t="shared" si="147"/>
        <v>-817382910</v>
      </c>
      <c r="IX58" s="19">
        <f t="shared" si="147"/>
        <v>24422401</v>
      </c>
      <c r="IY58" s="19">
        <f t="shared" si="147"/>
        <v>-512576031</v>
      </c>
      <c r="IZ58" s="19">
        <f t="shared" si="147"/>
        <v>-66072157</v>
      </c>
      <c r="JA58" s="19">
        <f t="shared" si="147"/>
        <v>280132001</v>
      </c>
      <c r="JB58" s="19">
        <f t="shared" si="147"/>
        <v>37849718</v>
      </c>
      <c r="JC58" s="19">
        <f t="shared" si="147"/>
        <v>-55986149</v>
      </c>
      <c r="JD58" s="19">
        <f t="shared" si="147"/>
        <v>310027712</v>
      </c>
      <c r="JE58" s="19">
        <f t="shared" si="147"/>
        <v>-18474700</v>
      </c>
      <c r="JF58" s="19">
        <f t="shared" si="147"/>
        <v>99803879</v>
      </c>
      <c r="JG58" s="19">
        <f t="shared" si="147"/>
        <v>-19302759</v>
      </c>
      <c r="JH58" s="19">
        <f t="shared" si="147"/>
        <v>-17210050</v>
      </c>
      <c r="JI58" s="19">
        <f t="shared" si="147"/>
        <v>-8995907</v>
      </c>
      <c r="JJ58" s="19">
        <f t="shared" si="147"/>
        <v>-28876290</v>
      </c>
      <c r="JK58" s="19">
        <f t="shared" si="147"/>
        <v>-26035118</v>
      </c>
      <c r="JL58" s="19">
        <f t="shared" si="147"/>
        <v>46311537</v>
      </c>
      <c r="JM58" s="19">
        <f t="shared" si="147"/>
        <v>24917787</v>
      </c>
      <c r="JN58" s="19">
        <f t="shared" si="147"/>
        <v>372995489</v>
      </c>
      <c r="JO58" s="19">
        <f t="shared" ref="JO58:KH58" si="148">JO50-JO51</f>
        <v>-17334762</v>
      </c>
      <c r="JP58" s="19">
        <f t="shared" si="148"/>
        <v>-67184606</v>
      </c>
      <c r="JQ58" s="19" t="s">
        <v>175</v>
      </c>
      <c r="JR58" s="19">
        <f t="shared" si="148"/>
        <v>-898676278</v>
      </c>
      <c r="JS58" s="19">
        <f t="shared" si="148"/>
        <v>-123764626</v>
      </c>
      <c r="JT58" s="19">
        <f t="shared" si="148"/>
        <v>1023929</v>
      </c>
      <c r="JU58" s="19">
        <f t="shared" si="148"/>
        <v>-499058</v>
      </c>
      <c r="JV58" s="19">
        <f t="shared" si="148"/>
        <v>85902644</v>
      </c>
      <c r="JW58" s="19">
        <f t="shared" si="148"/>
        <v>-3438506</v>
      </c>
      <c r="JX58" s="19">
        <f t="shared" si="148"/>
        <v>161484598</v>
      </c>
      <c r="JY58" s="19">
        <f t="shared" si="148"/>
        <v>57438312</v>
      </c>
      <c r="JZ58" s="19">
        <f t="shared" si="148"/>
        <v>-2654010</v>
      </c>
      <c r="KA58" s="19">
        <f t="shared" si="148"/>
        <v>50772031</v>
      </c>
      <c r="KB58" s="19">
        <f t="shared" si="148"/>
        <v>640120331</v>
      </c>
      <c r="KC58" s="19">
        <f t="shared" si="148"/>
        <v>-3317676</v>
      </c>
      <c r="KD58" s="19">
        <f t="shared" si="148"/>
        <v>6528985</v>
      </c>
      <c r="KE58" s="19">
        <f t="shared" si="148"/>
        <v>-20013205</v>
      </c>
      <c r="KF58" s="19">
        <f t="shared" si="148"/>
        <v>-845405976</v>
      </c>
      <c r="KG58" s="19">
        <f t="shared" si="148"/>
        <v>84252850</v>
      </c>
      <c r="KH58" s="19">
        <f t="shared" si="148"/>
        <v>21054104</v>
      </c>
      <c r="KI58" s="19">
        <f t="shared" ref="KI58:KZ58" si="149">KI50-KI51</f>
        <v>-61416951</v>
      </c>
      <c r="KJ58" s="19">
        <f t="shared" si="149"/>
        <v>88206615</v>
      </c>
      <c r="KK58" s="19">
        <f t="shared" si="149"/>
        <v>-1464728815</v>
      </c>
      <c r="KL58" s="19">
        <f t="shared" si="149"/>
        <v>-15632237611</v>
      </c>
      <c r="KM58" s="19">
        <f t="shared" si="149"/>
        <v>-49836621</v>
      </c>
      <c r="KN58" s="19">
        <f t="shared" si="149"/>
        <v>-2743192971</v>
      </c>
      <c r="KO58" s="19">
        <f t="shared" si="149"/>
        <v>-870057953</v>
      </c>
      <c r="KP58" s="19">
        <f t="shared" si="149"/>
        <v>-117980205</v>
      </c>
      <c r="KQ58" s="19">
        <f t="shared" si="149"/>
        <v>-49990746</v>
      </c>
      <c r="KR58" s="19">
        <f t="shared" si="149"/>
        <v>45454330</v>
      </c>
      <c r="KS58" s="19">
        <f t="shared" si="149"/>
        <v>5003947</v>
      </c>
      <c r="KT58" s="19">
        <f t="shared" si="149"/>
        <v>25716461</v>
      </c>
      <c r="KU58" s="19">
        <f t="shared" si="149"/>
        <v>76006123</v>
      </c>
      <c r="KV58" s="19">
        <f t="shared" si="149"/>
        <v>-7303981</v>
      </c>
      <c r="KW58" s="19">
        <f t="shared" si="149"/>
        <v>-106654981</v>
      </c>
      <c r="KX58" s="19">
        <f t="shared" si="149"/>
        <v>-64604883</v>
      </c>
      <c r="KY58" s="19">
        <f t="shared" si="149"/>
        <v>69769403</v>
      </c>
      <c r="KZ58" s="58">
        <f t="shared" si="149"/>
        <v>14960247</v>
      </c>
      <c r="LA58" s="70">
        <v>95577452</v>
      </c>
      <c r="LB58" s="70">
        <v>-5000330</v>
      </c>
    </row>
    <row r="59" spans="1:314">
      <c r="A59" s="9" t="s">
        <v>103</v>
      </c>
      <c r="B59" s="10" t="s">
        <v>16</v>
      </c>
      <c r="C59" s="19">
        <f>SUM(C60:C64)+C69</f>
        <v>84625276</v>
      </c>
      <c r="D59" s="19">
        <f>SUM(D60:D64)+D69</f>
        <v>806117796</v>
      </c>
      <c r="E59" s="19">
        <f>SUM(E60:E64)+E69</f>
        <v>149887716</v>
      </c>
      <c r="F59" s="19">
        <f>SUM(F60:F64)+F69</f>
        <v>58245943</v>
      </c>
      <c r="G59" s="19" t="s">
        <v>130</v>
      </c>
      <c r="H59" s="19">
        <f>SUM(H60:H64)+H69</f>
        <v>682054371</v>
      </c>
      <c r="I59" s="19">
        <f>SUM(I60:I64)+I69</f>
        <v>65769945</v>
      </c>
      <c r="J59" s="19" t="s">
        <v>176</v>
      </c>
      <c r="K59" s="19">
        <f>SUM(K60:K64)+K69</f>
        <v>955654185</v>
      </c>
      <c r="L59" s="19" t="s">
        <v>96</v>
      </c>
      <c r="M59" s="19" t="s">
        <v>96</v>
      </c>
      <c r="N59" s="19">
        <f t="shared" ref="N59:S59" si="150">SUM(N60:N64)+N69</f>
        <v>937047921</v>
      </c>
      <c r="O59" s="19">
        <f t="shared" si="150"/>
        <v>234002540</v>
      </c>
      <c r="P59" s="19">
        <f t="shared" si="150"/>
        <v>9541474</v>
      </c>
      <c r="Q59" s="19">
        <f t="shared" si="150"/>
        <v>38394167</v>
      </c>
      <c r="R59" s="19">
        <f t="shared" si="150"/>
        <v>35188120</v>
      </c>
      <c r="S59" s="19">
        <f t="shared" si="150"/>
        <v>40675356</v>
      </c>
      <c r="T59" s="19" t="s">
        <v>96</v>
      </c>
      <c r="U59" s="19" t="s">
        <v>96</v>
      </c>
      <c r="V59" s="19" t="s">
        <v>172</v>
      </c>
      <c r="W59" s="19">
        <f t="shared" ref="W59:AE59" si="151">SUM(W60:W64)+W69</f>
        <v>63995468</v>
      </c>
      <c r="X59" s="19">
        <f t="shared" si="151"/>
        <v>108776580</v>
      </c>
      <c r="Y59" s="19">
        <f t="shared" si="151"/>
        <v>21105826</v>
      </c>
      <c r="Z59" s="19">
        <f t="shared" si="151"/>
        <v>22001416</v>
      </c>
      <c r="AA59" s="19">
        <f t="shared" si="151"/>
        <v>100777320</v>
      </c>
      <c r="AB59" s="19">
        <f t="shared" si="151"/>
        <v>129457594</v>
      </c>
      <c r="AC59" s="19">
        <f t="shared" si="151"/>
        <v>18467976</v>
      </c>
      <c r="AD59" s="19">
        <f t="shared" si="151"/>
        <v>714302042</v>
      </c>
      <c r="AE59" s="19">
        <f t="shared" si="151"/>
        <v>157322859</v>
      </c>
      <c r="AF59" s="56" t="s">
        <v>172</v>
      </c>
      <c r="AG59" s="19">
        <f>SUM(AG60:AG64)+AG69</f>
        <v>158036618</v>
      </c>
      <c r="AH59" s="19" t="s">
        <v>167</v>
      </c>
      <c r="AI59" s="19">
        <f>SUM(AI60:AI64)+AI69</f>
        <v>27328465</v>
      </c>
      <c r="AJ59" s="19">
        <f>SUM(AJ60:AJ64)+AJ69</f>
        <v>9724892</v>
      </c>
      <c r="AK59" s="19">
        <f>SUM(AK60:AK64)+AK69</f>
        <v>156965476</v>
      </c>
      <c r="AL59" s="19">
        <f>SUM(AL60:AL64)+AL69</f>
        <v>38092995</v>
      </c>
      <c r="AM59" s="19" t="s">
        <v>4</v>
      </c>
      <c r="AN59" s="19">
        <f>SUM(AN60:AN64)+AN69</f>
        <v>37499017</v>
      </c>
      <c r="AO59" s="19">
        <f>SUM(AO60:AO64)+AO69</f>
        <v>49824680</v>
      </c>
      <c r="AP59" s="19">
        <f>SUM(AP60:AP64)+AP69</f>
        <v>1568947</v>
      </c>
      <c r="AQ59" s="19" t="s">
        <v>172</v>
      </c>
      <c r="AR59" s="19">
        <f>SUM(AR60:AR64)+AR69</f>
        <v>5198931</v>
      </c>
      <c r="AS59" s="19">
        <f>SUM(AS60:AS64)+AS69</f>
        <v>293460177</v>
      </c>
      <c r="AT59" s="19" t="s">
        <v>172</v>
      </c>
      <c r="AU59" s="19">
        <f>SUM(AU60:AU64)+AU69</f>
        <v>409195459</v>
      </c>
      <c r="AV59" s="19">
        <f>SUM(AV60:AV64)+AV69</f>
        <v>17321715</v>
      </c>
      <c r="AW59" s="19">
        <f>SUM(AW60:AW64)+AW69</f>
        <v>17557342</v>
      </c>
      <c r="AX59" s="19" t="s">
        <v>4</v>
      </c>
      <c r="AY59" s="19">
        <f>SUM(AY60:AY64)+AY69</f>
        <v>55008240</v>
      </c>
      <c r="AZ59" s="19">
        <f>SUM(AZ60:AZ64)+AZ69</f>
        <v>43902907</v>
      </c>
      <c r="BA59" s="19" t="s">
        <v>167</v>
      </c>
      <c r="BB59" s="19">
        <f>SUM(BB60:BB64)+BB69</f>
        <v>45365992</v>
      </c>
      <c r="BC59" s="19" t="s">
        <v>4</v>
      </c>
      <c r="BD59" s="19" t="s">
        <v>172</v>
      </c>
      <c r="BE59" s="19">
        <f>SUM(BE60:BE64)+BE69</f>
        <v>24280310</v>
      </c>
      <c r="BF59" s="19" t="s">
        <v>96</v>
      </c>
      <c r="BG59" s="19">
        <f t="shared" ref="BG59:BN59" si="152">SUM(BG60:BG64)+BG69</f>
        <v>71963836</v>
      </c>
      <c r="BH59" s="19">
        <f t="shared" si="152"/>
        <v>46718205</v>
      </c>
      <c r="BI59" s="19">
        <f t="shared" si="152"/>
        <v>77793735</v>
      </c>
      <c r="BJ59" s="19">
        <f t="shared" si="152"/>
        <v>3197746</v>
      </c>
      <c r="BK59" s="19">
        <f t="shared" si="152"/>
        <v>73898356</v>
      </c>
      <c r="BL59" s="19">
        <f t="shared" si="152"/>
        <v>14118935</v>
      </c>
      <c r="BM59" s="19">
        <f t="shared" si="152"/>
        <v>152102142</v>
      </c>
      <c r="BN59" s="19">
        <f t="shared" si="152"/>
        <v>7269760</v>
      </c>
      <c r="BO59" s="19" t="s">
        <v>96</v>
      </c>
      <c r="BP59" s="19" t="s">
        <v>96</v>
      </c>
      <c r="BQ59" s="19" t="s">
        <v>175</v>
      </c>
      <c r="BR59" s="19">
        <f>SUM(BR60:BR64)+BR69</f>
        <v>249032919</v>
      </c>
      <c r="BS59" s="19" t="s">
        <v>172</v>
      </c>
      <c r="BT59" s="19">
        <f t="shared" ref="BT59:CD59" si="153">SUM(BT60:BT64)+BT69</f>
        <v>6015063</v>
      </c>
      <c r="BU59" s="19">
        <f t="shared" si="153"/>
        <v>22470288</v>
      </c>
      <c r="BV59" s="19">
        <f t="shared" si="153"/>
        <v>144301994</v>
      </c>
      <c r="BW59" s="19">
        <f t="shared" si="153"/>
        <v>37597342</v>
      </c>
      <c r="BX59" s="19">
        <f t="shared" si="153"/>
        <v>11154022</v>
      </c>
      <c r="BY59" s="19">
        <f t="shared" si="153"/>
        <v>1385047977</v>
      </c>
      <c r="BZ59" s="19">
        <f t="shared" si="153"/>
        <v>82283831</v>
      </c>
      <c r="CA59" s="19">
        <f t="shared" si="153"/>
        <v>8113105</v>
      </c>
      <c r="CB59" s="19">
        <f t="shared" si="153"/>
        <v>23619098</v>
      </c>
      <c r="CC59" s="19">
        <f t="shared" si="153"/>
        <v>21429083</v>
      </c>
      <c r="CD59" s="19">
        <f t="shared" si="153"/>
        <v>31489863</v>
      </c>
      <c r="CE59" s="19" t="s">
        <v>172</v>
      </c>
      <c r="CF59" s="19">
        <f>SUM(CF60:CF64)+CF69</f>
        <v>207384324</v>
      </c>
      <c r="CG59" s="19">
        <f>SUM(CG60:CG64)+CG69</f>
        <v>66659540</v>
      </c>
      <c r="CH59" s="19">
        <f>SUM(CH60:CH64)+CH69</f>
        <v>195848378</v>
      </c>
      <c r="CI59" s="19" t="s">
        <v>172</v>
      </c>
      <c r="CJ59" s="19">
        <f t="shared" ref="CJ59:CP59" si="154">SUM(CJ60:CJ64)+CJ69</f>
        <v>10248187</v>
      </c>
      <c r="CK59" s="19">
        <f t="shared" si="154"/>
        <v>38257115</v>
      </c>
      <c r="CL59" s="19">
        <f t="shared" si="154"/>
        <v>24809071</v>
      </c>
      <c r="CM59" s="19">
        <f t="shared" si="154"/>
        <v>194280549</v>
      </c>
      <c r="CN59" s="19">
        <f t="shared" si="154"/>
        <v>1669238</v>
      </c>
      <c r="CO59" s="19">
        <f t="shared" si="154"/>
        <v>39570342</v>
      </c>
      <c r="CP59" s="19">
        <f t="shared" si="154"/>
        <v>64997365</v>
      </c>
      <c r="CQ59" s="19" t="s">
        <v>96</v>
      </c>
      <c r="CR59" s="19">
        <f>SUM(CR60:CR64)+CR69</f>
        <v>24857764</v>
      </c>
      <c r="CS59" s="56" t="s">
        <v>172</v>
      </c>
      <c r="CT59" s="19">
        <f>SUM(CT60:CT64)+CT69</f>
        <v>517521104</v>
      </c>
      <c r="CU59" s="19">
        <f>SUM(CU60:CU64)+CU69</f>
        <v>102995119</v>
      </c>
      <c r="CV59" s="19">
        <v>10009131</v>
      </c>
      <c r="CW59" s="19">
        <f>SUM(CW60:CW64)+CW69</f>
        <v>456336385</v>
      </c>
      <c r="CX59" s="19">
        <f>SUM(CX60:CX64)+CX69</f>
        <v>72214155</v>
      </c>
      <c r="CY59" s="19" t="s">
        <v>96</v>
      </c>
      <c r="CZ59" s="19">
        <f>SUM(CZ60:CZ64)+CZ69</f>
        <v>258004056</v>
      </c>
      <c r="DA59" s="19" t="s">
        <v>175</v>
      </c>
      <c r="DB59" s="19">
        <f t="shared" ref="DB59:DR59" si="155">SUM(DB60:DB64)+DB69</f>
        <v>20824717</v>
      </c>
      <c r="DC59" s="19">
        <f t="shared" si="155"/>
        <v>15124270</v>
      </c>
      <c r="DD59" s="19">
        <f t="shared" si="155"/>
        <v>30821188</v>
      </c>
      <c r="DE59" s="19">
        <f t="shared" si="155"/>
        <v>23793109</v>
      </c>
      <c r="DF59" s="19">
        <f t="shared" si="155"/>
        <v>25239225</v>
      </c>
      <c r="DG59" s="19">
        <f t="shared" si="155"/>
        <v>78690952</v>
      </c>
      <c r="DH59" s="19">
        <f t="shared" si="155"/>
        <v>33203246</v>
      </c>
      <c r="DI59" s="19">
        <f t="shared" si="155"/>
        <v>92231822</v>
      </c>
      <c r="DJ59" s="19">
        <f t="shared" si="155"/>
        <v>136140168</v>
      </c>
      <c r="DK59" s="19">
        <f t="shared" si="155"/>
        <v>26226017</v>
      </c>
      <c r="DL59" s="19">
        <f t="shared" si="155"/>
        <v>76171524</v>
      </c>
      <c r="DM59" s="19">
        <f t="shared" si="155"/>
        <v>30109552</v>
      </c>
      <c r="DN59" s="19">
        <f t="shared" si="155"/>
        <v>13641600</v>
      </c>
      <c r="DO59" s="19">
        <f t="shared" si="155"/>
        <v>26931679</v>
      </c>
      <c r="DP59" s="19">
        <f t="shared" si="155"/>
        <v>19341841</v>
      </c>
      <c r="DQ59" s="19">
        <f t="shared" si="155"/>
        <v>10257288</v>
      </c>
      <c r="DR59" s="19">
        <f t="shared" si="155"/>
        <v>80823542</v>
      </c>
      <c r="DS59" s="19">
        <f>SUM(DS60:DS64)+DS69</f>
        <v>28364609</v>
      </c>
      <c r="DT59" s="19">
        <f t="shared" ref="DT59:FF59" si="156">SUM(DT60:DT64)+DT69</f>
        <v>196581811</v>
      </c>
      <c r="DU59" s="19">
        <f t="shared" si="156"/>
        <v>336216</v>
      </c>
      <c r="DV59" s="19">
        <f t="shared" si="156"/>
        <v>3009643</v>
      </c>
      <c r="DW59" s="19">
        <f t="shared" si="156"/>
        <v>82130330</v>
      </c>
      <c r="DX59" s="19">
        <f t="shared" si="156"/>
        <v>281550400</v>
      </c>
      <c r="DY59" s="19">
        <f t="shared" si="156"/>
        <v>6472663</v>
      </c>
      <c r="DZ59" s="19">
        <f t="shared" si="156"/>
        <v>37914028</v>
      </c>
      <c r="EA59" s="19">
        <f t="shared" si="156"/>
        <v>16032013</v>
      </c>
      <c r="EB59" s="19">
        <f t="shared" si="156"/>
        <v>453186265</v>
      </c>
      <c r="EC59" s="19">
        <f t="shared" si="156"/>
        <v>8627404</v>
      </c>
      <c r="ED59" s="19">
        <f t="shared" si="156"/>
        <v>330505402</v>
      </c>
      <c r="EE59" s="19">
        <f t="shared" si="156"/>
        <v>21645773</v>
      </c>
      <c r="EF59" s="19">
        <f>SUM(EF60:EF64)+EF69</f>
        <v>147251315</v>
      </c>
      <c r="EG59" s="19">
        <f t="shared" si="156"/>
        <v>230008408</v>
      </c>
      <c r="EH59" s="19">
        <f t="shared" si="156"/>
        <v>140605613</v>
      </c>
      <c r="EI59" s="19">
        <f t="shared" si="156"/>
        <v>229815717</v>
      </c>
      <c r="EJ59" s="19">
        <f t="shared" si="156"/>
        <v>615637389</v>
      </c>
      <c r="EK59" s="19">
        <f t="shared" si="156"/>
        <v>55380983</v>
      </c>
      <c r="EL59" s="19">
        <f t="shared" si="156"/>
        <v>616819447</v>
      </c>
      <c r="EM59" s="19">
        <f t="shared" si="156"/>
        <v>40586369</v>
      </c>
      <c r="EN59" s="19">
        <f t="shared" si="156"/>
        <v>158763239</v>
      </c>
      <c r="EO59" s="19">
        <f t="shared" si="156"/>
        <v>39299001</v>
      </c>
      <c r="EP59" s="19">
        <f t="shared" si="156"/>
        <v>39931145</v>
      </c>
      <c r="EQ59" s="19">
        <f t="shared" si="156"/>
        <v>110295121</v>
      </c>
      <c r="ER59" s="19">
        <f t="shared" si="156"/>
        <v>384184651</v>
      </c>
      <c r="ES59" s="19">
        <f t="shared" si="156"/>
        <v>1051597341</v>
      </c>
      <c r="ET59" s="19">
        <f t="shared" si="156"/>
        <v>224465680</v>
      </c>
      <c r="EU59" s="19">
        <f t="shared" si="156"/>
        <v>53674728</v>
      </c>
      <c r="EV59" s="19">
        <f t="shared" si="156"/>
        <v>24753431</v>
      </c>
      <c r="EW59" s="19">
        <f t="shared" si="156"/>
        <v>36008320</v>
      </c>
      <c r="EX59" s="19">
        <f t="shared" si="156"/>
        <v>71976478</v>
      </c>
      <c r="EY59" s="19">
        <f t="shared" si="156"/>
        <v>94053633</v>
      </c>
      <c r="EZ59" s="19">
        <f t="shared" si="156"/>
        <v>164151941</v>
      </c>
      <c r="FA59" s="19">
        <f t="shared" si="156"/>
        <v>5243490</v>
      </c>
      <c r="FB59" s="19">
        <f t="shared" si="156"/>
        <v>48731331</v>
      </c>
      <c r="FC59" s="19">
        <f t="shared" si="156"/>
        <v>89722100</v>
      </c>
      <c r="FD59" s="19">
        <f t="shared" si="156"/>
        <v>24900860</v>
      </c>
      <c r="FE59" s="19">
        <f t="shared" si="156"/>
        <v>342617458</v>
      </c>
      <c r="FF59" s="19">
        <f t="shared" si="156"/>
        <v>3588112</v>
      </c>
      <c r="FG59" s="19" t="s">
        <v>172</v>
      </c>
      <c r="FH59" s="19">
        <f>SUM(FH60:FH64)+FH69</f>
        <v>40850098</v>
      </c>
      <c r="FI59" s="19" t="s">
        <v>172</v>
      </c>
      <c r="FJ59" s="19">
        <f>SUM(FJ60:FJ64)+FJ69</f>
        <v>24817749</v>
      </c>
      <c r="FK59" s="19">
        <f>SUM(FK60:FK64)+FK69</f>
        <v>282714437</v>
      </c>
      <c r="FL59" s="19">
        <f>SUM(FL60:FL64)+FL69</f>
        <v>16789658</v>
      </c>
      <c r="FM59" s="19">
        <f>SUM(FM60:FM64)+FM69</f>
        <v>101702928</v>
      </c>
      <c r="FN59" s="19">
        <f>SUM(FN60:FN64)+FN69</f>
        <v>174140103</v>
      </c>
      <c r="FO59" s="56" t="s">
        <v>172</v>
      </c>
      <c r="FP59" s="19">
        <f t="shared" ref="FP59:FU59" si="157">SUM(FP60:FP64)+FP69</f>
        <v>18570976</v>
      </c>
      <c r="FQ59" s="19">
        <f t="shared" si="157"/>
        <v>17037922</v>
      </c>
      <c r="FR59" s="19">
        <f t="shared" si="157"/>
        <v>195780829</v>
      </c>
      <c r="FS59" s="19">
        <f t="shared" si="157"/>
        <v>454744285</v>
      </c>
      <c r="FT59" s="19">
        <f t="shared" si="157"/>
        <v>638769313</v>
      </c>
      <c r="FU59" s="19">
        <f t="shared" si="157"/>
        <v>20724982</v>
      </c>
      <c r="FV59" s="19" t="s">
        <v>172</v>
      </c>
      <c r="FW59" s="19">
        <f>SUM(FW60:FW64)+FW69</f>
        <v>11914736</v>
      </c>
      <c r="FX59" s="19">
        <f>SUM(FX60:FX64)+FX69</f>
        <v>166519430</v>
      </c>
      <c r="FY59" s="19" t="s">
        <v>172</v>
      </c>
      <c r="FZ59" s="19" t="s">
        <v>175</v>
      </c>
      <c r="GA59" s="19">
        <f>SUM(GA60:GA64)+GA69</f>
        <v>663653774</v>
      </c>
      <c r="GB59" s="19">
        <f>SUM(GB60:GB64)+GB69</f>
        <v>48087419</v>
      </c>
      <c r="GC59" s="19">
        <f>SUM(GC60:GC64)+GC69</f>
        <v>37450881</v>
      </c>
      <c r="GD59" s="19" t="s">
        <v>172</v>
      </c>
      <c r="GE59" s="19" t="s">
        <v>172</v>
      </c>
      <c r="GF59" s="19">
        <f>SUM(GF60:GF64)+GF69</f>
        <v>65627429</v>
      </c>
      <c r="GG59" s="19">
        <f>SUM(GG60:GG64)+GG69</f>
        <v>187218360</v>
      </c>
      <c r="GH59" s="19" t="s">
        <v>172</v>
      </c>
      <c r="GI59" s="19">
        <f t="shared" ref="GI59:KH59" si="158">SUM(GI60:GI64)+GI69</f>
        <v>17381993</v>
      </c>
      <c r="GJ59" s="19" t="s">
        <v>172</v>
      </c>
      <c r="GK59" s="19">
        <f t="shared" si="158"/>
        <v>253494928</v>
      </c>
      <c r="GL59" s="19" t="s">
        <v>172</v>
      </c>
      <c r="GM59" s="19">
        <f t="shared" si="158"/>
        <v>431132554</v>
      </c>
      <c r="GN59" s="19">
        <f t="shared" si="158"/>
        <v>89458274</v>
      </c>
      <c r="GO59" s="19" t="s">
        <v>172</v>
      </c>
      <c r="GP59" s="19">
        <f t="shared" si="158"/>
        <v>76628098</v>
      </c>
      <c r="GQ59" s="19">
        <f t="shared" si="158"/>
        <v>100532743</v>
      </c>
      <c r="GR59" s="19">
        <f t="shared" si="158"/>
        <v>492255075</v>
      </c>
      <c r="GS59" s="19">
        <f t="shared" si="158"/>
        <v>33506183</v>
      </c>
      <c r="GT59" s="19">
        <f t="shared" si="158"/>
        <v>152561561</v>
      </c>
      <c r="GU59" s="19">
        <f t="shared" si="158"/>
        <v>184275</v>
      </c>
      <c r="GV59" s="19">
        <f>SUM(GV60:GV64)+GV69</f>
        <v>461016420</v>
      </c>
      <c r="GW59" s="19">
        <f>SUM(GW60:GW64)+GW69</f>
        <v>221505003</v>
      </c>
      <c r="GX59" s="19">
        <f t="shared" si="158"/>
        <v>37147390</v>
      </c>
      <c r="GY59" s="19">
        <f t="shared" si="158"/>
        <v>1174355337</v>
      </c>
      <c r="GZ59" s="19">
        <f t="shared" si="158"/>
        <v>2283319</v>
      </c>
      <c r="HA59" s="19" t="s">
        <v>172</v>
      </c>
      <c r="HB59" s="19">
        <f t="shared" si="158"/>
        <v>973151908</v>
      </c>
      <c r="HC59" s="19">
        <f t="shared" si="158"/>
        <v>176148386</v>
      </c>
      <c r="HD59" s="19">
        <f t="shared" si="158"/>
        <v>712276199</v>
      </c>
      <c r="HE59" s="19" t="s">
        <v>172</v>
      </c>
      <c r="HF59" s="19">
        <f t="shared" si="158"/>
        <v>223028250</v>
      </c>
      <c r="HG59" s="19">
        <f t="shared" si="158"/>
        <v>577110628</v>
      </c>
      <c r="HH59" s="19" t="s">
        <v>172</v>
      </c>
      <c r="HI59" s="19">
        <f>SUM(HI60:HI64)+HI69</f>
        <v>400894323</v>
      </c>
      <c r="HJ59" s="19" t="s">
        <v>172</v>
      </c>
      <c r="HK59" s="19">
        <f t="shared" si="158"/>
        <v>167700502</v>
      </c>
      <c r="HL59" s="19">
        <f t="shared" si="158"/>
        <v>163079883</v>
      </c>
      <c r="HM59" s="19">
        <f t="shared" si="158"/>
        <v>154673548</v>
      </c>
      <c r="HN59" s="19">
        <f t="shared" si="158"/>
        <v>106636985</v>
      </c>
      <c r="HO59" s="19">
        <f t="shared" si="158"/>
        <v>140287071</v>
      </c>
      <c r="HP59" s="19">
        <f t="shared" si="158"/>
        <v>2009862613</v>
      </c>
      <c r="HQ59" s="19">
        <f t="shared" si="158"/>
        <v>188009246</v>
      </c>
      <c r="HR59" s="19">
        <f t="shared" si="158"/>
        <v>1716484213</v>
      </c>
      <c r="HS59" s="19">
        <f t="shared" si="158"/>
        <v>1699648</v>
      </c>
      <c r="HT59" s="19">
        <f t="shared" si="158"/>
        <v>28397985</v>
      </c>
      <c r="HU59" s="19">
        <f t="shared" si="158"/>
        <v>161905223</v>
      </c>
      <c r="HV59" s="19">
        <f t="shared" si="158"/>
        <v>81833592</v>
      </c>
      <c r="HW59" s="19" t="s">
        <v>172</v>
      </c>
      <c r="HX59" s="19">
        <f t="shared" si="158"/>
        <v>5056130</v>
      </c>
      <c r="HY59" s="19" t="s">
        <v>172</v>
      </c>
      <c r="HZ59" s="19">
        <f t="shared" si="158"/>
        <v>230797241</v>
      </c>
      <c r="IA59" s="19">
        <f t="shared" si="158"/>
        <v>30811538</v>
      </c>
      <c r="IB59" s="19">
        <f t="shared" si="158"/>
        <v>159583623</v>
      </c>
      <c r="IC59" s="19">
        <f t="shared" si="158"/>
        <v>14161872</v>
      </c>
      <c r="ID59" s="19">
        <f t="shared" si="158"/>
        <v>45907421</v>
      </c>
      <c r="IE59" s="19" t="s">
        <v>172</v>
      </c>
      <c r="IF59" s="19">
        <f t="shared" si="158"/>
        <v>78356315</v>
      </c>
      <c r="IG59" s="19">
        <f t="shared" si="158"/>
        <v>7770666</v>
      </c>
      <c r="IH59" s="19">
        <f t="shared" si="158"/>
        <v>430851259</v>
      </c>
      <c r="II59" s="19">
        <f t="shared" si="158"/>
        <v>30484771</v>
      </c>
      <c r="IJ59" s="19">
        <f>SUM(IJ60:IJ64)+IJ69</f>
        <v>69382464</v>
      </c>
      <c r="IK59" s="19">
        <f t="shared" si="158"/>
        <v>59699470</v>
      </c>
      <c r="IL59" s="19">
        <f t="shared" si="158"/>
        <v>33000648</v>
      </c>
      <c r="IM59" s="19">
        <f>SUM(IM60:IM64)+IM69</f>
        <v>149358172</v>
      </c>
      <c r="IN59" s="19">
        <f t="shared" si="158"/>
        <v>35120309</v>
      </c>
      <c r="IO59" s="19">
        <f t="shared" si="158"/>
        <v>394585</v>
      </c>
      <c r="IP59" s="19">
        <f t="shared" si="158"/>
        <v>193114176</v>
      </c>
      <c r="IQ59" s="19">
        <f t="shared" si="158"/>
        <v>5269222</v>
      </c>
      <c r="IR59" s="19">
        <f t="shared" si="158"/>
        <v>69141434</v>
      </c>
      <c r="IS59" s="19">
        <f t="shared" si="158"/>
        <v>242494015</v>
      </c>
      <c r="IT59" s="19">
        <f t="shared" si="158"/>
        <v>3534712</v>
      </c>
      <c r="IU59" s="19">
        <f t="shared" si="158"/>
        <v>54885214</v>
      </c>
      <c r="IV59" s="19">
        <f t="shared" si="158"/>
        <v>37710927</v>
      </c>
      <c r="IW59" s="19">
        <f t="shared" si="158"/>
        <v>924522840</v>
      </c>
      <c r="IX59" s="19">
        <f t="shared" si="158"/>
        <v>28834152</v>
      </c>
      <c r="IY59" s="19">
        <f t="shared" si="158"/>
        <v>234111515</v>
      </c>
      <c r="IZ59" s="19">
        <f t="shared" si="158"/>
        <v>107267892</v>
      </c>
      <c r="JA59" s="19">
        <f t="shared" si="158"/>
        <v>55882570</v>
      </c>
      <c r="JB59" s="19">
        <f t="shared" si="158"/>
        <v>44621189</v>
      </c>
      <c r="JC59" s="19">
        <f t="shared" si="158"/>
        <v>5407743</v>
      </c>
      <c r="JD59" s="19">
        <f t="shared" si="158"/>
        <v>133902951</v>
      </c>
      <c r="JE59" s="19">
        <f t="shared" si="158"/>
        <v>75720680</v>
      </c>
      <c r="JF59" s="19">
        <f t="shared" si="158"/>
        <v>105131310</v>
      </c>
      <c r="JG59" s="19">
        <f t="shared" si="158"/>
        <v>19653565</v>
      </c>
      <c r="JH59" s="19">
        <f t="shared" si="158"/>
        <v>34429922</v>
      </c>
      <c r="JI59" s="19">
        <f t="shared" si="158"/>
        <v>13085691</v>
      </c>
      <c r="JJ59" s="19">
        <f t="shared" si="158"/>
        <v>34806755</v>
      </c>
      <c r="JK59" s="19">
        <f t="shared" si="158"/>
        <v>33017548</v>
      </c>
      <c r="JL59" s="19">
        <f t="shared" si="158"/>
        <v>141062232</v>
      </c>
      <c r="JM59" s="19">
        <f t="shared" si="158"/>
        <v>20640822</v>
      </c>
      <c r="JN59" s="19">
        <f t="shared" si="158"/>
        <v>19946420</v>
      </c>
      <c r="JO59" s="19">
        <f t="shared" si="158"/>
        <v>208017</v>
      </c>
      <c r="JP59" s="19">
        <f t="shared" si="158"/>
        <v>15486653</v>
      </c>
      <c r="JQ59" s="19" t="s">
        <v>175</v>
      </c>
      <c r="JR59" s="19">
        <f t="shared" si="158"/>
        <v>561974407</v>
      </c>
      <c r="JS59" s="19">
        <f t="shared" si="158"/>
        <v>201646977</v>
      </c>
      <c r="JT59" s="19">
        <f t="shared" si="158"/>
        <v>21262652</v>
      </c>
      <c r="JU59" s="19">
        <f t="shared" si="158"/>
        <v>58723677</v>
      </c>
      <c r="JV59" s="19">
        <f t="shared" si="158"/>
        <v>90681464</v>
      </c>
      <c r="JW59" s="19">
        <f t="shared" si="158"/>
        <v>104851176</v>
      </c>
      <c r="JX59" s="19">
        <f t="shared" si="158"/>
        <v>34929322</v>
      </c>
      <c r="JY59" s="19">
        <f t="shared" si="158"/>
        <v>4275562</v>
      </c>
      <c r="JZ59" s="19">
        <f t="shared" si="158"/>
        <v>8657052</v>
      </c>
      <c r="KA59" s="19">
        <f t="shared" si="158"/>
        <v>10640918</v>
      </c>
      <c r="KB59" s="19">
        <f t="shared" si="158"/>
        <v>4734039</v>
      </c>
      <c r="KC59" s="19">
        <f t="shared" si="158"/>
        <v>30245039</v>
      </c>
      <c r="KD59" s="19">
        <f t="shared" si="158"/>
        <v>3372254</v>
      </c>
      <c r="KE59" s="19">
        <f t="shared" si="158"/>
        <v>24288699</v>
      </c>
      <c r="KF59" s="19">
        <f t="shared" si="158"/>
        <v>372983017</v>
      </c>
      <c r="KG59" s="19">
        <f t="shared" si="158"/>
        <v>52208638</v>
      </c>
      <c r="KH59" s="19">
        <f t="shared" si="158"/>
        <v>21205506</v>
      </c>
      <c r="KI59" s="19">
        <f t="shared" ref="KI59:KM59" si="159">SUM(KI60:KI64)+KI69</f>
        <v>31459618</v>
      </c>
      <c r="KJ59" s="19">
        <f t="shared" si="159"/>
        <v>4150918</v>
      </c>
      <c r="KK59" s="19">
        <f t="shared" si="159"/>
        <v>182772349</v>
      </c>
      <c r="KL59" s="19">
        <f t="shared" si="159"/>
        <v>2354016000</v>
      </c>
      <c r="KM59" s="19">
        <f t="shared" si="159"/>
        <v>72997706</v>
      </c>
      <c r="KN59" s="19">
        <f t="shared" ref="KN59:KY59" si="160">SUM(KN60:KN64)+KN69</f>
        <v>1331001426</v>
      </c>
      <c r="KO59" s="19">
        <f t="shared" si="160"/>
        <v>230445721</v>
      </c>
      <c r="KP59" s="19">
        <f t="shared" si="160"/>
        <v>6993566</v>
      </c>
      <c r="KQ59" s="19">
        <f t="shared" si="160"/>
        <v>51399790</v>
      </c>
      <c r="KR59" s="19">
        <f t="shared" si="160"/>
        <v>62094</v>
      </c>
      <c r="KS59" s="19">
        <f t="shared" si="160"/>
        <v>47068329</v>
      </c>
      <c r="KT59" s="19">
        <f t="shared" si="160"/>
        <v>61911864</v>
      </c>
      <c r="KU59" s="19">
        <f t="shared" si="160"/>
        <v>34154079</v>
      </c>
      <c r="KV59" s="19">
        <f t="shared" si="160"/>
        <v>58953421</v>
      </c>
      <c r="KW59" s="19">
        <f t="shared" si="160"/>
        <v>153558022</v>
      </c>
      <c r="KX59" s="19">
        <f t="shared" si="160"/>
        <v>66249553</v>
      </c>
      <c r="KY59" s="19">
        <f t="shared" si="160"/>
        <v>26186832</v>
      </c>
      <c r="KZ59" s="58">
        <f>KZ60+KZ61+KZ62+KZ63+KZ64+KZ69</f>
        <v>11137239</v>
      </c>
      <c r="LA59" s="70">
        <v>11467295</v>
      </c>
      <c r="LB59" s="70">
        <v>13820841</v>
      </c>
    </row>
    <row r="60" spans="1:314">
      <c r="A60" s="9" t="s">
        <v>103</v>
      </c>
      <c r="B60" s="15" t="s">
        <v>177</v>
      </c>
      <c r="C60" s="19">
        <v>66960</v>
      </c>
      <c r="D60" s="19">
        <v>236008</v>
      </c>
      <c r="E60" s="19">
        <v>316678</v>
      </c>
      <c r="F60" s="19">
        <v>13137864</v>
      </c>
      <c r="G60" s="19" t="s">
        <v>130</v>
      </c>
      <c r="H60" s="19">
        <f>9878121+492400</f>
        <v>10370521</v>
      </c>
      <c r="I60" s="19">
        <v>191616</v>
      </c>
      <c r="J60" s="19" t="s">
        <v>176</v>
      </c>
      <c r="K60" s="19">
        <v>438921</v>
      </c>
      <c r="L60" s="19" t="s">
        <v>96</v>
      </c>
      <c r="M60" s="19" t="s">
        <v>96</v>
      </c>
      <c r="N60" s="19">
        <v>188122</v>
      </c>
      <c r="O60" s="19">
        <v>2265332</v>
      </c>
      <c r="P60" s="19">
        <v>343344</v>
      </c>
      <c r="Q60" s="19">
        <v>4038791</v>
      </c>
      <c r="R60" s="19">
        <v>117738</v>
      </c>
      <c r="S60" s="19">
        <v>16685346</v>
      </c>
      <c r="T60" s="19" t="s">
        <v>96</v>
      </c>
      <c r="U60" s="19" t="s">
        <v>96</v>
      </c>
      <c r="V60" s="19" t="s">
        <v>172</v>
      </c>
      <c r="W60" s="19">
        <v>205972</v>
      </c>
      <c r="X60" s="19">
        <v>4184085</v>
      </c>
      <c r="Y60" s="19">
        <v>1047268</v>
      </c>
      <c r="Z60" s="19">
        <v>22086</v>
      </c>
      <c r="AA60" s="19">
        <v>216154</v>
      </c>
      <c r="AB60" s="19">
        <v>2098024</v>
      </c>
      <c r="AC60" s="19">
        <v>412088</v>
      </c>
      <c r="AD60" s="19">
        <v>1246126</v>
      </c>
      <c r="AE60" s="19">
        <v>10817301</v>
      </c>
      <c r="AF60" s="56" t="s">
        <v>172</v>
      </c>
      <c r="AG60" s="19">
        <v>6015</v>
      </c>
      <c r="AH60" s="19" t="s">
        <v>167</v>
      </c>
      <c r="AI60" s="19">
        <v>3365</v>
      </c>
      <c r="AJ60" s="19">
        <v>50325</v>
      </c>
      <c r="AK60" s="19">
        <v>41429043</v>
      </c>
      <c r="AL60" s="19">
        <v>492070</v>
      </c>
      <c r="AM60" s="19" t="s">
        <v>4</v>
      </c>
      <c r="AN60" s="19">
        <v>96415</v>
      </c>
      <c r="AO60" s="19">
        <v>734348</v>
      </c>
      <c r="AP60" s="19">
        <v>612876</v>
      </c>
      <c r="AQ60" s="19" t="s">
        <v>172</v>
      </c>
      <c r="AR60" s="19">
        <v>198756</v>
      </c>
      <c r="AS60" s="19">
        <v>159386</v>
      </c>
      <c r="AT60" s="19" t="s">
        <v>172</v>
      </c>
      <c r="AU60" s="19">
        <v>363095127</v>
      </c>
      <c r="AV60" s="19">
        <v>162800</v>
      </c>
      <c r="AW60" s="19">
        <v>6942</v>
      </c>
      <c r="AX60" s="19" t="s">
        <v>4</v>
      </c>
      <c r="AY60" s="19">
        <v>67527</v>
      </c>
      <c r="AZ60" s="19">
        <v>111675</v>
      </c>
      <c r="BA60" s="19" t="s">
        <v>167</v>
      </c>
      <c r="BB60" s="19">
        <v>22003</v>
      </c>
      <c r="BC60" s="19" t="s">
        <v>4</v>
      </c>
      <c r="BD60" s="19" t="s">
        <v>172</v>
      </c>
      <c r="BE60" s="19">
        <v>246034</v>
      </c>
      <c r="BF60" s="19" t="s">
        <v>96</v>
      </c>
      <c r="BG60" s="19">
        <v>12222119</v>
      </c>
      <c r="BH60" s="19">
        <v>294680</v>
      </c>
      <c r="BI60" s="19">
        <v>211801</v>
      </c>
      <c r="BJ60" s="19">
        <v>43824</v>
      </c>
      <c r="BK60" s="19">
        <v>60412</v>
      </c>
      <c r="BL60" s="19">
        <v>4355220</v>
      </c>
      <c r="BM60" s="19">
        <v>1407141</v>
      </c>
      <c r="BN60" s="19">
        <v>7708</v>
      </c>
      <c r="BO60" s="19" t="s">
        <v>96</v>
      </c>
      <c r="BP60" s="19" t="s">
        <v>96</v>
      </c>
      <c r="BQ60" s="19" t="s">
        <v>175</v>
      </c>
      <c r="BR60" s="19">
        <v>47117983</v>
      </c>
      <c r="BS60" s="19" t="s">
        <v>172</v>
      </c>
      <c r="BT60" s="19">
        <v>14746</v>
      </c>
      <c r="BU60" s="19">
        <v>8110</v>
      </c>
      <c r="BV60" s="19">
        <v>58190</v>
      </c>
      <c r="BW60" s="19">
        <v>21698</v>
      </c>
      <c r="BX60" s="19">
        <v>122838</v>
      </c>
      <c r="BY60" s="19">
        <v>357043</v>
      </c>
      <c r="BZ60" s="19">
        <v>55772601</v>
      </c>
      <c r="CA60" s="19">
        <v>815313</v>
      </c>
      <c r="CB60" s="19">
        <v>29346</v>
      </c>
      <c r="CC60" s="19">
        <v>98541</v>
      </c>
      <c r="CD60" s="19">
        <v>1519603</v>
      </c>
      <c r="CE60" s="19" t="s">
        <v>172</v>
      </c>
      <c r="CF60" s="19">
        <v>30756</v>
      </c>
      <c r="CG60" s="19">
        <v>771376</v>
      </c>
      <c r="CH60" s="19">
        <v>223796</v>
      </c>
      <c r="CI60" s="19" t="s">
        <v>172</v>
      </c>
      <c r="CJ60" s="19">
        <v>1024</v>
      </c>
      <c r="CK60" s="19">
        <v>1063</v>
      </c>
      <c r="CL60" s="19">
        <v>6779</v>
      </c>
      <c r="CM60" s="19">
        <v>21552524</v>
      </c>
      <c r="CN60" s="19">
        <v>46089</v>
      </c>
      <c r="CO60" s="19">
        <v>8046</v>
      </c>
      <c r="CP60" s="19">
        <v>44133</v>
      </c>
      <c r="CQ60" s="19" t="s">
        <v>96</v>
      </c>
      <c r="CR60" s="19">
        <v>7393715</v>
      </c>
      <c r="CS60" s="56" t="s">
        <v>172</v>
      </c>
      <c r="CT60" s="19">
        <v>446932315</v>
      </c>
      <c r="CU60" s="19">
        <v>2915014</v>
      </c>
      <c r="CV60" s="19">
        <v>8989</v>
      </c>
      <c r="CW60" s="19">
        <v>8014695</v>
      </c>
      <c r="CX60" s="19">
        <v>46194984</v>
      </c>
      <c r="CY60" s="19" t="s">
        <v>96</v>
      </c>
      <c r="CZ60" s="19">
        <v>2098552</v>
      </c>
      <c r="DA60" s="19" t="s">
        <v>175</v>
      </c>
      <c r="DB60" s="19">
        <v>85173</v>
      </c>
      <c r="DC60" s="19">
        <v>12128</v>
      </c>
      <c r="DD60" s="19">
        <v>6102</v>
      </c>
      <c r="DE60" s="19">
        <v>68595</v>
      </c>
      <c r="DF60" s="19">
        <v>2978</v>
      </c>
      <c r="DG60" s="19">
        <v>16044</v>
      </c>
      <c r="DH60" s="19">
        <v>3530807</v>
      </c>
      <c r="DI60" s="19">
        <v>180320</v>
      </c>
      <c r="DJ60" s="19">
        <v>694146</v>
      </c>
      <c r="DK60" s="19">
        <v>1727798</v>
      </c>
      <c r="DL60" s="19">
        <v>251602</v>
      </c>
      <c r="DM60" s="19">
        <v>12078414</v>
      </c>
      <c r="DN60" s="19">
        <v>1114072</v>
      </c>
      <c r="DO60" s="19">
        <f>1731639</f>
        <v>1731639</v>
      </c>
      <c r="DP60" s="19">
        <v>5015056</v>
      </c>
      <c r="DQ60" s="19">
        <v>7135</v>
      </c>
      <c r="DR60" s="19">
        <v>505323</v>
      </c>
      <c r="DS60" s="19">
        <v>1416039</v>
      </c>
      <c r="DT60" s="19">
        <v>1026569</v>
      </c>
      <c r="DU60" s="19">
        <v>36216</v>
      </c>
      <c r="DV60" s="19">
        <v>3009502</v>
      </c>
      <c r="DW60" s="19">
        <v>4464855</v>
      </c>
      <c r="DX60" s="19">
        <v>75321726</v>
      </c>
      <c r="DY60" s="19">
        <v>124163</v>
      </c>
      <c r="DZ60" s="19">
        <v>19185771</v>
      </c>
      <c r="EA60" s="19">
        <v>953588</v>
      </c>
      <c r="EB60" s="19">
        <v>13032687</v>
      </c>
      <c r="EC60" s="19">
        <v>35327</v>
      </c>
      <c r="ED60" s="19">
        <v>208927</v>
      </c>
      <c r="EE60" s="19">
        <v>953864</v>
      </c>
      <c r="EF60" s="19">
        <v>47927</v>
      </c>
      <c r="EG60" s="19">
        <v>91525927</v>
      </c>
      <c r="EH60" s="19">
        <v>120102</v>
      </c>
      <c r="EI60" s="19">
        <v>60977725</v>
      </c>
      <c r="EJ60" s="19">
        <v>1587611</v>
      </c>
      <c r="EK60" s="19">
        <v>43737457</v>
      </c>
      <c r="EL60" s="19">
        <v>8889889</v>
      </c>
      <c r="EM60" s="19">
        <v>10633807</v>
      </c>
      <c r="EN60" s="19">
        <v>28578729</v>
      </c>
      <c r="EO60" s="19">
        <v>220198</v>
      </c>
      <c r="EP60" s="19">
        <v>26935</v>
      </c>
      <c r="EQ60" s="19">
        <v>1546305</v>
      </c>
      <c r="ER60" s="19">
        <v>895768</v>
      </c>
      <c r="ES60" s="19">
        <v>58865</v>
      </c>
      <c r="ET60" s="19">
        <v>11714774</v>
      </c>
      <c r="EU60" s="19">
        <v>1280016</v>
      </c>
      <c r="EV60" s="19">
        <v>48491</v>
      </c>
      <c r="EW60" s="19">
        <v>7643</v>
      </c>
      <c r="EX60" s="19">
        <v>456175</v>
      </c>
      <c r="EY60" s="19">
        <v>10942918</v>
      </c>
      <c r="EZ60" s="19">
        <v>247696</v>
      </c>
      <c r="FA60" s="19">
        <v>153142</v>
      </c>
      <c r="FB60" s="19">
        <v>12521</v>
      </c>
      <c r="FC60" s="19">
        <v>63005</v>
      </c>
      <c r="FD60" s="19">
        <v>15201</v>
      </c>
      <c r="FE60" s="19">
        <v>19625643</v>
      </c>
      <c r="FF60" s="19">
        <v>4719</v>
      </c>
      <c r="FG60" s="19" t="s">
        <v>172</v>
      </c>
      <c r="FH60" s="19">
        <v>248225</v>
      </c>
      <c r="FI60" s="19" t="s">
        <v>172</v>
      </c>
      <c r="FJ60" s="19">
        <v>511195</v>
      </c>
      <c r="FK60" s="19">
        <v>222669</v>
      </c>
      <c r="FL60" s="19">
        <v>166897</v>
      </c>
      <c r="FM60" s="19">
        <v>69197</v>
      </c>
      <c r="FN60" s="19">
        <v>95621208</v>
      </c>
      <c r="FO60" s="56" t="s">
        <v>172</v>
      </c>
      <c r="FP60" s="19">
        <v>38292</v>
      </c>
      <c r="FQ60" s="19">
        <v>129439</v>
      </c>
      <c r="FR60" s="19">
        <v>99888</v>
      </c>
      <c r="FS60" s="19">
        <v>39068</v>
      </c>
      <c r="FT60" s="19">
        <v>72039279</v>
      </c>
      <c r="FU60" s="19">
        <v>29148</v>
      </c>
      <c r="FV60" s="19" t="s">
        <v>172</v>
      </c>
      <c r="FW60" s="19">
        <v>587</v>
      </c>
      <c r="FX60" s="19">
        <v>42487</v>
      </c>
      <c r="FY60" s="19" t="s">
        <v>172</v>
      </c>
      <c r="FZ60" s="19" t="s">
        <v>175</v>
      </c>
      <c r="GA60" s="19">
        <v>1607963</v>
      </c>
      <c r="GB60" s="19">
        <v>104772</v>
      </c>
      <c r="GC60" s="19">
        <v>142812</v>
      </c>
      <c r="GD60" s="19" t="s">
        <v>172</v>
      </c>
      <c r="GE60" s="19" t="s">
        <v>172</v>
      </c>
      <c r="GF60" s="19">
        <v>703707</v>
      </c>
      <c r="GG60" s="19">
        <v>561426</v>
      </c>
      <c r="GH60" s="19" t="s">
        <v>172</v>
      </c>
      <c r="GI60" s="19">
        <v>18558</v>
      </c>
      <c r="GJ60" s="19" t="s">
        <v>172</v>
      </c>
      <c r="GK60" s="19">
        <v>32773</v>
      </c>
      <c r="GL60" s="19" t="s">
        <v>172</v>
      </c>
      <c r="GM60" s="19">
        <v>12324</v>
      </c>
      <c r="GN60" s="19">
        <v>39254</v>
      </c>
      <c r="GO60" s="19" t="s">
        <v>172</v>
      </c>
      <c r="GP60" s="19">
        <v>16459514</v>
      </c>
      <c r="GQ60" s="19">
        <v>393134</v>
      </c>
      <c r="GR60" s="19">
        <v>635682</v>
      </c>
      <c r="GS60" s="19">
        <v>457578</v>
      </c>
      <c r="GT60" s="19">
        <v>6377</v>
      </c>
      <c r="GU60" s="19">
        <v>66301</v>
      </c>
      <c r="GV60" s="19">
        <v>603287</v>
      </c>
      <c r="GW60" s="19">
        <v>83440927</v>
      </c>
      <c r="GX60" s="19">
        <v>76591</v>
      </c>
      <c r="GY60" s="19">
        <v>377035</v>
      </c>
      <c r="GZ60" s="19">
        <v>94869</v>
      </c>
      <c r="HA60" s="19" t="s">
        <v>172</v>
      </c>
      <c r="HB60" s="19">
        <v>879334</v>
      </c>
      <c r="HC60" s="19">
        <v>2260342</v>
      </c>
      <c r="HD60" s="19">
        <v>395986</v>
      </c>
      <c r="HE60" s="19" t="s">
        <v>172</v>
      </c>
      <c r="HF60" s="19">
        <v>492920</v>
      </c>
      <c r="HG60" s="19">
        <v>659172</v>
      </c>
      <c r="HH60" s="19" t="s">
        <v>172</v>
      </c>
      <c r="HI60" s="19">
        <v>2688669</v>
      </c>
      <c r="HJ60" s="19" t="s">
        <v>172</v>
      </c>
      <c r="HK60" s="19">
        <v>1094622</v>
      </c>
      <c r="HL60" s="19">
        <v>992548</v>
      </c>
      <c r="HM60" s="19">
        <v>105507</v>
      </c>
      <c r="HN60" s="19">
        <v>1878840</v>
      </c>
      <c r="HO60" s="19">
        <v>1257327</v>
      </c>
      <c r="HP60" s="19">
        <v>173664</v>
      </c>
      <c r="HQ60" s="19">
        <v>2959658</v>
      </c>
      <c r="HR60" s="19">
        <v>1209116</v>
      </c>
      <c r="HS60" s="19">
        <v>359838</v>
      </c>
      <c r="HT60" s="19">
        <v>1959</v>
      </c>
      <c r="HU60" s="19">
        <v>1515684</v>
      </c>
      <c r="HV60" s="19">
        <v>56433</v>
      </c>
      <c r="HW60" s="19" t="s">
        <v>172</v>
      </c>
      <c r="HX60" s="19">
        <v>55898</v>
      </c>
      <c r="HY60" s="19" t="s">
        <v>172</v>
      </c>
      <c r="HZ60" s="19">
        <v>16581665</v>
      </c>
      <c r="IA60" s="19">
        <v>132447</v>
      </c>
      <c r="IB60" s="19">
        <v>1094766</v>
      </c>
      <c r="IC60" s="19">
        <v>2202508</v>
      </c>
      <c r="ID60" s="19">
        <v>19792</v>
      </c>
      <c r="IE60" s="19" t="s">
        <v>172</v>
      </c>
      <c r="IF60" s="19">
        <v>7428</v>
      </c>
      <c r="IG60" s="19">
        <v>28546</v>
      </c>
      <c r="IH60" s="19">
        <v>662274</v>
      </c>
      <c r="II60" s="19">
        <v>7169</v>
      </c>
      <c r="IJ60" s="19">
        <v>229428</v>
      </c>
      <c r="IK60" s="19">
        <v>1261834</v>
      </c>
      <c r="IL60" s="19">
        <v>45358</v>
      </c>
      <c r="IM60" s="19">
        <v>1294860</v>
      </c>
      <c r="IN60" s="19">
        <v>452789</v>
      </c>
      <c r="IO60" s="19">
        <v>350458</v>
      </c>
      <c r="IP60" s="19">
        <v>23425</v>
      </c>
      <c r="IQ60" s="19">
        <v>445594</v>
      </c>
      <c r="IR60" s="19">
        <v>12756294</v>
      </c>
      <c r="IS60" s="19">
        <v>2243795</v>
      </c>
      <c r="IT60" s="19">
        <v>544401</v>
      </c>
      <c r="IU60" s="19">
        <v>4998844</v>
      </c>
      <c r="IV60" s="19">
        <v>31767</v>
      </c>
      <c r="IW60" s="19">
        <v>87792</v>
      </c>
      <c r="IX60" s="19">
        <v>767571</v>
      </c>
      <c r="IY60" s="19">
        <v>938861</v>
      </c>
      <c r="IZ60" s="19">
        <v>1123181</v>
      </c>
      <c r="JA60" s="19">
        <v>803710</v>
      </c>
      <c r="JB60" s="19">
        <v>37309</v>
      </c>
      <c r="JC60" s="19">
        <v>43535</v>
      </c>
      <c r="JD60" s="19">
        <v>1442733</v>
      </c>
      <c r="JE60" s="19">
        <v>68908</v>
      </c>
      <c r="JF60" s="19">
        <v>131743</v>
      </c>
      <c r="JG60" s="19">
        <v>5460</v>
      </c>
      <c r="JH60" s="19">
        <v>14758</v>
      </c>
      <c r="JI60" s="19">
        <v>1790597</v>
      </c>
      <c r="JJ60" s="19">
        <v>16042</v>
      </c>
      <c r="JK60" s="19">
        <v>8830</v>
      </c>
      <c r="JL60" s="19">
        <v>83079</v>
      </c>
      <c r="JM60" s="19">
        <v>44558</v>
      </c>
      <c r="JN60" s="19">
        <v>175168</v>
      </c>
      <c r="JO60" s="19">
        <v>7815</v>
      </c>
      <c r="JP60" s="19">
        <v>404746</v>
      </c>
      <c r="JQ60" s="19" t="s">
        <v>175</v>
      </c>
      <c r="JR60" s="19">
        <v>312148</v>
      </c>
      <c r="JS60" s="19">
        <v>44190</v>
      </c>
      <c r="JT60" s="19">
        <v>3355</v>
      </c>
      <c r="JU60" s="19">
        <v>57444</v>
      </c>
      <c r="JV60" s="19">
        <v>349061</v>
      </c>
      <c r="JW60" s="19">
        <v>282832</v>
      </c>
      <c r="JX60" s="19">
        <v>7929322</v>
      </c>
      <c r="JY60" s="19">
        <v>573618</v>
      </c>
      <c r="JZ60" s="19">
        <v>10885</v>
      </c>
      <c r="KA60" s="19">
        <v>8556</v>
      </c>
      <c r="KB60" s="19">
        <v>1603077</v>
      </c>
      <c r="KC60" s="19">
        <v>267793</v>
      </c>
      <c r="KD60" s="19">
        <v>201602</v>
      </c>
      <c r="KE60" s="19">
        <v>5065</v>
      </c>
      <c r="KF60" s="19">
        <v>7629788</v>
      </c>
      <c r="KG60" s="19">
        <v>199904</v>
      </c>
      <c r="KH60" s="19">
        <v>12800</v>
      </c>
      <c r="KI60" s="19">
        <v>6172955</v>
      </c>
      <c r="KJ60" s="19">
        <v>57059</v>
      </c>
      <c r="KK60" s="19">
        <v>4195153</v>
      </c>
      <c r="KL60" s="19">
        <v>255712000</v>
      </c>
      <c r="KM60" s="19">
        <v>4332953</v>
      </c>
      <c r="KN60" s="19">
        <v>14029915</v>
      </c>
      <c r="KO60" s="19">
        <v>160209</v>
      </c>
      <c r="KP60" s="19">
        <v>525657</v>
      </c>
      <c r="KQ60" s="19">
        <v>92639</v>
      </c>
      <c r="KR60" s="19">
        <v>62021</v>
      </c>
      <c r="KS60" s="19">
        <v>31223</v>
      </c>
      <c r="KT60" s="19">
        <v>33147</v>
      </c>
      <c r="KU60" s="19">
        <v>1322789</v>
      </c>
      <c r="KV60" s="19">
        <v>40531</v>
      </c>
      <c r="KW60" s="19">
        <v>62373</v>
      </c>
      <c r="KX60" s="19">
        <v>73142</v>
      </c>
      <c r="KY60" s="19">
        <v>23032</v>
      </c>
      <c r="KZ60" s="58">
        <v>77917</v>
      </c>
      <c r="LA60" s="70">
        <v>3802</v>
      </c>
      <c r="LB60" s="70">
        <v>14110</v>
      </c>
    </row>
    <row r="61" spans="1:314">
      <c r="A61" s="9" t="s">
        <v>103</v>
      </c>
      <c r="B61" s="15" t="s">
        <v>62</v>
      </c>
      <c r="C61" s="19"/>
      <c r="D61" s="19"/>
      <c r="E61" s="19">
        <v>4997000</v>
      </c>
      <c r="F61" s="19"/>
      <c r="G61" s="19" t="s">
        <v>130</v>
      </c>
      <c r="H61" s="19"/>
      <c r="I61" s="19"/>
      <c r="J61" s="19" t="s">
        <v>176</v>
      </c>
      <c r="K61" s="19">
        <v>1199000</v>
      </c>
      <c r="L61" s="19" t="s">
        <v>96</v>
      </c>
      <c r="M61" s="19" t="s">
        <v>96</v>
      </c>
      <c r="N61" s="19"/>
      <c r="O61" s="19"/>
      <c r="P61" s="19"/>
      <c r="Q61" s="19">
        <v>25915</v>
      </c>
      <c r="R61" s="19"/>
      <c r="S61" s="19"/>
      <c r="T61" s="19" t="s">
        <v>96</v>
      </c>
      <c r="U61" s="19" t="s">
        <v>96</v>
      </c>
      <c r="V61" s="19" t="s">
        <v>172</v>
      </c>
      <c r="W61" s="19"/>
      <c r="X61" s="19"/>
      <c r="Y61" s="19"/>
      <c r="Z61" s="19"/>
      <c r="AA61" s="19">
        <v>24593030</v>
      </c>
      <c r="AB61" s="19"/>
      <c r="AC61" s="19">
        <v>464071</v>
      </c>
      <c r="AD61" s="19">
        <v>703158037</v>
      </c>
      <c r="AE61" s="19"/>
      <c r="AF61" s="56" t="s">
        <v>172</v>
      </c>
      <c r="AG61" s="19">
        <v>77174895</v>
      </c>
      <c r="AH61" s="19" t="s">
        <v>167</v>
      </c>
      <c r="AI61" s="19"/>
      <c r="AJ61" s="19"/>
      <c r="AK61" s="19">
        <v>11180818</v>
      </c>
      <c r="AL61" s="19"/>
      <c r="AM61" s="19" t="s">
        <v>4</v>
      </c>
      <c r="AN61" s="19"/>
      <c r="AO61" s="19">
        <v>2001563</v>
      </c>
      <c r="AP61" s="19"/>
      <c r="AQ61" s="19" t="s">
        <v>172</v>
      </c>
      <c r="AR61" s="19"/>
      <c r="AS61" s="19"/>
      <c r="AT61" s="19" t="s">
        <v>172</v>
      </c>
      <c r="AU61" s="19"/>
      <c r="AV61" s="19"/>
      <c r="AW61" s="19"/>
      <c r="AX61" s="19" t="s">
        <v>4</v>
      </c>
      <c r="AY61" s="19"/>
      <c r="AZ61" s="19"/>
      <c r="BA61" s="19" t="s">
        <v>167</v>
      </c>
      <c r="BB61" s="19"/>
      <c r="BC61" s="19" t="s">
        <v>4</v>
      </c>
      <c r="BD61" s="19" t="s">
        <v>172</v>
      </c>
      <c r="BE61" s="19"/>
      <c r="BF61" s="19" t="s">
        <v>96</v>
      </c>
      <c r="BG61" s="19"/>
      <c r="BH61" s="19">
        <v>6999000</v>
      </c>
      <c r="BI61" s="19"/>
      <c r="BJ61" s="19"/>
      <c r="BK61" s="19"/>
      <c r="BL61" s="19"/>
      <c r="BM61" s="19"/>
      <c r="BN61" s="19"/>
      <c r="BO61" s="19" t="s">
        <v>96</v>
      </c>
      <c r="BP61" s="19" t="s">
        <v>96</v>
      </c>
      <c r="BQ61" s="19" t="s">
        <v>175</v>
      </c>
      <c r="BR61" s="19"/>
      <c r="BS61" s="19" t="s">
        <v>172</v>
      </c>
      <c r="BT61" s="19"/>
      <c r="BU61" s="19">
        <v>27955</v>
      </c>
      <c r="BV61" s="19"/>
      <c r="BW61" s="19"/>
      <c r="BX61" s="19"/>
      <c r="BY61" s="19"/>
      <c r="BZ61" s="19"/>
      <c r="CA61" s="19"/>
      <c r="CB61" s="19"/>
      <c r="CC61" s="19"/>
      <c r="CD61" s="19"/>
      <c r="CE61" s="19" t="s">
        <v>172</v>
      </c>
      <c r="CF61" s="19"/>
      <c r="CG61" s="19"/>
      <c r="CH61" s="19"/>
      <c r="CI61" s="19" t="s">
        <v>172</v>
      </c>
      <c r="CJ61" s="19"/>
      <c r="CK61" s="19">
        <v>17570735</v>
      </c>
      <c r="CL61" s="19"/>
      <c r="CM61" s="19"/>
      <c r="CN61" s="19"/>
      <c r="CO61" s="19"/>
      <c r="CP61" s="19"/>
      <c r="CQ61" s="19" t="s">
        <v>96</v>
      </c>
      <c r="CR61" s="19"/>
      <c r="CS61" s="56" t="s">
        <v>172</v>
      </c>
      <c r="CT61" s="19"/>
      <c r="CU61" s="19"/>
      <c r="CV61" s="19"/>
      <c r="CW61" s="19">
        <v>529166</v>
      </c>
      <c r="CX61" s="19">
        <v>12997645</v>
      </c>
      <c r="CY61" s="19" t="s">
        <v>96</v>
      </c>
      <c r="CZ61" s="19">
        <v>5185693</v>
      </c>
      <c r="DA61" s="19" t="s">
        <v>175</v>
      </c>
      <c r="DB61" s="19">
        <v>2312138</v>
      </c>
      <c r="DC61" s="19">
        <v>5000000</v>
      </c>
      <c r="DD61" s="19"/>
      <c r="DE61" s="19"/>
      <c r="DF61" s="19"/>
      <c r="DG61" s="19"/>
      <c r="DH61" s="19"/>
      <c r="DI61" s="19"/>
      <c r="DJ61" s="19"/>
      <c r="DK61" s="19">
        <f>2297213+340085</f>
        <v>2637298</v>
      </c>
      <c r="DL61" s="19"/>
      <c r="DM61" s="19"/>
      <c r="DN61" s="19"/>
      <c r="DO61" s="19"/>
      <c r="DP61" s="19"/>
      <c r="DQ61" s="19"/>
      <c r="DR61" s="19"/>
      <c r="DS61" s="19"/>
      <c r="DT61" s="19"/>
      <c r="DU61" s="19"/>
      <c r="DV61" s="19"/>
      <c r="DW61" s="19"/>
      <c r="DX61" s="19"/>
      <c r="DY61" s="19"/>
      <c r="DZ61" s="19">
        <f>138432+7748376</f>
        <v>7886808</v>
      </c>
      <c r="EA61" s="19"/>
      <c r="EB61" s="19">
        <f>984186+37867</f>
        <v>1022053</v>
      </c>
      <c r="EC61" s="19"/>
      <c r="ED61" s="19"/>
      <c r="EE61" s="19">
        <v>485615</v>
      </c>
      <c r="EF61" s="19">
        <v>271727</v>
      </c>
      <c r="EG61" s="19">
        <f>6438+1699000</f>
        <v>1705438</v>
      </c>
      <c r="EH61" s="19">
        <v>133457064</v>
      </c>
      <c r="EI61" s="19"/>
      <c r="EJ61" s="19"/>
      <c r="EK61" s="19"/>
      <c r="EL61" s="19">
        <v>24450546</v>
      </c>
      <c r="EM61" s="19"/>
      <c r="EN61" s="19"/>
      <c r="EO61" s="19"/>
      <c r="EP61" s="19"/>
      <c r="EQ61" s="19"/>
      <c r="ER61" s="19"/>
      <c r="ES61" s="19">
        <v>1035555682</v>
      </c>
      <c r="ET61" s="19">
        <v>103465796</v>
      </c>
      <c r="EU61" s="19"/>
      <c r="EV61" s="19"/>
      <c r="EW61" s="19"/>
      <c r="EX61" s="19"/>
      <c r="EY61" s="19"/>
      <c r="EZ61" s="19"/>
      <c r="FA61" s="19"/>
      <c r="FB61" s="19"/>
      <c r="FC61" s="19">
        <v>18617462</v>
      </c>
      <c r="FD61" s="19"/>
      <c r="FE61" s="19">
        <v>8240308</v>
      </c>
      <c r="FF61" s="19"/>
      <c r="FG61" s="19" t="s">
        <v>172</v>
      </c>
      <c r="FH61" s="19">
        <v>4160397</v>
      </c>
      <c r="FI61" s="19" t="s">
        <v>172</v>
      </c>
      <c r="FJ61" s="19"/>
      <c r="FK61" s="19"/>
      <c r="FL61" s="19"/>
      <c r="FM61" s="19"/>
      <c r="FN61" s="19">
        <f>2203008+817977</f>
        <v>3020985</v>
      </c>
      <c r="FO61" s="56" t="s">
        <v>172</v>
      </c>
      <c r="FP61" s="19">
        <v>1085031</v>
      </c>
      <c r="FQ61" s="19"/>
      <c r="FR61" s="19"/>
      <c r="FS61" s="19"/>
      <c r="FT61" s="19">
        <v>30322</v>
      </c>
      <c r="FU61" s="19"/>
      <c r="FV61" s="19" t="s">
        <v>172</v>
      </c>
      <c r="FW61" s="19"/>
      <c r="FX61" s="19"/>
      <c r="FY61" s="19" t="s">
        <v>172</v>
      </c>
      <c r="FZ61" s="19" t="s">
        <v>175</v>
      </c>
      <c r="GA61" s="19"/>
      <c r="GB61" s="19"/>
      <c r="GC61" s="19"/>
      <c r="GD61" s="19" t="s">
        <v>172</v>
      </c>
      <c r="GE61" s="19" t="s">
        <v>172</v>
      </c>
      <c r="GF61" s="19"/>
      <c r="GG61" s="19"/>
      <c r="GH61" s="19" t="s">
        <v>172</v>
      </c>
      <c r="GI61" s="19"/>
      <c r="GJ61" s="19" t="s">
        <v>172</v>
      </c>
      <c r="GK61" s="19"/>
      <c r="GL61" s="19" t="s">
        <v>172</v>
      </c>
      <c r="GM61" s="19"/>
      <c r="GN61" s="19"/>
      <c r="GO61" s="19" t="s">
        <v>172</v>
      </c>
      <c r="GP61" s="19"/>
      <c r="GQ61" s="19"/>
      <c r="GR61" s="19"/>
      <c r="GS61" s="19"/>
      <c r="GT61" s="19">
        <v>3463533</v>
      </c>
      <c r="GU61" s="19"/>
      <c r="GV61" s="19">
        <f>178669986</f>
        <v>178669986</v>
      </c>
      <c r="GW61" s="19"/>
      <c r="GX61" s="19">
        <v>482427</v>
      </c>
      <c r="GY61" s="19"/>
      <c r="GZ61" s="19"/>
      <c r="HA61" s="19" t="s">
        <v>172</v>
      </c>
      <c r="HB61" s="19"/>
      <c r="HC61" s="19"/>
      <c r="HD61" s="19"/>
      <c r="HE61" s="19" t="s">
        <v>172</v>
      </c>
      <c r="HF61" s="19">
        <v>361100</v>
      </c>
      <c r="HG61" s="19"/>
      <c r="HH61" s="19" t="s">
        <v>172</v>
      </c>
      <c r="HI61" s="19">
        <v>1420503</v>
      </c>
      <c r="HJ61" s="19" t="s">
        <v>172</v>
      </c>
      <c r="HK61" s="19"/>
      <c r="HL61" s="19"/>
      <c r="HM61" s="19"/>
      <c r="HN61" s="19">
        <v>0</v>
      </c>
      <c r="HO61" s="19"/>
      <c r="HP61" s="19"/>
      <c r="HQ61" s="19"/>
      <c r="HR61" s="19"/>
      <c r="HS61" s="19"/>
      <c r="HT61" s="19"/>
      <c r="HU61" s="19">
        <v>17863</v>
      </c>
      <c r="HV61" s="19"/>
      <c r="HW61" s="19" t="s">
        <v>172</v>
      </c>
      <c r="HX61" s="19"/>
      <c r="HY61" s="19" t="s">
        <v>172</v>
      </c>
      <c r="HZ61" s="19"/>
      <c r="IA61" s="19"/>
      <c r="IB61" s="19">
        <v>12266336</v>
      </c>
      <c r="IC61" s="19"/>
      <c r="ID61" s="19"/>
      <c r="IE61" s="19" t="s">
        <v>172</v>
      </c>
      <c r="IF61" s="19"/>
      <c r="IG61" s="19"/>
      <c r="IH61" s="19"/>
      <c r="II61" s="19"/>
      <c r="IJ61" s="19"/>
      <c r="IK61" s="19"/>
      <c r="IL61" s="19"/>
      <c r="IM61" s="19">
        <v>17436091</v>
      </c>
      <c r="IN61" s="19"/>
      <c r="IO61" s="19"/>
      <c r="IP61" s="19"/>
      <c r="IQ61" s="19"/>
      <c r="IR61" s="19"/>
      <c r="IS61" s="19"/>
      <c r="IT61" s="19">
        <v>196737</v>
      </c>
      <c r="IU61" s="19"/>
      <c r="IV61" s="19"/>
      <c r="IW61" s="19"/>
      <c r="IX61" s="19"/>
      <c r="IY61" s="19">
        <v>3075753</v>
      </c>
      <c r="IZ61" s="19"/>
      <c r="JA61" s="19"/>
      <c r="JB61" s="19"/>
      <c r="JC61" s="19"/>
      <c r="JD61" s="19">
        <v>56000000</v>
      </c>
      <c r="JE61" s="19"/>
      <c r="JF61" s="19"/>
      <c r="JG61" s="19"/>
      <c r="JH61" s="19"/>
      <c r="JI61" s="19"/>
      <c r="JJ61" s="19"/>
      <c r="JK61" s="19"/>
      <c r="JL61" s="19"/>
      <c r="JM61" s="19"/>
      <c r="JN61" s="19"/>
      <c r="JO61" s="19"/>
      <c r="JP61" s="19"/>
      <c r="JQ61" s="19" t="s">
        <v>175</v>
      </c>
      <c r="JR61" s="19"/>
      <c r="JS61" s="19"/>
      <c r="JT61" s="19"/>
      <c r="JU61" s="19"/>
      <c r="JV61" s="19"/>
      <c r="JW61" s="19"/>
      <c r="JX61" s="19"/>
      <c r="JY61" s="19"/>
      <c r="JZ61" s="19"/>
      <c r="KA61" s="19"/>
      <c r="KB61" s="19"/>
      <c r="KC61" s="19"/>
      <c r="KD61" s="19"/>
      <c r="KE61" s="19"/>
      <c r="KF61" s="19">
        <v>30000000</v>
      </c>
      <c r="KG61" s="19"/>
      <c r="KH61" s="19"/>
      <c r="KI61" s="19"/>
      <c r="KJ61" s="19"/>
      <c r="KK61" s="19"/>
      <c r="KL61" s="19">
        <f>1530000+12120000</f>
        <v>13650000</v>
      </c>
      <c r="KM61" s="19"/>
      <c r="KN61" s="19"/>
      <c r="KO61" s="19">
        <f>140908+13932787</f>
        <v>14073695</v>
      </c>
      <c r="KP61" s="19"/>
      <c r="KQ61" s="19"/>
      <c r="KR61" s="19">
        <v>0</v>
      </c>
      <c r="KS61" s="19"/>
      <c r="KT61" s="19"/>
      <c r="KU61" s="19">
        <f>2+342272</f>
        <v>342274</v>
      </c>
      <c r="KV61" s="19"/>
      <c r="KW61" s="19">
        <v>3778098</v>
      </c>
      <c r="KX61" s="19"/>
      <c r="KY61" s="19"/>
      <c r="KZ61" s="58"/>
      <c r="LA61" s="70"/>
      <c r="LB61" s="70"/>
    </row>
    <row r="62" spans="1:314">
      <c r="A62" s="9" t="s">
        <v>103</v>
      </c>
      <c r="B62" s="15" t="s">
        <v>20</v>
      </c>
      <c r="C62" s="19">
        <v>26696</v>
      </c>
      <c r="D62" s="19">
        <v>6564378</v>
      </c>
      <c r="E62" s="19">
        <v>31319198</v>
      </c>
      <c r="F62" s="19">
        <v>17211319</v>
      </c>
      <c r="G62" s="19" t="s">
        <v>130</v>
      </c>
      <c r="H62" s="19">
        <v>7034250</v>
      </c>
      <c r="I62" s="19">
        <v>38646129</v>
      </c>
      <c r="J62" s="19" t="s">
        <v>176</v>
      </c>
      <c r="K62" s="19">
        <v>2733790</v>
      </c>
      <c r="L62" s="19" t="s">
        <v>96</v>
      </c>
      <c r="M62" s="19" t="s">
        <v>96</v>
      </c>
      <c r="N62" s="19">
        <v>1609692</v>
      </c>
      <c r="O62" s="19">
        <v>16110569</v>
      </c>
      <c r="P62" s="19">
        <v>9198130</v>
      </c>
      <c r="Q62" s="19">
        <v>3375569</v>
      </c>
      <c r="R62" s="19">
        <v>6928162</v>
      </c>
      <c r="S62" s="19">
        <v>433997</v>
      </c>
      <c r="T62" s="19" t="s">
        <v>96</v>
      </c>
      <c r="U62" s="19" t="s">
        <v>96</v>
      </c>
      <c r="V62" s="19" t="s">
        <v>172</v>
      </c>
      <c r="W62" s="19">
        <v>359396</v>
      </c>
      <c r="X62" s="19">
        <v>21592495</v>
      </c>
      <c r="Y62" s="19">
        <v>15058558</v>
      </c>
      <c r="Z62" s="19"/>
      <c r="AA62" s="19">
        <v>45292831</v>
      </c>
      <c r="AB62" s="19">
        <v>8057970</v>
      </c>
      <c r="AC62" s="19">
        <v>17591817</v>
      </c>
      <c r="AD62" s="19">
        <v>1082763</v>
      </c>
      <c r="AE62" s="19"/>
      <c r="AF62" s="56" t="s">
        <v>172</v>
      </c>
      <c r="AG62" s="19">
        <v>2665708</v>
      </c>
      <c r="AH62" s="19" t="s">
        <v>167</v>
      </c>
      <c r="AI62" s="19">
        <v>22325100</v>
      </c>
      <c r="AJ62" s="19">
        <v>1091067</v>
      </c>
      <c r="AK62" s="19">
        <v>5899615</v>
      </c>
      <c r="AL62" s="19">
        <v>93405</v>
      </c>
      <c r="AM62" s="19" t="s">
        <v>4</v>
      </c>
      <c r="AN62" s="19">
        <v>812491</v>
      </c>
      <c r="AO62" s="19">
        <v>47088769</v>
      </c>
      <c r="AP62" s="19">
        <v>5041530</v>
      </c>
      <c r="AQ62" s="19" t="s">
        <v>172</v>
      </c>
      <c r="AR62" s="19">
        <v>175</v>
      </c>
      <c r="AS62" s="19">
        <v>212859461</v>
      </c>
      <c r="AT62" s="19" t="s">
        <v>172</v>
      </c>
      <c r="AU62" s="19">
        <v>46100332</v>
      </c>
      <c r="AV62" s="19">
        <v>213496</v>
      </c>
      <c r="AW62" s="19">
        <v>1550400</v>
      </c>
      <c r="AX62" s="19" t="s">
        <v>4</v>
      </c>
      <c r="AY62" s="19">
        <v>3755359</v>
      </c>
      <c r="AZ62" s="19">
        <v>38791232</v>
      </c>
      <c r="BA62" s="19" t="s">
        <v>167</v>
      </c>
      <c r="BB62" s="19">
        <v>45343989</v>
      </c>
      <c r="BC62" s="19" t="s">
        <v>4</v>
      </c>
      <c r="BD62" s="19" t="s">
        <v>172</v>
      </c>
      <c r="BE62" s="19">
        <v>24034276</v>
      </c>
      <c r="BF62" s="19" t="s">
        <v>96</v>
      </c>
      <c r="BG62" s="19">
        <v>38624396</v>
      </c>
      <c r="BH62" s="19">
        <v>33542555</v>
      </c>
      <c r="BI62" s="19">
        <v>567612</v>
      </c>
      <c r="BJ62" s="19">
        <v>10776</v>
      </c>
      <c r="BK62" s="19">
        <v>59784436</v>
      </c>
      <c r="BL62" s="19">
        <v>4323715</v>
      </c>
      <c r="BM62" s="19">
        <v>12830181</v>
      </c>
      <c r="BN62" s="19">
        <v>10452</v>
      </c>
      <c r="BO62" s="19" t="s">
        <v>96</v>
      </c>
      <c r="BP62" s="19" t="s">
        <v>96</v>
      </c>
      <c r="BQ62" s="19" t="s">
        <v>175</v>
      </c>
      <c r="BR62" s="19">
        <v>10375523</v>
      </c>
      <c r="BS62" s="19" t="s">
        <v>172</v>
      </c>
      <c r="BT62" s="19">
        <v>6000317</v>
      </c>
      <c r="BU62" s="19">
        <v>6274106</v>
      </c>
      <c r="BV62" s="19">
        <v>37128184</v>
      </c>
      <c r="BW62" s="19">
        <v>4648854</v>
      </c>
      <c r="BX62" s="19">
        <v>11031184</v>
      </c>
      <c r="BY62" s="19">
        <v>15194038</v>
      </c>
      <c r="BZ62" s="19">
        <v>8869</v>
      </c>
      <c r="CA62" s="19">
        <v>2297792</v>
      </c>
      <c r="CB62" s="19">
        <v>4744931</v>
      </c>
      <c r="CC62" s="19">
        <v>40</v>
      </c>
      <c r="CD62" s="19">
        <v>2050811</v>
      </c>
      <c r="CE62" s="19" t="s">
        <v>172</v>
      </c>
      <c r="CF62" s="19">
        <v>8008068</v>
      </c>
      <c r="CG62" s="19">
        <v>689989</v>
      </c>
      <c r="CH62" s="19">
        <v>8138505</v>
      </c>
      <c r="CI62" s="19" t="s">
        <v>172</v>
      </c>
      <c r="CJ62" s="19">
        <v>10000047</v>
      </c>
      <c r="CK62" s="19">
        <v>1788871</v>
      </c>
      <c r="CL62" s="19">
        <v>474335</v>
      </c>
      <c r="CM62" s="19">
        <v>10978642</v>
      </c>
      <c r="CN62" s="19">
        <v>1623149</v>
      </c>
      <c r="CO62" s="19">
        <v>32562296</v>
      </c>
      <c r="CP62" s="19">
        <v>11112103</v>
      </c>
      <c r="CQ62" s="19" t="s">
        <v>96</v>
      </c>
      <c r="CR62" s="19">
        <v>15840591</v>
      </c>
      <c r="CS62" s="56" t="s">
        <v>172</v>
      </c>
      <c r="CT62" s="19">
        <v>57070950</v>
      </c>
      <c r="CU62" s="19"/>
      <c r="CV62" s="19">
        <v>5000142</v>
      </c>
      <c r="CW62" s="19">
        <v>15977989</v>
      </c>
      <c r="CX62" s="19">
        <v>972388</v>
      </c>
      <c r="CY62" s="19" t="s">
        <v>96</v>
      </c>
      <c r="CZ62" s="19">
        <v>1944991</v>
      </c>
      <c r="DA62" s="19" t="s">
        <v>175</v>
      </c>
      <c r="DB62" s="19">
        <v>18427406</v>
      </c>
      <c r="DC62" s="19"/>
      <c r="DD62" s="19">
        <v>25815086</v>
      </c>
      <c r="DE62" s="19">
        <v>23724514</v>
      </c>
      <c r="DF62" s="19">
        <v>17159292</v>
      </c>
      <c r="DG62" s="19">
        <v>64908</v>
      </c>
      <c r="DH62" s="19">
        <v>29672439</v>
      </c>
      <c r="DI62" s="19">
        <v>89959073</v>
      </c>
      <c r="DJ62" s="19">
        <v>11446022</v>
      </c>
      <c r="DK62" s="19">
        <v>21860921</v>
      </c>
      <c r="DL62" s="19">
        <v>446942</v>
      </c>
      <c r="DM62" s="19"/>
      <c r="DN62" s="19">
        <v>7527528</v>
      </c>
      <c r="DO62" s="19">
        <v>24819020</v>
      </c>
      <c r="DP62" s="19"/>
      <c r="DQ62" s="19">
        <v>10250153</v>
      </c>
      <c r="DR62" s="19">
        <v>689954</v>
      </c>
      <c r="DS62" s="19">
        <v>19148570</v>
      </c>
      <c r="DT62" s="19">
        <v>23641659</v>
      </c>
      <c r="DU62" s="19">
        <v>300000</v>
      </c>
      <c r="DV62" s="19">
        <v>141</v>
      </c>
      <c r="DW62" s="19"/>
      <c r="DX62" s="19">
        <v>201950522</v>
      </c>
      <c r="DY62" s="19">
        <v>348500</v>
      </c>
      <c r="DZ62" s="19">
        <v>4459449</v>
      </c>
      <c r="EA62" s="19"/>
      <c r="EB62" s="19">
        <v>109028639</v>
      </c>
      <c r="EC62" s="19">
        <v>8592077</v>
      </c>
      <c r="ED62" s="19">
        <v>1001530</v>
      </c>
      <c r="EE62" s="19">
        <v>15028199</v>
      </c>
      <c r="EF62" s="19">
        <v>14199531</v>
      </c>
      <c r="EG62" s="19">
        <v>86193555</v>
      </c>
      <c r="EH62" s="19"/>
      <c r="EI62" s="19">
        <v>168837992</v>
      </c>
      <c r="EJ62" s="19">
        <v>129012</v>
      </c>
      <c r="EK62" s="19">
        <v>738118</v>
      </c>
      <c r="EL62" s="19">
        <v>196909064</v>
      </c>
      <c r="EM62" s="19">
        <v>12016530</v>
      </c>
      <c r="EN62" s="19">
        <v>17815841</v>
      </c>
      <c r="EO62" s="19">
        <v>76174</v>
      </c>
      <c r="EP62" s="19">
        <v>23157970</v>
      </c>
      <c r="EQ62" s="19">
        <v>19682352</v>
      </c>
      <c r="ER62" s="19">
        <v>5209547</v>
      </c>
      <c r="ES62" s="19">
        <v>15000000</v>
      </c>
      <c r="ET62" s="19">
        <v>109285110</v>
      </c>
      <c r="EU62" s="19">
        <v>4307513</v>
      </c>
      <c r="EV62" s="19">
        <v>759764</v>
      </c>
      <c r="EW62" s="19">
        <v>21000677</v>
      </c>
      <c r="EX62" s="19">
        <v>9408481</v>
      </c>
      <c r="EY62" s="19">
        <v>4688366</v>
      </c>
      <c r="EZ62" s="19">
        <v>1299404</v>
      </c>
      <c r="FA62" s="19">
        <v>939610</v>
      </c>
      <c r="FB62" s="19">
        <v>8810</v>
      </c>
      <c r="FC62" s="19">
        <v>1317636</v>
      </c>
      <c r="FD62" s="19">
        <v>7783</v>
      </c>
      <c r="FE62" s="19">
        <v>76715367</v>
      </c>
      <c r="FF62" s="19">
        <v>3583393</v>
      </c>
      <c r="FG62" s="19" t="s">
        <v>172</v>
      </c>
      <c r="FH62" s="19">
        <v>36441476</v>
      </c>
      <c r="FI62" s="19" t="s">
        <v>172</v>
      </c>
      <c r="FJ62" s="19">
        <v>19306554</v>
      </c>
      <c r="FK62" s="19">
        <v>41121845</v>
      </c>
      <c r="FL62" s="19">
        <v>16621113</v>
      </c>
      <c r="FM62" s="19">
        <v>8225391</v>
      </c>
      <c r="FN62" s="19"/>
      <c r="FO62" s="56" t="s">
        <v>172</v>
      </c>
      <c r="FP62" s="19"/>
      <c r="FQ62" s="19">
        <v>16908483</v>
      </c>
      <c r="FR62" s="19">
        <v>2286686</v>
      </c>
      <c r="FS62" s="19">
        <v>2980506</v>
      </c>
      <c r="FT62" s="19"/>
      <c r="FU62" s="19">
        <v>20695834</v>
      </c>
      <c r="FV62" s="19" t="s">
        <v>172</v>
      </c>
      <c r="FW62" s="19">
        <v>11914149</v>
      </c>
      <c r="FX62" s="19"/>
      <c r="FY62" s="19" t="s">
        <v>172</v>
      </c>
      <c r="FZ62" s="19" t="s">
        <v>175</v>
      </c>
      <c r="GA62" s="19">
        <v>293490480</v>
      </c>
      <c r="GB62" s="19"/>
      <c r="GC62" s="19">
        <v>69</v>
      </c>
      <c r="GD62" s="19" t="s">
        <v>172</v>
      </c>
      <c r="GE62" s="19" t="s">
        <v>172</v>
      </c>
      <c r="GF62" s="19">
        <v>10797677</v>
      </c>
      <c r="GG62" s="19">
        <v>243688</v>
      </c>
      <c r="GH62" s="19" t="s">
        <v>172</v>
      </c>
      <c r="GI62" s="19">
        <v>12000154</v>
      </c>
      <c r="GJ62" s="19" t="s">
        <v>172</v>
      </c>
      <c r="GK62" s="19">
        <v>253462155</v>
      </c>
      <c r="GL62" s="19" t="s">
        <v>172</v>
      </c>
      <c r="GM62" s="19"/>
      <c r="GN62" s="19">
        <v>89419020</v>
      </c>
      <c r="GO62" s="19" t="s">
        <v>172</v>
      </c>
      <c r="GP62" s="19">
        <v>57527492</v>
      </c>
      <c r="GQ62" s="19">
        <v>11860009</v>
      </c>
      <c r="GR62" s="19">
        <v>491619393</v>
      </c>
      <c r="GS62" s="19">
        <v>1792376</v>
      </c>
      <c r="GT62" s="19">
        <v>149091651</v>
      </c>
      <c r="GU62" s="19">
        <v>117974</v>
      </c>
      <c r="GV62" s="19">
        <v>24097096</v>
      </c>
      <c r="GW62" s="19">
        <v>138064076</v>
      </c>
      <c r="GX62" s="19">
        <v>18096</v>
      </c>
      <c r="GY62" s="19">
        <v>22826599</v>
      </c>
      <c r="GZ62" s="19">
        <v>2188450</v>
      </c>
      <c r="HA62" s="19" t="s">
        <v>172</v>
      </c>
      <c r="HB62" s="19">
        <v>1897</v>
      </c>
      <c r="HC62" s="19">
        <v>15888044</v>
      </c>
      <c r="HD62" s="19">
        <v>4015027</v>
      </c>
      <c r="HE62" s="19" t="s">
        <v>172</v>
      </c>
      <c r="HF62" s="19">
        <v>8872514</v>
      </c>
      <c r="HG62" s="19">
        <v>14857558</v>
      </c>
      <c r="HH62" s="19" t="s">
        <v>172</v>
      </c>
      <c r="HI62" s="19"/>
      <c r="HJ62" s="19" t="s">
        <v>172</v>
      </c>
      <c r="HK62" s="19">
        <v>359286</v>
      </c>
      <c r="HL62" s="19">
        <v>162087335</v>
      </c>
      <c r="HM62" s="19">
        <v>154568041</v>
      </c>
      <c r="HN62" s="19"/>
      <c r="HO62" s="19">
        <v>74624994</v>
      </c>
      <c r="HP62" s="19">
        <v>4789862</v>
      </c>
      <c r="HQ62" s="19">
        <v>1178717</v>
      </c>
      <c r="HR62" s="19">
        <v>20701336</v>
      </c>
      <c r="HS62" s="19">
        <v>1239810</v>
      </c>
      <c r="HT62" s="19"/>
      <c r="HU62" s="19">
        <v>6945452</v>
      </c>
      <c r="HV62" s="19">
        <v>24899810</v>
      </c>
      <c r="HW62" s="19" t="s">
        <v>172</v>
      </c>
      <c r="HX62" s="19"/>
      <c r="HY62" s="19" t="s">
        <v>172</v>
      </c>
      <c r="HZ62" s="19">
        <v>7398536</v>
      </c>
      <c r="IA62" s="19">
        <v>23897191</v>
      </c>
      <c r="IB62" s="19">
        <v>25305214</v>
      </c>
      <c r="IC62" s="19">
        <v>383071</v>
      </c>
      <c r="ID62" s="19">
        <v>45887629</v>
      </c>
      <c r="IE62" s="19" t="s">
        <v>172</v>
      </c>
      <c r="IF62" s="19">
        <v>1044687</v>
      </c>
      <c r="IG62" s="19">
        <v>2602120</v>
      </c>
      <c r="IH62" s="19">
        <v>2647140</v>
      </c>
      <c r="II62" s="19">
        <v>18109232</v>
      </c>
      <c r="IJ62" s="19">
        <v>54903836</v>
      </c>
      <c r="IK62" s="19">
        <v>2863117</v>
      </c>
      <c r="IL62" s="19">
        <v>32955290</v>
      </c>
      <c r="IM62" s="19">
        <v>11112279</v>
      </c>
      <c r="IN62" s="19">
        <v>34667520</v>
      </c>
      <c r="IO62" s="19">
        <v>44127</v>
      </c>
      <c r="IP62" s="19">
        <v>15</v>
      </c>
      <c r="IQ62" s="19">
        <v>4823628</v>
      </c>
      <c r="IR62" s="19">
        <v>20405420</v>
      </c>
      <c r="IS62" s="19">
        <v>22172801</v>
      </c>
      <c r="IT62" s="19">
        <v>2672394</v>
      </c>
      <c r="IU62" s="19">
        <v>10359250</v>
      </c>
      <c r="IV62" s="19">
        <v>11217140</v>
      </c>
      <c r="IW62" s="19">
        <v>1475</v>
      </c>
      <c r="IX62" s="19">
        <v>23281566</v>
      </c>
      <c r="IY62" s="19">
        <v>50237001</v>
      </c>
      <c r="IZ62" s="19">
        <v>22814869</v>
      </c>
      <c r="JA62" s="19">
        <v>2479718</v>
      </c>
      <c r="JB62" s="19">
        <v>44583880</v>
      </c>
      <c r="JC62" s="19"/>
      <c r="JD62" s="19">
        <v>8307602</v>
      </c>
      <c r="JE62" s="19">
        <v>35651772</v>
      </c>
      <c r="JF62" s="19">
        <v>104999567</v>
      </c>
      <c r="JG62" s="19">
        <v>19648105</v>
      </c>
      <c r="JH62" s="19">
        <v>6816854</v>
      </c>
      <c r="JI62" s="19">
        <v>11295094</v>
      </c>
      <c r="JJ62" s="19">
        <v>34790713</v>
      </c>
      <c r="JK62" s="19">
        <v>37718</v>
      </c>
      <c r="JL62" s="19">
        <v>13197357</v>
      </c>
      <c r="JM62" s="19">
        <v>20596264</v>
      </c>
      <c r="JN62" s="19">
        <v>5944741</v>
      </c>
      <c r="JO62" s="19">
        <v>200202</v>
      </c>
      <c r="JP62" s="19">
        <v>7071796</v>
      </c>
      <c r="JQ62" s="19" t="s">
        <v>175</v>
      </c>
      <c r="JR62" s="19">
        <v>561662259</v>
      </c>
      <c r="JS62" s="19">
        <v>8565662</v>
      </c>
      <c r="JT62" s="19">
        <v>21259297</v>
      </c>
      <c r="JU62" s="19">
        <v>58666233</v>
      </c>
      <c r="JV62" s="19">
        <v>9491264</v>
      </c>
      <c r="JW62" s="19">
        <v>86213657</v>
      </c>
      <c r="JX62" s="19">
        <v>27000000</v>
      </c>
      <c r="JY62" s="19">
        <v>2478999</v>
      </c>
      <c r="JZ62" s="19">
        <v>8646167</v>
      </c>
      <c r="KA62" s="19">
        <v>10632362</v>
      </c>
      <c r="KB62" s="19">
        <v>2225238</v>
      </c>
      <c r="KC62" s="19">
        <v>1955101</v>
      </c>
      <c r="KD62" s="19">
        <v>2202652</v>
      </c>
      <c r="KE62" s="19">
        <v>24283634</v>
      </c>
      <c r="KF62" s="19">
        <v>12915846</v>
      </c>
      <c r="KG62" s="19">
        <v>385189</v>
      </c>
      <c r="KH62" s="19">
        <v>21192706</v>
      </c>
      <c r="KI62" s="19">
        <v>1030813</v>
      </c>
      <c r="KJ62" s="19">
        <v>8249</v>
      </c>
      <c r="KK62" s="19">
        <v>54792797</v>
      </c>
      <c r="KL62" s="19"/>
      <c r="KM62" s="19">
        <v>10516573</v>
      </c>
      <c r="KN62" s="19"/>
      <c r="KO62" s="19"/>
      <c r="KP62" s="19">
        <v>2567574</v>
      </c>
      <c r="KQ62" s="19">
        <v>591391</v>
      </c>
      <c r="KR62" s="19">
        <v>73</v>
      </c>
      <c r="KS62" s="19">
        <v>17037106</v>
      </c>
      <c r="KT62" s="19">
        <v>42843977</v>
      </c>
      <c r="KU62" s="19">
        <v>6292124</v>
      </c>
      <c r="KV62" s="19">
        <v>682147</v>
      </c>
      <c r="KW62" s="19">
        <v>328106</v>
      </c>
      <c r="KX62" s="19">
        <v>66176411</v>
      </c>
      <c r="KY62" s="19">
        <v>22108305</v>
      </c>
      <c r="KZ62" s="58">
        <v>11059322</v>
      </c>
      <c r="LA62" s="70">
        <v>11463493</v>
      </c>
      <c r="LB62" s="70">
        <v>141731</v>
      </c>
    </row>
    <row r="63" spans="1:314">
      <c r="A63" s="9" t="s">
        <v>103</v>
      </c>
      <c r="B63" s="15" t="s">
        <v>145</v>
      </c>
      <c r="C63" s="19"/>
      <c r="D63" s="19"/>
      <c r="E63" s="19"/>
      <c r="F63" s="19"/>
      <c r="G63" s="19" t="s">
        <v>130</v>
      </c>
      <c r="H63" s="19"/>
      <c r="I63" s="19"/>
      <c r="J63" s="19" t="s">
        <v>176</v>
      </c>
      <c r="K63" s="19"/>
      <c r="L63" s="19" t="s">
        <v>96</v>
      </c>
      <c r="M63" s="19" t="s">
        <v>96</v>
      </c>
      <c r="N63" s="19"/>
      <c r="O63" s="19">
        <v>2404453</v>
      </c>
      <c r="P63" s="19"/>
      <c r="Q63" s="19"/>
      <c r="R63" s="19"/>
      <c r="S63" s="19">
        <v>928552</v>
      </c>
      <c r="T63" s="19" t="s">
        <v>96</v>
      </c>
      <c r="U63" s="19" t="s">
        <v>96</v>
      </c>
      <c r="V63" s="19" t="s">
        <v>172</v>
      </c>
      <c r="W63" s="19"/>
      <c r="X63" s="19"/>
      <c r="Y63" s="19"/>
      <c r="Z63" s="19"/>
      <c r="AA63" s="19"/>
      <c r="AB63" s="19"/>
      <c r="AC63" s="19"/>
      <c r="AD63" s="19">
        <v>6523446</v>
      </c>
      <c r="AE63" s="19"/>
      <c r="AF63" s="56" t="s">
        <v>172</v>
      </c>
      <c r="AG63" s="19"/>
      <c r="AH63" s="19" t="s">
        <v>167</v>
      </c>
      <c r="AI63" s="19"/>
      <c r="AJ63" s="19"/>
      <c r="AK63" s="19"/>
      <c r="AL63" s="19"/>
      <c r="AM63" s="19" t="s">
        <v>4</v>
      </c>
      <c r="AN63" s="19"/>
      <c r="AO63" s="19"/>
      <c r="AP63" s="19"/>
      <c r="AQ63" s="19" t="s">
        <v>172</v>
      </c>
      <c r="AR63" s="19"/>
      <c r="AS63" s="19"/>
      <c r="AT63" s="19" t="s">
        <v>172</v>
      </c>
      <c r="AU63" s="19"/>
      <c r="AV63" s="19"/>
      <c r="AW63" s="19"/>
      <c r="AX63" s="19" t="s">
        <v>4</v>
      </c>
      <c r="AY63" s="19"/>
      <c r="AZ63" s="19"/>
      <c r="BA63" s="19" t="s">
        <v>167</v>
      </c>
      <c r="BB63" s="19"/>
      <c r="BC63" s="19" t="s">
        <v>4</v>
      </c>
      <c r="BD63" s="19" t="s">
        <v>172</v>
      </c>
      <c r="BE63" s="19"/>
      <c r="BF63" s="19" t="s">
        <v>96</v>
      </c>
      <c r="BG63" s="19"/>
      <c r="BH63" s="19"/>
      <c r="BI63" s="19"/>
      <c r="BJ63" s="19"/>
      <c r="BK63" s="19"/>
      <c r="BL63" s="19"/>
      <c r="BM63" s="19"/>
      <c r="BN63" s="19"/>
      <c r="BO63" s="19" t="s">
        <v>96</v>
      </c>
      <c r="BP63" s="19" t="s">
        <v>96</v>
      </c>
      <c r="BQ63" s="19" t="s">
        <v>175</v>
      </c>
      <c r="BR63" s="19"/>
      <c r="BS63" s="19" t="s">
        <v>172</v>
      </c>
      <c r="BT63" s="19"/>
      <c r="BU63" s="19"/>
      <c r="BV63" s="19"/>
      <c r="BW63" s="19"/>
      <c r="BX63" s="19"/>
      <c r="BY63" s="19"/>
      <c r="BZ63" s="19"/>
      <c r="CA63" s="19"/>
      <c r="CB63" s="19"/>
      <c r="CC63" s="19"/>
      <c r="CD63" s="19"/>
      <c r="CE63" s="19" t="s">
        <v>172</v>
      </c>
      <c r="CF63" s="19"/>
      <c r="CG63" s="19"/>
      <c r="CH63" s="19"/>
      <c r="CI63" s="19" t="s">
        <v>172</v>
      </c>
      <c r="CJ63" s="19"/>
      <c r="CK63" s="19"/>
      <c r="CL63" s="19"/>
      <c r="CM63" s="19"/>
      <c r="CN63" s="19"/>
      <c r="CO63" s="19"/>
      <c r="CP63" s="19"/>
      <c r="CQ63" s="19" t="s">
        <v>96</v>
      </c>
      <c r="CR63" s="19"/>
      <c r="CS63" s="56" t="s">
        <v>172</v>
      </c>
      <c r="CT63" s="19"/>
      <c r="CU63" s="19"/>
      <c r="CV63" s="19"/>
      <c r="CW63" s="19"/>
      <c r="CX63" s="19"/>
      <c r="CY63" s="19" t="s">
        <v>96</v>
      </c>
      <c r="CZ63" s="19"/>
      <c r="DA63" s="19" t="s">
        <v>175</v>
      </c>
      <c r="DB63" s="19"/>
      <c r="DC63" s="19"/>
      <c r="DD63" s="19"/>
      <c r="DE63" s="19"/>
      <c r="DF63" s="19"/>
      <c r="DG63" s="19"/>
      <c r="DH63" s="19"/>
      <c r="DI63" s="19"/>
      <c r="DJ63" s="19"/>
      <c r="DK63" s="19"/>
      <c r="DL63" s="19"/>
      <c r="DM63" s="19"/>
      <c r="DN63" s="19"/>
      <c r="DO63" s="19"/>
      <c r="DP63" s="19"/>
      <c r="DQ63" s="19"/>
      <c r="DR63" s="19"/>
      <c r="DS63" s="19"/>
      <c r="DT63" s="19"/>
      <c r="DU63" s="19"/>
      <c r="DV63" s="19"/>
      <c r="DW63" s="19"/>
      <c r="DX63" s="19"/>
      <c r="DY63" s="19"/>
      <c r="DZ63" s="19"/>
      <c r="EA63" s="19"/>
      <c r="EB63" s="19"/>
      <c r="EC63" s="19"/>
      <c r="ED63" s="19"/>
      <c r="EE63" s="19"/>
      <c r="EF63" s="19"/>
      <c r="EG63" s="19"/>
      <c r="EH63" s="19"/>
      <c r="EI63" s="19"/>
      <c r="EJ63" s="19"/>
      <c r="EK63" s="19"/>
      <c r="EL63" s="19"/>
      <c r="EM63" s="19"/>
      <c r="EN63" s="19"/>
      <c r="EO63" s="19"/>
      <c r="EP63" s="19"/>
      <c r="EQ63" s="19"/>
      <c r="ER63" s="19"/>
      <c r="ES63" s="19"/>
      <c r="ET63" s="19"/>
      <c r="EU63" s="19">
        <v>1097106</v>
      </c>
      <c r="EV63" s="19"/>
      <c r="EW63" s="19"/>
      <c r="EX63" s="19"/>
      <c r="EY63" s="19"/>
      <c r="EZ63" s="19"/>
      <c r="FA63" s="19"/>
      <c r="FB63" s="19"/>
      <c r="FC63" s="19"/>
      <c r="FD63" s="19"/>
      <c r="FE63" s="19"/>
      <c r="FF63" s="19"/>
      <c r="FG63" s="19" t="s">
        <v>172</v>
      </c>
      <c r="FH63" s="19"/>
      <c r="FI63" s="19" t="s">
        <v>172</v>
      </c>
      <c r="FJ63" s="19"/>
      <c r="FK63" s="19"/>
      <c r="FL63" s="19"/>
      <c r="FM63" s="19"/>
      <c r="FN63" s="19"/>
      <c r="FO63" s="56" t="s">
        <v>172</v>
      </c>
      <c r="FP63" s="19"/>
      <c r="FQ63" s="19"/>
      <c r="FR63" s="19"/>
      <c r="FS63" s="19"/>
      <c r="FT63" s="19"/>
      <c r="FU63" s="19"/>
      <c r="FV63" s="19" t="s">
        <v>172</v>
      </c>
      <c r="FW63" s="19"/>
      <c r="FX63" s="19"/>
      <c r="FY63" s="19" t="s">
        <v>172</v>
      </c>
      <c r="FZ63" s="19" t="s">
        <v>175</v>
      </c>
      <c r="GA63" s="19"/>
      <c r="GB63" s="19"/>
      <c r="GC63" s="19"/>
      <c r="GD63" s="19" t="s">
        <v>172</v>
      </c>
      <c r="GE63" s="19" t="s">
        <v>172</v>
      </c>
      <c r="GF63" s="19"/>
      <c r="GG63" s="19"/>
      <c r="GH63" s="19" t="s">
        <v>172</v>
      </c>
      <c r="GI63" s="19"/>
      <c r="GJ63" s="19" t="s">
        <v>172</v>
      </c>
      <c r="GK63" s="19"/>
      <c r="GL63" s="19" t="s">
        <v>172</v>
      </c>
      <c r="GM63" s="19"/>
      <c r="GN63" s="19"/>
      <c r="GO63" s="19" t="s">
        <v>172</v>
      </c>
      <c r="GP63" s="19"/>
      <c r="GQ63" s="19"/>
      <c r="GR63" s="19"/>
      <c r="GS63" s="19"/>
      <c r="GT63" s="19"/>
      <c r="GU63" s="19"/>
      <c r="GV63" s="19"/>
      <c r="GW63" s="19"/>
      <c r="GX63" s="19"/>
      <c r="GY63" s="19"/>
      <c r="GZ63" s="19"/>
      <c r="HA63" s="19" t="s">
        <v>172</v>
      </c>
      <c r="HB63" s="19"/>
      <c r="HC63" s="19"/>
      <c r="HD63" s="19"/>
      <c r="HE63" s="19" t="s">
        <v>172</v>
      </c>
      <c r="HF63" s="19"/>
      <c r="HG63" s="19"/>
      <c r="HH63" s="19" t="s">
        <v>172</v>
      </c>
      <c r="HI63" s="19"/>
      <c r="HJ63" s="19" t="s">
        <v>172</v>
      </c>
      <c r="HK63" s="19"/>
      <c r="HL63" s="19"/>
      <c r="HM63" s="19"/>
      <c r="HN63" s="19"/>
      <c r="HO63" s="19"/>
      <c r="HP63" s="19"/>
      <c r="HQ63" s="19"/>
      <c r="HR63" s="19"/>
      <c r="HS63" s="19"/>
      <c r="HT63" s="19"/>
      <c r="HU63" s="19"/>
      <c r="HV63" s="19"/>
      <c r="HW63" s="19" t="s">
        <v>172</v>
      </c>
      <c r="HX63" s="19"/>
      <c r="HY63" s="19" t="s">
        <v>172</v>
      </c>
      <c r="HZ63" s="19"/>
      <c r="IA63" s="19"/>
      <c r="IB63" s="19"/>
      <c r="IC63" s="19"/>
      <c r="ID63" s="19"/>
      <c r="IE63" s="19" t="s">
        <v>172</v>
      </c>
      <c r="IF63" s="19"/>
      <c r="IG63" s="19"/>
      <c r="IH63" s="19"/>
      <c r="II63" s="19"/>
      <c r="IJ63" s="19"/>
      <c r="IK63" s="19"/>
      <c r="IL63" s="19"/>
      <c r="IM63" s="19"/>
      <c r="IN63" s="19"/>
      <c r="IO63" s="19"/>
      <c r="IP63" s="19"/>
      <c r="IQ63" s="19"/>
      <c r="IR63" s="19"/>
      <c r="IS63" s="19"/>
      <c r="IT63" s="19">
        <v>106247</v>
      </c>
      <c r="IU63" s="19"/>
      <c r="IV63" s="19"/>
      <c r="IW63" s="19"/>
      <c r="IX63" s="19"/>
      <c r="IY63" s="19"/>
      <c r="IZ63" s="19"/>
      <c r="JA63" s="19"/>
      <c r="JB63" s="19"/>
      <c r="JC63" s="19"/>
      <c r="JD63" s="19"/>
      <c r="JE63" s="19"/>
      <c r="JF63" s="19"/>
      <c r="JG63" s="19"/>
      <c r="JH63" s="19"/>
      <c r="JI63" s="19"/>
      <c r="JJ63" s="19"/>
      <c r="JK63" s="19"/>
      <c r="JL63" s="19"/>
      <c r="JM63" s="19"/>
      <c r="JN63" s="19"/>
      <c r="JO63" s="19"/>
      <c r="JP63" s="19"/>
      <c r="JQ63" s="19" t="s">
        <v>175</v>
      </c>
      <c r="JR63" s="19"/>
      <c r="JS63" s="19"/>
      <c r="JT63" s="19"/>
      <c r="JU63" s="19"/>
      <c r="JV63" s="19"/>
      <c r="JW63" s="19"/>
      <c r="JX63" s="19"/>
      <c r="JY63" s="19"/>
      <c r="JZ63" s="19"/>
      <c r="KA63" s="19"/>
      <c r="KB63" s="19"/>
      <c r="KC63" s="19"/>
      <c r="KD63" s="19"/>
      <c r="KE63" s="19"/>
      <c r="KF63" s="19"/>
      <c r="KG63" s="19"/>
      <c r="KH63" s="19"/>
      <c r="KI63" s="19"/>
      <c r="KJ63" s="19"/>
      <c r="KK63" s="19"/>
      <c r="KL63" s="19"/>
      <c r="KM63" s="19"/>
      <c r="KN63" s="19"/>
      <c r="KO63" s="19"/>
      <c r="KP63" s="19"/>
      <c r="KQ63" s="19"/>
      <c r="KR63" s="19"/>
      <c r="KS63" s="19"/>
      <c r="KT63" s="19"/>
      <c r="KU63" s="19"/>
      <c r="KV63" s="19"/>
      <c r="KW63" s="19"/>
      <c r="KX63" s="19"/>
      <c r="KY63" s="19"/>
      <c r="KZ63" s="58"/>
      <c r="LA63" s="70"/>
      <c r="LB63" s="70"/>
    </row>
    <row r="64" spans="1:314">
      <c r="A64" s="9" t="s">
        <v>103</v>
      </c>
      <c r="B64" s="16" t="s">
        <v>78</v>
      </c>
      <c r="C64" s="19">
        <f>SUM(C65:C68)</f>
        <v>80964390</v>
      </c>
      <c r="D64" s="19">
        <f>SUM(D65:D68)</f>
        <v>572317410</v>
      </c>
      <c r="E64" s="19">
        <f>SUM(E65:E68)</f>
        <v>113254840</v>
      </c>
      <c r="F64" s="19">
        <f>SUM(F65:F68)</f>
        <v>26708760</v>
      </c>
      <c r="G64" s="19" t="s">
        <v>130</v>
      </c>
      <c r="H64" s="19">
        <f>SUM(H65:H68)</f>
        <v>417762650</v>
      </c>
      <c r="I64" s="19">
        <f>SUM(I65:I68)</f>
        <v>26932200</v>
      </c>
      <c r="J64" s="19" t="s">
        <v>176</v>
      </c>
      <c r="K64" s="19">
        <f>SUM(K65:K68)</f>
        <v>951282474</v>
      </c>
      <c r="L64" s="19" t="s">
        <v>96</v>
      </c>
      <c r="M64" s="19" t="s">
        <v>96</v>
      </c>
      <c r="N64" s="19">
        <f t="shared" ref="N64:S64" si="161">SUM(N65:N68)</f>
        <v>930966148</v>
      </c>
      <c r="O64" s="19">
        <f t="shared" si="161"/>
        <v>213139105</v>
      </c>
      <c r="P64" s="19">
        <f t="shared" si="161"/>
        <v>0</v>
      </c>
      <c r="Q64" s="19">
        <f t="shared" si="161"/>
        <v>30891320</v>
      </c>
      <c r="R64" s="19">
        <f t="shared" si="161"/>
        <v>28142220</v>
      </c>
      <c r="S64" s="19">
        <f t="shared" si="161"/>
        <v>5000000</v>
      </c>
      <c r="T64" s="19" t="s">
        <v>96</v>
      </c>
      <c r="U64" s="19" t="s">
        <v>96</v>
      </c>
      <c r="V64" s="19" t="s">
        <v>172</v>
      </c>
      <c r="W64" s="19">
        <f t="shared" ref="W64:AE64" si="162">SUM(W65:W68)</f>
        <v>63430100</v>
      </c>
      <c r="X64" s="19">
        <f t="shared" si="162"/>
        <v>78000000</v>
      </c>
      <c r="Y64" s="19">
        <f t="shared" si="162"/>
        <v>5000000</v>
      </c>
      <c r="Z64" s="19">
        <f t="shared" si="162"/>
        <v>21979330</v>
      </c>
      <c r="AA64" s="19">
        <f t="shared" si="162"/>
        <v>29138065</v>
      </c>
      <c r="AB64" s="19">
        <f t="shared" si="162"/>
        <v>119301600</v>
      </c>
      <c r="AC64" s="19">
        <f t="shared" si="162"/>
        <v>0</v>
      </c>
      <c r="AD64" s="19">
        <f t="shared" si="162"/>
        <v>0</v>
      </c>
      <c r="AE64" s="19">
        <f t="shared" si="162"/>
        <v>137403663</v>
      </c>
      <c r="AF64" s="56" t="s">
        <v>172</v>
      </c>
      <c r="AG64" s="19">
        <f>SUM(AG65:AG68)</f>
        <v>78190000</v>
      </c>
      <c r="AH64" s="19" t="s">
        <v>167</v>
      </c>
      <c r="AI64" s="19">
        <f>SUM(AI65:AI68)</f>
        <v>5000000</v>
      </c>
      <c r="AJ64" s="19">
        <f>SUM(AJ65:AJ68)</f>
        <v>3582000</v>
      </c>
      <c r="AK64" s="19">
        <f>SUM(AK65:AK68)</f>
        <v>98456000</v>
      </c>
      <c r="AL64" s="19">
        <f>SUM(AL65:AL68)</f>
        <v>37507520</v>
      </c>
      <c r="AM64" s="19" t="s">
        <v>4</v>
      </c>
      <c r="AN64" s="19">
        <f>SUM(AN65:AN68)</f>
        <v>36590111</v>
      </c>
      <c r="AO64" s="19">
        <f>SUM(AO65:AO68)</f>
        <v>0</v>
      </c>
      <c r="AP64" s="19">
        <f>SUM(AP65:AP68)</f>
        <v>-4085459</v>
      </c>
      <c r="AQ64" s="19" t="s">
        <v>172</v>
      </c>
      <c r="AR64" s="19">
        <f>SUM(AR65:AR68)</f>
        <v>5000000</v>
      </c>
      <c r="AS64" s="19">
        <f>SUM(AS65:AS68)</f>
        <v>80441330</v>
      </c>
      <c r="AT64" s="19" t="s">
        <v>172</v>
      </c>
      <c r="AU64" s="19">
        <f>SUM(AU65:AU68)</f>
        <v>0</v>
      </c>
      <c r="AV64" s="19">
        <f>SUM(AV65:AV68)</f>
        <v>16945419</v>
      </c>
      <c r="AW64" s="19">
        <f>SUM(AW65:AW68)</f>
        <v>16000000</v>
      </c>
      <c r="AX64" s="19" t="s">
        <v>4</v>
      </c>
      <c r="AY64" s="19">
        <f>SUM(AY65:AY68)</f>
        <v>31185354</v>
      </c>
      <c r="AZ64" s="19">
        <f>SUM(AZ65:AZ68)</f>
        <v>5000000</v>
      </c>
      <c r="BA64" s="19" t="s">
        <v>167</v>
      </c>
      <c r="BB64" s="19">
        <f>SUM(BB65:BB68)</f>
        <v>0</v>
      </c>
      <c r="BC64" s="19" t="s">
        <v>4</v>
      </c>
      <c r="BD64" s="19" t="s">
        <v>172</v>
      </c>
      <c r="BE64" s="19">
        <f>SUM(BE65:BE68)</f>
        <v>0</v>
      </c>
      <c r="BF64" s="19" t="s">
        <v>96</v>
      </c>
      <c r="BG64" s="19">
        <f t="shared" ref="BG64:BN64" si="163">SUM(BG65:BG68)</f>
        <v>15037719</v>
      </c>
      <c r="BH64" s="19">
        <f t="shared" si="163"/>
        <v>5881970</v>
      </c>
      <c r="BI64" s="19">
        <f t="shared" si="163"/>
        <v>75981481</v>
      </c>
      <c r="BJ64" s="19">
        <f t="shared" si="163"/>
        <v>0</v>
      </c>
      <c r="BK64" s="19">
        <f t="shared" si="163"/>
        <v>4842000</v>
      </c>
      <c r="BL64" s="19">
        <f t="shared" si="163"/>
        <v>5000000</v>
      </c>
      <c r="BM64" s="19">
        <f t="shared" si="163"/>
        <v>136676820</v>
      </c>
      <c r="BN64" s="19">
        <f t="shared" si="163"/>
        <v>5000000</v>
      </c>
      <c r="BO64" s="19" t="s">
        <v>96</v>
      </c>
      <c r="BP64" s="19" t="s">
        <v>96</v>
      </c>
      <c r="BQ64" s="19" t="s">
        <v>175</v>
      </c>
      <c r="BR64" s="19">
        <f>SUM(BR65:BR68)</f>
        <v>191539413</v>
      </c>
      <c r="BS64" s="19" t="s">
        <v>172</v>
      </c>
      <c r="BT64" s="19">
        <f t="shared" ref="BT64:CD64" si="164">SUM(BT65:BT68)</f>
        <v>0</v>
      </c>
      <c r="BU64" s="19">
        <f t="shared" si="164"/>
        <v>15624536</v>
      </c>
      <c r="BV64" s="19">
        <f t="shared" si="164"/>
        <v>107115620</v>
      </c>
      <c r="BW64" s="19">
        <f t="shared" si="164"/>
        <v>32926790</v>
      </c>
      <c r="BX64" s="19">
        <f t="shared" si="164"/>
        <v>0</v>
      </c>
      <c r="BY64" s="19">
        <f t="shared" si="164"/>
        <v>1369366976</v>
      </c>
      <c r="BZ64" s="19">
        <f t="shared" si="164"/>
        <v>26502361</v>
      </c>
      <c r="CA64" s="19">
        <f t="shared" si="164"/>
        <v>5000000</v>
      </c>
      <c r="CB64" s="19">
        <f t="shared" si="164"/>
        <v>18844821</v>
      </c>
      <c r="CC64" s="19">
        <f t="shared" si="164"/>
        <v>21330502</v>
      </c>
      <c r="CD64" s="19">
        <f t="shared" si="164"/>
        <v>27919449</v>
      </c>
      <c r="CE64" s="19" t="s">
        <v>172</v>
      </c>
      <c r="CF64" s="19">
        <f>SUM(CF65:CF68)</f>
        <v>199319500</v>
      </c>
      <c r="CG64" s="19">
        <f>SUM(CG65:CG68)</f>
        <v>62696175</v>
      </c>
      <c r="CH64" s="19">
        <f>SUM(CH65:CH68)</f>
        <v>186085058</v>
      </c>
      <c r="CI64" s="19" t="s">
        <v>172</v>
      </c>
      <c r="CJ64" s="19">
        <f t="shared" ref="CJ64:CP64" si="165">SUM(CJ65:CJ68)</f>
        <v>0</v>
      </c>
      <c r="CK64" s="19">
        <f t="shared" si="165"/>
        <v>18896446</v>
      </c>
      <c r="CL64" s="19">
        <f t="shared" si="165"/>
        <v>24327957</v>
      </c>
      <c r="CM64" s="19">
        <f t="shared" si="165"/>
        <v>161749383</v>
      </c>
      <c r="CN64" s="19">
        <f t="shared" si="165"/>
        <v>0</v>
      </c>
      <c r="CO64" s="19">
        <f t="shared" si="165"/>
        <v>7000000</v>
      </c>
      <c r="CP64" s="19">
        <f t="shared" si="165"/>
        <v>53841129</v>
      </c>
      <c r="CQ64" s="19" t="s">
        <v>96</v>
      </c>
      <c r="CR64" s="19">
        <f>SUM(CR65:CR68)</f>
        <v>336420</v>
      </c>
      <c r="CS64" s="56" t="s">
        <v>172</v>
      </c>
      <c r="CT64" s="19">
        <f>SUM(CT65:CT68)</f>
        <v>0</v>
      </c>
      <c r="CU64" s="19">
        <f>SUM(CU65:CU68)</f>
        <v>0</v>
      </c>
      <c r="CV64" s="19">
        <v>5000000</v>
      </c>
      <c r="CW64" s="19">
        <f>SUM(CW65:CW68)</f>
        <v>394291636</v>
      </c>
      <c r="CX64" s="19">
        <f>SUM(CX65:CX68)</f>
        <v>11868386</v>
      </c>
      <c r="CY64" s="19" t="s">
        <v>96</v>
      </c>
      <c r="CZ64" s="19">
        <f>SUM(CZ65:CZ68)</f>
        <v>248529051</v>
      </c>
      <c r="DA64" s="19" t="s">
        <v>175</v>
      </c>
      <c r="DB64" s="19">
        <f t="shared" ref="DB64:DR64" si="166">SUM(DB65:DB68)</f>
        <v>0</v>
      </c>
      <c r="DC64" s="19">
        <f t="shared" si="166"/>
        <v>9900000</v>
      </c>
      <c r="DD64" s="19">
        <f t="shared" si="166"/>
        <v>5000000</v>
      </c>
      <c r="DE64" s="19">
        <f t="shared" si="166"/>
        <v>0</v>
      </c>
      <c r="DF64" s="19">
        <f t="shared" si="166"/>
        <v>8076955</v>
      </c>
      <c r="DG64" s="19">
        <f t="shared" si="166"/>
        <v>78610000</v>
      </c>
      <c r="DH64" s="19">
        <f t="shared" si="166"/>
        <v>0</v>
      </c>
      <c r="DI64" s="19">
        <f t="shared" si="166"/>
        <v>0</v>
      </c>
      <c r="DJ64" s="19">
        <f t="shared" si="166"/>
        <v>124000000</v>
      </c>
      <c r="DK64" s="19">
        <f t="shared" si="166"/>
        <v>0</v>
      </c>
      <c r="DL64" s="19">
        <f t="shared" si="166"/>
        <v>59172980</v>
      </c>
      <c r="DM64" s="19">
        <f t="shared" si="166"/>
        <v>16371621</v>
      </c>
      <c r="DN64" s="19">
        <f t="shared" si="166"/>
        <v>5000000</v>
      </c>
      <c r="DO64" s="19">
        <f t="shared" si="166"/>
        <v>381020</v>
      </c>
      <c r="DP64" s="19">
        <f t="shared" si="166"/>
        <v>11187374</v>
      </c>
      <c r="DQ64" s="19">
        <f t="shared" si="166"/>
        <v>0</v>
      </c>
      <c r="DR64" s="19">
        <f t="shared" si="166"/>
        <v>71045717</v>
      </c>
      <c r="DS64" s="19">
        <f>SUM(DS65:DS68)</f>
        <v>7800000</v>
      </c>
      <c r="DT64" s="19">
        <f t="shared" ref="DT64:FF64" si="167">SUM(DT65:DT68)</f>
        <v>171913583</v>
      </c>
      <c r="DU64" s="19">
        <f t="shared" si="167"/>
        <v>0</v>
      </c>
      <c r="DV64" s="19">
        <f t="shared" si="167"/>
        <v>0</v>
      </c>
      <c r="DW64" s="19">
        <f t="shared" si="167"/>
        <v>77640175</v>
      </c>
      <c r="DX64" s="19">
        <f t="shared" si="167"/>
        <v>0</v>
      </c>
      <c r="DY64" s="19">
        <f t="shared" si="167"/>
        <v>6000000</v>
      </c>
      <c r="DZ64" s="19">
        <f t="shared" si="167"/>
        <v>5150000</v>
      </c>
      <c r="EA64" s="19">
        <f t="shared" si="167"/>
        <v>0</v>
      </c>
      <c r="EB64" s="19">
        <f t="shared" si="167"/>
        <v>330102886</v>
      </c>
      <c r="EC64" s="19">
        <f t="shared" si="167"/>
        <v>0</v>
      </c>
      <c r="ED64" s="19">
        <f t="shared" si="167"/>
        <v>329294945</v>
      </c>
      <c r="EE64" s="19">
        <f t="shared" si="167"/>
        <v>5178095</v>
      </c>
      <c r="EF64" s="19">
        <f t="shared" si="167"/>
        <v>132732130</v>
      </c>
      <c r="EG64" s="19">
        <f t="shared" si="167"/>
        <v>0</v>
      </c>
      <c r="EH64" s="19">
        <f t="shared" si="167"/>
        <v>7028447</v>
      </c>
      <c r="EI64" s="19">
        <f t="shared" si="167"/>
        <v>0</v>
      </c>
      <c r="EJ64" s="19">
        <f t="shared" si="167"/>
        <v>339065290</v>
      </c>
      <c r="EK64" s="19">
        <f t="shared" si="167"/>
        <v>10905408</v>
      </c>
      <c r="EL64" s="19">
        <f t="shared" si="167"/>
        <v>386569948</v>
      </c>
      <c r="EM64" s="19">
        <f t="shared" si="167"/>
        <v>17936032</v>
      </c>
      <c r="EN64" s="19">
        <f t="shared" si="167"/>
        <v>98499669</v>
      </c>
      <c r="EO64" s="19">
        <f t="shared" si="167"/>
        <v>39002629</v>
      </c>
      <c r="EP64" s="19">
        <f t="shared" si="167"/>
        <v>16746240</v>
      </c>
      <c r="EQ64" s="19">
        <f t="shared" si="167"/>
        <v>89066464</v>
      </c>
      <c r="ER64" s="19">
        <f t="shared" si="167"/>
        <v>276807336</v>
      </c>
      <c r="ES64" s="19">
        <f t="shared" si="167"/>
        <v>0</v>
      </c>
      <c r="ET64" s="19">
        <f t="shared" si="167"/>
        <v>0</v>
      </c>
      <c r="EU64" s="19">
        <f t="shared" si="167"/>
        <v>38413860</v>
      </c>
      <c r="EV64" s="19">
        <f t="shared" si="167"/>
        <v>19670377</v>
      </c>
      <c r="EW64" s="19">
        <f t="shared" si="167"/>
        <v>0</v>
      </c>
      <c r="EX64" s="19">
        <f t="shared" si="167"/>
        <v>62111822</v>
      </c>
      <c r="EY64" s="19">
        <f t="shared" si="167"/>
        <v>78401749</v>
      </c>
      <c r="EZ64" s="19">
        <f t="shared" si="167"/>
        <v>162604841</v>
      </c>
      <c r="FA64" s="19">
        <f t="shared" si="167"/>
        <v>0</v>
      </c>
      <c r="FB64" s="19">
        <f t="shared" si="167"/>
        <v>48710000</v>
      </c>
      <c r="FC64" s="19">
        <f t="shared" si="167"/>
        <v>69723997</v>
      </c>
      <c r="FD64" s="19">
        <f t="shared" si="167"/>
        <v>24877876</v>
      </c>
      <c r="FE64" s="19">
        <f t="shared" si="167"/>
        <v>0</v>
      </c>
      <c r="FF64" s="19">
        <f t="shared" si="167"/>
        <v>0</v>
      </c>
      <c r="FG64" s="19" t="s">
        <v>172</v>
      </c>
      <c r="FH64" s="19">
        <f>SUM(FH65:FH68)</f>
        <v>0</v>
      </c>
      <c r="FI64" s="19" t="s">
        <v>172</v>
      </c>
      <c r="FJ64" s="19">
        <f>SUM(FJ65:FJ68)</f>
        <v>5000000</v>
      </c>
      <c r="FK64" s="19">
        <f>SUM(FK65:FK68)</f>
        <v>241369923</v>
      </c>
      <c r="FL64" s="19">
        <f>SUM(FL65:FL68)</f>
        <v>0</v>
      </c>
      <c r="FM64" s="19">
        <f>SUM(FM65:FM68)</f>
        <v>93408340</v>
      </c>
      <c r="FN64" s="19">
        <f>SUM(FN65:FN68)</f>
        <v>5000000</v>
      </c>
      <c r="FO64" s="56" t="s">
        <v>172</v>
      </c>
      <c r="FP64" s="19">
        <f t="shared" ref="FP64:FU64" si="168">SUM(FP65:FP68)</f>
        <v>17447653</v>
      </c>
      <c r="FQ64" s="19">
        <f t="shared" si="168"/>
        <v>0</v>
      </c>
      <c r="FR64" s="19">
        <f t="shared" si="168"/>
        <v>193394255</v>
      </c>
      <c r="FS64" s="19">
        <f t="shared" si="168"/>
        <v>451709577</v>
      </c>
      <c r="FT64" s="19">
        <f t="shared" si="168"/>
        <v>0</v>
      </c>
      <c r="FU64" s="19">
        <f t="shared" si="168"/>
        <v>0</v>
      </c>
      <c r="FV64" s="19" t="s">
        <v>172</v>
      </c>
      <c r="FW64" s="19">
        <f>SUM(FW65:FW68)</f>
        <v>0</v>
      </c>
      <c r="FX64" s="19">
        <f>SUM(FX65:FX68)</f>
        <v>166476943</v>
      </c>
      <c r="FY64" s="19" t="s">
        <v>172</v>
      </c>
      <c r="FZ64" s="19" t="s">
        <v>175</v>
      </c>
      <c r="GA64" s="19">
        <f>SUM(GA65:GA68)</f>
        <v>313515353</v>
      </c>
      <c r="GB64" s="19">
        <f>SUM(GB65:GB68)</f>
        <v>47982647</v>
      </c>
      <c r="GC64" s="19">
        <f>SUM(GC65:GC68)</f>
        <v>37308000</v>
      </c>
      <c r="GD64" s="19" t="s">
        <v>172</v>
      </c>
      <c r="GE64" s="19" t="s">
        <v>172</v>
      </c>
      <c r="GF64" s="19">
        <f>SUM(GF65:GF68)</f>
        <v>54126045</v>
      </c>
      <c r="GG64" s="19">
        <f>SUM(GG65:GG68)</f>
        <v>185927159</v>
      </c>
      <c r="GH64" s="19" t="s">
        <v>172</v>
      </c>
      <c r="GI64" s="19">
        <f t="shared" ref="GI64:KH64" si="169">SUM(GI65:GI68)</f>
        <v>5294000</v>
      </c>
      <c r="GJ64" s="19" t="s">
        <v>172</v>
      </c>
      <c r="GK64" s="19">
        <f t="shared" si="169"/>
        <v>0</v>
      </c>
      <c r="GL64" s="19" t="s">
        <v>172</v>
      </c>
      <c r="GM64" s="19">
        <f t="shared" si="169"/>
        <v>0</v>
      </c>
      <c r="GN64" s="19">
        <f t="shared" si="169"/>
        <v>0</v>
      </c>
      <c r="GO64" s="19" t="s">
        <v>172</v>
      </c>
      <c r="GP64" s="19">
        <f t="shared" si="169"/>
        <v>0</v>
      </c>
      <c r="GQ64" s="19">
        <f t="shared" si="169"/>
        <v>88279600</v>
      </c>
      <c r="GR64" s="19">
        <f t="shared" si="169"/>
        <v>0</v>
      </c>
      <c r="GS64" s="19">
        <f t="shared" si="169"/>
        <v>31256229</v>
      </c>
      <c r="GT64" s="19">
        <f t="shared" si="169"/>
        <v>0</v>
      </c>
      <c r="GU64" s="19">
        <f t="shared" si="169"/>
        <v>0</v>
      </c>
      <c r="GV64" s="19">
        <f>SUM(GV65:GV68)</f>
        <v>232646051</v>
      </c>
      <c r="GW64" s="19">
        <f>SUM(GW65:GW68)</f>
        <v>0</v>
      </c>
      <c r="GX64" s="19">
        <f t="shared" si="169"/>
        <v>35593666</v>
      </c>
      <c r="GY64" s="19">
        <f t="shared" si="169"/>
        <v>0</v>
      </c>
      <c r="GZ64" s="19">
        <f t="shared" si="169"/>
        <v>0</v>
      </c>
      <c r="HA64" s="19" t="s">
        <v>172</v>
      </c>
      <c r="HB64" s="19">
        <f t="shared" si="169"/>
        <v>925349851</v>
      </c>
      <c r="HC64" s="19">
        <f t="shared" si="169"/>
        <v>158000000</v>
      </c>
      <c r="HD64" s="19">
        <f t="shared" si="169"/>
        <v>699106206</v>
      </c>
      <c r="HE64" s="19" t="s">
        <v>172</v>
      </c>
      <c r="HF64" s="19">
        <f t="shared" si="169"/>
        <v>213301716</v>
      </c>
      <c r="HG64" s="19">
        <f t="shared" si="169"/>
        <v>461922295</v>
      </c>
      <c r="HH64" s="19" t="s">
        <v>172</v>
      </c>
      <c r="HI64" s="19">
        <f t="shared" si="169"/>
        <v>392051036</v>
      </c>
      <c r="HJ64" s="19" t="s">
        <v>172</v>
      </c>
      <c r="HK64" s="19">
        <f t="shared" si="169"/>
        <v>164927453</v>
      </c>
      <c r="HL64" s="19">
        <f t="shared" si="169"/>
        <v>0</v>
      </c>
      <c r="HM64" s="19">
        <f t="shared" si="169"/>
        <v>0</v>
      </c>
      <c r="HN64" s="19">
        <f t="shared" si="169"/>
        <v>0</v>
      </c>
      <c r="HO64" s="19">
        <f t="shared" si="169"/>
        <v>25911290</v>
      </c>
      <c r="HP64" s="19">
        <f t="shared" si="169"/>
        <v>2004899087</v>
      </c>
      <c r="HQ64" s="19">
        <f t="shared" si="169"/>
        <v>183870871</v>
      </c>
      <c r="HR64" s="19">
        <f t="shared" si="169"/>
        <v>1126989005</v>
      </c>
      <c r="HS64" s="19">
        <f t="shared" si="169"/>
        <v>100000</v>
      </c>
      <c r="HT64" s="19">
        <f t="shared" si="169"/>
        <v>0</v>
      </c>
      <c r="HU64" s="19">
        <f t="shared" si="169"/>
        <v>153420285</v>
      </c>
      <c r="HV64" s="19">
        <f t="shared" si="169"/>
        <v>56874420</v>
      </c>
      <c r="HW64" s="19" t="s">
        <v>172</v>
      </c>
      <c r="HX64" s="19">
        <f t="shared" si="169"/>
        <v>0</v>
      </c>
      <c r="HY64" s="19" t="s">
        <v>172</v>
      </c>
      <c r="HZ64" s="19">
        <f t="shared" si="169"/>
        <v>125045788</v>
      </c>
      <c r="IA64" s="19">
        <f t="shared" si="169"/>
        <v>6781900</v>
      </c>
      <c r="IB64" s="19">
        <f t="shared" si="169"/>
        <v>28894010</v>
      </c>
      <c r="IC64" s="19">
        <f t="shared" si="169"/>
        <v>11576293</v>
      </c>
      <c r="ID64" s="19">
        <f t="shared" si="169"/>
        <v>0</v>
      </c>
      <c r="IE64" s="19" t="s">
        <v>172</v>
      </c>
      <c r="IF64" s="19">
        <f t="shared" si="169"/>
        <v>408060</v>
      </c>
      <c r="IG64" s="19">
        <f t="shared" si="169"/>
        <v>5140000</v>
      </c>
      <c r="IH64" s="19">
        <f t="shared" si="169"/>
        <v>427541845</v>
      </c>
      <c r="II64" s="19">
        <f t="shared" si="169"/>
        <v>12368370</v>
      </c>
      <c r="IJ64" s="19">
        <f>SUM(IJ65:IJ68)</f>
        <v>14249200</v>
      </c>
      <c r="IK64" s="19">
        <f t="shared" si="169"/>
        <v>55574519</v>
      </c>
      <c r="IL64" s="19">
        <f t="shared" si="169"/>
        <v>0</v>
      </c>
      <c r="IM64" s="19">
        <f>SUM(IM65:IM68)</f>
        <v>119514942</v>
      </c>
      <c r="IN64" s="19">
        <f t="shared" si="169"/>
        <v>0</v>
      </c>
      <c r="IO64" s="19">
        <f t="shared" si="169"/>
        <v>0</v>
      </c>
      <c r="IP64" s="19">
        <f t="shared" si="169"/>
        <v>164955736</v>
      </c>
      <c r="IQ64" s="19">
        <f t="shared" si="169"/>
        <v>0</v>
      </c>
      <c r="IR64" s="19">
        <f t="shared" si="169"/>
        <v>35979720</v>
      </c>
      <c r="IS64" s="19">
        <f t="shared" si="169"/>
        <v>218077419</v>
      </c>
      <c r="IT64" s="19">
        <f t="shared" si="169"/>
        <v>0</v>
      </c>
      <c r="IU64" s="19">
        <f t="shared" si="169"/>
        <v>39527120</v>
      </c>
      <c r="IV64" s="19">
        <f t="shared" si="169"/>
        <v>0</v>
      </c>
      <c r="IW64" s="19">
        <f t="shared" si="169"/>
        <v>924433573</v>
      </c>
      <c r="IX64" s="19">
        <f t="shared" si="169"/>
        <v>4785015</v>
      </c>
      <c r="IY64" s="19">
        <f t="shared" si="169"/>
        <v>179859900</v>
      </c>
      <c r="IZ64" s="19">
        <f t="shared" si="169"/>
        <v>82731473</v>
      </c>
      <c r="JA64" s="19">
        <f t="shared" si="169"/>
        <v>43436928</v>
      </c>
      <c r="JB64" s="19">
        <f t="shared" si="169"/>
        <v>0</v>
      </c>
      <c r="JC64" s="19">
        <f t="shared" si="169"/>
        <v>5364208</v>
      </c>
      <c r="JD64" s="19">
        <f t="shared" si="169"/>
        <v>68152616</v>
      </c>
      <c r="JE64" s="19">
        <f t="shared" si="169"/>
        <v>40000000</v>
      </c>
      <c r="JF64" s="19">
        <f t="shared" si="169"/>
        <v>0</v>
      </c>
      <c r="JG64" s="19">
        <f t="shared" si="169"/>
        <v>0</v>
      </c>
      <c r="JH64" s="19">
        <f t="shared" si="169"/>
        <v>27598310</v>
      </c>
      <c r="JI64" s="19">
        <f t="shared" si="169"/>
        <v>0</v>
      </c>
      <c r="JJ64" s="19">
        <f t="shared" si="169"/>
        <v>0</v>
      </c>
      <c r="JK64" s="19">
        <f t="shared" si="169"/>
        <v>12971000</v>
      </c>
      <c r="JL64" s="19">
        <f t="shared" si="169"/>
        <v>127781796</v>
      </c>
      <c r="JM64" s="19">
        <f t="shared" si="169"/>
        <v>0</v>
      </c>
      <c r="JN64" s="19">
        <f t="shared" si="169"/>
        <v>3000000</v>
      </c>
      <c r="JO64" s="19">
        <f t="shared" si="169"/>
        <v>0</v>
      </c>
      <c r="JP64" s="19">
        <f t="shared" si="169"/>
        <v>7564400</v>
      </c>
      <c r="JQ64" s="19" t="s">
        <v>175</v>
      </c>
      <c r="JR64" s="19">
        <f t="shared" si="169"/>
        <v>0</v>
      </c>
      <c r="JS64" s="19">
        <f t="shared" si="169"/>
        <v>75623522</v>
      </c>
      <c r="JT64" s="19">
        <f t="shared" si="169"/>
        <v>0</v>
      </c>
      <c r="JU64" s="19">
        <f t="shared" si="169"/>
        <v>0</v>
      </c>
      <c r="JV64" s="19">
        <f t="shared" si="169"/>
        <v>75296389</v>
      </c>
      <c r="JW64" s="19">
        <f t="shared" si="169"/>
        <v>18330000</v>
      </c>
      <c r="JX64" s="19">
        <f t="shared" si="169"/>
        <v>0</v>
      </c>
      <c r="JY64" s="19">
        <f t="shared" si="169"/>
        <v>0</v>
      </c>
      <c r="JZ64" s="19">
        <f t="shared" si="169"/>
        <v>0</v>
      </c>
      <c r="KA64" s="19">
        <f t="shared" si="169"/>
        <v>0</v>
      </c>
      <c r="KB64" s="19">
        <f t="shared" si="169"/>
        <v>450000</v>
      </c>
      <c r="KC64" s="19">
        <f t="shared" si="169"/>
        <v>28022145</v>
      </c>
      <c r="KD64" s="19">
        <f t="shared" si="169"/>
        <v>0</v>
      </c>
      <c r="KE64" s="19">
        <f t="shared" si="169"/>
        <v>0</v>
      </c>
      <c r="KF64" s="19">
        <f t="shared" si="169"/>
        <v>322437383</v>
      </c>
      <c r="KG64" s="19">
        <f t="shared" si="169"/>
        <v>51623545</v>
      </c>
      <c r="KH64" s="19">
        <f t="shared" si="169"/>
        <v>0</v>
      </c>
      <c r="KI64" s="19">
        <f t="shared" ref="KI64:KO64" si="170">SUM(KI65:KI68)</f>
        <v>24255850</v>
      </c>
      <c r="KJ64" s="19">
        <f t="shared" si="170"/>
        <v>0</v>
      </c>
      <c r="KK64" s="19">
        <f t="shared" si="170"/>
        <v>123653154</v>
      </c>
      <c r="KL64" s="19">
        <f t="shared" si="170"/>
        <v>0</v>
      </c>
      <c r="KM64" s="19">
        <f t="shared" si="170"/>
        <v>41613420</v>
      </c>
      <c r="KN64" s="73"/>
      <c r="KO64" s="19">
        <f t="shared" si="170"/>
        <v>214433559</v>
      </c>
      <c r="KP64" s="19">
        <f t="shared" ref="KP64:KY64" si="171">SUM(KP65:KP68)</f>
        <v>960000</v>
      </c>
      <c r="KQ64" s="19">
        <f t="shared" si="171"/>
        <v>50715760</v>
      </c>
      <c r="KR64" s="19">
        <f t="shared" si="171"/>
        <v>0</v>
      </c>
      <c r="KS64" s="19">
        <f t="shared" si="171"/>
        <v>30000000</v>
      </c>
      <c r="KT64" s="19">
        <f t="shared" si="171"/>
        <v>2931100</v>
      </c>
      <c r="KU64" s="19">
        <f t="shared" si="171"/>
        <v>0</v>
      </c>
      <c r="KV64" s="19">
        <f t="shared" si="171"/>
        <v>58230743</v>
      </c>
      <c r="KW64" s="19">
        <f t="shared" si="171"/>
        <v>149389445</v>
      </c>
      <c r="KX64" s="19">
        <f t="shared" si="171"/>
        <v>0</v>
      </c>
      <c r="KY64" s="19">
        <f t="shared" si="171"/>
        <v>0</v>
      </c>
      <c r="KZ64" s="58"/>
      <c r="LA64" s="70"/>
      <c r="LB64" s="70">
        <v>13665000</v>
      </c>
    </row>
    <row r="65" spans="1:314">
      <c r="A65" s="9" t="s">
        <v>103</v>
      </c>
      <c r="B65" s="17" t="s">
        <v>178</v>
      </c>
      <c r="C65" s="19">
        <v>75964390</v>
      </c>
      <c r="D65" s="19"/>
      <c r="E65" s="19"/>
      <c r="F65" s="19"/>
      <c r="G65" s="19" t="s">
        <v>130</v>
      </c>
      <c r="H65" s="19"/>
      <c r="I65" s="19"/>
      <c r="J65" s="19" t="s">
        <v>176</v>
      </c>
      <c r="K65" s="19"/>
      <c r="L65" s="19" t="s">
        <v>96</v>
      </c>
      <c r="M65" s="19" t="s">
        <v>96</v>
      </c>
      <c r="N65" s="19"/>
      <c r="O65" s="19"/>
      <c r="P65" s="19"/>
      <c r="Q65" s="19">
        <v>25891320</v>
      </c>
      <c r="R65" s="19">
        <v>23142220</v>
      </c>
      <c r="S65" s="19">
        <v>5000000</v>
      </c>
      <c r="T65" s="19" t="s">
        <v>96</v>
      </c>
      <c r="U65" s="19" t="s">
        <v>96</v>
      </c>
      <c r="V65" s="19" t="s">
        <v>172</v>
      </c>
      <c r="W65" s="19"/>
      <c r="X65" s="19"/>
      <c r="Y65" s="19"/>
      <c r="Z65" s="19"/>
      <c r="AA65" s="19">
        <v>23708065</v>
      </c>
      <c r="AB65" s="19"/>
      <c r="AC65" s="19"/>
      <c r="AD65" s="19"/>
      <c r="AE65" s="19"/>
      <c r="AF65" s="56" t="s">
        <v>172</v>
      </c>
      <c r="AG65" s="19"/>
      <c r="AH65" s="19" t="s">
        <v>167</v>
      </c>
      <c r="AI65" s="19"/>
      <c r="AJ65" s="19"/>
      <c r="AK65" s="19"/>
      <c r="AL65" s="19"/>
      <c r="AM65" s="19" t="s">
        <v>4</v>
      </c>
      <c r="AN65" s="19"/>
      <c r="AO65" s="19"/>
      <c r="AP65" s="19">
        <v>-4085459</v>
      </c>
      <c r="AQ65" s="19" t="s">
        <v>172</v>
      </c>
      <c r="AR65" s="19"/>
      <c r="AS65" s="19"/>
      <c r="AT65" s="19" t="s">
        <v>172</v>
      </c>
      <c r="AU65" s="19"/>
      <c r="AV65" s="19"/>
      <c r="AW65" s="19"/>
      <c r="AX65" s="19" t="s">
        <v>4</v>
      </c>
      <c r="AY65" s="19"/>
      <c r="AZ65" s="19"/>
      <c r="BA65" s="19" t="s">
        <v>167</v>
      </c>
      <c r="BB65" s="19"/>
      <c r="BC65" s="19" t="s">
        <v>4</v>
      </c>
      <c r="BD65" s="19" t="s">
        <v>172</v>
      </c>
      <c r="BE65" s="19"/>
      <c r="BF65" s="19" t="s">
        <v>96</v>
      </c>
      <c r="BG65" s="19"/>
      <c r="BH65" s="19"/>
      <c r="BI65" s="19"/>
      <c r="BJ65" s="19"/>
      <c r="BK65" s="19"/>
      <c r="BL65" s="19"/>
      <c r="BM65" s="19"/>
      <c r="BN65" s="19"/>
      <c r="BO65" s="19" t="s">
        <v>96</v>
      </c>
      <c r="BP65" s="19" t="s">
        <v>96</v>
      </c>
      <c r="BQ65" s="19" t="s">
        <v>175</v>
      </c>
      <c r="BR65" s="19"/>
      <c r="BS65" s="19" t="s">
        <v>172</v>
      </c>
      <c r="BT65" s="19"/>
      <c r="BU65" s="19"/>
      <c r="BV65" s="19"/>
      <c r="BW65" s="19"/>
      <c r="BX65" s="19"/>
      <c r="BY65" s="19">
        <v>1369366976</v>
      </c>
      <c r="BZ65" s="19"/>
      <c r="CA65" s="19"/>
      <c r="CB65" s="19"/>
      <c r="CC65" s="19"/>
      <c r="CD65" s="19"/>
      <c r="CE65" s="19" t="s">
        <v>172</v>
      </c>
      <c r="CF65" s="19"/>
      <c r="CG65" s="19"/>
      <c r="CH65" s="19"/>
      <c r="CI65" s="19" t="s">
        <v>172</v>
      </c>
      <c r="CJ65" s="19"/>
      <c r="CK65" s="19">
        <v>13000000</v>
      </c>
      <c r="CL65" s="19"/>
      <c r="CM65" s="19"/>
      <c r="CN65" s="19"/>
      <c r="CO65" s="19"/>
      <c r="CP65" s="19"/>
      <c r="CQ65" s="19" t="s">
        <v>96</v>
      </c>
      <c r="CR65" s="19"/>
      <c r="CS65" s="56" t="s">
        <v>172</v>
      </c>
      <c r="CT65" s="19"/>
      <c r="CU65" s="19"/>
      <c r="CV65" s="19"/>
      <c r="CW65" s="19"/>
      <c r="CX65" s="19"/>
      <c r="CY65" s="19" t="s">
        <v>96</v>
      </c>
      <c r="CZ65" s="19"/>
      <c r="DA65" s="19" t="s">
        <v>175</v>
      </c>
      <c r="DB65" s="19"/>
      <c r="DC65" s="19"/>
      <c r="DD65" s="19"/>
      <c r="DE65" s="19"/>
      <c r="DF65" s="19"/>
      <c r="DG65" s="19"/>
      <c r="DH65" s="19"/>
      <c r="DI65" s="19"/>
      <c r="DJ65" s="19">
        <v>4000000</v>
      </c>
      <c r="DK65" s="19"/>
      <c r="DL65" s="19"/>
      <c r="DM65" s="19"/>
      <c r="DN65" s="19"/>
      <c r="DO65" s="19"/>
      <c r="DP65" s="19"/>
      <c r="DQ65" s="19"/>
      <c r="DR65" s="19"/>
      <c r="DS65" s="19"/>
      <c r="DT65" s="19">
        <v>171913583</v>
      </c>
      <c r="DU65" s="19"/>
      <c r="DV65" s="19"/>
      <c r="DW65" s="19">
        <v>77640175</v>
      </c>
      <c r="DX65" s="19"/>
      <c r="DY65" s="19"/>
      <c r="DZ65" s="19"/>
      <c r="EA65" s="19"/>
      <c r="EB65" s="19"/>
      <c r="EC65" s="19"/>
      <c r="ED65" s="19">
        <v>272767529</v>
      </c>
      <c r="EE65" s="19"/>
      <c r="EF65" s="19"/>
      <c r="EG65" s="19"/>
      <c r="EH65" s="19"/>
      <c r="EI65" s="19"/>
      <c r="EJ65" s="19">
        <v>124923290</v>
      </c>
      <c r="EK65" s="19"/>
      <c r="EL65" s="19"/>
      <c r="EM65" s="19"/>
      <c r="EN65" s="19">
        <v>13588000</v>
      </c>
      <c r="EO65" s="19"/>
      <c r="EP65" s="19"/>
      <c r="EQ65" s="19"/>
      <c r="ER65" s="19"/>
      <c r="ES65" s="19"/>
      <c r="ET65" s="19"/>
      <c r="EU65" s="19"/>
      <c r="EV65" s="19"/>
      <c r="EW65" s="19"/>
      <c r="EX65" s="19"/>
      <c r="EY65" s="19"/>
      <c r="EZ65" s="19"/>
      <c r="FA65" s="19"/>
      <c r="FB65" s="19">
        <v>12410000</v>
      </c>
      <c r="FC65" s="19"/>
      <c r="FD65" s="19"/>
      <c r="FE65" s="19"/>
      <c r="FF65" s="19"/>
      <c r="FG65" s="19" t="s">
        <v>172</v>
      </c>
      <c r="FH65" s="19"/>
      <c r="FI65" s="19" t="s">
        <v>172</v>
      </c>
      <c r="FJ65" s="19"/>
      <c r="FK65" s="19">
        <v>220364390</v>
      </c>
      <c r="FL65" s="19"/>
      <c r="FM65" s="19"/>
      <c r="FN65" s="19"/>
      <c r="FO65" s="56" t="s">
        <v>172</v>
      </c>
      <c r="FP65" s="19"/>
      <c r="FQ65" s="19"/>
      <c r="FR65" s="19"/>
      <c r="FS65" s="19">
        <v>451709577</v>
      </c>
      <c r="FT65" s="19"/>
      <c r="FU65" s="19"/>
      <c r="FV65" s="19" t="s">
        <v>172</v>
      </c>
      <c r="FW65" s="19"/>
      <c r="FX65" s="19"/>
      <c r="FY65" s="19" t="s">
        <v>172</v>
      </c>
      <c r="FZ65" s="19" t="s">
        <v>175</v>
      </c>
      <c r="GA65" s="19">
        <v>313515353</v>
      </c>
      <c r="GB65" s="19"/>
      <c r="GC65" s="19">
        <v>6000000</v>
      </c>
      <c r="GD65" s="19" t="s">
        <v>172</v>
      </c>
      <c r="GE65" s="19" t="s">
        <v>172</v>
      </c>
      <c r="GF65" s="19"/>
      <c r="GG65" s="19"/>
      <c r="GH65" s="19" t="s">
        <v>172</v>
      </c>
      <c r="GI65" s="19"/>
      <c r="GJ65" s="19" t="s">
        <v>172</v>
      </c>
      <c r="GK65" s="19"/>
      <c r="GL65" s="19" t="s">
        <v>172</v>
      </c>
      <c r="GM65" s="19"/>
      <c r="GN65" s="19"/>
      <c r="GO65" s="19" t="s">
        <v>172</v>
      </c>
      <c r="GP65" s="19"/>
      <c r="GQ65" s="19"/>
      <c r="GR65" s="19"/>
      <c r="GS65" s="19"/>
      <c r="GT65" s="19"/>
      <c r="GU65" s="19"/>
      <c r="GV65" s="19"/>
      <c r="GW65" s="19"/>
      <c r="GX65" s="19"/>
      <c r="GY65" s="19"/>
      <c r="GZ65" s="19"/>
      <c r="HA65" s="19" t="s">
        <v>172</v>
      </c>
      <c r="HB65" s="19"/>
      <c r="HC65" s="19"/>
      <c r="HD65" s="19"/>
      <c r="HE65" s="19" t="s">
        <v>172</v>
      </c>
      <c r="HF65" s="19"/>
      <c r="HG65" s="19"/>
      <c r="HH65" s="19" t="s">
        <v>172</v>
      </c>
      <c r="HI65" s="19"/>
      <c r="HJ65" s="19" t="s">
        <v>172</v>
      </c>
      <c r="HK65" s="19"/>
      <c r="HL65" s="19"/>
      <c r="HM65" s="19"/>
      <c r="HN65" s="19"/>
      <c r="HO65" s="19">
        <v>23900000</v>
      </c>
      <c r="HP65" s="19"/>
      <c r="HQ65" s="19"/>
      <c r="HR65" s="19"/>
      <c r="HS65" s="19"/>
      <c r="HT65" s="19"/>
      <c r="HU65" s="19">
        <v>153420285</v>
      </c>
      <c r="HV65" s="19"/>
      <c r="HW65" s="19" t="s">
        <v>172</v>
      </c>
      <c r="HX65" s="19"/>
      <c r="HY65" s="19" t="s">
        <v>172</v>
      </c>
      <c r="HZ65" s="19"/>
      <c r="IA65" s="19"/>
      <c r="IB65" s="19"/>
      <c r="IC65" s="19"/>
      <c r="ID65" s="19"/>
      <c r="IE65" s="19" t="s">
        <v>172</v>
      </c>
      <c r="IF65" s="19"/>
      <c r="IG65" s="19"/>
      <c r="IH65" s="19"/>
      <c r="II65" s="19"/>
      <c r="IJ65" s="19"/>
      <c r="IK65" s="19"/>
      <c r="IL65" s="19"/>
      <c r="IM65" s="19"/>
      <c r="IN65" s="19"/>
      <c r="IO65" s="19"/>
      <c r="IP65" s="19">
        <v>85974000</v>
      </c>
      <c r="IQ65" s="19"/>
      <c r="IR65" s="19"/>
      <c r="IS65" s="19"/>
      <c r="IT65" s="19"/>
      <c r="IU65" s="19"/>
      <c r="IV65" s="19"/>
      <c r="IW65" s="19"/>
      <c r="IX65" s="19"/>
      <c r="IY65" s="19">
        <v>179859900</v>
      </c>
      <c r="IZ65" s="19"/>
      <c r="JA65" s="19"/>
      <c r="JB65" s="19"/>
      <c r="JC65" s="19"/>
      <c r="JD65" s="19"/>
      <c r="JE65" s="19">
        <v>40000000</v>
      </c>
      <c r="JF65" s="19"/>
      <c r="JG65" s="19"/>
      <c r="JH65" s="19"/>
      <c r="JI65" s="19"/>
      <c r="JJ65" s="19"/>
      <c r="JK65" s="19">
        <v>6059000</v>
      </c>
      <c r="JL65" s="19"/>
      <c r="JM65" s="19"/>
      <c r="JN65" s="19"/>
      <c r="JO65" s="19"/>
      <c r="JP65" s="19"/>
      <c r="JQ65" s="19" t="s">
        <v>175</v>
      </c>
      <c r="JR65" s="19"/>
      <c r="JS65" s="19"/>
      <c r="JT65" s="19"/>
      <c r="JU65" s="19"/>
      <c r="JV65" s="19"/>
      <c r="JW65" s="19"/>
      <c r="JX65" s="19"/>
      <c r="JY65" s="19"/>
      <c r="JZ65" s="19"/>
      <c r="KA65" s="19"/>
      <c r="KB65" s="19"/>
      <c r="KC65" s="19"/>
      <c r="KD65" s="19"/>
      <c r="KE65" s="19"/>
      <c r="KF65" s="19">
        <v>322423903</v>
      </c>
      <c r="KG65" s="19">
        <v>51623545</v>
      </c>
      <c r="KH65" s="19"/>
      <c r="KI65" s="19">
        <v>537290</v>
      </c>
      <c r="KJ65" s="19"/>
      <c r="KK65" s="19">
        <v>95338568</v>
      </c>
      <c r="KL65" s="19"/>
      <c r="KM65" s="19">
        <v>6000000</v>
      </c>
      <c r="KN65" s="19"/>
      <c r="KO65" s="19"/>
      <c r="KP65" s="19"/>
      <c r="KQ65" s="19">
        <v>50715760</v>
      </c>
      <c r="KR65" s="19"/>
      <c r="KS65" s="19">
        <v>30000000</v>
      </c>
      <c r="KT65" s="19"/>
      <c r="KU65" s="19"/>
      <c r="KV65" s="19">
        <v>58230743</v>
      </c>
      <c r="KW65" s="19">
        <v>146009445</v>
      </c>
      <c r="KX65" s="19"/>
      <c r="KY65" s="19"/>
      <c r="KZ65" s="58"/>
      <c r="LA65" s="70"/>
      <c r="LB65" s="70">
        <v>13665000</v>
      </c>
    </row>
    <row r="66" spans="1:314">
      <c r="A66" s="9" t="s">
        <v>103</v>
      </c>
      <c r="B66" s="17" t="s">
        <v>7</v>
      </c>
      <c r="C66" s="19"/>
      <c r="D66" s="19">
        <f>204506000+332082010</f>
        <v>536588010</v>
      </c>
      <c r="E66" s="19"/>
      <c r="F66" s="19">
        <v>1342140</v>
      </c>
      <c r="G66" s="19" t="s">
        <v>130</v>
      </c>
      <c r="H66" s="19">
        <f>10262650</f>
        <v>10262650</v>
      </c>
      <c r="I66" s="19"/>
      <c r="J66" s="19" t="s">
        <v>176</v>
      </c>
      <c r="K66" s="19"/>
      <c r="L66" s="19" t="s">
        <v>96</v>
      </c>
      <c r="M66" s="19" t="s">
        <v>96</v>
      </c>
      <c r="N66" s="19"/>
      <c r="O66" s="19"/>
      <c r="P66" s="19"/>
      <c r="Q66" s="19"/>
      <c r="R66" s="19">
        <v>5000000</v>
      </c>
      <c r="S66" s="19"/>
      <c r="T66" s="19" t="s">
        <v>96</v>
      </c>
      <c r="U66" s="19" t="s">
        <v>96</v>
      </c>
      <c r="V66" s="19" t="s">
        <v>172</v>
      </c>
      <c r="W66" s="19"/>
      <c r="X66" s="19">
        <v>78000000</v>
      </c>
      <c r="Y66" s="19"/>
      <c r="Z66" s="19"/>
      <c r="AA66" s="19">
        <v>430000</v>
      </c>
      <c r="AB66" s="19">
        <v>119301600</v>
      </c>
      <c r="AC66" s="19"/>
      <c r="AD66" s="19"/>
      <c r="AE66" s="19">
        <v>137403663</v>
      </c>
      <c r="AF66" s="56" t="s">
        <v>172</v>
      </c>
      <c r="AG66" s="19">
        <f>78190000</f>
        <v>78190000</v>
      </c>
      <c r="AH66" s="19" t="s">
        <v>167</v>
      </c>
      <c r="AI66" s="19"/>
      <c r="AJ66" s="19">
        <v>3582000</v>
      </c>
      <c r="AK66" s="19">
        <v>98456000</v>
      </c>
      <c r="AL66" s="19"/>
      <c r="AM66" s="19" t="s">
        <v>4</v>
      </c>
      <c r="AN66" s="19"/>
      <c r="AO66" s="19"/>
      <c r="AP66" s="19"/>
      <c r="AQ66" s="19" t="s">
        <v>172</v>
      </c>
      <c r="AR66" s="19"/>
      <c r="AS66" s="19">
        <v>75441330</v>
      </c>
      <c r="AT66" s="19" t="s">
        <v>172</v>
      </c>
      <c r="AU66" s="19"/>
      <c r="AV66" s="19"/>
      <c r="AW66" s="19"/>
      <c r="AX66" s="19" t="s">
        <v>4</v>
      </c>
      <c r="AY66" s="19">
        <v>24665640</v>
      </c>
      <c r="AZ66" s="19"/>
      <c r="BA66" s="19" t="s">
        <v>167</v>
      </c>
      <c r="BB66" s="19"/>
      <c r="BC66" s="19" t="s">
        <v>4</v>
      </c>
      <c r="BD66" s="19" t="s">
        <v>172</v>
      </c>
      <c r="BE66" s="19"/>
      <c r="BF66" s="19" t="s">
        <v>96</v>
      </c>
      <c r="BG66" s="19"/>
      <c r="BH66" s="19"/>
      <c r="BI66" s="19">
        <v>75981481</v>
      </c>
      <c r="BJ66" s="19"/>
      <c r="BK66" s="19">
        <v>4842000</v>
      </c>
      <c r="BL66" s="19"/>
      <c r="BM66" s="19">
        <v>136676820</v>
      </c>
      <c r="BN66" s="19"/>
      <c r="BO66" s="19" t="s">
        <v>96</v>
      </c>
      <c r="BP66" s="19" t="s">
        <v>96</v>
      </c>
      <c r="BQ66" s="19" t="s">
        <v>175</v>
      </c>
      <c r="BR66" s="19">
        <v>191539413</v>
      </c>
      <c r="BS66" s="19" t="s">
        <v>172</v>
      </c>
      <c r="BT66" s="19"/>
      <c r="BU66" s="19"/>
      <c r="BV66" s="19">
        <v>102115620</v>
      </c>
      <c r="BW66" s="19"/>
      <c r="BX66" s="19"/>
      <c r="BY66" s="19"/>
      <c r="BZ66" s="19"/>
      <c r="CA66" s="19">
        <v>5000000</v>
      </c>
      <c r="CB66" s="19">
        <v>6844821</v>
      </c>
      <c r="CC66" s="19"/>
      <c r="CD66" s="19">
        <v>27919449</v>
      </c>
      <c r="CE66" s="19" t="s">
        <v>172</v>
      </c>
      <c r="CF66" s="19">
        <f>198780470+539030</f>
        <v>199319500</v>
      </c>
      <c r="CG66" s="19"/>
      <c r="CH66" s="19">
        <v>156034145</v>
      </c>
      <c r="CI66" s="19" t="s">
        <v>172</v>
      </c>
      <c r="CJ66" s="19"/>
      <c r="CK66" s="19"/>
      <c r="CL66" s="19"/>
      <c r="CM66" s="19"/>
      <c r="CN66" s="19"/>
      <c r="CO66" s="19">
        <v>7000000</v>
      </c>
      <c r="CP66" s="19"/>
      <c r="CQ66" s="19" t="s">
        <v>96</v>
      </c>
      <c r="CR66" s="19">
        <v>336420</v>
      </c>
      <c r="CS66" s="56" t="s">
        <v>172</v>
      </c>
      <c r="CT66" s="19"/>
      <c r="CU66" s="19"/>
      <c r="CV66" s="19"/>
      <c r="CW66" s="19"/>
      <c r="CX66" s="19">
        <v>11868386</v>
      </c>
      <c r="CY66" s="19" t="s">
        <v>96</v>
      </c>
      <c r="CZ66" s="19"/>
      <c r="DA66" s="19" t="s">
        <v>175</v>
      </c>
      <c r="DB66" s="19"/>
      <c r="DC66" s="19">
        <v>9900000</v>
      </c>
      <c r="DD66" s="19"/>
      <c r="DE66" s="19"/>
      <c r="DF66" s="19"/>
      <c r="DG66" s="19"/>
      <c r="DH66" s="19"/>
      <c r="DI66" s="19"/>
      <c r="DJ66" s="19"/>
      <c r="DK66" s="19"/>
      <c r="DL66" s="19"/>
      <c r="DM66" s="19">
        <v>8000000</v>
      </c>
      <c r="DN66" s="19"/>
      <c r="DO66" s="19"/>
      <c r="DP66" s="19"/>
      <c r="DQ66" s="19"/>
      <c r="DR66" s="19">
        <v>61045517</v>
      </c>
      <c r="DS66" s="19"/>
      <c r="DT66" s="19"/>
      <c r="DU66" s="19"/>
      <c r="DV66" s="19"/>
      <c r="DW66" s="19"/>
      <c r="DX66" s="19"/>
      <c r="DY66" s="19">
        <v>6000000</v>
      </c>
      <c r="DZ66" s="19"/>
      <c r="EA66" s="19"/>
      <c r="EB66" s="19">
        <f>10590920+43857785+118143000</f>
        <v>172591705</v>
      </c>
      <c r="EC66" s="19"/>
      <c r="ED66" s="19">
        <v>43464000</v>
      </c>
      <c r="EE66" s="19">
        <v>5178095</v>
      </c>
      <c r="EF66" s="19">
        <v>660000</v>
      </c>
      <c r="EG66" s="19"/>
      <c r="EH66" s="19"/>
      <c r="EI66" s="19"/>
      <c r="EJ66" s="19"/>
      <c r="EK66" s="19"/>
      <c r="EL66" s="19">
        <v>386569948</v>
      </c>
      <c r="EM66" s="19">
        <f>5100000+1803340+8632692+2400000</f>
        <v>17936032</v>
      </c>
      <c r="EN66" s="19">
        <v>26225690</v>
      </c>
      <c r="EO66" s="19">
        <v>8000000</v>
      </c>
      <c r="EP66" s="19"/>
      <c r="EQ66" s="19"/>
      <c r="ER66" s="19">
        <v>187636800</v>
      </c>
      <c r="ES66" s="19"/>
      <c r="ET66" s="19"/>
      <c r="EU66" s="19">
        <v>38413860</v>
      </c>
      <c r="EV66" s="19"/>
      <c r="EW66" s="19"/>
      <c r="EX66" s="19"/>
      <c r="EY66" s="19"/>
      <c r="EZ66" s="19"/>
      <c r="FA66" s="19"/>
      <c r="FB66" s="19">
        <v>350000</v>
      </c>
      <c r="FC66" s="19">
        <v>69723997</v>
      </c>
      <c r="FD66" s="19">
        <v>24877876</v>
      </c>
      <c r="FE66" s="19"/>
      <c r="FF66" s="19"/>
      <c r="FG66" s="19" t="s">
        <v>172</v>
      </c>
      <c r="FH66" s="19"/>
      <c r="FI66" s="19" t="s">
        <v>172</v>
      </c>
      <c r="FJ66" s="19"/>
      <c r="FK66" s="19"/>
      <c r="FL66" s="19"/>
      <c r="FM66" s="19">
        <v>93408340</v>
      </c>
      <c r="FN66" s="19">
        <v>5000000</v>
      </c>
      <c r="FO66" s="56" t="s">
        <v>172</v>
      </c>
      <c r="FP66" s="19">
        <v>11993330</v>
      </c>
      <c r="FQ66" s="19"/>
      <c r="FR66" s="19">
        <v>193394255</v>
      </c>
      <c r="FS66" s="19"/>
      <c r="FT66" s="19"/>
      <c r="FU66" s="19"/>
      <c r="FV66" s="19" t="s">
        <v>172</v>
      </c>
      <c r="FW66" s="19"/>
      <c r="FX66" s="19"/>
      <c r="FY66" s="19" t="s">
        <v>172</v>
      </c>
      <c r="FZ66" s="19" t="s">
        <v>175</v>
      </c>
      <c r="GA66" s="19"/>
      <c r="GB66" s="19">
        <v>47982647</v>
      </c>
      <c r="GC66" s="19">
        <v>18000</v>
      </c>
      <c r="GD66" s="19" t="s">
        <v>172</v>
      </c>
      <c r="GE66" s="19" t="s">
        <v>172</v>
      </c>
      <c r="GF66" s="19">
        <v>10705965</v>
      </c>
      <c r="GG66" s="19"/>
      <c r="GH66" s="19" t="s">
        <v>172</v>
      </c>
      <c r="GI66" s="19">
        <v>5294000</v>
      </c>
      <c r="GJ66" s="19" t="s">
        <v>172</v>
      </c>
      <c r="GK66" s="19"/>
      <c r="GL66" s="19" t="s">
        <v>172</v>
      </c>
      <c r="GM66" s="19"/>
      <c r="GN66" s="19"/>
      <c r="GO66" s="19" t="s">
        <v>172</v>
      </c>
      <c r="GP66" s="19"/>
      <c r="GQ66" s="19">
        <v>88279600</v>
      </c>
      <c r="GR66" s="19"/>
      <c r="GS66" s="19"/>
      <c r="GT66" s="19"/>
      <c r="GU66" s="19"/>
      <c r="GV66" s="19"/>
      <c r="GW66" s="19"/>
      <c r="GX66" s="19"/>
      <c r="GY66" s="19"/>
      <c r="GZ66" s="19"/>
      <c r="HA66" s="19" t="s">
        <v>172</v>
      </c>
      <c r="HB66" s="19">
        <v>832607851</v>
      </c>
      <c r="HC66" s="19">
        <v>145400000</v>
      </c>
      <c r="HD66" s="19">
        <v>699106206</v>
      </c>
      <c r="HE66" s="19" t="s">
        <v>172</v>
      </c>
      <c r="HF66" s="19">
        <v>206427436</v>
      </c>
      <c r="HG66" s="19"/>
      <c r="HH66" s="19" t="s">
        <v>172</v>
      </c>
      <c r="HI66" s="19">
        <v>337880056</v>
      </c>
      <c r="HJ66" s="19" t="s">
        <v>172</v>
      </c>
      <c r="HK66" s="19">
        <f>164727453+200000</f>
        <v>164927453</v>
      </c>
      <c r="HL66" s="19"/>
      <c r="HM66" s="19"/>
      <c r="HN66" s="19"/>
      <c r="HO66" s="19"/>
      <c r="HP66" s="19"/>
      <c r="HQ66" s="19">
        <v>144710091</v>
      </c>
      <c r="HR66" s="19">
        <v>849498652</v>
      </c>
      <c r="HS66" s="19">
        <v>100000</v>
      </c>
      <c r="HT66" s="19"/>
      <c r="HU66" s="19"/>
      <c r="HV66" s="19"/>
      <c r="HW66" s="19" t="s">
        <v>172</v>
      </c>
      <c r="HX66" s="19"/>
      <c r="HY66" s="19" t="s">
        <v>172</v>
      </c>
      <c r="HZ66" s="19">
        <v>119523390</v>
      </c>
      <c r="IA66" s="19"/>
      <c r="IB66" s="19">
        <v>28894010</v>
      </c>
      <c r="IC66" s="19"/>
      <c r="ID66" s="19"/>
      <c r="IE66" s="19" t="s">
        <v>172</v>
      </c>
      <c r="IF66" s="19"/>
      <c r="IG66" s="19"/>
      <c r="IH66" s="19">
        <v>112137700</v>
      </c>
      <c r="II66" s="19">
        <v>12368370</v>
      </c>
      <c r="IJ66" s="19"/>
      <c r="IK66" s="19">
        <v>55574519</v>
      </c>
      <c r="IL66" s="19"/>
      <c r="IM66" s="19"/>
      <c r="IN66" s="19"/>
      <c r="IO66" s="19"/>
      <c r="IP66" s="19"/>
      <c r="IQ66" s="19"/>
      <c r="IR66" s="19">
        <v>35979720</v>
      </c>
      <c r="IS66" s="19">
        <v>63684000</v>
      </c>
      <c r="IT66" s="19"/>
      <c r="IU66" s="19"/>
      <c r="IV66" s="19"/>
      <c r="IW66" s="19">
        <v>924433573</v>
      </c>
      <c r="IX66" s="19"/>
      <c r="IY66" s="19"/>
      <c r="IZ66" s="19">
        <f>1901290+4214500</f>
        <v>6115790</v>
      </c>
      <c r="JA66" s="19"/>
      <c r="JB66" s="19"/>
      <c r="JC66" s="19">
        <v>5364208</v>
      </c>
      <c r="JD66" s="19">
        <v>68152616</v>
      </c>
      <c r="JE66" s="19"/>
      <c r="JF66" s="19"/>
      <c r="JG66" s="19"/>
      <c r="JH66" s="19"/>
      <c r="JI66" s="19"/>
      <c r="JJ66" s="19"/>
      <c r="JK66" s="19"/>
      <c r="JL66" s="19">
        <v>36373265</v>
      </c>
      <c r="JM66" s="19"/>
      <c r="JN66" s="19">
        <v>3000000</v>
      </c>
      <c r="JO66" s="19"/>
      <c r="JP66" s="19"/>
      <c r="JQ66" s="19" t="s">
        <v>175</v>
      </c>
      <c r="JR66" s="19"/>
      <c r="JS66" s="19">
        <v>57121722</v>
      </c>
      <c r="JT66" s="19"/>
      <c r="JU66" s="19"/>
      <c r="JV66" s="19"/>
      <c r="JW66" s="19"/>
      <c r="JX66" s="19"/>
      <c r="JY66" s="19"/>
      <c r="JZ66" s="19"/>
      <c r="KA66" s="19"/>
      <c r="KB66" s="19"/>
      <c r="KC66" s="19"/>
      <c r="KD66" s="19"/>
      <c r="KE66" s="19"/>
      <c r="KF66" s="19">
        <v>13480</v>
      </c>
      <c r="KG66" s="19"/>
      <c r="KH66" s="19"/>
      <c r="KI66" s="19"/>
      <c r="KJ66" s="19"/>
      <c r="KK66" s="19"/>
      <c r="KL66" s="19"/>
      <c r="KM66" s="19"/>
      <c r="KN66" s="19"/>
      <c r="KO66" s="19"/>
      <c r="KP66" s="19">
        <v>960000</v>
      </c>
      <c r="KQ66" s="19"/>
      <c r="KR66" s="19"/>
      <c r="KS66" s="19"/>
      <c r="KT66" s="19"/>
      <c r="KU66" s="19"/>
      <c r="KV66" s="19"/>
      <c r="KW66" s="19"/>
      <c r="KX66" s="19"/>
      <c r="KY66" s="19"/>
      <c r="KZ66" s="58"/>
      <c r="LA66" s="70"/>
      <c r="LB66" s="70"/>
    </row>
    <row r="67" spans="1:314">
      <c r="A67" s="9" t="s">
        <v>103</v>
      </c>
      <c r="B67" s="17" t="s">
        <v>25</v>
      </c>
      <c r="C67" s="19">
        <v>5000000</v>
      </c>
      <c r="D67" s="19">
        <f>13120000+22609400</f>
        <v>35729400</v>
      </c>
      <c r="E67" s="19"/>
      <c r="F67" s="19">
        <v>5000000</v>
      </c>
      <c r="G67" s="19" t="s">
        <v>130</v>
      </c>
      <c r="H67" s="19">
        <v>400000000</v>
      </c>
      <c r="I67" s="19"/>
      <c r="J67" s="19" t="s">
        <v>176</v>
      </c>
      <c r="K67" s="19">
        <v>951282474</v>
      </c>
      <c r="L67" s="19" t="s">
        <v>96</v>
      </c>
      <c r="M67" s="19" t="s">
        <v>96</v>
      </c>
      <c r="N67" s="19">
        <f>193158390+696452098</f>
        <v>889610488</v>
      </c>
      <c r="O67" s="19">
        <v>213139105</v>
      </c>
      <c r="P67" s="19"/>
      <c r="Q67" s="19"/>
      <c r="R67" s="19"/>
      <c r="S67" s="19"/>
      <c r="T67" s="19" t="s">
        <v>96</v>
      </c>
      <c r="U67" s="19" t="s">
        <v>96</v>
      </c>
      <c r="V67" s="19" t="s">
        <v>172</v>
      </c>
      <c r="W67" s="19">
        <v>13500000</v>
      </c>
      <c r="X67" s="19"/>
      <c r="Y67" s="19"/>
      <c r="Z67" s="19"/>
      <c r="AA67" s="19">
        <v>5000000</v>
      </c>
      <c r="AB67" s="19"/>
      <c r="AC67" s="19"/>
      <c r="AD67" s="19"/>
      <c r="AE67" s="19"/>
      <c r="AF67" s="56" t="s">
        <v>172</v>
      </c>
      <c r="AG67" s="19"/>
      <c r="AH67" s="19" t="s">
        <v>167</v>
      </c>
      <c r="AI67" s="19">
        <v>5000000</v>
      </c>
      <c r="AJ67" s="19"/>
      <c r="AK67" s="19"/>
      <c r="AL67" s="19">
        <v>5000000</v>
      </c>
      <c r="AM67" s="19" t="s">
        <v>4</v>
      </c>
      <c r="AN67" s="19"/>
      <c r="AO67" s="19"/>
      <c r="AP67" s="19"/>
      <c r="AQ67" s="19" t="s">
        <v>172</v>
      </c>
      <c r="AR67" s="19">
        <v>5000000</v>
      </c>
      <c r="AS67" s="19">
        <v>5000000</v>
      </c>
      <c r="AT67" s="19" t="s">
        <v>172</v>
      </c>
      <c r="AU67" s="19"/>
      <c r="AV67" s="19"/>
      <c r="AW67" s="19"/>
      <c r="AX67" s="19" t="s">
        <v>4</v>
      </c>
      <c r="AY67" s="19">
        <v>6519714</v>
      </c>
      <c r="AZ67" s="19">
        <v>5000000</v>
      </c>
      <c r="BA67" s="19" t="s">
        <v>167</v>
      </c>
      <c r="BB67" s="19"/>
      <c r="BC67" s="19" t="s">
        <v>4</v>
      </c>
      <c r="BD67" s="19" t="s">
        <v>172</v>
      </c>
      <c r="BE67" s="19"/>
      <c r="BF67" s="19" t="s">
        <v>96</v>
      </c>
      <c r="BG67" s="19">
        <v>15037719</v>
      </c>
      <c r="BH67" s="19">
        <v>5881970</v>
      </c>
      <c r="BI67" s="19"/>
      <c r="BJ67" s="19"/>
      <c r="BK67" s="19"/>
      <c r="BL67" s="19">
        <v>5000000</v>
      </c>
      <c r="BM67" s="19"/>
      <c r="BN67" s="19">
        <v>5000000</v>
      </c>
      <c r="BO67" s="19" t="s">
        <v>96</v>
      </c>
      <c r="BP67" s="19" t="s">
        <v>96</v>
      </c>
      <c r="BQ67" s="19" t="s">
        <v>175</v>
      </c>
      <c r="BR67" s="19"/>
      <c r="BS67" s="19" t="s">
        <v>172</v>
      </c>
      <c r="BT67" s="19"/>
      <c r="BU67" s="19"/>
      <c r="BV67" s="19">
        <v>5000000</v>
      </c>
      <c r="BW67" s="19">
        <v>32926790</v>
      </c>
      <c r="BX67" s="19"/>
      <c r="BY67" s="19"/>
      <c r="BZ67" s="19">
        <v>26502361</v>
      </c>
      <c r="CA67" s="19"/>
      <c r="CB67" s="19"/>
      <c r="CC67" s="19">
        <v>21330502</v>
      </c>
      <c r="CD67" s="19"/>
      <c r="CE67" s="19" t="s">
        <v>172</v>
      </c>
      <c r="CF67" s="19"/>
      <c r="CG67" s="19">
        <v>32548151</v>
      </c>
      <c r="CH67" s="19"/>
      <c r="CI67" s="19" t="s">
        <v>172</v>
      </c>
      <c r="CJ67" s="19"/>
      <c r="CK67" s="19"/>
      <c r="CL67" s="19"/>
      <c r="CM67" s="19">
        <f>3562700+78910183</f>
        <v>82472883</v>
      </c>
      <c r="CN67" s="19"/>
      <c r="CO67" s="19"/>
      <c r="CP67" s="19">
        <v>53841129</v>
      </c>
      <c r="CQ67" s="19" t="s">
        <v>96</v>
      </c>
      <c r="CR67" s="19"/>
      <c r="CS67" s="56" t="s">
        <v>172</v>
      </c>
      <c r="CT67" s="19"/>
      <c r="CU67" s="19"/>
      <c r="CV67" s="19"/>
      <c r="CW67" s="19">
        <v>353069976</v>
      </c>
      <c r="CX67" s="19"/>
      <c r="CY67" s="19" t="s">
        <v>96</v>
      </c>
      <c r="CZ67" s="19">
        <v>42005351</v>
      </c>
      <c r="DA67" s="19" t="s">
        <v>175</v>
      </c>
      <c r="DB67" s="19"/>
      <c r="DC67" s="19"/>
      <c r="DD67" s="19">
        <v>5000000</v>
      </c>
      <c r="DE67" s="19"/>
      <c r="DF67" s="19"/>
      <c r="DG67" s="19"/>
      <c r="DH67" s="19"/>
      <c r="DI67" s="19"/>
      <c r="DJ67" s="19">
        <v>115000000</v>
      </c>
      <c r="DK67" s="19"/>
      <c r="DL67" s="19"/>
      <c r="DM67" s="19">
        <v>8371621</v>
      </c>
      <c r="DN67" s="19">
        <v>5000000</v>
      </c>
      <c r="DO67" s="19"/>
      <c r="DP67" s="19"/>
      <c r="DQ67" s="19"/>
      <c r="DR67" s="19">
        <v>10000200</v>
      </c>
      <c r="DS67" s="19"/>
      <c r="DT67" s="19"/>
      <c r="DU67" s="19"/>
      <c r="DV67" s="19"/>
      <c r="DW67" s="19"/>
      <c r="DX67" s="19"/>
      <c r="DY67" s="19"/>
      <c r="DZ67" s="19">
        <v>5000000</v>
      </c>
      <c r="EA67" s="19"/>
      <c r="EB67" s="19">
        <v>157511181</v>
      </c>
      <c r="EC67" s="19"/>
      <c r="ED67" s="19">
        <f>5240840+7822576</f>
        <v>13063416</v>
      </c>
      <c r="EE67" s="19"/>
      <c r="EF67" s="19">
        <v>117080130</v>
      </c>
      <c r="EG67" s="19"/>
      <c r="EH67" s="19">
        <v>7028447</v>
      </c>
      <c r="EI67" s="19"/>
      <c r="EJ67" s="19">
        <v>214142000</v>
      </c>
      <c r="EK67" s="19"/>
      <c r="EL67" s="19"/>
      <c r="EM67" s="19"/>
      <c r="EN67" s="19"/>
      <c r="EO67" s="19">
        <v>18690740</v>
      </c>
      <c r="EP67" s="19">
        <v>16746240</v>
      </c>
      <c r="EQ67" s="19"/>
      <c r="ER67" s="19">
        <v>10298000</v>
      </c>
      <c r="ES67" s="19"/>
      <c r="ET67" s="19"/>
      <c r="EU67" s="19"/>
      <c r="EV67" s="19"/>
      <c r="EW67" s="19"/>
      <c r="EX67" s="19"/>
      <c r="EY67" s="19"/>
      <c r="EZ67" s="19"/>
      <c r="FA67" s="19"/>
      <c r="FB67" s="19">
        <f>30950000+5000000</f>
        <v>35950000</v>
      </c>
      <c r="FC67" s="19"/>
      <c r="FD67" s="19"/>
      <c r="FE67" s="19"/>
      <c r="FF67" s="19"/>
      <c r="FG67" s="19" t="s">
        <v>172</v>
      </c>
      <c r="FH67" s="19"/>
      <c r="FI67" s="19" t="s">
        <v>172</v>
      </c>
      <c r="FJ67" s="19">
        <v>5000000</v>
      </c>
      <c r="FK67" s="19"/>
      <c r="FL67" s="19"/>
      <c r="FM67" s="19"/>
      <c r="FN67" s="19"/>
      <c r="FO67" s="56" t="s">
        <v>172</v>
      </c>
      <c r="FP67" s="19"/>
      <c r="FQ67" s="19"/>
      <c r="FR67" s="19"/>
      <c r="FS67" s="19"/>
      <c r="FT67" s="19"/>
      <c r="FU67" s="19"/>
      <c r="FV67" s="19" t="s">
        <v>172</v>
      </c>
      <c r="FW67" s="19"/>
      <c r="FX67" s="19"/>
      <c r="FY67" s="19" t="s">
        <v>172</v>
      </c>
      <c r="FZ67" s="19" t="s">
        <v>175</v>
      </c>
      <c r="GA67" s="19"/>
      <c r="GB67" s="19"/>
      <c r="GC67" s="19"/>
      <c r="GD67" s="19" t="s">
        <v>172</v>
      </c>
      <c r="GE67" s="19" t="s">
        <v>172</v>
      </c>
      <c r="GF67" s="19"/>
      <c r="GG67" s="19">
        <v>41584522</v>
      </c>
      <c r="GH67" s="19" t="s">
        <v>172</v>
      </c>
      <c r="GI67" s="19"/>
      <c r="GJ67" s="19" t="s">
        <v>172</v>
      </c>
      <c r="GK67" s="19"/>
      <c r="GL67" s="19" t="s">
        <v>172</v>
      </c>
      <c r="GM67" s="19"/>
      <c r="GN67" s="19"/>
      <c r="GO67" s="19" t="s">
        <v>172</v>
      </c>
      <c r="GP67" s="19"/>
      <c r="GQ67" s="19"/>
      <c r="GR67" s="19"/>
      <c r="GS67" s="19"/>
      <c r="GT67" s="19"/>
      <c r="GU67" s="19"/>
      <c r="GV67" s="19">
        <v>232646051</v>
      </c>
      <c r="GW67" s="19"/>
      <c r="GX67" s="19">
        <v>9766666</v>
      </c>
      <c r="GY67" s="19"/>
      <c r="GZ67" s="19"/>
      <c r="HA67" s="19" t="s">
        <v>172</v>
      </c>
      <c r="HB67" s="19">
        <v>92742000</v>
      </c>
      <c r="HC67" s="19"/>
      <c r="HD67" s="19"/>
      <c r="HE67" s="19" t="s">
        <v>172</v>
      </c>
      <c r="HF67" s="19"/>
      <c r="HG67" s="19">
        <v>206182052</v>
      </c>
      <c r="HH67" s="19" t="s">
        <v>172</v>
      </c>
      <c r="HI67" s="19"/>
      <c r="HJ67" s="19" t="s">
        <v>172</v>
      </c>
      <c r="HK67" s="19"/>
      <c r="HL67" s="19"/>
      <c r="HM67" s="19"/>
      <c r="HN67" s="19"/>
      <c r="HO67" s="19"/>
      <c r="HP67" s="19">
        <f>180585626+1676355501</f>
        <v>1856941127</v>
      </c>
      <c r="HQ67" s="19"/>
      <c r="HR67" s="19">
        <v>153083353</v>
      </c>
      <c r="HS67" s="19"/>
      <c r="HT67" s="19"/>
      <c r="HU67" s="19"/>
      <c r="HV67" s="19"/>
      <c r="HW67" s="19" t="s">
        <v>172</v>
      </c>
      <c r="HX67" s="19"/>
      <c r="HY67" s="19" t="s">
        <v>172</v>
      </c>
      <c r="HZ67" s="19">
        <v>5522398</v>
      </c>
      <c r="IA67" s="19"/>
      <c r="IB67" s="19"/>
      <c r="IC67" s="19">
        <v>11576293</v>
      </c>
      <c r="ID67" s="19"/>
      <c r="IE67" s="19" t="s">
        <v>172</v>
      </c>
      <c r="IF67" s="19"/>
      <c r="IG67" s="19"/>
      <c r="IH67" s="19">
        <v>315404145</v>
      </c>
      <c r="II67" s="19"/>
      <c r="IJ67" s="19">
        <v>9085420</v>
      </c>
      <c r="IK67" s="19"/>
      <c r="IL67" s="19"/>
      <c r="IM67" s="19">
        <v>88277292</v>
      </c>
      <c r="IN67" s="19"/>
      <c r="IO67" s="19"/>
      <c r="IP67" s="19"/>
      <c r="IQ67" s="19"/>
      <c r="IR67" s="19"/>
      <c r="IS67" s="19">
        <v>154393419</v>
      </c>
      <c r="IT67" s="19"/>
      <c r="IU67" s="19">
        <v>8410000</v>
      </c>
      <c r="IV67" s="19"/>
      <c r="IW67" s="19"/>
      <c r="IX67" s="19">
        <v>4785015</v>
      </c>
      <c r="IY67" s="19"/>
      <c r="IZ67" s="19"/>
      <c r="JA67" s="19"/>
      <c r="JB67" s="19"/>
      <c r="JC67" s="19"/>
      <c r="JD67" s="19"/>
      <c r="JE67" s="19"/>
      <c r="JF67" s="19"/>
      <c r="JG67" s="19"/>
      <c r="JH67" s="19">
        <v>5000000</v>
      </c>
      <c r="JI67" s="19"/>
      <c r="JJ67" s="19"/>
      <c r="JK67" s="19">
        <v>6912000</v>
      </c>
      <c r="JL67" s="19">
        <f>30631681+60776850</f>
        <v>91408531</v>
      </c>
      <c r="JM67" s="19"/>
      <c r="JN67" s="19"/>
      <c r="JO67" s="19"/>
      <c r="JP67" s="19"/>
      <c r="JQ67" s="19" t="s">
        <v>175</v>
      </c>
      <c r="JR67" s="19"/>
      <c r="JS67" s="19">
        <v>13841800</v>
      </c>
      <c r="JT67" s="19"/>
      <c r="JU67" s="19"/>
      <c r="JV67" s="19">
        <v>75296389</v>
      </c>
      <c r="JW67" s="19"/>
      <c r="JX67" s="19"/>
      <c r="JY67" s="19"/>
      <c r="JZ67" s="19"/>
      <c r="KA67" s="19"/>
      <c r="KB67" s="19">
        <v>450000</v>
      </c>
      <c r="KC67" s="19"/>
      <c r="KD67" s="19"/>
      <c r="KE67" s="19"/>
      <c r="KF67" s="19"/>
      <c r="KG67" s="19"/>
      <c r="KH67" s="19"/>
      <c r="KI67" s="19">
        <v>23718560</v>
      </c>
      <c r="KJ67" s="19"/>
      <c r="KK67" s="19"/>
      <c r="KL67" s="19"/>
      <c r="KM67" s="19"/>
      <c r="KN67" s="19"/>
      <c r="KO67" s="19"/>
      <c r="KP67" s="19"/>
      <c r="KQ67" s="19"/>
      <c r="KR67" s="19"/>
      <c r="KS67" s="19"/>
      <c r="KT67" s="19">
        <v>2931100</v>
      </c>
      <c r="KU67" s="19"/>
      <c r="KV67" s="19"/>
      <c r="KW67" s="19">
        <v>3380000</v>
      </c>
      <c r="KX67" s="19"/>
      <c r="KY67" s="19"/>
      <c r="KZ67" s="58"/>
      <c r="LA67" s="70"/>
      <c r="LB67" s="70"/>
    </row>
    <row r="68" spans="1:314">
      <c r="A68" s="9" t="s">
        <v>103</v>
      </c>
      <c r="B68" s="17" t="s">
        <v>17</v>
      </c>
      <c r="C68" s="19"/>
      <c r="D68" s="19"/>
      <c r="E68" s="19">
        <f>46672600+66582240</f>
        <v>113254840</v>
      </c>
      <c r="F68" s="19">
        <f>17666620+2700000</f>
        <v>20366620</v>
      </c>
      <c r="G68" s="19" t="s">
        <v>130</v>
      </c>
      <c r="H68" s="19">
        <v>7500000</v>
      </c>
      <c r="I68" s="19">
        <v>26932200</v>
      </c>
      <c r="J68" s="19" t="s">
        <v>176</v>
      </c>
      <c r="K68" s="19"/>
      <c r="L68" s="19" t="s">
        <v>96</v>
      </c>
      <c r="M68" s="19" t="s">
        <v>96</v>
      </c>
      <c r="N68" s="19">
        <v>41355660</v>
      </c>
      <c r="O68" s="19"/>
      <c r="P68" s="19"/>
      <c r="Q68" s="19">
        <v>5000000</v>
      </c>
      <c r="R68" s="19"/>
      <c r="S68" s="19"/>
      <c r="T68" s="19" t="s">
        <v>96</v>
      </c>
      <c r="U68" s="19" t="s">
        <v>96</v>
      </c>
      <c r="V68" s="19" t="s">
        <v>172</v>
      </c>
      <c r="W68" s="19">
        <v>49930100</v>
      </c>
      <c r="X68" s="19"/>
      <c r="Y68" s="19">
        <v>5000000</v>
      </c>
      <c r="Z68" s="19">
        <v>21979330</v>
      </c>
      <c r="AA68" s="19"/>
      <c r="AB68" s="19"/>
      <c r="AC68" s="19"/>
      <c r="AD68" s="19"/>
      <c r="AE68" s="19"/>
      <c r="AF68" s="56" t="s">
        <v>172</v>
      </c>
      <c r="AG68" s="19"/>
      <c r="AH68" s="19" t="s">
        <v>167</v>
      </c>
      <c r="AI68" s="19"/>
      <c r="AJ68" s="19"/>
      <c r="AK68" s="19"/>
      <c r="AL68" s="19">
        <v>32507520</v>
      </c>
      <c r="AM68" s="19" t="s">
        <v>4</v>
      </c>
      <c r="AN68" s="19">
        <v>36590111</v>
      </c>
      <c r="AO68" s="19"/>
      <c r="AP68" s="19"/>
      <c r="AQ68" s="19" t="s">
        <v>172</v>
      </c>
      <c r="AR68" s="19"/>
      <c r="AS68" s="19"/>
      <c r="AT68" s="19" t="s">
        <v>172</v>
      </c>
      <c r="AU68" s="19"/>
      <c r="AV68" s="19">
        <v>16945419</v>
      </c>
      <c r="AW68" s="19">
        <v>16000000</v>
      </c>
      <c r="AX68" s="19" t="s">
        <v>4</v>
      </c>
      <c r="AY68" s="19"/>
      <c r="AZ68" s="19"/>
      <c r="BA68" s="19" t="s">
        <v>167</v>
      </c>
      <c r="BB68" s="19"/>
      <c r="BC68" s="19" t="s">
        <v>4</v>
      </c>
      <c r="BD68" s="19" t="s">
        <v>172</v>
      </c>
      <c r="BE68" s="19"/>
      <c r="BF68" s="19" t="s">
        <v>96</v>
      </c>
      <c r="BG68" s="19"/>
      <c r="BH68" s="19"/>
      <c r="BI68" s="19"/>
      <c r="BJ68" s="19"/>
      <c r="BK68" s="19"/>
      <c r="BL68" s="19"/>
      <c r="BM68" s="19"/>
      <c r="BN68" s="19"/>
      <c r="BO68" s="19" t="s">
        <v>96</v>
      </c>
      <c r="BP68" s="19" t="s">
        <v>96</v>
      </c>
      <c r="BQ68" s="19" t="s">
        <v>175</v>
      </c>
      <c r="BR68" s="19"/>
      <c r="BS68" s="19" t="s">
        <v>172</v>
      </c>
      <c r="BT68" s="19"/>
      <c r="BU68" s="19">
        <f>5000000+10624536</f>
        <v>15624536</v>
      </c>
      <c r="BV68" s="19"/>
      <c r="BW68" s="19"/>
      <c r="BX68" s="19"/>
      <c r="BY68" s="19"/>
      <c r="BZ68" s="19"/>
      <c r="CA68" s="19"/>
      <c r="CB68" s="19">
        <v>12000000</v>
      </c>
      <c r="CC68" s="19"/>
      <c r="CD68" s="19"/>
      <c r="CE68" s="19" t="s">
        <v>172</v>
      </c>
      <c r="CF68" s="19"/>
      <c r="CG68" s="19">
        <v>30148024</v>
      </c>
      <c r="CH68" s="19">
        <v>30050913</v>
      </c>
      <c r="CI68" s="19" t="s">
        <v>172</v>
      </c>
      <c r="CJ68" s="19"/>
      <c r="CK68" s="19">
        <v>5896446</v>
      </c>
      <c r="CL68" s="19">
        <v>24327957</v>
      </c>
      <c r="CM68" s="19">
        <v>79276500</v>
      </c>
      <c r="CN68" s="19"/>
      <c r="CO68" s="19"/>
      <c r="CP68" s="19"/>
      <c r="CQ68" s="19" t="s">
        <v>96</v>
      </c>
      <c r="CR68" s="19"/>
      <c r="CS68" s="56" t="s">
        <v>172</v>
      </c>
      <c r="CT68" s="19"/>
      <c r="CU68" s="19"/>
      <c r="CV68" s="19">
        <v>5000000</v>
      </c>
      <c r="CW68" s="19">
        <f>29903210+11318450</f>
        <v>41221660</v>
      </c>
      <c r="CX68" s="19"/>
      <c r="CY68" s="19" t="s">
        <v>96</v>
      </c>
      <c r="CZ68" s="19">
        <v>206523700</v>
      </c>
      <c r="DA68" s="19" t="s">
        <v>175</v>
      </c>
      <c r="DB68" s="19"/>
      <c r="DC68" s="19"/>
      <c r="DD68" s="19"/>
      <c r="DE68" s="19"/>
      <c r="DF68" s="19">
        <v>8076955</v>
      </c>
      <c r="DG68" s="19">
        <v>78610000</v>
      </c>
      <c r="DH68" s="19"/>
      <c r="DI68" s="19"/>
      <c r="DJ68" s="19">
        <v>5000000</v>
      </c>
      <c r="DK68" s="19"/>
      <c r="DL68" s="19">
        <v>59172980</v>
      </c>
      <c r="DM68" s="19"/>
      <c r="DN68" s="19"/>
      <c r="DO68" s="19">
        <v>381020</v>
      </c>
      <c r="DP68" s="19">
        <v>11187374</v>
      </c>
      <c r="DQ68" s="19"/>
      <c r="DR68" s="19"/>
      <c r="DS68" s="19">
        <v>7800000</v>
      </c>
      <c r="DT68" s="19"/>
      <c r="DU68" s="19"/>
      <c r="DV68" s="19"/>
      <c r="DW68" s="19"/>
      <c r="DX68" s="19"/>
      <c r="DY68" s="19"/>
      <c r="DZ68" s="19">
        <v>150000</v>
      </c>
      <c r="EA68" s="19"/>
      <c r="EB68" s="19"/>
      <c r="EC68" s="19"/>
      <c r="ED68" s="19"/>
      <c r="EE68" s="19"/>
      <c r="EF68" s="19">
        <v>14992000</v>
      </c>
      <c r="EG68" s="19"/>
      <c r="EH68" s="19"/>
      <c r="EI68" s="19"/>
      <c r="EJ68" s="19"/>
      <c r="EK68" s="19">
        <v>10905408</v>
      </c>
      <c r="EL68" s="19"/>
      <c r="EM68" s="19"/>
      <c r="EN68" s="19">
        <f>56582479+2103500</f>
        <v>58685979</v>
      </c>
      <c r="EO68" s="19">
        <v>12311889</v>
      </c>
      <c r="EP68" s="19"/>
      <c r="EQ68" s="19">
        <f>14246230+74820234</f>
        <v>89066464</v>
      </c>
      <c r="ER68" s="19">
        <v>78872536</v>
      </c>
      <c r="ES68" s="19"/>
      <c r="ET68" s="19"/>
      <c r="EU68" s="19"/>
      <c r="EV68" s="19">
        <v>19670377</v>
      </c>
      <c r="EW68" s="19"/>
      <c r="EX68" s="19">
        <v>62111822</v>
      </c>
      <c r="EY68" s="19">
        <v>78401749</v>
      </c>
      <c r="EZ68" s="19">
        <v>162604841</v>
      </c>
      <c r="FA68" s="19"/>
      <c r="FB68" s="19"/>
      <c r="FC68" s="19"/>
      <c r="FD68" s="19"/>
      <c r="FE68" s="19"/>
      <c r="FF68" s="19"/>
      <c r="FG68" s="19" t="s">
        <v>172</v>
      </c>
      <c r="FH68" s="19"/>
      <c r="FI68" s="19" t="s">
        <v>172</v>
      </c>
      <c r="FJ68" s="19"/>
      <c r="FK68" s="19">
        <v>21005533</v>
      </c>
      <c r="FL68" s="19"/>
      <c r="FM68" s="19"/>
      <c r="FN68" s="19"/>
      <c r="FO68" s="56" t="s">
        <v>172</v>
      </c>
      <c r="FP68" s="19">
        <v>5454323</v>
      </c>
      <c r="FQ68" s="19"/>
      <c r="FR68" s="19"/>
      <c r="FS68" s="19"/>
      <c r="FT68" s="19"/>
      <c r="FU68" s="19"/>
      <c r="FV68" s="19" t="s">
        <v>172</v>
      </c>
      <c r="FW68" s="19"/>
      <c r="FX68" s="19">
        <v>166476943</v>
      </c>
      <c r="FY68" s="19" t="s">
        <v>172</v>
      </c>
      <c r="FZ68" s="19" t="s">
        <v>175</v>
      </c>
      <c r="GA68" s="19"/>
      <c r="GB68" s="19"/>
      <c r="GC68" s="19">
        <v>31290000</v>
      </c>
      <c r="GD68" s="19" t="s">
        <v>172</v>
      </c>
      <c r="GE68" s="19" t="s">
        <v>172</v>
      </c>
      <c r="GF68" s="19">
        <v>43420080</v>
      </c>
      <c r="GG68" s="19">
        <v>144342637</v>
      </c>
      <c r="GH68" s="19" t="s">
        <v>172</v>
      </c>
      <c r="GI68" s="19"/>
      <c r="GJ68" s="19" t="s">
        <v>172</v>
      </c>
      <c r="GK68" s="19"/>
      <c r="GL68" s="19" t="s">
        <v>172</v>
      </c>
      <c r="GM68" s="19"/>
      <c r="GN68" s="19"/>
      <c r="GO68" s="19" t="s">
        <v>172</v>
      </c>
      <c r="GP68" s="19"/>
      <c r="GQ68" s="19"/>
      <c r="GR68" s="19"/>
      <c r="GS68" s="19">
        <v>31256229</v>
      </c>
      <c r="GT68" s="19"/>
      <c r="GU68" s="19"/>
      <c r="GV68" s="19"/>
      <c r="GW68" s="19"/>
      <c r="GX68" s="19">
        <v>25827000</v>
      </c>
      <c r="GY68" s="19"/>
      <c r="GZ68" s="19"/>
      <c r="HA68" s="19" t="s">
        <v>172</v>
      </c>
      <c r="HB68" s="19"/>
      <c r="HC68" s="19">
        <v>12600000</v>
      </c>
      <c r="HD68" s="19"/>
      <c r="HE68" s="19" t="s">
        <v>172</v>
      </c>
      <c r="HF68" s="19">
        <v>6874280</v>
      </c>
      <c r="HG68" s="19">
        <f>97816071+157924172</f>
        <v>255740243</v>
      </c>
      <c r="HH68" s="19" t="s">
        <v>172</v>
      </c>
      <c r="HI68" s="19">
        <v>54170980</v>
      </c>
      <c r="HJ68" s="19" t="s">
        <v>172</v>
      </c>
      <c r="HK68" s="19"/>
      <c r="HL68" s="19"/>
      <c r="HM68" s="19"/>
      <c r="HN68" s="19"/>
      <c r="HO68" s="19">
        <v>2011290</v>
      </c>
      <c r="HP68" s="19">
        <f>117790340+30167620</f>
        <v>147957960</v>
      </c>
      <c r="HQ68" s="19">
        <v>39160780</v>
      </c>
      <c r="HR68" s="19">
        <v>124407000</v>
      </c>
      <c r="HS68" s="19"/>
      <c r="HT68" s="19"/>
      <c r="HU68" s="19"/>
      <c r="HV68" s="19">
        <v>56874420</v>
      </c>
      <c r="HW68" s="19" t="s">
        <v>172</v>
      </c>
      <c r="HX68" s="19"/>
      <c r="HY68" s="19" t="s">
        <v>172</v>
      </c>
      <c r="HZ68" s="19"/>
      <c r="IA68" s="19">
        <v>6781900</v>
      </c>
      <c r="IB68" s="19"/>
      <c r="IC68" s="19"/>
      <c r="ID68" s="19"/>
      <c r="IE68" s="19" t="s">
        <v>172</v>
      </c>
      <c r="IF68" s="19">
        <v>408060</v>
      </c>
      <c r="IG68" s="19">
        <v>5140000</v>
      </c>
      <c r="IH68" s="19"/>
      <c r="II68" s="19"/>
      <c r="IJ68" s="19">
        <v>5163780</v>
      </c>
      <c r="IK68" s="19"/>
      <c r="IL68" s="19"/>
      <c r="IM68" s="19">
        <v>31237650</v>
      </c>
      <c r="IN68" s="19"/>
      <c r="IO68" s="19"/>
      <c r="IP68" s="19">
        <v>78981736</v>
      </c>
      <c r="IQ68" s="19"/>
      <c r="IR68" s="19"/>
      <c r="IS68" s="19"/>
      <c r="IT68" s="19"/>
      <c r="IU68" s="19">
        <v>31117120</v>
      </c>
      <c r="IV68" s="19"/>
      <c r="IW68" s="19"/>
      <c r="IX68" s="19"/>
      <c r="IY68" s="19"/>
      <c r="IZ68" s="19">
        <v>76615683</v>
      </c>
      <c r="JA68" s="19">
        <v>43436928</v>
      </c>
      <c r="JB68" s="19"/>
      <c r="JC68" s="19"/>
      <c r="JD68" s="19"/>
      <c r="JE68" s="19"/>
      <c r="JF68" s="19"/>
      <c r="JG68" s="19"/>
      <c r="JH68" s="19">
        <v>22598310</v>
      </c>
      <c r="JI68" s="19"/>
      <c r="JJ68" s="19"/>
      <c r="JK68" s="19"/>
      <c r="JL68" s="19"/>
      <c r="JM68" s="19"/>
      <c r="JN68" s="19"/>
      <c r="JO68" s="19"/>
      <c r="JP68" s="19">
        <f>5400000+2164400</f>
        <v>7564400</v>
      </c>
      <c r="JQ68" s="19" t="s">
        <v>175</v>
      </c>
      <c r="JR68" s="19"/>
      <c r="JS68" s="19">
        <v>4660000</v>
      </c>
      <c r="JT68" s="19"/>
      <c r="JU68" s="19"/>
      <c r="JV68" s="19"/>
      <c r="JW68" s="19">
        <v>18330000</v>
      </c>
      <c r="JX68" s="19"/>
      <c r="JY68" s="19"/>
      <c r="JZ68" s="19"/>
      <c r="KA68" s="19"/>
      <c r="KB68" s="19"/>
      <c r="KC68" s="19">
        <v>28022145</v>
      </c>
      <c r="KD68" s="19"/>
      <c r="KE68" s="19"/>
      <c r="KF68" s="19"/>
      <c r="KG68" s="19"/>
      <c r="KH68" s="19"/>
      <c r="KI68" s="19"/>
      <c r="KJ68" s="19"/>
      <c r="KK68" s="19">
        <v>28314586</v>
      </c>
      <c r="KL68" s="19"/>
      <c r="KM68" s="19">
        <v>35613420</v>
      </c>
      <c r="KN68" s="19"/>
      <c r="KO68" s="19">
        <v>214433559</v>
      </c>
      <c r="KP68" s="19"/>
      <c r="KQ68" s="19"/>
      <c r="KR68" s="19"/>
      <c r="KS68" s="19"/>
      <c r="KT68" s="19"/>
      <c r="KU68" s="19"/>
      <c r="KV68" s="19"/>
      <c r="KW68" s="19"/>
      <c r="KX68" s="19"/>
      <c r="KY68" s="19"/>
      <c r="KZ68" s="58"/>
      <c r="LA68" s="70"/>
      <c r="LB68" s="70"/>
    </row>
    <row r="69" spans="1:314">
      <c r="A69" s="9" t="s">
        <v>103</v>
      </c>
      <c r="B69" s="15" t="s">
        <v>41</v>
      </c>
      <c r="C69" s="19">
        <v>3567230</v>
      </c>
      <c r="D69" s="19">
        <f>1000000+16000000+210000000</f>
        <v>227000000</v>
      </c>
      <c r="E69" s="19"/>
      <c r="F69" s="19">
        <f>1188000</f>
        <v>1188000</v>
      </c>
      <c r="G69" s="19" t="s">
        <v>130</v>
      </c>
      <c r="H69" s="19">
        <f>50090000+62325180+30989260+17776000+3002532+2235860+10000000+70468118</f>
        <v>246886950</v>
      </c>
      <c r="I69" s="19"/>
      <c r="J69" s="19" t="s">
        <v>176</v>
      </c>
      <c r="K69" s="19"/>
      <c r="L69" s="19" t="s">
        <v>96</v>
      </c>
      <c r="M69" s="19" t="s">
        <v>96</v>
      </c>
      <c r="N69" s="19">
        <v>4283959</v>
      </c>
      <c r="O69" s="19">
        <v>83081</v>
      </c>
      <c r="P69" s="19"/>
      <c r="Q69" s="19">
        <v>62572</v>
      </c>
      <c r="R69" s="19"/>
      <c r="S69" s="19">
        <f>47300+7726582+9853579</f>
        <v>17627461</v>
      </c>
      <c r="T69" s="19" t="s">
        <v>96</v>
      </c>
      <c r="U69" s="19" t="s">
        <v>96</v>
      </c>
      <c r="V69" s="19" t="s">
        <v>172</v>
      </c>
      <c r="W69" s="19"/>
      <c r="X69" s="19">
        <v>5000000</v>
      </c>
      <c r="Y69" s="19"/>
      <c r="Z69" s="19"/>
      <c r="AA69" s="19">
        <f>1537240</f>
        <v>1537240</v>
      </c>
      <c r="AB69" s="19"/>
      <c r="AC69" s="19"/>
      <c r="AD69" s="19">
        <v>2291670</v>
      </c>
      <c r="AE69" s="19">
        <v>9101895</v>
      </c>
      <c r="AF69" s="56" t="s">
        <v>172</v>
      </c>
      <c r="AG69" s="19"/>
      <c r="AH69" s="19" t="s">
        <v>167</v>
      </c>
      <c r="AI69" s="19"/>
      <c r="AJ69" s="19">
        <f>1500+5000000</f>
        <v>5001500</v>
      </c>
      <c r="AK69" s="19"/>
      <c r="AL69" s="19"/>
      <c r="AM69" s="19" t="s">
        <v>4</v>
      </c>
      <c r="AN69" s="19"/>
      <c r="AO69" s="19"/>
      <c r="AP69" s="19"/>
      <c r="AQ69" s="19" t="s">
        <v>172</v>
      </c>
      <c r="AR69" s="19"/>
      <c r="AS69" s="19"/>
      <c r="AT69" s="19" t="s">
        <v>172</v>
      </c>
      <c r="AU69" s="19"/>
      <c r="AV69" s="19"/>
      <c r="AW69" s="19"/>
      <c r="AX69" s="19" t="s">
        <v>4</v>
      </c>
      <c r="AY69" s="19">
        <v>20000000</v>
      </c>
      <c r="AZ69" s="19"/>
      <c r="BA69" s="19" t="s">
        <v>167</v>
      </c>
      <c r="BB69" s="19"/>
      <c r="BC69" s="19" t="s">
        <v>4</v>
      </c>
      <c r="BD69" s="19" t="s">
        <v>172</v>
      </c>
      <c r="BE69" s="19"/>
      <c r="BF69" s="19" t="s">
        <v>96</v>
      </c>
      <c r="BG69" s="19">
        <f>8090+4771563+1299949</f>
        <v>6079602</v>
      </c>
      <c r="BH69" s="19"/>
      <c r="BI69" s="19">
        <f>877796+155045</f>
        <v>1032841</v>
      </c>
      <c r="BJ69" s="19">
        <v>3143146</v>
      </c>
      <c r="BK69" s="19">
        <v>9211508</v>
      </c>
      <c r="BL69" s="19">
        <v>440000</v>
      </c>
      <c r="BM69" s="19">
        <v>1188000</v>
      </c>
      <c r="BN69" s="19">
        <v>2251600</v>
      </c>
      <c r="BO69" s="19" t="s">
        <v>96</v>
      </c>
      <c r="BP69" s="19" t="s">
        <v>96</v>
      </c>
      <c r="BQ69" s="19" t="s">
        <v>175</v>
      </c>
      <c r="BR69" s="19"/>
      <c r="BS69" s="19" t="s">
        <v>172</v>
      </c>
      <c r="BT69" s="19"/>
      <c r="BU69" s="19">
        <v>535581</v>
      </c>
      <c r="BV69" s="19"/>
      <c r="BW69" s="19"/>
      <c r="BX69" s="19"/>
      <c r="BY69" s="19">
        <v>129920</v>
      </c>
      <c r="BZ69" s="19"/>
      <c r="CA69" s="19"/>
      <c r="CB69" s="19"/>
      <c r="CC69" s="19"/>
      <c r="CD69" s="19"/>
      <c r="CE69" s="19" t="s">
        <v>172</v>
      </c>
      <c r="CF69" s="19">
        <v>26000</v>
      </c>
      <c r="CG69" s="19">
        <f>190000+2312000</f>
        <v>2502000</v>
      </c>
      <c r="CH69" s="19">
        <v>1401019</v>
      </c>
      <c r="CI69" s="19" t="s">
        <v>172</v>
      </c>
      <c r="CJ69" s="19">
        <v>247116</v>
      </c>
      <c r="CK69" s="19"/>
      <c r="CL69" s="19"/>
      <c r="CM69" s="19"/>
      <c r="CN69" s="19"/>
      <c r="CO69" s="19"/>
      <c r="CP69" s="19"/>
      <c r="CQ69" s="19" t="s">
        <v>96</v>
      </c>
      <c r="CR69" s="19">
        <f>990000+297038</f>
        <v>1287038</v>
      </c>
      <c r="CS69" s="56" t="s">
        <v>172</v>
      </c>
      <c r="CT69" s="19">
        <f>113719+13404120</f>
        <v>13517839</v>
      </c>
      <c r="CU69" s="19">
        <v>100080105</v>
      </c>
      <c r="CV69" s="19"/>
      <c r="CW69" s="19">
        <f>75000+37447899</f>
        <v>37522899</v>
      </c>
      <c r="CX69" s="19">
        <v>180752</v>
      </c>
      <c r="CY69" s="19" t="s">
        <v>96</v>
      </c>
      <c r="CZ69" s="19">
        <v>245769</v>
      </c>
      <c r="DA69" s="19" t="s">
        <v>175</v>
      </c>
      <c r="DB69" s="19"/>
      <c r="DC69" s="19">
        <v>212142</v>
      </c>
      <c r="DD69" s="19"/>
      <c r="DE69" s="19"/>
      <c r="DF69" s="19"/>
      <c r="DG69" s="19"/>
      <c r="DH69" s="19"/>
      <c r="DI69" s="19">
        <v>2092429</v>
      </c>
      <c r="DJ69" s="19"/>
      <c r="DK69" s="19"/>
      <c r="DL69" s="19">
        <f>10000000+6300000</f>
        <v>16300000</v>
      </c>
      <c r="DM69" s="19">
        <v>1659517</v>
      </c>
      <c r="DN69" s="19"/>
      <c r="DO69" s="19"/>
      <c r="DP69" s="19">
        <f>150136+2989275</f>
        <v>3139411</v>
      </c>
      <c r="DQ69" s="19"/>
      <c r="DR69" s="19">
        <f>5888+8319160+257500</f>
        <v>8582548</v>
      </c>
      <c r="DS69" s="19"/>
      <c r="DT69" s="19"/>
      <c r="DU69" s="19"/>
      <c r="DV69" s="19"/>
      <c r="DW69" s="19">
        <v>25300</v>
      </c>
      <c r="DX69" s="19">
        <v>4278152</v>
      </c>
      <c r="DY69" s="19"/>
      <c r="DZ69" s="19">
        <v>1232000</v>
      </c>
      <c r="EA69" s="19">
        <v>15078425</v>
      </c>
      <c r="EB69" s="19"/>
      <c r="EC69" s="19"/>
      <c r="ED69" s="19"/>
      <c r="EE69" s="19"/>
      <c r="EF69" s="19"/>
      <c r="EG69" s="19">
        <f>50583488</f>
        <v>50583488</v>
      </c>
      <c r="EH69" s="19"/>
      <c r="EI69" s="19"/>
      <c r="EJ69" s="19">
        <f>11512634+263342842</f>
        <v>274855476</v>
      </c>
      <c r="EK69" s="19"/>
      <c r="EL69" s="19"/>
      <c r="EM69" s="19"/>
      <c r="EN69" s="19">
        <f>12169000+1700000</f>
        <v>13869000</v>
      </c>
      <c r="EO69" s="19"/>
      <c r="EP69" s="19"/>
      <c r="EQ69" s="19"/>
      <c r="ER69" s="19">
        <v>101272000</v>
      </c>
      <c r="ES69" s="19">
        <v>982794</v>
      </c>
      <c r="ET69" s="19"/>
      <c r="EU69" s="19">
        <v>8576233</v>
      </c>
      <c r="EV69" s="19">
        <v>4274799</v>
      </c>
      <c r="EW69" s="19">
        <v>15000000</v>
      </c>
      <c r="EX69" s="19"/>
      <c r="EY69" s="19">
        <v>20600</v>
      </c>
      <c r="EZ69" s="19"/>
      <c r="FA69" s="19">
        <v>4150738</v>
      </c>
      <c r="FB69" s="19"/>
      <c r="FC69" s="19"/>
      <c r="FD69" s="19"/>
      <c r="FE69" s="19">
        <f>225602840+12433300</f>
        <v>238036140</v>
      </c>
      <c r="FF69" s="19"/>
      <c r="FG69" s="19" t="s">
        <v>172</v>
      </c>
      <c r="FH69" s="19"/>
      <c r="FI69" s="19" t="s">
        <v>172</v>
      </c>
      <c r="FJ69" s="19"/>
      <c r="FK69" s="19"/>
      <c r="FL69" s="19">
        <v>1648</v>
      </c>
      <c r="FM69" s="19"/>
      <c r="FN69" s="19">
        <f>930647+69567263</f>
        <v>70497910</v>
      </c>
      <c r="FO69" s="56" t="s">
        <v>172</v>
      </c>
      <c r="FP69" s="19"/>
      <c r="FQ69" s="19"/>
      <c r="FR69" s="19"/>
      <c r="FS69" s="19">
        <v>15134</v>
      </c>
      <c r="FT69" s="19">
        <f>163741544+402958168</f>
        <v>566699712</v>
      </c>
      <c r="FU69" s="19"/>
      <c r="FV69" s="19" t="s">
        <v>172</v>
      </c>
      <c r="FW69" s="19"/>
      <c r="FX69" s="19"/>
      <c r="FY69" s="19" t="s">
        <v>172</v>
      </c>
      <c r="FZ69" s="19" t="s">
        <v>175</v>
      </c>
      <c r="GA69" s="19">
        <f>39978+55000000</f>
        <v>55039978</v>
      </c>
      <c r="GB69" s="19"/>
      <c r="GC69" s="19"/>
      <c r="GD69" s="19" t="s">
        <v>172</v>
      </c>
      <c r="GE69" s="19" t="s">
        <v>172</v>
      </c>
      <c r="GF69" s="19"/>
      <c r="GG69" s="19">
        <v>486087</v>
      </c>
      <c r="GH69" s="19" t="s">
        <v>172</v>
      </c>
      <c r="GI69" s="19">
        <v>69281</v>
      </c>
      <c r="GJ69" s="19" t="s">
        <v>172</v>
      </c>
      <c r="GK69" s="19"/>
      <c r="GL69" s="19" t="s">
        <v>172</v>
      </c>
      <c r="GM69" s="19">
        <v>431120230</v>
      </c>
      <c r="GN69" s="19"/>
      <c r="GO69" s="19" t="s">
        <v>172</v>
      </c>
      <c r="GP69" s="19">
        <v>2641092</v>
      </c>
      <c r="GQ69" s="19"/>
      <c r="GR69" s="19"/>
      <c r="GS69" s="19"/>
      <c r="GT69" s="19"/>
      <c r="GU69" s="19"/>
      <c r="GV69" s="19">
        <v>25000000</v>
      </c>
      <c r="GW69" s="19"/>
      <c r="GX69" s="19">
        <v>976610</v>
      </c>
      <c r="GY69" s="19">
        <v>1151151703</v>
      </c>
      <c r="GZ69" s="19"/>
      <c r="HA69" s="19" t="s">
        <v>172</v>
      </c>
      <c r="HB69" s="19">
        <v>46920826</v>
      </c>
      <c r="HC69" s="19"/>
      <c r="HD69" s="19">
        <v>8758980</v>
      </c>
      <c r="HE69" s="19" t="s">
        <v>172</v>
      </c>
      <c r="HF69" s="19">
        <v>0</v>
      </c>
      <c r="HG69" s="57">
        <f>10000000+89671603</f>
        <v>99671603</v>
      </c>
      <c r="HH69" s="19" t="s">
        <v>172</v>
      </c>
      <c r="HI69" s="19">
        <v>4734115</v>
      </c>
      <c r="HJ69" s="19" t="s">
        <v>172</v>
      </c>
      <c r="HK69" s="19">
        <f>639086+680055</f>
        <v>1319141</v>
      </c>
      <c r="HL69" s="19"/>
      <c r="HM69" s="19"/>
      <c r="HN69" s="19">
        <f>87526259+17231886</f>
        <v>104758145</v>
      </c>
      <c r="HO69" s="19">
        <f>1188000+32305460+5000000</f>
        <v>38493460</v>
      </c>
      <c r="HP69" s="19"/>
      <c r="HQ69" s="19"/>
      <c r="HR69" s="19">
        <f>230121124+317569070+19894562</f>
        <v>567584756</v>
      </c>
      <c r="HS69" s="19"/>
      <c r="HT69" s="19">
        <v>28396026</v>
      </c>
      <c r="HU69" s="19">
        <v>5939</v>
      </c>
      <c r="HV69" s="19">
        <v>2929</v>
      </c>
      <c r="HW69" s="19" t="s">
        <v>172</v>
      </c>
      <c r="HX69" s="19">
        <f>3636360+1363872</f>
        <v>5000232</v>
      </c>
      <c r="HY69" s="19" t="s">
        <v>172</v>
      </c>
      <c r="HZ69" s="19">
        <f>110344+60545454+21115454</f>
        <v>81771252</v>
      </c>
      <c r="IA69" s="19"/>
      <c r="IB69" s="19">
        <f>7649559+84373738</f>
        <v>92023297</v>
      </c>
      <c r="IC69" s="19"/>
      <c r="ID69" s="19"/>
      <c r="IE69" s="19" t="s">
        <v>172</v>
      </c>
      <c r="IF69" s="19">
        <f>75636140+1260000</f>
        <v>76896140</v>
      </c>
      <c r="IG69" s="19"/>
      <c r="IH69" s="19"/>
      <c r="II69" s="19"/>
      <c r="IJ69" s="19"/>
      <c r="IK69" s="19"/>
      <c r="IL69" s="19"/>
      <c r="IM69" s="19"/>
      <c r="IN69" s="19"/>
      <c r="IO69" s="19"/>
      <c r="IP69" s="19">
        <v>28135000</v>
      </c>
      <c r="IQ69" s="19"/>
      <c r="IR69" s="19"/>
      <c r="IS69" s="19"/>
      <c r="IT69" s="19">
        <v>14933</v>
      </c>
      <c r="IU69" s="19"/>
      <c r="IV69" s="19">
        <v>26462020</v>
      </c>
      <c r="IW69" s="19"/>
      <c r="IX69" s="19"/>
      <c r="IY69" s="19"/>
      <c r="IZ69" s="19">
        <v>598369</v>
      </c>
      <c r="JA69" s="19">
        <v>9162214</v>
      </c>
      <c r="JB69" s="19"/>
      <c r="JC69" s="19"/>
      <c r="JD69" s="19"/>
      <c r="JE69" s="19"/>
      <c r="JF69" s="19"/>
      <c r="JG69" s="19"/>
      <c r="JH69" s="19"/>
      <c r="JI69" s="19"/>
      <c r="JJ69" s="19"/>
      <c r="JK69" s="19">
        <v>20000000</v>
      </c>
      <c r="JL69" s="19"/>
      <c r="JM69" s="19"/>
      <c r="JN69" s="19">
        <f>10815511+11000</f>
        <v>10826511</v>
      </c>
      <c r="JO69" s="19"/>
      <c r="JP69" s="19">
        <v>445711</v>
      </c>
      <c r="JQ69" s="19" t="s">
        <v>175</v>
      </c>
      <c r="JR69" s="19"/>
      <c r="JS69" s="19">
        <f>51689603+53024000+12700000</f>
        <v>117413603</v>
      </c>
      <c r="JT69" s="19"/>
      <c r="JU69" s="19"/>
      <c r="JV69" s="19">
        <v>5544750</v>
      </c>
      <c r="JW69" s="19">
        <v>24687</v>
      </c>
      <c r="JX69" s="19"/>
      <c r="JY69" s="19">
        <v>1222945</v>
      </c>
      <c r="JZ69" s="19"/>
      <c r="KA69" s="19"/>
      <c r="KB69" s="19">
        <f>450000+5724</f>
        <v>455724</v>
      </c>
      <c r="KC69" s="19"/>
      <c r="KD69" s="19">
        <v>968000</v>
      </c>
      <c r="KE69" s="19"/>
      <c r="KF69" s="19"/>
      <c r="KG69" s="19"/>
      <c r="KH69" s="19"/>
      <c r="KI69" s="19"/>
      <c r="KJ69" s="19">
        <v>4085610</v>
      </c>
      <c r="KK69" s="19">
        <v>131245</v>
      </c>
      <c r="KL69" s="19">
        <f>19783000+2064871000</f>
        <v>2084654000</v>
      </c>
      <c r="KM69" s="19">
        <f>16534760</f>
        <v>16534760</v>
      </c>
      <c r="KN69" s="19">
        <v>1316971511</v>
      </c>
      <c r="KO69" s="19">
        <f>170258+1608000</f>
        <v>1778258</v>
      </c>
      <c r="KP69" s="19">
        <f>1530000+1410335</f>
        <v>2940335</v>
      </c>
      <c r="KQ69" s="19"/>
      <c r="KR69" s="19"/>
      <c r="KS69" s="19"/>
      <c r="KT69" s="19">
        <v>16103640</v>
      </c>
      <c r="KU69" s="19">
        <v>26196892</v>
      </c>
      <c r="KV69" s="19"/>
      <c r="KW69" s="19"/>
      <c r="KX69" s="19"/>
      <c r="KY69" s="19">
        <f>3475495+580000</f>
        <v>4055495</v>
      </c>
      <c r="KZ69" s="58"/>
      <c r="LA69" s="70"/>
      <c r="LB69" s="70"/>
    </row>
    <row r="70" spans="1:314">
      <c r="A70" s="9" t="s">
        <v>103</v>
      </c>
      <c r="B70" s="10" t="s">
        <v>10</v>
      </c>
      <c r="C70" s="19">
        <f>SUM(C71:C75)</f>
        <v>366</v>
      </c>
      <c r="D70" s="19">
        <f>SUM(D71:D75)</f>
        <v>229935993</v>
      </c>
      <c r="E70" s="19">
        <f>SUM(E71:E75)</f>
        <v>22842002</v>
      </c>
      <c r="F70" s="19">
        <f>SUM(F71:F75)</f>
        <v>92412591</v>
      </c>
      <c r="G70" s="19" t="s">
        <v>130</v>
      </c>
      <c r="H70" s="19">
        <f>SUM(H71:H75)</f>
        <v>214770623</v>
      </c>
      <c r="I70" s="19">
        <f>SUM(I71:I75)</f>
        <v>61015236</v>
      </c>
      <c r="J70" s="19" t="s">
        <v>176</v>
      </c>
      <c r="K70" s="19">
        <f>SUM(K71:K75)</f>
        <v>669577</v>
      </c>
      <c r="L70" s="19" t="s">
        <v>96</v>
      </c>
      <c r="M70" s="19" t="s">
        <v>96</v>
      </c>
      <c r="N70" s="19">
        <f t="shared" ref="N70:S70" si="172">SUM(N71:N75)</f>
        <v>326256447</v>
      </c>
      <c r="O70" s="19">
        <f t="shared" si="172"/>
        <v>186377029</v>
      </c>
      <c r="P70" s="19">
        <f t="shared" si="172"/>
        <v>450503073</v>
      </c>
      <c r="Q70" s="19">
        <f t="shared" si="172"/>
        <v>3722994</v>
      </c>
      <c r="R70" s="19">
        <f t="shared" si="172"/>
        <v>6210348</v>
      </c>
      <c r="S70" s="19">
        <f t="shared" si="172"/>
        <v>353235839</v>
      </c>
      <c r="T70" s="19" t="s">
        <v>96</v>
      </c>
      <c r="U70" s="19" t="s">
        <v>96</v>
      </c>
      <c r="V70" s="19" t="s">
        <v>172</v>
      </c>
      <c r="W70" s="19">
        <f t="shared" ref="W70:AE70" si="173">SUM(W71:W75)</f>
        <v>29596906</v>
      </c>
      <c r="X70" s="19">
        <f t="shared" si="173"/>
        <v>180114269</v>
      </c>
      <c r="Y70" s="19">
        <f t="shared" si="173"/>
        <v>825660</v>
      </c>
      <c r="Z70" s="19">
        <f t="shared" si="173"/>
        <v>66381660</v>
      </c>
      <c r="AA70" s="19">
        <f t="shared" si="173"/>
        <v>117293033</v>
      </c>
      <c r="AB70" s="19">
        <f t="shared" si="173"/>
        <v>823959</v>
      </c>
      <c r="AC70" s="19">
        <f t="shared" si="173"/>
        <v>8096716</v>
      </c>
      <c r="AD70" s="19">
        <f t="shared" si="173"/>
        <v>384053036</v>
      </c>
      <c r="AE70" s="19">
        <f t="shared" si="173"/>
        <v>49195268</v>
      </c>
      <c r="AF70" s="56" t="s">
        <v>172</v>
      </c>
      <c r="AG70" s="19">
        <f>SUM(AG71:AG75)</f>
        <v>23504967</v>
      </c>
      <c r="AH70" s="19" t="s">
        <v>167</v>
      </c>
      <c r="AI70" s="19">
        <f>SUM(AI71:AI75)</f>
        <v>34867333</v>
      </c>
      <c r="AJ70" s="19">
        <f>SUM(AJ71:AJ75)</f>
        <v>45651023</v>
      </c>
      <c r="AK70" s="19">
        <f>SUM(AK71:AK75)</f>
        <v>21789548</v>
      </c>
      <c r="AL70" s="19">
        <f>SUM(AL71:AL75)</f>
        <v>15604765</v>
      </c>
      <c r="AM70" s="19" t="s">
        <v>4</v>
      </c>
      <c r="AN70" s="19">
        <f>SUM(AN71:AN75)</f>
        <v>31634950</v>
      </c>
      <c r="AO70" s="19">
        <f>SUM(AO71:AO75)</f>
        <v>25762440</v>
      </c>
      <c r="AP70" s="19">
        <f>SUM(AP71:AP75)</f>
        <v>0</v>
      </c>
      <c r="AQ70" s="19" t="s">
        <v>172</v>
      </c>
      <c r="AR70" s="19">
        <f>SUM(AR71:AR75)</f>
        <v>41868121</v>
      </c>
      <c r="AS70" s="19">
        <f>SUM(AS71:AS75)</f>
        <v>86121617</v>
      </c>
      <c r="AT70" s="19" t="s">
        <v>172</v>
      </c>
      <c r="AU70" s="19">
        <f>SUM(AU71:AU75)</f>
        <v>75083646</v>
      </c>
      <c r="AV70" s="19">
        <f>SUM(AV71:AV75)</f>
        <v>7</v>
      </c>
      <c r="AW70" s="19">
        <f>SUM(AW71:AW75)</f>
        <v>9479127</v>
      </c>
      <c r="AX70" s="19" t="s">
        <v>4</v>
      </c>
      <c r="AY70" s="19">
        <f>SUM(AY71:AY75)</f>
        <v>13426792</v>
      </c>
      <c r="AZ70" s="19">
        <f>SUM(AZ71:AZ75)</f>
        <v>4596869</v>
      </c>
      <c r="BA70" s="19" t="s">
        <v>167</v>
      </c>
      <c r="BB70" s="19">
        <f>SUM(BB71:BB75)</f>
        <v>4552</v>
      </c>
      <c r="BC70" s="19" t="s">
        <v>4</v>
      </c>
      <c r="BD70" s="19" t="s">
        <v>172</v>
      </c>
      <c r="BE70" s="19">
        <f>SUM(BE71:BE75)</f>
        <v>87109850</v>
      </c>
      <c r="BF70" s="19" t="s">
        <v>96</v>
      </c>
      <c r="BG70" s="19">
        <f t="shared" ref="BG70:BN70" si="174">SUM(BG71:BG75)</f>
        <v>38763687</v>
      </c>
      <c r="BH70" s="19">
        <f t="shared" si="174"/>
        <v>37584670</v>
      </c>
      <c r="BI70" s="19">
        <f t="shared" si="174"/>
        <v>2457540</v>
      </c>
      <c r="BJ70" s="19">
        <f t="shared" si="174"/>
        <v>11091530</v>
      </c>
      <c r="BK70" s="19">
        <f t="shared" si="174"/>
        <v>74386949</v>
      </c>
      <c r="BL70" s="19">
        <f t="shared" si="174"/>
        <v>88792</v>
      </c>
      <c r="BM70" s="19">
        <f t="shared" si="174"/>
        <v>20513616</v>
      </c>
      <c r="BN70" s="19">
        <f t="shared" si="174"/>
        <v>422653</v>
      </c>
      <c r="BO70" s="19" t="s">
        <v>96</v>
      </c>
      <c r="BP70" s="19" t="s">
        <v>96</v>
      </c>
      <c r="BQ70" s="19" t="s">
        <v>175</v>
      </c>
      <c r="BR70" s="19">
        <f>SUM(BR71:BR75)</f>
        <v>209927928</v>
      </c>
      <c r="BS70" s="19" t="s">
        <v>172</v>
      </c>
      <c r="BT70" s="19">
        <f t="shared" ref="BT70:CD70" si="175">SUM(BT71:BT75)</f>
        <v>1943020</v>
      </c>
      <c r="BU70" s="19">
        <f t="shared" si="175"/>
        <v>28490076</v>
      </c>
      <c r="BV70" s="19">
        <f t="shared" si="175"/>
        <v>66157499</v>
      </c>
      <c r="BW70" s="19">
        <f t="shared" si="175"/>
        <v>339820</v>
      </c>
      <c r="BX70" s="19">
        <f t="shared" si="175"/>
        <v>4857603</v>
      </c>
      <c r="BY70" s="19">
        <f t="shared" si="175"/>
        <v>69282639</v>
      </c>
      <c r="BZ70" s="19">
        <f t="shared" si="175"/>
        <v>239766738</v>
      </c>
      <c r="CA70" s="19">
        <f t="shared" si="175"/>
        <v>55236781</v>
      </c>
      <c r="CB70" s="19">
        <f t="shared" si="175"/>
        <v>47048002</v>
      </c>
      <c r="CC70" s="19">
        <f t="shared" si="175"/>
        <v>439800</v>
      </c>
      <c r="CD70" s="19">
        <f t="shared" si="175"/>
        <v>5500031</v>
      </c>
      <c r="CE70" s="19" t="s">
        <v>172</v>
      </c>
      <c r="CF70" s="19">
        <f>SUM(CF71:CF75)</f>
        <v>42137044</v>
      </c>
      <c r="CG70" s="19">
        <f>SUM(CG71:CG75)</f>
        <v>13955520</v>
      </c>
      <c r="CH70" s="19">
        <f>SUM(CH71:CH75)</f>
        <v>35152886</v>
      </c>
      <c r="CI70" s="19" t="s">
        <v>172</v>
      </c>
      <c r="CJ70" s="19">
        <f t="shared" ref="CJ70:CP70" si="176">SUM(CJ71:CJ75)</f>
        <v>7432608</v>
      </c>
      <c r="CK70" s="19">
        <f t="shared" si="176"/>
        <v>687867697</v>
      </c>
      <c r="CL70" s="19">
        <f t="shared" si="176"/>
        <v>36721089</v>
      </c>
      <c r="CM70" s="19">
        <f t="shared" si="176"/>
        <v>1185108924</v>
      </c>
      <c r="CN70" s="19">
        <f t="shared" si="176"/>
        <v>671332</v>
      </c>
      <c r="CO70" s="19">
        <f t="shared" si="176"/>
        <v>32000</v>
      </c>
      <c r="CP70" s="19">
        <f t="shared" si="176"/>
        <v>35474751</v>
      </c>
      <c r="CQ70" s="19" t="s">
        <v>96</v>
      </c>
      <c r="CR70" s="19">
        <f>SUM(CR71:CR75)</f>
        <v>30824877</v>
      </c>
      <c r="CS70" s="56" t="s">
        <v>172</v>
      </c>
      <c r="CT70" s="19">
        <f>SUM(CT71:CT75)</f>
        <v>3423604632</v>
      </c>
      <c r="CU70" s="19">
        <f>SUM(CU71:CU75)</f>
        <v>30871620</v>
      </c>
      <c r="CV70" s="19">
        <v>3275311</v>
      </c>
      <c r="CW70" s="19">
        <f>SUM(CW71:CW75)</f>
        <v>61844700</v>
      </c>
      <c r="CX70" s="19">
        <f>SUM(CX71:CX75)</f>
        <v>52161815</v>
      </c>
      <c r="CY70" s="19" t="s">
        <v>96</v>
      </c>
      <c r="CZ70" s="19">
        <f>SUM(CZ71:CZ75)</f>
        <v>166154329</v>
      </c>
      <c r="DA70" s="19" t="s">
        <v>175</v>
      </c>
      <c r="DB70" s="19">
        <f t="shared" ref="DB70:DR70" si="177">SUM(DB71:DB75)</f>
        <v>704111</v>
      </c>
      <c r="DC70" s="19">
        <f t="shared" si="177"/>
        <v>0</v>
      </c>
      <c r="DD70" s="19">
        <f t="shared" si="177"/>
        <v>18851145</v>
      </c>
      <c r="DE70" s="19">
        <f t="shared" si="177"/>
        <v>144755078</v>
      </c>
      <c r="DF70" s="19">
        <f t="shared" si="177"/>
        <v>1099185</v>
      </c>
      <c r="DG70" s="19">
        <f t="shared" si="177"/>
        <v>15880802</v>
      </c>
      <c r="DH70" s="19">
        <f t="shared" si="177"/>
        <v>44220386</v>
      </c>
      <c r="DI70" s="19">
        <f t="shared" si="177"/>
        <v>148721090</v>
      </c>
      <c r="DJ70" s="19">
        <f t="shared" si="177"/>
        <v>15503</v>
      </c>
      <c r="DK70" s="19">
        <f t="shared" si="177"/>
        <v>209289016</v>
      </c>
      <c r="DL70" s="19">
        <f t="shared" si="177"/>
        <v>21212762</v>
      </c>
      <c r="DM70" s="19">
        <f t="shared" si="177"/>
        <v>49448397</v>
      </c>
      <c r="DN70" s="19">
        <f t="shared" si="177"/>
        <v>35310677</v>
      </c>
      <c r="DO70" s="19">
        <f t="shared" si="177"/>
        <v>4346499</v>
      </c>
      <c r="DP70" s="19">
        <f t="shared" si="177"/>
        <v>64447795</v>
      </c>
      <c r="DQ70" s="19">
        <f t="shared" si="177"/>
        <v>12375029</v>
      </c>
      <c r="DR70" s="19">
        <f t="shared" si="177"/>
        <v>184220000</v>
      </c>
      <c r="DS70" s="19">
        <f>SUM(DS71:DS75)</f>
        <v>277766</v>
      </c>
      <c r="DT70" s="19">
        <f t="shared" ref="DT70:FF70" si="178">SUM(DT71:DT75)</f>
        <v>48737431</v>
      </c>
      <c r="DU70" s="19">
        <f t="shared" si="178"/>
        <v>2609357</v>
      </c>
      <c r="DV70" s="19">
        <f t="shared" si="178"/>
        <v>11318784</v>
      </c>
      <c r="DW70" s="19">
        <f t="shared" si="178"/>
        <v>7607712</v>
      </c>
      <c r="DX70" s="19">
        <f t="shared" si="178"/>
        <v>144152094</v>
      </c>
      <c r="DY70" s="19">
        <f t="shared" si="178"/>
        <v>16751076</v>
      </c>
      <c r="DZ70" s="19">
        <f t="shared" si="178"/>
        <v>7349012</v>
      </c>
      <c r="EA70" s="19">
        <f t="shared" si="178"/>
        <v>0</v>
      </c>
      <c r="EB70" s="19">
        <f t="shared" si="178"/>
        <v>1009047323</v>
      </c>
      <c r="EC70" s="19">
        <f t="shared" si="178"/>
        <v>40916150</v>
      </c>
      <c r="ED70" s="19">
        <f t="shared" si="178"/>
        <v>9172</v>
      </c>
      <c r="EE70" s="19">
        <f t="shared" si="178"/>
        <v>16550951</v>
      </c>
      <c r="EF70" s="19">
        <f t="shared" si="178"/>
        <v>171967088</v>
      </c>
      <c r="EG70" s="19">
        <f t="shared" si="178"/>
        <v>191888737</v>
      </c>
      <c r="EH70" s="19">
        <f t="shared" si="178"/>
        <v>66263493</v>
      </c>
      <c r="EI70" s="19">
        <f t="shared" si="178"/>
        <v>367896230</v>
      </c>
      <c r="EJ70" s="19">
        <f t="shared" si="178"/>
        <v>302542</v>
      </c>
      <c r="EK70" s="19">
        <f t="shared" si="178"/>
        <v>15414038</v>
      </c>
      <c r="EL70" s="19">
        <f t="shared" si="178"/>
        <v>600022</v>
      </c>
      <c r="EM70" s="19">
        <f t="shared" si="178"/>
        <v>8709096</v>
      </c>
      <c r="EN70" s="19">
        <f t="shared" si="178"/>
        <v>36847418</v>
      </c>
      <c r="EO70" s="19">
        <f t="shared" si="178"/>
        <v>40550074</v>
      </c>
      <c r="EP70" s="19">
        <f t="shared" si="178"/>
        <v>0</v>
      </c>
      <c r="EQ70" s="19">
        <f t="shared" si="178"/>
        <v>0</v>
      </c>
      <c r="ER70" s="19">
        <f t="shared" si="178"/>
        <v>48106937</v>
      </c>
      <c r="ES70" s="19">
        <f t="shared" si="178"/>
        <v>26206002</v>
      </c>
      <c r="ET70" s="19">
        <f t="shared" si="178"/>
        <v>4572389</v>
      </c>
      <c r="EU70" s="19">
        <f t="shared" si="178"/>
        <v>463607</v>
      </c>
      <c r="EV70" s="19">
        <f t="shared" si="178"/>
        <v>13477481</v>
      </c>
      <c r="EW70" s="19">
        <f t="shared" si="178"/>
        <v>34007799</v>
      </c>
      <c r="EX70" s="19">
        <f t="shared" si="178"/>
        <v>42813888</v>
      </c>
      <c r="EY70" s="19">
        <f t="shared" si="178"/>
        <v>75913189</v>
      </c>
      <c r="EZ70" s="19">
        <f t="shared" si="178"/>
        <v>5140712</v>
      </c>
      <c r="FA70" s="19">
        <f t="shared" si="178"/>
        <v>39018946</v>
      </c>
      <c r="FB70" s="19">
        <f t="shared" si="178"/>
        <v>7580153</v>
      </c>
      <c r="FC70" s="19">
        <f t="shared" si="178"/>
        <v>90205954</v>
      </c>
      <c r="FD70" s="19">
        <f t="shared" si="178"/>
        <v>40561153</v>
      </c>
      <c r="FE70" s="19">
        <f t="shared" si="178"/>
        <v>162878624</v>
      </c>
      <c r="FF70" s="19">
        <f t="shared" si="178"/>
        <v>3492706</v>
      </c>
      <c r="FG70" s="19" t="s">
        <v>172</v>
      </c>
      <c r="FH70" s="19">
        <f>SUM(FH71:FH75)</f>
        <v>80922140</v>
      </c>
      <c r="FI70" s="19" t="s">
        <v>172</v>
      </c>
      <c r="FJ70" s="19">
        <f>SUM(FJ71:FJ75)</f>
        <v>940812</v>
      </c>
      <c r="FK70" s="19">
        <f>SUM(FK71:FK75)</f>
        <v>15887600</v>
      </c>
      <c r="FL70" s="19">
        <f>SUM(FL71:FL75)</f>
        <v>12125727</v>
      </c>
      <c r="FM70" s="19">
        <f>SUM(FM71:FM75)</f>
        <v>18245839</v>
      </c>
      <c r="FN70" s="19">
        <f>SUM(FN71:FN75)</f>
        <v>72716334</v>
      </c>
      <c r="FO70" s="56" t="s">
        <v>172</v>
      </c>
      <c r="FP70" s="19">
        <f t="shared" ref="FP70:FU70" si="179">SUM(FP71:FP75)</f>
        <v>15901228</v>
      </c>
      <c r="FQ70" s="19">
        <f t="shared" si="179"/>
        <v>7404150</v>
      </c>
      <c r="FR70" s="19">
        <f t="shared" si="179"/>
        <v>20083229</v>
      </c>
      <c r="FS70" s="19">
        <f t="shared" si="179"/>
        <v>24559558</v>
      </c>
      <c r="FT70" s="19">
        <f t="shared" si="179"/>
        <v>96508419</v>
      </c>
      <c r="FU70" s="19">
        <f t="shared" si="179"/>
        <v>82868</v>
      </c>
      <c r="FV70" s="19" t="s">
        <v>172</v>
      </c>
      <c r="FW70" s="19">
        <f>SUM(FW71:FW75)</f>
        <v>5723725</v>
      </c>
      <c r="FX70" s="19">
        <f>SUM(FX71:FX75)</f>
        <v>6527996</v>
      </c>
      <c r="FY70" s="19" t="s">
        <v>172</v>
      </c>
      <c r="FZ70" s="19" t="s">
        <v>175</v>
      </c>
      <c r="GA70" s="19">
        <f>SUM(GA71:GA75)</f>
        <v>13604561</v>
      </c>
      <c r="GB70" s="19">
        <f>SUM(GB71:GB75)</f>
        <v>13515297</v>
      </c>
      <c r="GC70" s="19">
        <f>SUM(GC71:GC75)</f>
        <v>330383</v>
      </c>
      <c r="GD70" s="19" t="s">
        <v>172</v>
      </c>
      <c r="GE70" s="19" t="s">
        <v>172</v>
      </c>
      <c r="GF70" s="19">
        <f>SUM(GF71:GF75)</f>
        <v>28120976</v>
      </c>
      <c r="GG70" s="19">
        <f>SUM(GG71:GG75)</f>
        <v>166665076</v>
      </c>
      <c r="GH70" s="19" t="s">
        <v>172</v>
      </c>
      <c r="GI70" s="19">
        <f t="shared" ref="GI70:IL70" si="180">SUM(GI71:GI75)</f>
        <v>4127936</v>
      </c>
      <c r="GJ70" s="19" t="s">
        <v>172</v>
      </c>
      <c r="GK70" s="19">
        <f t="shared" si="180"/>
        <v>3689599</v>
      </c>
      <c r="GL70" s="19" t="s">
        <v>172</v>
      </c>
      <c r="GM70" s="19">
        <f t="shared" si="180"/>
        <v>17579</v>
      </c>
      <c r="GN70" s="19">
        <f t="shared" si="180"/>
        <v>27047917</v>
      </c>
      <c r="GO70" s="19" t="s">
        <v>172</v>
      </c>
      <c r="GP70" s="19">
        <f t="shared" si="180"/>
        <v>267634410</v>
      </c>
      <c r="GQ70" s="19">
        <f t="shared" si="180"/>
        <v>8</v>
      </c>
      <c r="GR70" s="19">
        <f t="shared" si="180"/>
        <v>46539919</v>
      </c>
      <c r="GS70" s="19">
        <f t="shared" si="180"/>
        <v>7596678</v>
      </c>
      <c r="GT70" s="19">
        <f t="shared" si="180"/>
        <v>101075503</v>
      </c>
      <c r="GU70" s="19">
        <f t="shared" si="180"/>
        <v>100000</v>
      </c>
      <c r="GV70" s="19">
        <f>SUM(GV71:GV75)</f>
        <v>32928753</v>
      </c>
      <c r="GW70" s="19">
        <f>SUM(GW71:GW75)</f>
        <v>285090461</v>
      </c>
      <c r="GX70" s="19">
        <f t="shared" si="180"/>
        <v>62068575</v>
      </c>
      <c r="GY70" s="19">
        <f t="shared" si="180"/>
        <v>9806532</v>
      </c>
      <c r="GZ70" s="19">
        <f t="shared" si="180"/>
        <v>93422738</v>
      </c>
      <c r="HA70" s="19" t="s">
        <v>172</v>
      </c>
      <c r="HB70" s="19">
        <f t="shared" si="180"/>
        <v>3169172</v>
      </c>
      <c r="HC70" s="19">
        <f t="shared" si="180"/>
        <v>47742534</v>
      </c>
      <c r="HD70" s="19">
        <f t="shared" si="180"/>
        <v>11012300</v>
      </c>
      <c r="HE70" s="19" t="s">
        <v>172</v>
      </c>
      <c r="HF70" s="19">
        <f t="shared" si="180"/>
        <v>33528300</v>
      </c>
      <c r="HG70" s="19">
        <f t="shared" si="180"/>
        <v>508561261</v>
      </c>
      <c r="HH70" s="19" t="s">
        <v>172</v>
      </c>
      <c r="HI70" s="19">
        <f t="shared" si="180"/>
        <v>20151097</v>
      </c>
      <c r="HJ70" s="19" t="s">
        <v>172</v>
      </c>
      <c r="HK70" s="19">
        <f t="shared" si="180"/>
        <v>38694898</v>
      </c>
      <c r="HL70" s="19">
        <f t="shared" si="180"/>
        <v>2198500</v>
      </c>
      <c r="HM70" s="19">
        <f t="shared" si="180"/>
        <v>32027267</v>
      </c>
      <c r="HN70" s="19">
        <f t="shared" si="180"/>
        <v>0</v>
      </c>
      <c r="HO70" s="19">
        <f t="shared" si="180"/>
        <v>171097371</v>
      </c>
      <c r="HP70" s="19">
        <f t="shared" si="180"/>
        <v>852548901</v>
      </c>
      <c r="HQ70" s="19">
        <f t="shared" si="180"/>
        <v>0</v>
      </c>
      <c r="HR70" s="19">
        <f t="shared" si="180"/>
        <v>6665729</v>
      </c>
      <c r="HS70" s="19">
        <f t="shared" si="180"/>
        <v>10590718</v>
      </c>
      <c r="HT70" s="19">
        <f t="shared" si="180"/>
        <v>4220421</v>
      </c>
      <c r="HU70" s="19">
        <f t="shared" si="180"/>
        <v>67459739</v>
      </c>
      <c r="HV70" s="19">
        <f t="shared" si="180"/>
        <v>1330484</v>
      </c>
      <c r="HW70" s="19" t="s">
        <v>172</v>
      </c>
      <c r="HX70" s="19">
        <f t="shared" si="180"/>
        <v>122674299</v>
      </c>
      <c r="HY70" s="19" t="s">
        <v>172</v>
      </c>
      <c r="HZ70" s="19">
        <f t="shared" si="180"/>
        <v>246800091</v>
      </c>
      <c r="IA70" s="19">
        <f t="shared" si="180"/>
        <v>3343206</v>
      </c>
      <c r="IB70" s="19">
        <f>SUM(IB71:IB75)</f>
        <v>387754584</v>
      </c>
      <c r="IC70" s="19">
        <f t="shared" si="180"/>
        <v>32784120</v>
      </c>
      <c r="ID70" s="19">
        <f t="shared" si="180"/>
        <v>2802949</v>
      </c>
      <c r="IE70" s="19" t="s">
        <v>172</v>
      </c>
      <c r="IF70" s="19">
        <f t="shared" si="180"/>
        <v>7468061</v>
      </c>
      <c r="IG70" s="19">
        <f t="shared" si="180"/>
        <v>13286737</v>
      </c>
      <c r="IH70" s="19">
        <f t="shared" si="180"/>
        <v>9950023</v>
      </c>
      <c r="II70" s="19">
        <f t="shared" si="180"/>
        <v>4719925</v>
      </c>
      <c r="IJ70" s="19">
        <f t="shared" si="180"/>
        <v>6164355</v>
      </c>
      <c r="IK70" s="19">
        <f t="shared" si="180"/>
        <v>13067619</v>
      </c>
      <c r="IL70" s="19">
        <f t="shared" si="180"/>
        <v>47562698</v>
      </c>
      <c r="IM70" s="19">
        <f>SUM(IM71:IM75)</f>
        <v>21838921</v>
      </c>
      <c r="IN70" s="19">
        <f t="shared" ref="IN70:JN70" si="181">SUM(IN71:IN75)</f>
        <v>10521274</v>
      </c>
      <c r="IO70" s="19">
        <f t="shared" si="181"/>
        <v>15982130</v>
      </c>
      <c r="IP70" s="19">
        <f t="shared" si="181"/>
        <v>35192742</v>
      </c>
      <c r="IQ70" s="19">
        <f t="shared" si="181"/>
        <v>6556327</v>
      </c>
      <c r="IR70" s="19">
        <f t="shared" si="181"/>
        <v>8980177</v>
      </c>
      <c r="IS70" s="19">
        <f t="shared" si="181"/>
        <v>185815886</v>
      </c>
      <c r="IT70" s="19">
        <f t="shared" si="181"/>
        <v>22222634</v>
      </c>
      <c r="IU70" s="19">
        <f t="shared" si="181"/>
        <v>15286560</v>
      </c>
      <c r="IV70" s="19">
        <f t="shared" si="181"/>
        <v>19264303</v>
      </c>
      <c r="IW70" s="19">
        <f t="shared" si="181"/>
        <v>15580723</v>
      </c>
      <c r="IX70" s="19">
        <f t="shared" si="181"/>
        <v>50775845</v>
      </c>
      <c r="IY70" s="19">
        <f t="shared" si="181"/>
        <v>33491974</v>
      </c>
      <c r="IZ70" s="19">
        <f t="shared" si="181"/>
        <v>4952061</v>
      </c>
      <c r="JA70" s="19">
        <f t="shared" si="181"/>
        <v>33128419</v>
      </c>
      <c r="JB70" s="19">
        <f t="shared" si="181"/>
        <v>16726422</v>
      </c>
      <c r="JC70" s="19">
        <f t="shared" si="181"/>
        <v>7456721</v>
      </c>
      <c r="JD70" s="19">
        <f t="shared" si="181"/>
        <v>13628961</v>
      </c>
      <c r="JE70" s="19">
        <f t="shared" si="181"/>
        <v>4851852</v>
      </c>
      <c r="JF70" s="19">
        <f t="shared" si="181"/>
        <v>65623510</v>
      </c>
      <c r="JG70" s="19">
        <f t="shared" si="181"/>
        <v>1921949</v>
      </c>
      <c r="JH70" s="19">
        <f t="shared" si="181"/>
        <v>13262468</v>
      </c>
      <c r="JI70" s="19">
        <f t="shared" si="181"/>
        <v>3192621</v>
      </c>
      <c r="JJ70" s="19">
        <f t="shared" si="181"/>
        <v>2533703</v>
      </c>
      <c r="JK70" s="19">
        <f t="shared" si="181"/>
        <v>4116412</v>
      </c>
      <c r="JL70" s="19">
        <f t="shared" si="181"/>
        <v>163611914</v>
      </c>
      <c r="JM70" s="19">
        <f t="shared" si="181"/>
        <v>27613396</v>
      </c>
      <c r="JN70" s="19">
        <f t="shared" si="181"/>
        <v>77463033</v>
      </c>
      <c r="JO70" s="19">
        <f t="shared" ref="JO70:KH70" si="182">SUM(JO71:JO75)</f>
        <v>69408464</v>
      </c>
      <c r="JP70" s="19">
        <f t="shared" si="182"/>
        <v>2786116</v>
      </c>
      <c r="JQ70" s="19" t="s">
        <v>175</v>
      </c>
      <c r="JR70" s="19">
        <f t="shared" si="182"/>
        <v>20209330</v>
      </c>
      <c r="JS70" s="19">
        <f t="shared" si="182"/>
        <v>106004459</v>
      </c>
      <c r="JT70" s="19">
        <f t="shared" si="182"/>
        <v>14884587</v>
      </c>
      <c r="JU70" s="19">
        <f t="shared" si="182"/>
        <v>23333970</v>
      </c>
      <c r="JV70" s="19">
        <f t="shared" si="182"/>
        <v>26239853</v>
      </c>
      <c r="JW70" s="19">
        <f t="shared" si="182"/>
        <v>991522</v>
      </c>
      <c r="JX70" s="19">
        <f t="shared" si="182"/>
        <v>3000000</v>
      </c>
      <c r="JY70" s="19">
        <f t="shared" si="182"/>
        <v>13830037</v>
      </c>
      <c r="JZ70" s="19">
        <f t="shared" si="182"/>
        <v>1481373</v>
      </c>
      <c r="KA70" s="19">
        <f t="shared" si="182"/>
        <v>0</v>
      </c>
      <c r="KB70" s="19">
        <f t="shared" si="182"/>
        <v>192914005</v>
      </c>
      <c r="KC70" s="19">
        <f t="shared" si="182"/>
        <v>23685010</v>
      </c>
      <c r="KD70" s="19">
        <f t="shared" si="182"/>
        <v>8440196</v>
      </c>
      <c r="KE70" s="19">
        <f t="shared" si="182"/>
        <v>628388</v>
      </c>
      <c r="KF70" s="19">
        <f t="shared" si="182"/>
        <v>11179051</v>
      </c>
      <c r="KG70" s="19">
        <f t="shared" si="182"/>
        <v>13975542</v>
      </c>
      <c r="KH70" s="19">
        <f t="shared" si="182"/>
        <v>16560005</v>
      </c>
      <c r="KI70" s="19">
        <f t="shared" ref="KI70:KM70" si="183">SUM(KI71:KI75)</f>
        <v>1840</v>
      </c>
      <c r="KJ70" s="19">
        <f t="shared" si="183"/>
        <v>25472451</v>
      </c>
      <c r="KK70" s="19">
        <f t="shared" si="183"/>
        <v>125802187</v>
      </c>
      <c r="KL70" s="19">
        <f t="shared" si="183"/>
        <v>400763000</v>
      </c>
      <c r="KM70" s="19">
        <f t="shared" si="183"/>
        <v>13003657</v>
      </c>
      <c r="KN70" s="19">
        <v>0</v>
      </c>
      <c r="KO70" s="19">
        <f t="shared" ref="KO70:KY70" si="184">SUM(KO71:KO75)</f>
        <v>207628017</v>
      </c>
      <c r="KP70" s="19">
        <f t="shared" si="184"/>
        <v>6067260</v>
      </c>
      <c r="KQ70" s="19">
        <f t="shared" si="184"/>
        <v>5537067</v>
      </c>
      <c r="KR70" s="19">
        <f t="shared" si="184"/>
        <v>7601323</v>
      </c>
      <c r="KS70" s="19">
        <f t="shared" si="184"/>
        <v>13060175</v>
      </c>
      <c r="KT70" s="19">
        <f t="shared" si="184"/>
        <v>27707512</v>
      </c>
      <c r="KU70" s="19">
        <f t="shared" si="184"/>
        <v>184306924</v>
      </c>
      <c r="KV70" s="19">
        <f t="shared" si="184"/>
        <v>194737</v>
      </c>
      <c r="KW70" s="19">
        <f t="shared" si="184"/>
        <v>844581</v>
      </c>
      <c r="KX70" s="19">
        <f t="shared" si="184"/>
        <v>1501370</v>
      </c>
      <c r="KY70" s="19">
        <f t="shared" si="184"/>
        <v>35229153</v>
      </c>
      <c r="KZ70" s="58">
        <f>KZ71+KZ72+KZ73+KZ74+KZ75</f>
        <v>13154842</v>
      </c>
      <c r="LA70" s="70">
        <v>104541</v>
      </c>
      <c r="LB70" s="70">
        <v>5146251</v>
      </c>
    </row>
    <row r="71" spans="1:314">
      <c r="A71" s="9" t="s">
        <v>103</v>
      </c>
      <c r="B71" s="15" t="s">
        <v>60</v>
      </c>
      <c r="C71" s="19"/>
      <c r="D71" s="19">
        <v>3935993</v>
      </c>
      <c r="E71" s="19">
        <v>5348053</v>
      </c>
      <c r="F71" s="19">
        <v>16432636</v>
      </c>
      <c r="G71" s="19" t="s">
        <v>130</v>
      </c>
      <c r="H71" s="19">
        <v>99731068</v>
      </c>
      <c r="I71" s="19">
        <v>59115236</v>
      </c>
      <c r="J71" s="19" t="s">
        <v>176</v>
      </c>
      <c r="K71" s="19">
        <v>306666</v>
      </c>
      <c r="L71" s="19" t="s">
        <v>96</v>
      </c>
      <c r="M71" s="19" t="s">
        <v>96</v>
      </c>
      <c r="N71" s="19">
        <v>3630411</v>
      </c>
      <c r="O71" s="19">
        <v>137464903</v>
      </c>
      <c r="P71" s="19">
        <v>112994109</v>
      </c>
      <c r="Q71" s="19">
        <v>70133</v>
      </c>
      <c r="R71" s="19">
        <v>5107303</v>
      </c>
      <c r="S71" s="19">
        <v>327099824</v>
      </c>
      <c r="T71" s="19" t="s">
        <v>96</v>
      </c>
      <c r="U71" s="19" t="s">
        <v>96</v>
      </c>
      <c r="V71" s="19" t="s">
        <v>172</v>
      </c>
      <c r="W71" s="19">
        <v>23710964</v>
      </c>
      <c r="X71" s="19">
        <v>109579010</v>
      </c>
      <c r="Y71" s="19">
        <v>825660</v>
      </c>
      <c r="Z71" s="19">
        <v>65830460</v>
      </c>
      <c r="AA71" s="19">
        <v>107813424</v>
      </c>
      <c r="AB71" s="19"/>
      <c r="AC71" s="19">
        <v>6244496</v>
      </c>
      <c r="AD71" s="19">
        <v>87281279</v>
      </c>
      <c r="AE71" s="19">
        <v>47501068</v>
      </c>
      <c r="AF71" s="56" t="s">
        <v>172</v>
      </c>
      <c r="AG71" s="19">
        <v>21792065</v>
      </c>
      <c r="AH71" s="19" t="s">
        <v>167</v>
      </c>
      <c r="AI71" s="19">
        <v>13596078</v>
      </c>
      <c r="AJ71" s="19">
        <v>6673469</v>
      </c>
      <c r="AK71" s="19">
        <v>12650656</v>
      </c>
      <c r="AL71" s="19">
        <v>9458105</v>
      </c>
      <c r="AM71" s="19" t="s">
        <v>4</v>
      </c>
      <c r="AN71" s="19">
        <v>28289830</v>
      </c>
      <c r="AO71" s="19">
        <v>25761325</v>
      </c>
      <c r="AP71" s="19"/>
      <c r="AQ71" s="19" t="s">
        <v>172</v>
      </c>
      <c r="AR71" s="19">
        <v>41303124</v>
      </c>
      <c r="AS71" s="19">
        <v>30980881</v>
      </c>
      <c r="AT71" s="19" t="s">
        <v>172</v>
      </c>
      <c r="AU71" s="19">
        <v>52610938</v>
      </c>
      <c r="AV71" s="19"/>
      <c r="AW71" s="19">
        <v>7722245</v>
      </c>
      <c r="AX71" s="19" t="s">
        <v>4</v>
      </c>
      <c r="AY71" s="19">
        <v>9163834</v>
      </c>
      <c r="AZ71" s="19">
        <v>4564441</v>
      </c>
      <c r="BA71" s="19" t="s">
        <v>167</v>
      </c>
      <c r="BB71" s="19"/>
      <c r="BC71" s="19" t="s">
        <v>4</v>
      </c>
      <c r="BD71" s="19" t="s">
        <v>172</v>
      </c>
      <c r="BE71" s="19">
        <v>35185950</v>
      </c>
      <c r="BF71" s="19" t="s">
        <v>96</v>
      </c>
      <c r="BG71" s="19">
        <v>22066554</v>
      </c>
      <c r="BH71" s="19">
        <v>24148691</v>
      </c>
      <c r="BI71" s="19"/>
      <c r="BJ71" s="19">
        <v>10700727</v>
      </c>
      <c r="BK71" s="19">
        <v>74370755</v>
      </c>
      <c r="BL71" s="19"/>
      <c r="BM71" s="19">
        <v>15512624</v>
      </c>
      <c r="BN71" s="19">
        <v>119832</v>
      </c>
      <c r="BO71" s="19" t="s">
        <v>96</v>
      </c>
      <c r="BP71" s="19" t="s">
        <v>96</v>
      </c>
      <c r="BQ71" s="19" t="s">
        <v>175</v>
      </c>
      <c r="BR71" s="19">
        <v>101241163</v>
      </c>
      <c r="BS71" s="19" t="s">
        <v>172</v>
      </c>
      <c r="BT71" s="19"/>
      <c r="BU71" s="19">
        <v>27901351</v>
      </c>
      <c r="BV71" s="19">
        <v>10818479</v>
      </c>
      <c r="BW71" s="19"/>
      <c r="BX71" s="19">
        <v>4851289</v>
      </c>
      <c r="BY71" s="19">
        <v>28808287</v>
      </c>
      <c r="BZ71" s="19"/>
      <c r="CA71" s="19">
        <v>43553519</v>
      </c>
      <c r="CB71" s="19">
        <v>44304572</v>
      </c>
      <c r="CC71" s="19"/>
      <c r="CD71" s="19"/>
      <c r="CE71" s="19" t="s">
        <v>172</v>
      </c>
      <c r="CF71" s="19">
        <v>37540604</v>
      </c>
      <c r="CG71" s="19"/>
      <c r="CH71" s="19"/>
      <c r="CI71" s="19" t="s">
        <v>172</v>
      </c>
      <c r="CJ71" s="19">
        <v>7432608</v>
      </c>
      <c r="CK71" s="19">
        <v>156502883</v>
      </c>
      <c r="CL71" s="19">
        <v>19985986</v>
      </c>
      <c r="CM71" s="19">
        <v>24375886</v>
      </c>
      <c r="CN71" s="19">
        <v>330002</v>
      </c>
      <c r="CO71" s="19"/>
      <c r="CP71" s="19">
        <v>29573691</v>
      </c>
      <c r="CQ71" s="19" t="s">
        <v>96</v>
      </c>
      <c r="CR71" s="19"/>
      <c r="CS71" s="56" t="s">
        <v>172</v>
      </c>
      <c r="CT71" s="19">
        <v>152285316</v>
      </c>
      <c r="CU71" s="19"/>
      <c r="CV71" s="19">
        <v>3275311</v>
      </c>
      <c r="CW71" s="19">
        <v>38475246</v>
      </c>
      <c r="CX71" s="19">
        <v>11549103</v>
      </c>
      <c r="CY71" s="19" t="s">
        <v>96</v>
      </c>
      <c r="CZ71" s="19">
        <v>150943997</v>
      </c>
      <c r="DA71" s="19" t="s">
        <v>175</v>
      </c>
      <c r="DB71" s="19">
        <v>139031</v>
      </c>
      <c r="DC71" s="19"/>
      <c r="DD71" s="19">
        <v>8851145</v>
      </c>
      <c r="DE71" s="19"/>
      <c r="DF71" s="19">
        <v>1008605</v>
      </c>
      <c r="DG71" s="19">
        <v>15244040</v>
      </c>
      <c r="DH71" s="19">
        <v>5471361</v>
      </c>
      <c r="DI71" s="19">
        <v>143502073</v>
      </c>
      <c r="DJ71" s="19"/>
      <c r="DK71" s="19">
        <v>150114262</v>
      </c>
      <c r="DL71" s="19">
        <v>16208810</v>
      </c>
      <c r="DM71" s="19">
        <v>32127866</v>
      </c>
      <c r="DN71" s="19">
        <v>24472037</v>
      </c>
      <c r="DO71" s="19">
        <v>4063882</v>
      </c>
      <c r="DP71" s="19">
        <v>64341125</v>
      </c>
      <c r="DQ71" s="19">
        <v>12373038</v>
      </c>
      <c r="DR71" s="19">
        <v>81643856</v>
      </c>
      <c r="DS71" s="19"/>
      <c r="DT71" s="19">
        <v>45919592</v>
      </c>
      <c r="DU71" s="19">
        <v>2609357</v>
      </c>
      <c r="DV71" s="19">
        <v>11106379</v>
      </c>
      <c r="DW71" s="19">
        <v>6922470</v>
      </c>
      <c r="DX71" s="19">
        <v>31039801</v>
      </c>
      <c r="DY71" s="19">
        <v>16464642</v>
      </c>
      <c r="DZ71" s="19">
        <v>7252158</v>
      </c>
      <c r="EA71" s="19"/>
      <c r="EB71" s="19">
        <v>79036113</v>
      </c>
      <c r="EC71" s="19">
        <v>12902422</v>
      </c>
      <c r="ED71" s="19"/>
      <c r="EE71" s="19">
        <v>999960</v>
      </c>
      <c r="EF71" s="19">
        <v>76305282</v>
      </c>
      <c r="EG71" s="19">
        <v>48853984</v>
      </c>
      <c r="EH71" s="19">
        <v>65735796</v>
      </c>
      <c r="EI71" s="19">
        <v>64524377</v>
      </c>
      <c r="EJ71" s="19"/>
      <c r="EK71" s="19">
        <v>78951</v>
      </c>
      <c r="EL71" s="19"/>
      <c r="EM71" s="19"/>
      <c r="EN71" s="19">
        <v>28013368</v>
      </c>
      <c r="EO71" s="19">
        <v>2927600</v>
      </c>
      <c r="EP71" s="19"/>
      <c r="EQ71" s="19"/>
      <c r="ER71" s="19">
        <v>22665090</v>
      </c>
      <c r="ES71" s="19">
        <v>16455120</v>
      </c>
      <c r="ET71" s="19">
        <v>2337681</v>
      </c>
      <c r="EU71" s="19"/>
      <c r="EV71" s="19">
        <v>1138073</v>
      </c>
      <c r="EW71" s="19">
        <v>32069466</v>
      </c>
      <c r="EX71" s="19">
        <v>34209975</v>
      </c>
      <c r="EY71" s="19">
        <v>67471596</v>
      </c>
      <c r="EZ71" s="19">
        <v>4170542</v>
      </c>
      <c r="FA71" s="19">
        <v>38298562</v>
      </c>
      <c r="FB71" s="19">
        <v>7543068</v>
      </c>
      <c r="FC71" s="19">
        <v>23203948</v>
      </c>
      <c r="FD71" s="19">
        <v>40275098</v>
      </c>
      <c r="FE71" s="19">
        <v>60120641</v>
      </c>
      <c r="FF71" s="19"/>
      <c r="FG71" s="19" t="s">
        <v>172</v>
      </c>
      <c r="FH71" s="19">
        <v>78934718</v>
      </c>
      <c r="FI71" s="19" t="s">
        <v>172</v>
      </c>
      <c r="FJ71" s="19">
        <v>940812</v>
      </c>
      <c r="FK71" s="19">
        <v>7115274</v>
      </c>
      <c r="FL71" s="19">
        <v>9307342</v>
      </c>
      <c r="FM71" s="19">
        <v>18245338</v>
      </c>
      <c r="FN71" s="19">
        <v>57248793</v>
      </c>
      <c r="FO71" s="56" t="s">
        <v>172</v>
      </c>
      <c r="FP71" s="19">
        <v>15868128</v>
      </c>
      <c r="FQ71" s="19">
        <v>7404150</v>
      </c>
      <c r="FR71" s="19">
        <v>4092914</v>
      </c>
      <c r="FS71" s="19">
        <v>22431376</v>
      </c>
      <c r="FT71" s="19">
        <v>23158229</v>
      </c>
      <c r="FU71" s="19"/>
      <c r="FV71" s="19" t="s">
        <v>172</v>
      </c>
      <c r="FW71" s="19">
        <v>3199416</v>
      </c>
      <c r="FX71" s="19">
        <v>6527990</v>
      </c>
      <c r="FY71" s="19" t="s">
        <v>172</v>
      </c>
      <c r="FZ71" s="19" t="s">
        <v>175</v>
      </c>
      <c r="GA71" s="19">
        <v>13164564</v>
      </c>
      <c r="GB71" s="19">
        <v>13515288</v>
      </c>
      <c r="GC71" s="19"/>
      <c r="GD71" s="19" t="s">
        <v>172</v>
      </c>
      <c r="GE71" s="19" t="s">
        <v>172</v>
      </c>
      <c r="GF71" s="19">
        <v>28030498</v>
      </c>
      <c r="GG71" s="19">
        <v>30418634</v>
      </c>
      <c r="GH71" s="19" t="s">
        <v>172</v>
      </c>
      <c r="GI71" s="19">
        <v>3609573</v>
      </c>
      <c r="GJ71" s="19" t="s">
        <v>172</v>
      </c>
      <c r="GK71" s="19">
        <v>3657842</v>
      </c>
      <c r="GL71" s="19" t="s">
        <v>172</v>
      </c>
      <c r="GM71" s="19"/>
      <c r="GN71" s="19">
        <v>23546250</v>
      </c>
      <c r="GO71" s="19" t="s">
        <v>172</v>
      </c>
      <c r="GP71" s="19">
        <v>167457664</v>
      </c>
      <c r="GQ71" s="19"/>
      <c r="GR71" s="19">
        <v>31985090</v>
      </c>
      <c r="GS71" s="19">
        <v>2801940</v>
      </c>
      <c r="GT71" s="19">
        <v>11835789</v>
      </c>
      <c r="GU71" s="19">
        <v>100000</v>
      </c>
      <c r="GV71" s="19">
        <v>29256473</v>
      </c>
      <c r="GW71" s="19">
        <v>178664604</v>
      </c>
      <c r="GX71" s="19">
        <v>60522550</v>
      </c>
      <c r="GY71" s="19">
        <v>6945471</v>
      </c>
      <c r="GZ71" s="19">
        <v>63197625</v>
      </c>
      <c r="HA71" s="19" t="s">
        <v>172</v>
      </c>
      <c r="HB71" s="19"/>
      <c r="HC71" s="19">
        <v>46939960</v>
      </c>
      <c r="HD71" s="19"/>
      <c r="HE71" s="19" t="s">
        <v>172</v>
      </c>
      <c r="HF71" s="19">
        <v>22162825</v>
      </c>
      <c r="HG71" s="19">
        <v>2029800</v>
      </c>
      <c r="HH71" s="19" t="s">
        <v>172</v>
      </c>
      <c r="HI71" s="19">
        <v>14376886</v>
      </c>
      <c r="HJ71" s="19" t="s">
        <v>172</v>
      </c>
      <c r="HK71" s="19">
        <v>29519716</v>
      </c>
      <c r="HL71" s="19"/>
      <c r="HM71" s="19">
        <v>31277250</v>
      </c>
      <c r="HN71" s="19"/>
      <c r="HO71" s="19">
        <v>3393694</v>
      </c>
      <c r="HP71" s="19">
        <v>11944808</v>
      </c>
      <c r="HQ71" s="19"/>
      <c r="HR71" s="19">
        <v>5487441</v>
      </c>
      <c r="HS71" s="19">
        <v>10237119</v>
      </c>
      <c r="HT71" s="19">
        <v>4220418</v>
      </c>
      <c r="HU71" s="19">
        <v>61097123</v>
      </c>
      <c r="HV71" s="19">
        <v>1165853</v>
      </c>
      <c r="HW71" s="19" t="s">
        <v>172</v>
      </c>
      <c r="HX71" s="19">
        <v>65629505</v>
      </c>
      <c r="HY71" s="19" t="s">
        <v>172</v>
      </c>
      <c r="HZ71" s="19">
        <v>109781224</v>
      </c>
      <c r="IA71" s="19">
        <v>2709014</v>
      </c>
      <c r="IB71" s="19">
        <v>267303360</v>
      </c>
      <c r="IC71" s="19">
        <v>28580700</v>
      </c>
      <c r="ID71" s="19"/>
      <c r="IE71" s="19" t="s">
        <v>172</v>
      </c>
      <c r="IF71" s="19"/>
      <c r="IG71" s="19">
        <v>226567</v>
      </c>
      <c r="IH71" s="19">
        <v>8815515</v>
      </c>
      <c r="II71" s="19">
        <v>4602964</v>
      </c>
      <c r="IJ71" s="19">
        <v>3494822</v>
      </c>
      <c r="IK71" s="19">
        <v>5346961</v>
      </c>
      <c r="IL71" s="19">
        <v>12078523</v>
      </c>
      <c r="IM71" s="19">
        <v>13842128</v>
      </c>
      <c r="IN71" s="19">
        <v>9221439</v>
      </c>
      <c r="IO71" s="19">
        <v>15981302</v>
      </c>
      <c r="IP71" s="19">
        <v>35192722</v>
      </c>
      <c r="IQ71" s="19">
        <v>6493962</v>
      </c>
      <c r="IR71" s="19">
        <v>7434251</v>
      </c>
      <c r="IS71" s="19">
        <v>140896941</v>
      </c>
      <c r="IT71" s="19">
        <v>18347673</v>
      </c>
      <c r="IU71" s="19"/>
      <c r="IV71" s="19">
        <v>5756403</v>
      </c>
      <c r="IW71" s="19">
        <v>14293763</v>
      </c>
      <c r="IX71" s="19">
        <v>27290309</v>
      </c>
      <c r="IY71" s="19">
        <v>31824241</v>
      </c>
      <c r="IZ71" s="19">
        <v>3952845</v>
      </c>
      <c r="JA71" s="19">
        <v>12352405</v>
      </c>
      <c r="JB71" s="19">
        <v>11351981</v>
      </c>
      <c r="JC71" s="19"/>
      <c r="JD71" s="19"/>
      <c r="JE71" s="19"/>
      <c r="JF71" s="19">
        <v>24421836</v>
      </c>
      <c r="JG71" s="19">
        <v>1918763</v>
      </c>
      <c r="JH71" s="19">
        <v>6637156</v>
      </c>
      <c r="JI71" s="19">
        <v>2437245</v>
      </c>
      <c r="JJ71" s="19">
        <v>2063448</v>
      </c>
      <c r="JK71" s="19">
        <v>4084611</v>
      </c>
      <c r="JL71" s="19">
        <v>65299327</v>
      </c>
      <c r="JM71" s="19">
        <v>9088583</v>
      </c>
      <c r="JN71" s="19">
        <v>75085028</v>
      </c>
      <c r="JO71" s="19">
        <v>3079464</v>
      </c>
      <c r="JP71" s="19"/>
      <c r="JQ71" s="19" t="s">
        <v>175</v>
      </c>
      <c r="JR71" s="19">
        <v>20209330</v>
      </c>
      <c r="JS71" s="19">
        <v>1259113</v>
      </c>
      <c r="JT71" s="19">
        <v>858898</v>
      </c>
      <c r="JU71" s="19">
        <v>2070767</v>
      </c>
      <c r="JV71" s="19">
        <v>25630321</v>
      </c>
      <c r="JW71" s="19">
        <v>990749</v>
      </c>
      <c r="JX71" s="19"/>
      <c r="JY71" s="19">
        <v>1315694</v>
      </c>
      <c r="JZ71" s="19">
        <v>1407642</v>
      </c>
      <c r="KA71" s="19"/>
      <c r="KB71" s="19">
        <v>140896904</v>
      </c>
      <c r="KC71" s="19">
        <v>4299010</v>
      </c>
      <c r="KD71" s="19">
        <v>192500</v>
      </c>
      <c r="KE71" s="19">
        <v>619449</v>
      </c>
      <c r="KF71" s="19">
        <v>4965674</v>
      </c>
      <c r="KG71" s="19">
        <v>13692538</v>
      </c>
      <c r="KH71" s="19">
        <v>16559990</v>
      </c>
      <c r="KI71" s="19"/>
      <c r="KJ71" s="19">
        <v>23655802</v>
      </c>
      <c r="KK71" s="19">
        <v>76980910</v>
      </c>
      <c r="KL71" s="19">
        <v>392338000</v>
      </c>
      <c r="KM71" s="19">
        <v>12363904</v>
      </c>
      <c r="KN71" s="19"/>
      <c r="KO71" s="19">
        <v>193242886</v>
      </c>
      <c r="KP71" s="19">
        <v>0</v>
      </c>
      <c r="KQ71" s="19">
        <v>2262923</v>
      </c>
      <c r="KR71" s="19">
        <v>7599667</v>
      </c>
      <c r="KS71" s="19">
        <v>5769443</v>
      </c>
      <c r="KT71" s="19">
        <v>27389440</v>
      </c>
      <c r="KU71" s="19">
        <v>50123430</v>
      </c>
      <c r="KV71" s="19">
        <v>186516</v>
      </c>
      <c r="KW71" s="19">
        <v>661181</v>
      </c>
      <c r="KX71" s="19">
        <v>1501367</v>
      </c>
      <c r="KY71" s="19">
        <v>31242263</v>
      </c>
      <c r="KZ71" s="58">
        <v>12928639</v>
      </c>
      <c r="LA71" s="70"/>
      <c r="LB71" s="70">
        <v>371991</v>
      </c>
    </row>
    <row r="72" spans="1:314">
      <c r="A72" s="9" t="s">
        <v>103</v>
      </c>
      <c r="B72" s="15" t="s">
        <v>29</v>
      </c>
      <c r="C72" s="19"/>
      <c r="D72" s="19"/>
      <c r="E72" s="19">
        <v>17095500</v>
      </c>
      <c r="F72" s="19">
        <v>74700000</v>
      </c>
      <c r="G72" s="19" t="s">
        <v>130</v>
      </c>
      <c r="H72" s="19">
        <v>25200000</v>
      </c>
      <c r="I72" s="19">
        <v>1900000</v>
      </c>
      <c r="J72" s="19" t="s">
        <v>176</v>
      </c>
      <c r="K72" s="19"/>
      <c r="L72" s="19" t="s">
        <v>96</v>
      </c>
      <c r="M72" s="19" t="s">
        <v>96</v>
      </c>
      <c r="N72" s="19">
        <v>318713512</v>
      </c>
      <c r="O72" s="19">
        <v>47441392</v>
      </c>
      <c r="P72" s="19"/>
      <c r="Q72" s="19">
        <v>1200000</v>
      </c>
      <c r="R72" s="19">
        <v>1100000</v>
      </c>
      <c r="S72" s="19">
        <v>15938400</v>
      </c>
      <c r="T72" s="19" t="s">
        <v>96</v>
      </c>
      <c r="U72" s="19" t="s">
        <v>96</v>
      </c>
      <c r="V72" s="19" t="s">
        <v>172</v>
      </c>
      <c r="W72" s="19">
        <v>5000000</v>
      </c>
      <c r="X72" s="19">
        <v>69300000</v>
      </c>
      <c r="Y72" s="19"/>
      <c r="Z72" s="19"/>
      <c r="AA72" s="19">
        <v>9372600</v>
      </c>
      <c r="AB72" s="19">
        <v>200000</v>
      </c>
      <c r="AC72" s="19">
        <v>1560000</v>
      </c>
      <c r="AD72" s="19">
        <v>35218760</v>
      </c>
      <c r="AE72" s="19">
        <v>1684000</v>
      </c>
      <c r="AF72" s="56" t="s">
        <v>172</v>
      </c>
      <c r="AG72" s="19"/>
      <c r="AH72" s="19" t="s">
        <v>167</v>
      </c>
      <c r="AI72" s="19"/>
      <c r="AJ72" s="19">
        <v>6348400</v>
      </c>
      <c r="AK72" s="19">
        <v>5100000</v>
      </c>
      <c r="AL72" s="19">
        <v>2000000</v>
      </c>
      <c r="AM72" s="19" t="s">
        <v>4</v>
      </c>
      <c r="AN72" s="19">
        <v>2416000</v>
      </c>
      <c r="AO72" s="19"/>
      <c r="AP72" s="19"/>
      <c r="AQ72" s="19" t="s">
        <v>172</v>
      </c>
      <c r="AR72" s="19"/>
      <c r="AS72" s="19"/>
      <c r="AT72" s="19" t="s">
        <v>172</v>
      </c>
      <c r="AU72" s="19">
        <v>2350000</v>
      </c>
      <c r="AV72" s="19"/>
      <c r="AW72" s="19">
        <v>120000</v>
      </c>
      <c r="AX72" s="19" t="s">
        <v>4</v>
      </c>
      <c r="AY72" s="19"/>
      <c r="AZ72" s="19"/>
      <c r="BA72" s="19" t="s">
        <v>167</v>
      </c>
      <c r="BB72" s="19"/>
      <c r="BC72" s="19" t="s">
        <v>4</v>
      </c>
      <c r="BD72" s="19" t="s">
        <v>172</v>
      </c>
      <c r="BE72" s="19">
        <v>50000000</v>
      </c>
      <c r="BF72" s="19" t="s">
        <v>96</v>
      </c>
      <c r="BG72" s="19">
        <v>1456772</v>
      </c>
      <c r="BH72" s="19">
        <v>13434670</v>
      </c>
      <c r="BI72" s="19">
        <v>2000000</v>
      </c>
      <c r="BJ72" s="19">
        <v>120000</v>
      </c>
      <c r="BK72" s="19"/>
      <c r="BL72" s="19"/>
      <c r="BM72" s="19">
        <v>5000000</v>
      </c>
      <c r="BN72" s="19">
        <v>300000</v>
      </c>
      <c r="BO72" s="19" t="s">
        <v>96</v>
      </c>
      <c r="BP72" s="19" t="s">
        <v>96</v>
      </c>
      <c r="BQ72" s="19" t="s">
        <v>175</v>
      </c>
      <c r="BR72" s="19">
        <v>107981695</v>
      </c>
      <c r="BS72" s="19" t="s">
        <v>172</v>
      </c>
      <c r="BT72" s="19"/>
      <c r="BU72" s="19"/>
      <c r="BV72" s="19"/>
      <c r="BW72" s="19">
        <v>100000</v>
      </c>
      <c r="BX72" s="19"/>
      <c r="BY72" s="19">
        <v>36821711</v>
      </c>
      <c r="BZ72" s="19">
        <v>239766738</v>
      </c>
      <c r="CA72" s="19">
        <v>10000000</v>
      </c>
      <c r="CB72" s="19">
        <v>380000</v>
      </c>
      <c r="CC72" s="19"/>
      <c r="CD72" s="19">
        <v>5500000</v>
      </c>
      <c r="CE72" s="19" t="s">
        <v>172</v>
      </c>
      <c r="CF72" s="19"/>
      <c r="CG72" s="19">
        <v>940000</v>
      </c>
      <c r="CH72" s="19">
        <v>34972081</v>
      </c>
      <c r="CI72" s="19" t="s">
        <v>172</v>
      </c>
      <c r="CJ72" s="19"/>
      <c r="CK72" s="19">
        <v>5000000</v>
      </c>
      <c r="CL72" s="19">
        <v>16268000</v>
      </c>
      <c r="CM72" s="19">
        <v>1079573538</v>
      </c>
      <c r="CN72" s="19"/>
      <c r="CO72" s="19"/>
      <c r="CP72" s="19"/>
      <c r="CQ72" s="19" t="s">
        <v>96</v>
      </c>
      <c r="CR72" s="19">
        <v>30091338</v>
      </c>
      <c r="CS72" s="56" t="s">
        <v>172</v>
      </c>
      <c r="CT72" s="19">
        <v>35000000</v>
      </c>
      <c r="CU72" s="19"/>
      <c r="CV72" s="19"/>
      <c r="CW72" s="19">
        <v>200000</v>
      </c>
      <c r="CX72" s="19"/>
      <c r="CY72" s="19" t="s">
        <v>96</v>
      </c>
      <c r="CZ72" s="19">
        <v>10020000</v>
      </c>
      <c r="DA72" s="19" t="s">
        <v>175</v>
      </c>
      <c r="DB72" s="19">
        <v>500000</v>
      </c>
      <c r="DC72" s="19"/>
      <c r="DD72" s="19"/>
      <c r="DE72" s="19"/>
      <c r="DF72" s="19"/>
      <c r="DG72" s="19"/>
      <c r="DH72" s="19">
        <v>38000000</v>
      </c>
      <c r="DI72" s="19">
        <v>5170000</v>
      </c>
      <c r="DJ72" s="19"/>
      <c r="DK72" s="19"/>
      <c r="DL72" s="19">
        <v>4914462</v>
      </c>
      <c r="DM72" s="19">
        <v>9470000</v>
      </c>
      <c r="DN72" s="19">
        <v>8592000</v>
      </c>
      <c r="DO72" s="19">
        <v>264000</v>
      </c>
      <c r="DP72" s="19"/>
      <c r="DQ72" s="19"/>
      <c r="DR72" s="19">
        <v>88484540</v>
      </c>
      <c r="DS72" s="19"/>
      <c r="DT72" s="19">
        <v>500000</v>
      </c>
      <c r="DU72" s="19"/>
      <c r="DV72" s="19"/>
      <c r="DW72" s="19">
        <v>410000</v>
      </c>
      <c r="DX72" s="19">
        <v>1620000</v>
      </c>
      <c r="DY72" s="19"/>
      <c r="DZ72" s="19"/>
      <c r="EA72" s="19"/>
      <c r="EB72" s="19">
        <v>3300000</v>
      </c>
      <c r="EC72" s="19">
        <v>21805060</v>
      </c>
      <c r="ED72" s="19"/>
      <c r="EE72" s="19">
        <v>13150000</v>
      </c>
      <c r="EF72" s="19">
        <v>94676185</v>
      </c>
      <c r="EG72" s="19">
        <v>6000000</v>
      </c>
      <c r="EH72" s="19"/>
      <c r="EI72" s="19">
        <v>1444942</v>
      </c>
      <c r="EJ72" s="19">
        <v>100000</v>
      </c>
      <c r="EK72" s="19"/>
      <c r="EL72" s="19">
        <v>600000</v>
      </c>
      <c r="EM72" s="19">
        <v>8709000</v>
      </c>
      <c r="EN72" s="19">
        <v>1000000</v>
      </c>
      <c r="EO72" s="19">
        <v>37138000</v>
      </c>
      <c r="EP72" s="19"/>
      <c r="EQ72" s="19"/>
      <c r="ER72" s="19">
        <v>24400480</v>
      </c>
      <c r="ES72" s="19">
        <v>9386200</v>
      </c>
      <c r="ET72" s="19">
        <v>1500000</v>
      </c>
      <c r="EU72" s="19"/>
      <c r="EV72" s="19">
        <v>4703909</v>
      </c>
      <c r="EW72" s="19">
        <v>1100000</v>
      </c>
      <c r="EX72" s="19">
        <v>500000</v>
      </c>
      <c r="EY72" s="19">
        <v>4000000</v>
      </c>
      <c r="EZ72" s="19">
        <v>330000</v>
      </c>
      <c r="FA72" s="19">
        <v>700000</v>
      </c>
      <c r="FB72" s="19"/>
      <c r="FC72" s="19">
        <v>2000000</v>
      </c>
      <c r="FD72" s="19"/>
      <c r="FE72" s="19">
        <v>101640000</v>
      </c>
      <c r="FF72" s="19">
        <v>700000</v>
      </c>
      <c r="FG72" s="19" t="s">
        <v>172</v>
      </c>
      <c r="FH72" s="19">
        <v>20000</v>
      </c>
      <c r="FI72" s="19" t="s">
        <v>172</v>
      </c>
      <c r="FJ72" s="19"/>
      <c r="FK72" s="19">
        <v>7994750</v>
      </c>
      <c r="FL72" s="19"/>
      <c r="FM72" s="19"/>
      <c r="FN72" s="19"/>
      <c r="FO72" s="56" t="s">
        <v>172</v>
      </c>
      <c r="FP72" s="19"/>
      <c r="FQ72" s="19"/>
      <c r="FR72" s="19">
        <v>1000000</v>
      </c>
      <c r="FS72" s="19"/>
      <c r="FT72" s="19">
        <v>4000000</v>
      </c>
      <c r="FU72" s="19"/>
      <c r="FV72" s="19" t="s">
        <v>172</v>
      </c>
      <c r="FW72" s="19"/>
      <c r="FX72" s="19"/>
      <c r="FY72" s="19" t="s">
        <v>172</v>
      </c>
      <c r="FZ72" s="19" t="s">
        <v>175</v>
      </c>
      <c r="GA72" s="19"/>
      <c r="GB72" s="19"/>
      <c r="GC72" s="19"/>
      <c r="GD72" s="19" t="s">
        <v>172</v>
      </c>
      <c r="GE72" s="19" t="s">
        <v>172</v>
      </c>
      <c r="GF72" s="19"/>
      <c r="GG72" s="19">
        <v>12064105</v>
      </c>
      <c r="GH72" s="19" t="s">
        <v>172</v>
      </c>
      <c r="GI72" s="19"/>
      <c r="GJ72" s="19" t="s">
        <v>172</v>
      </c>
      <c r="GK72" s="19"/>
      <c r="GL72" s="19" t="s">
        <v>172</v>
      </c>
      <c r="GM72" s="19"/>
      <c r="GN72" s="19"/>
      <c r="GO72" s="19" t="s">
        <v>172</v>
      </c>
      <c r="GP72" s="19">
        <v>1200000</v>
      </c>
      <c r="GQ72" s="19"/>
      <c r="GR72" s="19"/>
      <c r="GS72" s="19">
        <v>722207</v>
      </c>
      <c r="GT72" s="19"/>
      <c r="GU72" s="19"/>
      <c r="GV72" s="19">
        <v>3470000</v>
      </c>
      <c r="GW72" s="19">
        <v>102000000</v>
      </c>
      <c r="GX72" s="19">
        <v>1546000</v>
      </c>
      <c r="GY72" s="19"/>
      <c r="GZ72" s="19">
        <v>30224565</v>
      </c>
      <c r="HA72" s="19" t="s">
        <v>172</v>
      </c>
      <c r="HB72" s="19"/>
      <c r="HC72" s="19"/>
      <c r="HD72" s="19">
        <v>1000000</v>
      </c>
      <c r="HE72" s="19" t="s">
        <v>172</v>
      </c>
      <c r="HF72" s="19">
        <v>10100000</v>
      </c>
      <c r="HG72" s="19">
        <v>6172600</v>
      </c>
      <c r="HH72" s="19" t="s">
        <v>172</v>
      </c>
      <c r="HI72" s="19"/>
      <c r="HJ72" s="19" t="s">
        <v>172</v>
      </c>
      <c r="HK72" s="19"/>
      <c r="HL72" s="19"/>
      <c r="HM72" s="19">
        <v>750000</v>
      </c>
      <c r="HN72" s="19"/>
      <c r="HO72" s="19">
        <v>31700000</v>
      </c>
      <c r="HP72" s="19">
        <v>100000</v>
      </c>
      <c r="HQ72" s="19"/>
      <c r="HR72" s="19"/>
      <c r="HS72" s="19">
        <v>207509</v>
      </c>
      <c r="HT72" s="19"/>
      <c r="HU72" s="19">
        <v>2956710</v>
      </c>
      <c r="HV72" s="19"/>
      <c r="HW72" s="19" t="s">
        <v>172</v>
      </c>
      <c r="HX72" s="19">
        <v>52187000</v>
      </c>
      <c r="HY72" s="19" t="s">
        <v>172</v>
      </c>
      <c r="HZ72" s="19"/>
      <c r="IA72" s="19">
        <v>610000</v>
      </c>
      <c r="IB72" s="19">
        <v>272000</v>
      </c>
      <c r="IC72" s="19">
        <v>1000000</v>
      </c>
      <c r="ID72" s="19">
        <v>1210000</v>
      </c>
      <c r="IE72" s="19" t="s">
        <v>172</v>
      </c>
      <c r="IF72" s="19"/>
      <c r="IG72" s="19">
        <v>13059000</v>
      </c>
      <c r="IH72" s="19"/>
      <c r="II72" s="19"/>
      <c r="IJ72" s="19">
        <v>300000</v>
      </c>
      <c r="IK72" s="19">
        <v>6500000</v>
      </c>
      <c r="IL72" s="19">
        <v>11112000</v>
      </c>
      <c r="IM72" s="19">
        <v>650000</v>
      </c>
      <c r="IN72" s="19"/>
      <c r="IO72" s="19"/>
      <c r="IP72" s="19"/>
      <c r="IQ72" s="19"/>
      <c r="IR72" s="19"/>
      <c r="IS72" s="19">
        <v>24100000</v>
      </c>
      <c r="IT72" s="19">
        <v>700000</v>
      </c>
      <c r="IU72" s="19"/>
      <c r="IV72" s="19"/>
      <c r="IW72" s="19">
        <v>1280000</v>
      </c>
      <c r="IX72" s="19"/>
      <c r="IY72" s="19"/>
      <c r="IZ72" s="19">
        <v>60000</v>
      </c>
      <c r="JA72" s="19">
        <v>3468000</v>
      </c>
      <c r="JB72" s="19"/>
      <c r="JC72" s="19">
        <v>7000000</v>
      </c>
      <c r="JD72" s="19">
        <v>1600000</v>
      </c>
      <c r="JE72" s="19">
        <v>4850000</v>
      </c>
      <c r="JF72" s="19"/>
      <c r="JG72" s="19"/>
      <c r="JH72" s="19"/>
      <c r="JI72" s="19"/>
      <c r="JJ72" s="19"/>
      <c r="JK72" s="19"/>
      <c r="JL72" s="19">
        <v>1200000</v>
      </c>
      <c r="JM72" s="19">
        <v>900000</v>
      </c>
      <c r="JN72" s="19">
        <v>1000000</v>
      </c>
      <c r="JO72" s="19">
        <v>300000</v>
      </c>
      <c r="JP72" s="19">
        <v>2100000</v>
      </c>
      <c r="JQ72" s="19" t="s">
        <v>175</v>
      </c>
      <c r="JR72" s="19"/>
      <c r="JS72" s="19"/>
      <c r="JT72" s="19">
        <v>12830000</v>
      </c>
      <c r="JU72" s="19">
        <v>21058480</v>
      </c>
      <c r="JV72" s="19"/>
      <c r="JW72" s="19"/>
      <c r="JX72" s="19">
        <v>3000000</v>
      </c>
      <c r="JY72" s="19">
        <v>7480000</v>
      </c>
      <c r="JZ72" s="19"/>
      <c r="KA72" s="19"/>
      <c r="KB72" s="19"/>
      <c r="KC72" s="19">
        <v>19386000</v>
      </c>
      <c r="KD72" s="19">
        <v>8100000</v>
      </c>
      <c r="KE72" s="19"/>
      <c r="KF72" s="19"/>
      <c r="KG72" s="19"/>
      <c r="KH72" s="19"/>
      <c r="KI72" s="19"/>
      <c r="KJ72" s="19"/>
      <c r="KK72" s="19">
        <v>10000000</v>
      </c>
      <c r="KL72" s="19"/>
      <c r="KM72" s="19"/>
      <c r="KN72" s="19"/>
      <c r="KO72" s="19">
        <v>11390000</v>
      </c>
      <c r="KP72" s="19">
        <v>300000</v>
      </c>
      <c r="KQ72" s="19"/>
      <c r="KR72" s="19">
        <v>0</v>
      </c>
      <c r="KS72" s="19">
        <v>120000</v>
      </c>
      <c r="KT72" s="19">
        <v>100000</v>
      </c>
      <c r="KU72" s="19"/>
      <c r="KV72" s="19">
        <v>0</v>
      </c>
      <c r="KW72" s="19"/>
      <c r="KX72" s="19"/>
      <c r="KY72" s="19"/>
      <c r="KZ72" s="58"/>
      <c r="LA72" s="70">
        <v>0</v>
      </c>
      <c r="LB72" s="70">
        <v>1100000</v>
      </c>
    </row>
    <row r="73" spans="1:314">
      <c r="A73" s="9" t="s">
        <v>103</v>
      </c>
      <c r="B73" s="15" t="s">
        <v>57</v>
      </c>
      <c r="C73" s="19"/>
      <c r="D73" s="19"/>
      <c r="E73" s="19"/>
      <c r="F73" s="19">
        <v>1279955</v>
      </c>
      <c r="G73" s="19" t="s">
        <v>130</v>
      </c>
      <c r="H73" s="19"/>
      <c r="I73" s="19"/>
      <c r="J73" s="19" t="s">
        <v>176</v>
      </c>
      <c r="K73" s="19"/>
      <c r="L73" s="19" t="s">
        <v>96</v>
      </c>
      <c r="M73" s="19" t="s">
        <v>96</v>
      </c>
      <c r="N73" s="19"/>
      <c r="O73" s="19"/>
      <c r="P73" s="19">
        <f>3168581+3088017</f>
        <v>6256598</v>
      </c>
      <c r="Q73" s="19"/>
      <c r="R73" s="19"/>
      <c r="S73" s="19">
        <f>2887168+70379</f>
        <v>2957547</v>
      </c>
      <c r="T73" s="19" t="s">
        <v>96</v>
      </c>
      <c r="U73" s="19" t="s">
        <v>96</v>
      </c>
      <c r="V73" s="19" t="s">
        <v>172</v>
      </c>
      <c r="W73" s="19"/>
      <c r="X73" s="19"/>
      <c r="Y73" s="19"/>
      <c r="Z73" s="19"/>
      <c r="AA73" s="19"/>
      <c r="AB73" s="19"/>
      <c r="AC73" s="19"/>
      <c r="AD73" s="19">
        <v>91719792</v>
      </c>
      <c r="AE73" s="19"/>
      <c r="AF73" s="56" t="s">
        <v>172</v>
      </c>
      <c r="AG73" s="19"/>
      <c r="AH73" s="19" t="s">
        <v>167</v>
      </c>
      <c r="AI73" s="19">
        <v>21054520</v>
      </c>
      <c r="AJ73" s="19">
        <v>32621768</v>
      </c>
      <c r="AK73" s="19">
        <v>3092042</v>
      </c>
      <c r="AL73" s="19"/>
      <c r="AM73" s="19" t="s">
        <v>4</v>
      </c>
      <c r="AN73" s="19"/>
      <c r="AO73" s="19"/>
      <c r="AP73" s="19"/>
      <c r="AQ73" s="19" t="s">
        <v>172</v>
      </c>
      <c r="AR73" s="19"/>
      <c r="AS73" s="19"/>
      <c r="AT73" s="19" t="s">
        <v>172</v>
      </c>
      <c r="AU73" s="19">
        <v>16089391</v>
      </c>
      <c r="AV73" s="19"/>
      <c r="AW73" s="19"/>
      <c r="AX73" s="19" t="s">
        <v>4</v>
      </c>
      <c r="AY73" s="19">
        <f>596985+1242946</f>
        <v>1839931</v>
      </c>
      <c r="AZ73" s="19"/>
      <c r="BA73" s="19" t="s">
        <v>167</v>
      </c>
      <c r="BB73" s="19"/>
      <c r="BC73" s="19" t="s">
        <v>4</v>
      </c>
      <c r="BD73" s="19" t="s">
        <v>172</v>
      </c>
      <c r="BE73" s="19"/>
      <c r="BF73" s="19" t="s">
        <v>96</v>
      </c>
      <c r="BG73" s="19">
        <v>2000</v>
      </c>
      <c r="BH73" s="19"/>
      <c r="BI73" s="19"/>
      <c r="BJ73" s="19"/>
      <c r="BK73" s="19"/>
      <c r="BL73" s="19"/>
      <c r="BM73" s="19"/>
      <c r="BN73" s="19"/>
      <c r="BO73" s="19" t="s">
        <v>96</v>
      </c>
      <c r="BP73" s="19" t="s">
        <v>96</v>
      </c>
      <c r="BQ73" s="19" t="s">
        <v>175</v>
      </c>
      <c r="BR73" s="19">
        <v>399865</v>
      </c>
      <c r="BS73" s="19" t="s">
        <v>172</v>
      </c>
      <c r="BT73" s="19"/>
      <c r="BU73" s="19"/>
      <c r="BV73" s="19"/>
      <c r="BW73" s="19"/>
      <c r="BX73" s="19"/>
      <c r="BY73" s="19"/>
      <c r="BZ73" s="19"/>
      <c r="CA73" s="19"/>
      <c r="CB73" s="19"/>
      <c r="CC73" s="19"/>
      <c r="CD73" s="19"/>
      <c r="CE73" s="19" t="s">
        <v>172</v>
      </c>
      <c r="CF73" s="19"/>
      <c r="CG73" s="19"/>
      <c r="CH73" s="19"/>
      <c r="CI73" s="19" t="s">
        <v>172</v>
      </c>
      <c r="CJ73" s="19"/>
      <c r="CK73" s="19">
        <v>526323029</v>
      </c>
      <c r="CL73" s="19"/>
      <c r="CM73" s="19"/>
      <c r="CN73" s="19"/>
      <c r="CO73" s="19"/>
      <c r="CP73" s="19"/>
      <c r="CQ73" s="19" t="s">
        <v>96</v>
      </c>
      <c r="CR73" s="19"/>
      <c r="CS73" s="56" t="s">
        <v>172</v>
      </c>
      <c r="CT73" s="19">
        <f>3200061138+34332570</f>
        <v>3234393708</v>
      </c>
      <c r="CU73" s="19"/>
      <c r="CV73" s="19"/>
      <c r="CW73" s="19"/>
      <c r="CX73" s="19">
        <f>38171757+419824</f>
        <v>38591581</v>
      </c>
      <c r="CY73" s="19" t="s">
        <v>96</v>
      </c>
      <c r="CZ73" s="19"/>
      <c r="DA73" s="19" t="s">
        <v>175</v>
      </c>
      <c r="DB73" s="19"/>
      <c r="DC73" s="19"/>
      <c r="DD73" s="19"/>
      <c r="DE73" s="19"/>
      <c r="DF73" s="19"/>
      <c r="DG73" s="19"/>
      <c r="DH73" s="19"/>
      <c r="DI73" s="19"/>
      <c r="DJ73" s="19"/>
      <c r="DK73" s="19"/>
      <c r="DL73" s="19"/>
      <c r="DM73" s="19">
        <v>7850000</v>
      </c>
      <c r="DN73" s="19"/>
      <c r="DO73" s="19"/>
      <c r="DP73" s="19"/>
      <c r="DQ73" s="19"/>
      <c r="DR73" s="19"/>
      <c r="DS73" s="19">
        <v>266746</v>
      </c>
      <c r="DT73" s="19"/>
      <c r="DU73" s="19"/>
      <c r="DV73" s="19"/>
      <c r="DW73" s="19"/>
      <c r="DX73" s="19"/>
      <c r="DY73" s="19"/>
      <c r="DZ73" s="19"/>
      <c r="EA73" s="19"/>
      <c r="EB73" s="19">
        <v>41986</v>
      </c>
      <c r="EC73" s="19"/>
      <c r="ED73" s="19"/>
      <c r="EE73" s="19"/>
      <c r="EF73" s="19">
        <v>7789</v>
      </c>
      <c r="EG73" s="19">
        <f>128878774+546</f>
        <v>128879320</v>
      </c>
      <c r="EH73" s="19"/>
      <c r="EI73" s="19">
        <v>296424430</v>
      </c>
      <c r="EJ73" s="19"/>
      <c r="EK73" s="19">
        <v>14917444</v>
      </c>
      <c r="EL73" s="19"/>
      <c r="EM73" s="19"/>
      <c r="EN73" s="19"/>
      <c r="EO73" s="19"/>
      <c r="EP73" s="19"/>
      <c r="EQ73" s="19"/>
      <c r="ER73" s="19"/>
      <c r="ES73" s="19"/>
      <c r="ET73" s="19"/>
      <c r="EU73" s="19"/>
      <c r="EV73" s="19"/>
      <c r="EW73" s="19">
        <v>79070</v>
      </c>
      <c r="EX73" s="19"/>
      <c r="EY73" s="19"/>
      <c r="EZ73" s="19"/>
      <c r="FA73" s="19"/>
      <c r="FB73" s="19"/>
      <c r="FC73" s="19"/>
      <c r="FD73" s="19"/>
      <c r="FE73" s="19"/>
      <c r="FF73" s="19"/>
      <c r="FG73" s="19" t="s">
        <v>172</v>
      </c>
      <c r="FH73" s="19">
        <v>1618682</v>
      </c>
      <c r="FI73" s="19" t="s">
        <v>172</v>
      </c>
      <c r="FJ73" s="19"/>
      <c r="FK73" s="19"/>
      <c r="FL73" s="19"/>
      <c r="FM73" s="19"/>
      <c r="FN73" s="19">
        <v>12225820</v>
      </c>
      <c r="FO73" s="56" t="s">
        <v>172</v>
      </c>
      <c r="FP73" s="19"/>
      <c r="FQ73" s="19"/>
      <c r="FR73" s="19"/>
      <c r="FS73" s="19"/>
      <c r="FT73" s="19">
        <f>4508600+2852179</f>
        <v>7360779</v>
      </c>
      <c r="FU73" s="19"/>
      <c r="FV73" s="19" t="s">
        <v>172</v>
      </c>
      <c r="FW73" s="19"/>
      <c r="FX73" s="19"/>
      <c r="FY73" s="19" t="s">
        <v>172</v>
      </c>
      <c r="FZ73" s="19" t="s">
        <v>175</v>
      </c>
      <c r="GA73" s="19">
        <v>343362</v>
      </c>
      <c r="GB73" s="19"/>
      <c r="GC73" s="19"/>
      <c r="GD73" s="19" t="s">
        <v>172</v>
      </c>
      <c r="GE73" s="19" t="s">
        <v>172</v>
      </c>
      <c r="GF73" s="19"/>
      <c r="GG73" s="19">
        <f>89282804+22933188</f>
        <v>112215992</v>
      </c>
      <c r="GH73" s="19" t="s">
        <v>172</v>
      </c>
      <c r="GI73" s="19"/>
      <c r="GJ73" s="19" t="s">
        <v>172</v>
      </c>
      <c r="GK73" s="19"/>
      <c r="GL73" s="19" t="s">
        <v>172</v>
      </c>
      <c r="GM73" s="19"/>
      <c r="GN73" s="19"/>
      <c r="GO73" s="19" t="s">
        <v>172</v>
      </c>
      <c r="GP73" s="19"/>
      <c r="GQ73" s="19"/>
      <c r="GR73" s="19">
        <v>9968993</v>
      </c>
      <c r="GS73" s="19"/>
      <c r="GT73" s="19">
        <v>47627061</v>
      </c>
      <c r="GU73" s="19"/>
      <c r="GV73" s="19">
        <v>999</v>
      </c>
      <c r="GW73" s="19"/>
      <c r="GX73" s="19"/>
      <c r="GY73" s="19"/>
      <c r="GZ73" s="19"/>
      <c r="HA73" s="19" t="s">
        <v>172</v>
      </c>
      <c r="HB73" s="19"/>
      <c r="HC73" s="19"/>
      <c r="HD73" s="19"/>
      <c r="HE73" s="19" t="s">
        <v>172</v>
      </c>
      <c r="HF73" s="19"/>
      <c r="HG73" s="19"/>
      <c r="HH73" s="19" t="s">
        <v>172</v>
      </c>
      <c r="HI73" s="19">
        <v>1233329</v>
      </c>
      <c r="HJ73" s="19" t="s">
        <v>172</v>
      </c>
      <c r="HK73" s="19"/>
      <c r="HL73" s="19"/>
      <c r="HM73" s="19"/>
      <c r="HN73" s="19"/>
      <c r="HO73" s="19"/>
      <c r="HP73" s="19">
        <f>825575934+7113477</f>
        <v>832689411</v>
      </c>
      <c r="HQ73" s="19"/>
      <c r="HR73" s="19"/>
      <c r="HS73" s="19"/>
      <c r="HT73" s="19"/>
      <c r="HU73" s="19"/>
      <c r="HV73" s="19"/>
      <c r="HW73" s="19" t="s">
        <v>172</v>
      </c>
      <c r="HX73" s="19"/>
      <c r="HY73" s="19" t="s">
        <v>172</v>
      </c>
      <c r="HZ73" s="19"/>
      <c r="IA73" s="19"/>
      <c r="IB73" s="19">
        <v>72075401</v>
      </c>
      <c r="IC73" s="19"/>
      <c r="ID73" s="19"/>
      <c r="IE73" s="19" t="s">
        <v>172</v>
      </c>
      <c r="IF73" s="19"/>
      <c r="IG73" s="19"/>
      <c r="IH73" s="19"/>
      <c r="II73" s="19"/>
      <c r="IJ73" s="19"/>
      <c r="IK73" s="19"/>
      <c r="IL73" s="19">
        <v>254171</v>
      </c>
      <c r="IM73" s="19"/>
      <c r="IN73" s="19"/>
      <c r="IO73" s="19"/>
      <c r="IP73" s="19"/>
      <c r="IQ73" s="19"/>
      <c r="IR73" s="19"/>
      <c r="IS73" s="19">
        <v>20422323</v>
      </c>
      <c r="IT73" s="19">
        <v>3014592</v>
      </c>
      <c r="IU73" s="19"/>
      <c r="IV73" s="19"/>
      <c r="IW73" s="19"/>
      <c r="IX73" s="19"/>
      <c r="IY73" s="19">
        <v>1575499</v>
      </c>
      <c r="IZ73" s="19"/>
      <c r="JA73" s="19"/>
      <c r="JB73" s="19"/>
      <c r="JC73" s="19"/>
      <c r="JD73" s="19"/>
      <c r="JE73" s="19"/>
      <c r="JF73" s="19"/>
      <c r="JG73" s="19"/>
      <c r="JH73" s="19">
        <v>6572722</v>
      </c>
      <c r="JI73" s="19"/>
      <c r="JJ73" s="19"/>
      <c r="JK73" s="19"/>
      <c r="JL73" s="19"/>
      <c r="JM73" s="19"/>
      <c r="JN73" s="19">
        <v>89323</v>
      </c>
      <c r="JO73" s="19">
        <v>66000000</v>
      </c>
      <c r="JP73" s="19"/>
      <c r="JQ73" s="19" t="s">
        <v>175</v>
      </c>
      <c r="JR73" s="19"/>
      <c r="JS73" s="19"/>
      <c r="JT73" s="19"/>
      <c r="JU73" s="19"/>
      <c r="JV73" s="19"/>
      <c r="JW73" s="19"/>
      <c r="JX73" s="19"/>
      <c r="JY73" s="19"/>
      <c r="JZ73" s="19"/>
      <c r="KA73" s="19"/>
      <c r="KB73" s="19">
        <v>37000000</v>
      </c>
      <c r="KC73" s="19"/>
      <c r="KD73" s="19"/>
      <c r="KE73" s="19"/>
      <c r="KF73" s="19">
        <v>1837682</v>
      </c>
      <c r="KG73" s="19"/>
      <c r="KH73" s="19"/>
      <c r="KI73" s="19"/>
      <c r="KJ73" s="19"/>
      <c r="KK73" s="19"/>
      <c r="KL73" s="19">
        <v>2611000</v>
      </c>
      <c r="KM73" s="19">
        <v>5256</v>
      </c>
      <c r="KN73" s="19"/>
      <c r="KO73" s="19">
        <v>275888</v>
      </c>
      <c r="KP73" s="19"/>
      <c r="KQ73" s="19"/>
      <c r="KR73" s="19">
        <v>0</v>
      </c>
      <c r="KS73" s="19">
        <v>6392642</v>
      </c>
      <c r="KT73" s="19"/>
      <c r="KU73" s="19">
        <v>15880371</v>
      </c>
      <c r="KV73" s="19"/>
      <c r="KW73" s="19"/>
      <c r="KX73" s="19"/>
      <c r="KY73" s="19">
        <v>3918263</v>
      </c>
      <c r="KZ73" s="58"/>
      <c r="LA73" s="70"/>
      <c r="LB73" s="70"/>
    </row>
    <row r="74" spans="1:314">
      <c r="A74" s="9" t="s">
        <v>103</v>
      </c>
      <c r="B74" s="15" t="s">
        <v>9</v>
      </c>
      <c r="C74" s="19">
        <v>366</v>
      </c>
      <c r="D74" s="19"/>
      <c r="E74" s="19">
        <v>398449</v>
      </c>
      <c r="F74" s="19"/>
      <c r="G74" s="19" t="s">
        <v>130</v>
      </c>
      <c r="H74" s="19">
        <v>173540</v>
      </c>
      <c r="I74" s="19"/>
      <c r="J74" s="19" t="s">
        <v>176</v>
      </c>
      <c r="K74" s="19">
        <v>362911</v>
      </c>
      <c r="L74" s="19" t="s">
        <v>96</v>
      </c>
      <c r="M74" s="19" t="s">
        <v>96</v>
      </c>
      <c r="N74" s="19">
        <v>3912524</v>
      </c>
      <c r="O74" s="19">
        <v>1470734</v>
      </c>
      <c r="P74" s="19">
        <v>29436015</v>
      </c>
      <c r="Q74" s="19">
        <v>2241393</v>
      </c>
      <c r="R74" s="19">
        <v>3045</v>
      </c>
      <c r="S74" s="19">
        <v>6044650</v>
      </c>
      <c r="T74" s="19" t="s">
        <v>96</v>
      </c>
      <c r="U74" s="19" t="s">
        <v>96</v>
      </c>
      <c r="V74" s="19" t="s">
        <v>172</v>
      </c>
      <c r="W74" s="19">
        <v>885942</v>
      </c>
      <c r="X74" s="19">
        <v>1235259</v>
      </c>
      <c r="Y74" s="19"/>
      <c r="Z74" s="19">
        <v>551200</v>
      </c>
      <c r="AA74" s="19">
        <v>107009</v>
      </c>
      <c r="AB74" s="19">
        <v>19489</v>
      </c>
      <c r="AC74" s="19">
        <v>292220</v>
      </c>
      <c r="AD74" s="19">
        <v>99333205</v>
      </c>
      <c r="AE74" s="19"/>
      <c r="AF74" s="56" t="s">
        <v>172</v>
      </c>
      <c r="AG74" s="19">
        <v>1712902</v>
      </c>
      <c r="AH74" s="19" t="s">
        <v>167</v>
      </c>
      <c r="AI74" s="19">
        <v>216735</v>
      </c>
      <c r="AJ74" s="19">
        <v>7386</v>
      </c>
      <c r="AK74" s="19">
        <v>946850</v>
      </c>
      <c r="AL74" s="19">
        <v>740185</v>
      </c>
      <c r="AM74" s="19" t="s">
        <v>4</v>
      </c>
      <c r="AN74" s="19">
        <v>929120</v>
      </c>
      <c r="AO74" s="19">
        <v>1115</v>
      </c>
      <c r="AP74" s="19"/>
      <c r="AQ74" s="19" t="s">
        <v>172</v>
      </c>
      <c r="AR74" s="19">
        <v>564997</v>
      </c>
      <c r="AS74" s="19">
        <v>140736</v>
      </c>
      <c r="AT74" s="19" t="s">
        <v>172</v>
      </c>
      <c r="AU74" s="19">
        <v>4033317</v>
      </c>
      <c r="AV74" s="19">
        <v>7</v>
      </c>
      <c r="AW74" s="19">
        <v>1602932</v>
      </c>
      <c r="AX74" s="19" t="s">
        <v>4</v>
      </c>
      <c r="AY74" s="19">
        <v>2423027</v>
      </c>
      <c r="AZ74" s="19">
        <v>32428</v>
      </c>
      <c r="BA74" s="19" t="s">
        <v>167</v>
      </c>
      <c r="BB74" s="19">
        <v>4552</v>
      </c>
      <c r="BC74" s="19" t="s">
        <v>4</v>
      </c>
      <c r="BD74" s="19" t="s">
        <v>172</v>
      </c>
      <c r="BE74" s="19">
        <v>1923900</v>
      </c>
      <c r="BF74" s="19" t="s">
        <v>96</v>
      </c>
      <c r="BG74" s="19">
        <v>9881713</v>
      </c>
      <c r="BH74" s="19">
        <v>1309</v>
      </c>
      <c r="BI74" s="19">
        <v>457540</v>
      </c>
      <c r="BJ74" s="19">
        <v>270803</v>
      </c>
      <c r="BK74" s="19">
        <v>16194</v>
      </c>
      <c r="BL74" s="19">
        <v>88792</v>
      </c>
      <c r="BM74" s="19">
        <v>992</v>
      </c>
      <c r="BN74" s="19">
        <v>2821</v>
      </c>
      <c r="BO74" s="19" t="s">
        <v>96</v>
      </c>
      <c r="BP74" s="19" t="s">
        <v>96</v>
      </c>
      <c r="BQ74" s="19" t="s">
        <v>175</v>
      </c>
      <c r="BR74" s="19">
        <v>305205</v>
      </c>
      <c r="BS74" s="19" t="s">
        <v>172</v>
      </c>
      <c r="BT74" s="19">
        <v>1943020</v>
      </c>
      <c r="BU74" s="19">
        <v>588725</v>
      </c>
      <c r="BV74" s="19">
        <v>55020</v>
      </c>
      <c r="BW74" s="19">
        <v>239820</v>
      </c>
      <c r="BX74" s="19">
        <v>6314</v>
      </c>
      <c r="BY74" s="19">
        <v>3652641</v>
      </c>
      <c r="BZ74" s="19"/>
      <c r="CA74" s="19">
        <v>1683262</v>
      </c>
      <c r="CB74" s="19">
        <v>2363430</v>
      </c>
      <c r="CC74" s="19"/>
      <c r="CD74" s="19">
        <v>31</v>
      </c>
      <c r="CE74" s="19" t="s">
        <v>172</v>
      </c>
      <c r="CF74" s="19">
        <v>2973286</v>
      </c>
      <c r="CG74" s="19">
        <v>318190</v>
      </c>
      <c r="CH74" s="19">
        <v>155574</v>
      </c>
      <c r="CI74" s="19" t="s">
        <v>172</v>
      </c>
      <c r="CJ74" s="19"/>
      <c r="CK74" s="19">
        <v>41785</v>
      </c>
      <c r="CL74" s="19">
        <v>467103</v>
      </c>
      <c r="CM74" s="19"/>
      <c r="CN74" s="19">
        <v>335250</v>
      </c>
      <c r="CO74" s="19">
        <v>32000</v>
      </c>
      <c r="CP74" s="19">
        <v>5901060</v>
      </c>
      <c r="CQ74" s="19" t="s">
        <v>96</v>
      </c>
      <c r="CR74" s="19">
        <v>733539</v>
      </c>
      <c r="CS74" s="56" t="s">
        <v>172</v>
      </c>
      <c r="CT74" s="19">
        <v>1912486</v>
      </c>
      <c r="CU74" s="19"/>
      <c r="CV74" s="19"/>
      <c r="CW74" s="19">
        <v>708972</v>
      </c>
      <c r="CX74" s="19">
        <v>2021131</v>
      </c>
      <c r="CY74" s="19" t="s">
        <v>96</v>
      </c>
      <c r="CZ74" s="19">
        <v>5170575</v>
      </c>
      <c r="DA74" s="19" t="s">
        <v>175</v>
      </c>
      <c r="DB74" s="19">
        <v>65080</v>
      </c>
      <c r="DC74" s="19"/>
      <c r="DD74" s="19">
        <v>10000000</v>
      </c>
      <c r="DE74" s="19"/>
      <c r="DF74" s="19">
        <v>90580</v>
      </c>
      <c r="DG74" s="19">
        <v>634862</v>
      </c>
      <c r="DH74" s="19">
        <v>749025</v>
      </c>
      <c r="DI74" s="19">
        <v>22092</v>
      </c>
      <c r="DJ74" s="19">
        <v>15503</v>
      </c>
      <c r="DK74" s="19">
        <v>5814754</v>
      </c>
      <c r="DL74" s="19">
        <v>89490</v>
      </c>
      <c r="DM74" s="19">
        <v>531</v>
      </c>
      <c r="DN74" s="19">
        <v>1386640</v>
      </c>
      <c r="DO74" s="19">
        <v>18617</v>
      </c>
      <c r="DP74" s="19">
        <v>106670</v>
      </c>
      <c r="DQ74" s="19">
        <v>1991</v>
      </c>
      <c r="DR74" s="19">
        <v>4724246</v>
      </c>
      <c r="DS74" s="19">
        <v>11020</v>
      </c>
      <c r="DT74" s="19">
        <v>2317839</v>
      </c>
      <c r="DU74" s="19"/>
      <c r="DV74" s="19">
        <v>212405</v>
      </c>
      <c r="DW74" s="19">
        <v>275242</v>
      </c>
      <c r="DX74" s="19">
        <v>106130738</v>
      </c>
      <c r="DY74" s="19">
        <v>286434</v>
      </c>
      <c r="DZ74" s="19">
        <v>96854</v>
      </c>
      <c r="EA74" s="19"/>
      <c r="EB74" s="19">
        <v>8448703</v>
      </c>
      <c r="EC74" s="19">
        <v>6208668</v>
      </c>
      <c r="ED74" s="19">
        <v>9172</v>
      </c>
      <c r="EE74" s="19">
        <v>2400991</v>
      </c>
      <c r="EF74" s="19">
        <v>977832</v>
      </c>
      <c r="EG74" s="19">
        <v>3429155</v>
      </c>
      <c r="EH74" s="19">
        <v>527697</v>
      </c>
      <c r="EI74" s="19">
        <v>5502481</v>
      </c>
      <c r="EJ74" s="19">
        <v>202542</v>
      </c>
      <c r="EK74" s="19">
        <v>417643</v>
      </c>
      <c r="EL74" s="19">
        <v>22</v>
      </c>
      <c r="EM74" s="19">
        <v>96</v>
      </c>
      <c r="EN74" s="19">
        <v>6134050</v>
      </c>
      <c r="EO74" s="19">
        <v>484474</v>
      </c>
      <c r="EP74" s="19"/>
      <c r="EQ74" s="19"/>
      <c r="ER74" s="19">
        <v>1041367</v>
      </c>
      <c r="ES74" s="19">
        <v>88000</v>
      </c>
      <c r="ET74" s="19">
        <v>734708</v>
      </c>
      <c r="EU74" s="19">
        <v>463607</v>
      </c>
      <c r="EV74" s="19"/>
      <c r="EW74" s="19">
        <v>755390</v>
      </c>
      <c r="EX74" s="19">
        <v>8103913</v>
      </c>
      <c r="EY74" s="19">
        <v>1889593</v>
      </c>
      <c r="EZ74" s="19">
        <v>640170</v>
      </c>
      <c r="FA74" s="19">
        <v>20384</v>
      </c>
      <c r="FB74" s="19">
        <v>37085</v>
      </c>
      <c r="FC74" s="19">
        <v>2006</v>
      </c>
      <c r="FD74" s="19">
        <v>286055</v>
      </c>
      <c r="FE74" s="19">
        <v>1117983</v>
      </c>
      <c r="FF74" s="19">
        <v>2792706</v>
      </c>
      <c r="FG74" s="19" t="s">
        <v>172</v>
      </c>
      <c r="FH74" s="19">
        <v>2983420</v>
      </c>
      <c r="FI74" s="19" t="s">
        <v>172</v>
      </c>
      <c r="FJ74" s="19"/>
      <c r="FK74" s="19">
        <v>777576</v>
      </c>
      <c r="FL74" s="19">
        <v>2817410</v>
      </c>
      <c r="FM74" s="19">
        <v>501</v>
      </c>
      <c r="FN74" s="19"/>
      <c r="FO74" s="56" t="s">
        <v>172</v>
      </c>
      <c r="FP74" s="19">
        <v>33100</v>
      </c>
      <c r="FQ74" s="19"/>
      <c r="FR74" s="19">
        <v>5160</v>
      </c>
      <c r="FS74" s="19">
        <v>172684</v>
      </c>
      <c r="FT74" s="19">
        <v>5499071</v>
      </c>
      <c r="FU74" s="19">
        <v>82868</v>
      </c>
      <c r="FV74" s="19" t="s">
        <v>172</v>
      </c>
      <c r="FW74" s="19">
        <v>2524309</v>
      </c>
      <c r="FX74" s="19">
        <v>6</v>
      </c>
      <c r="FY74" s="19" t="s">
        <v>172</v>
      </c>
      <c r="FZ74" s="19" t="s">
        <v>175</v>
      </c>
      <c r="GA74" s="19">
        <v>15625</v>
      </c>
      <c r="GB74" s="19">
        <v>9</v>
      </c>
      <c r="GC74" s="19">
        <v>330383</v>
      </c>
      <c r="GD74" s="19" t="s">
        <v>172</v>
      </c>
      <c r="GE74" s="19" t="s">
        <v>172</v>
      </c>
      <c r="GF74" s="19">
        <v>90478</v>
      </c>
      <c r="GG74" s="19">
        <v>5553025</v>
      </c>
      <c r="GH74" s="19" t="s">
        <v>172</v>
      </c>
      <c r="GI74" s="19">
        <v>161892</v>
      </c>
      <c r="GJ74" s="19" t="s">
        <v>172</v>
      </c>
      <c r="GK74" s="19">
        <v>31757</v>
      </c>
      <c r="GL74" s="19" t="s">
        <v>172</v>
      </c>
      <c r="GM74" s="19"/>
      <c r="GN74" s="19">
        <v>3501667</v>
      </c>
      <c r="GO74" s="19" t="s">
        <v>172</v>
      </c>
      <c r="GP74" s="19">
        <v>93693743</v>
      </c>
      <c r="GQ74" s="19">
        <v>8</v>
      </c>
      <c r="GR74" s="19">
        <v>4585836</v>
      </c>
      <c r="GS74" s="19">
        <v>4072531</v>
      </c>
      <c r="GT74" s="19">
        <v>41612653</v>
      </c>
      <c r="GU74" s="19"/>
      <c r="GV74" s="19">
        <v>201281</v>
      </c>
      <c r="GW74" s="19">
        <v>4425857</v>
      </c>
      <c r="GX74" s="19">
        <v>25</v>
      </c>
      <c r="GY74" s="19">
        <v>760205</v>
      </c>
      <c r="GZ74" s="19">
        <v>548</v>
      </c>
      <c r="HA74" s="19" t="s">
        <v>172</v>
      </c>
      <c r="HB74" s="19">
        <v>89172</v>
      </c>
      <c r="HC74" s="19">
        <v>802574</v>
      </c>
      <c r="HD74" s="19"/>
      <c r="HE74" s="19" t="s">
        <v>172</v>
      </c>
      <c r="HF74" s="19">
        <v>1265475</v>
      </c>
      <c r="HG74" s="19">
        <v>110680</v>
      </c>
      <c r="HH74" s="19" t="s">
        <v>172</v>
      </c>
      <c r="HI74" s="19">
        <v>1529427</v>
      </c>
      <c r="HJ74" s="19" t="s">
        <v>172</v>
      </c>
      <c r="HK74" s="19">
        <v>326764</v>
      </c>
      <c r="HL74" s="19">
        <v>2198500</v>
      </c>
      <c r="HM74" s="19">
        <v>17</v>
      </c>
      <c r="HN74" s="19"/>
      <c r="HO74" s="19">
        <v>38679678</v>
      </c>
      <c r="HP74" s="19">
        <v>1814682</v>
      </c>
      <c r="HQ74" s="19"/>
      <c r="HR74" s="19">
        <v>1178288</v>
      </c>
      <c r="HS74" s="19">
        <v>146090</v>
      </c>
      <c r="HT74" s="19"/>
      <c r="HU74" s="19">
        <v>3405895</v>
      </c>
      <c r="HV74" s="19">
        <v>164631</v>
      </c>
      <c r="HW74" s="19" t="s">
        <v>172</v>
      </c>
      <c r="HX74" s="19">
        <v>4857794</v>
      </c>
      <c r="HY74" s="19" t="s">
        <v>172</v>
      </c>
      <c r="HZ74" s="19">
        <v>3549272</v>
      </c>
      <c r="IA74" s="19">
        <v>20</v>
      </c>
      <c r="IB74" s="19">
        <v>48103823</v>
      </c>
      <c r="IC74" s="19">
        <v>3203420</v>
      </c>
      <c r="ID74" s="19">
        <v>1592949</v>
      </c>
      <c r="IE74" s="19" t="s">
        <v>172</v>
      </c>
      <c r="IF74" s="19">
        <v>1311061</v>
      </c>
      <c r="IG74" s="19">
        <v>1170</v>
      </c>
      <c r="IH74" s="19">
        <v>1134508</v>
      </c>
      <c r="II74" s="19">
        <v>116961</v>
      </c>
      <c r="IJ74" s="19">
        <v>2369533</v>
      </c>
      <c r="IK74" s="19">
        <v>1220658</v>
      </c>
      <c r="IL74" s="19">
        <v>23964004</v>
      </c>
      <c r="IM74" s="19">
        <v>7346793</v>
      </c>
      <c r="IN74" s="19">
        <v>1299835</v>
      </c>
      <c r="IO74" s="19">
        <v>828</v>
      </c>
      <c r="IP74" s="19">
        <v>20</v>
      </c>
      <c r="IQ74" s="19">
        <v>62365</v>
      </c>
      <c r="IR74" s="19">
        <v>1545926</v>
      </c>
      <c r="IS74" s="19">
        <v>396622</v>
      </c>
      <c r="IT74" s="19">
        <v>60869</v>
      </c>
      <c r="IU74" s="19">
        <v>1388500</v>
      </c>
      <c r="IV74" s="19">
        <v>13507900</v>
      </c>
      <c r="IW74" s="19">
        <v>6960</v>
      </c>
      <c r="IX74" s="19">
        <v>394625</v>
      </c>
      <c r="IY74" s="19">
        <v>92234</v>
      </c>
      <c r="IZ74" s="19">
        <v>913079</v>
      </c>
      <c r="JA74" s="19">
        <v>3338594</v>
      </c>
      <c r="JB74" s="19">
        <v>5366834</v>
      </c>
      <c r="JC74" s="19">
        <v>456721</v>
      </c>
      <c r="JD74" s="19">
        <v>803161</v>
      </c>
      <c r="JE74" s="19">
        <v>1852</v>
      </c>
      <c r="JF74" s="19">
        <v>41201674</v>
      </c>
      <c r="JG74" s="19">
        <v>3186</v>
      </c>
      <c r="JH74" s="19">
        <v>52590</v>
      </c>
      <c r="JI74" s="19">
        <v>755376</v>
      </c>
      <c r="JJ74" s="19">
        <v>470255</v>
      </c>
      <c r="JK74" s="19">
        <v>31801</v>
      </c>
      <c r="JL74" s="19">
        <v>3407337</v>
      </c>
      <c r="JM74" s="19">
        <v>17624813</v>
      </c>
      <c r="JN74" s="19">
        <v>21008</v>
      </c>
      <c r="JO74" s="19">
        <v>29000</v>
      </c>
      <c r="JP74" s="19">
        <v>76630</v>
      </c>
      <c r="JQ74" s="19" t="s">
        <v>175</v>
      </c>
      <c r="JR74" s="19"/>
      <c r="JS74" s="19">
        <v>31743</v>
      </c>
      <c r="JT74" s="19">
        <v>1195689</v>
      </c>
      <c r="JU74" s="19">
        <v>204723</v>
      </c>
      <c r="JV74" s="19">
        <v>609532</v>
      </c>
      <c r="JW74" s="19">
        <v>773</v>
      </c>
      <c r="JX74" s="19"/>
      <c r="JY74" s="19">
        <v>5034343</v>
      </c>
      <c r="JZ74" s="19">
        <v>73731</v>
      </c>
      <c r="KA74" s="19"/>
      <c r="KB74" s="19">
        <v>6840021</v>
      </c>
      <c r="KC74" s="19"/>
      <c r="KD74" s="19">
        <v>147696</v>
      </c>
      <c r="KE74" s="19">
        <v>8939</v>
      </c>
      <c r="KF74" s="19">
        <v>857382</v>
      </c>
      <c r="KG74" s="19">
        <v>283004</v>
      </c>
      <c r="KH74" s="19">
        <v>15</v>
      </c>
      <c r="KI74" s="19">
        <v>1840</v>
      </c>
      <c r="KJ74" s="19">
        <v>114000</v>
      </c>
      <c r="KK74" s="19">
        <v>38821277</v>
      </c>
      <c r="KL74" s="19"/>
      <c r="KM74" s="19">
        <v>634497</v>
      </c>
      <c r="KN74" s="19"/>
      <c r="KO74" s="19">
        <v>2667510</v>
      </c>
      <c r="KP74" s="19">
        <v>5767260</v>
      </c>
      <c r="KQ74" s="19">
        <v>3274144</v>
      </c>
      <c r="KR74" s="19">
        <v>1656</v>
      </c>
      <c r="KS74" s="19">
        <v>778090</v>
      </c>
      <c r="KT74" s="19">
        <v>218072</v>
      </c>
      <c r="KU74" s="19">
        <v>13447655</v>
      </c>
      <c r="KV74" s="19">
        <v>8221</v>
      </c>
      <c r="KW74" s="19">
        <v>183400</v>
      </c>
      <c r="KX74" s="19">
        <v>3</v>
      </c>
      <c r="KY74" s="19">
        <v>68627</v>
      </c>
      <c r="KZ74" s="58">
        <v>226203</v>
      </c>
      <c r="LA74" s="70">
        <v>104541</v>
      </c>
      <c r="LB74" s="70"/>
    </row>
    <row r="75" spans="1:314">
      <c r="A75" s="9" t="s">
        <v>103</v>
      </c>
      <c r="B75" s="15" t="s">
        <v>43</v>
      </c>
      <c r="C75" s="19"/>
      <c r="D75" s="19">
        <v>226000000</v>
      </c>
      <c r="E75" s="19"/>
      <c r="F75" s="19"/>
      <c r="G75" s="19" t="s">
        <v>130</v>
      </c>
      <c r="H75" s="19">
        <f>488628+49236740+35785879+4149948+4820</f>
        <v>89666015</v>
      </c>
      <c r="I75" s="19"/>
      <c r="J75" s="19" t="s">
        <v>176</v>
      </c>
      <c r="K75" s="19"/>
      <c r="L75" s="19" t="s">
        <v>96</v>
      </c>
      <c r="M75" s="19" t="s">
        <v>96</v>
      </c>
      <c r="N75" s="19"/>
      <c r="O75" s="19"/>
      <c r="P75" s="19">
        <v>301816351</v>
      </c>
      <c r="Q75" s="19">
        <v>211468</v>
      </c>
      <c r="R75" s="19"/>
      <c r="S75" s="19">
        <v>1195418</v>
      </c>
      <c r="T75" s="19" t="s">
        <v>96</v>
      </c>
      <c r="U75" s="19" t="s">
        <v>96</v>
      </c>
      <c r="V75" s="19" t="s">
        <v>172</v>
      </c>
      <c r="W75" s="19"/>
      <c r="X75" s="19"/>
      <c r="Y75" s="19"/>
      <c r="Z75" s="19"/>
      <c r="AA75" s="19"/>
      <c r="AB75" s="19">
        <v>604470</v>
      </c>
      <c r="AC75" s="19"/>
      <c r="AD75" s="19">
        <v>70500000</v>
      </c>
      <c r="AE75" s="19">
        <v>10200</v>
      </c>
      <c r="AF75" s="56" t="s">
        <v>172</v>
      </c>
      <c r="AG75" s="19"/>
      <c r="AH75" s="19" t="s">
        <v>167</v>
      </c>
      <c r="AI75" s="19"/>
      <c r="AJ75" s="19"/>
      <c r="AK75" s="19"/>
      <c r="AL75" s="19">
        <v>3406475</v>
      </c>
      <c r="AM75" s="19" t="s">
        <v>4</v>
      </c>
      <c r="AN75" s="19"/>
      <c r="AO75" s="19"/>
      <c r="AP75" s="19"/>
      <c r="AQ75" s="19" t="s">
        <v>172</v>
      </c>
      <c r="AR75" s="19"/>
      <c r="AS75" s="19">
        <v>55000000</v>
      </c>
      <c r="AT75" s="19" t="s">
        <v>172</v>
      </c>
      <c r="AU75" s="19"/>
      <c r="AV75" s="19"/>
      <c r="AW75" s="19">
        <v>33950</v>
      </c>
      <c r="AX75" s="19" t="s">
        <v>4</v>
      </c>
      <c r="AY75" s="19"/>
      <c r="AZ75" s="19"/>
      <c r="BA75" s="19" t="s">
        <v>167</v>
      </c>
      <c r="BB75" s="19"/>
      <c r="BC75" s="19" t="s">
        <v>4</v>
      </c>
      <c r="BD75" s="19" t="s">
        <v>172</v>
      </c>
      <c r="BE75" s="19"/>
      <c r="BF75" s="19" t="s">
        <v>96</v>
      </c>
      <c r="BG75" s="19">
        <v>5356648</v>
      </c>
      <c r="BH75" s="19"/>
      <c r="BI75" s="19"/>
      <c r="BJ75" s="19"/>
      <c r="BK75" s="19"/>
      <c r="BL75" s="19"/>
      <c r="BM75" s="19"/>
      <c r="BN75" s="19"/>
      <c r="BO75" s="19" t="s">
        <v>96</v>
      </c>
      <c r="BP75" s="19" t="s">
        <v>96</v>
      </c>
      <c r="BQ75" s="19" t="s">
        <v>175</v>
      </c>
      <c r="BR75" s="19"/>
      <c r="BS75" s="19" t="s">
        <v>172</v>
      </c>
      <c r="BT75" s="19"/>
      <c r="BU75" s="19"/>
      <c r="BV75" s="19">
        <v>55284000</v>
      </c>
      <c r="BW75" s="19"/>
      <c r="BX75" s="19"/>
      <c r="BY75" s="19"/>
      <c r="BZ75" s="19"/>
      <c r="CA75" s="19"/>
      <c r="CB75" s="19"/>
      <c r="CC75" s="19">
        <v>439800</v>
      </c>
      <c r="CD75" s="19"/>
      <c r="CE75" s="19" t="s">
        <v>172</v>
      </c>
      <c r="CF75" s="19">
        <v>1623154</v>
      </c>
      <c r="CG75" s="19">
        <f>6883000+5814330</f>
        <v>12697330</v>
      </c>
      <c r="CH75" s="19">
        <v>25231</v>
      </c>
      <c r="CI75" s="19" t="s">
        <v>172</v>
      </c>
      <c r="CJ75" s="19"/>
      <c r="CK75" s="19"/>
      <c r="CL75" s="19"/>
      <c r="CM75" s="19">
        <v>81159500</v>
      </c>
      <c r="CN75" s="19">
        <v>6080</v>
      </c>
      <c r="CO75" s="19"/>
      <c r="CP75" s="19"/>
      <c r="CQ75" s="19" t="s">
        <v>96</v>
      </c>
      <c r="CR75" s="19"/>
      <c r="CS75" s="56" t="s">
        <v>172</v>
      </c>
      <c r="CT75" s="19">
        <v>13122</v>
      </c>
      <c r="CU75" s="19">
        <v>30871620</v>
      </c>
      <c r="CV75" s="19"/>
      <c r="CW75" s="19">
        <v>22460482</v>
      </c>
      <c r="CX75" s="19"/>
      <c r="CY75" s="19" t="s">
        <v>96</v>
      </c>
      <c r="CZ75" s="19">
        <v>19757</v>
      </c>
      <c r="DA75" s="19" t="s">
        <v>175</v>
      </c>
      <c r="DB75" s="19"/>
      <c r="DC75" s="19"/>
      <c r="DD75" s="19"/>
      <c r="DE75" s="19">
        <v>144755078</v>
      </c>
      <c r="DF75" s="19"/>
      <c r="DG75" s="19">
        <v>1900</v>
      </c>
      <c r="DH75" s="19"/>
      <c r="DI75" s="19">
        <v>26925</v>
      </c>
      <c r="DJ75" s="19"/>
      <c r="DK75" s="19">
        <v>53360000</v>
      </c>
      <c r="DL75" s="19"/>
      <c r="DM75" s="19"/>
      <c r="DN75" s="19">
        <v>860000</v>
      </c>
      <c r="DO75" s="19"/>
      <c r="DP75" s="19"/>
      <c r="DQ75" s="19"/>
      <c r="DR75" s="19">
        <v>9367358</v>
      </c>
      <c r="DS75" s="19"/>
      <c r="DT75" s="19"/>
      <c r="DU75" s="19"/>
      <c r="DV75" s="19"/>
      <c r="DW75" s="19"/>
      <c r="DX75" s="19">
        <v>5361555</v>
      </c>
      <c r="DY75" s="19"/>
      <c r="DZ75" s="19"/>
      <c r="EA75" s="19"/>
      <c r="EB75" s="19">
        <f>469427968+33924608+414867945</f>
        <v>918220521</v>
      </c>
      <c r="EC75" s="19"/>
      <c r="ED75" s="19"/>
      <c r="EE75" s="19"/>
      <c r="EF75" s="19"/>
      <c r="EG75" s="19">
        <v>4726278</v>
      </c>
      <c r="EH75" s="19"/>
      <c r="EI75" s="19"/>
      <c r="EJ75" s="19"/>
      <c r="EK75" s="19"/>
      <c r="EL75" s="19"/>
      <c r="EM75" s="19"/>
      <c r="EN75" s="19">
        <v>1700000</v>
      </c>
      <c r="EO75" s="19"/>
      <c r="EP75" s="19"/>
      <c r="EQ75" s="19"/>
      <c r="ER75" s="19"/>
      <c r="ES75" s="19">
        <v>276682</v>
      </c>
      <c r="ET75" s="19"/>
      <c r="EU75" s="19"/>
      <c r="EV75" s="19">
        <f>3455340+4180159</f>
        <v>7635499</v>
      </c>
      <c r="EW75" s="19">
        <v>3873</v>
      </c>
      <c r="EX75" s="19"/>
      <c r="EY75" s="19">
        <v>2552000</v>
      </c>
      <c r="EZ75" s="19"/>
      <c r="FA75" s="19"/>
      <c r="FB75" s="19"/>
      <c r="FC75" s="19">
        <v>65000000</v>
      </c>
      <c r="FD75" s="19"/>
      <c r="FE75" s="19"/>
      <c r="FF75" s="19"/>
      <c r="FG75" s="19" t="s">
        <v>172</v>
      </c>
      <c r="FH75" s="19">
        <v>-2634680</v>
      </c>
      <c r="FI75" s="19" t="s">
        <v>172</v>
      </c>
      <c r="FJ75" s="19"/>
      <c r="FK75" s="19"/>
      <c r="FL75" s="19">
        <v>975</v>
      </c>
      <c r="FM75" s="19"/>
      <c r="FN75" s="19">
        <f>589018+2652703</f>
        <v>3241721</v>
      </c>
      <c r="FO75" s="56" t="s">
        <v>172</v>
      </c>
      <c r="FP75" s="19"/>
      <c r="FQ75" s="19"/>
      <c r="FR75" s="19">
        <v>14985155</v>
      </c>
      <c r="FS75" s="19">
        <v>1955498</v>
      </c>
      <c r="FT75" s="19">
        <v>56490340</v>
      </c>
      <c r="FU75" s="19"/>
      <c r="FV75" s="19" t="s">
        <v>172</v>
      </c>
      <c r="FW75" s="19"/>
      <c r="FX75" s="19"/>
      <c r="FY75" s="19" t="s">
        <v>172</v>
      </c>
      <c r="FZ75" s="19" t="s">
        <v>175</v>
      </c>
      <c r="GA75" s="19">
        <v>81010</v>
      </c>
      <c r="GB75" s="19"/>
      <c r="GC75" s="19"/>
      <c r="GD75" s="19" t="s">
        <v>172</v>
      </c>
      <c r="GE75" s="19" t="s">
        <v>172</v>
      </c>
      <c r="GF75" s="19"/>
      <c r="GG75" s="19">
        <v>6413320</v>
      </c>
      <c r="GH75" s="19" t="s">
        <v>172</v>
      </c>
      <c r="GI75" s="19">
        <v>356471</v>
      </c>
      <c r="GJ75" s="19" t="s">
        <v>172</v>
      </c>
      <c r="GK75" s="19"/>
      <c r="GL75" s="19" t="s">
        <v>172</v>
      </c>
      <c r="GM75" s="19">
        <v>17579</v>
      </c>
      <c r="GN75" s="19"/>
      <c r="GO75" s="19" t="s">
        <v>172</v>
      </c>
      <c r="GP75" s="19">
        <v>5283003</v>
      </c>
      <c r="GQ75" s="19"/>
      <c r="GR75" s="19"/>
      <c r="GS75" s="19"/>
      <c r="GT75" s="19"/>
      <c r="GU75" s="19"/>
      <c r="GV75" s="19"/>
      <c r="GW75" s="19"/>
      <c r="GX75" s="19"/>
      <c r="GY75" s="19">
        <v>2100856</v>
      </c>
      <c r="GZ75" s="19"/>
      <c r="HA75" s="19" t="s">
        <v>172</v>
      </c>
      <c r="HB75" s="19">
        <v>3080000</v>
      </c>
      <c r="HC75" s="19"/>
      <c r="HD75" s="19">
        <v>10012300</v>
      </c>
      <c r="HE75" s="19" t="s">
        <v>172</v>
      </c>
      <c r="HF75" s="19"/>
      <c r="HG75" s="19">
        <v>500248181</v>
      </c>
      <c r="HH75" s="19" t="s">
        <v>172</v>
      </c>
      <c r="HI75" s="19">
        <v>3011455</v>
      </c>
      <c r="HJ75" s="19" t="s">
        <v>172</v>
      </c>
      <c r="HK75" s="19">
        <v>8848418</v>
      </c>
      <c r="HL75" s="19"/>
      <c r="HM75" s="19"/>
      <c r="HN75" s="19"/>
      <c r="HO75" s="19">
        <f>66624000+19399999+11300000</f>
        <v>97323999</v>
      </c>
      <c r="HP75" s="19">
        <v>6000000</v>
      </c>
      <c r="HQ75" s="19"/>
      <c r="HR75" s="19"/>
      <c r="HS75" s="19"/>
      <c r="HT75" s="19">
        <v>3</v>
      </c>
      <c r="HU75" s="19">
        <v>11</v>
      </c>
      <c r="HV75" s="19"/>
      <c r="HW75" s="19" t="s">
        <v>172</v>
      </c>
      <c r="HX75" s="19"/>
      <c r="HY75" s="19" t="s">
        <v>172</v>
      </c>
      <c r="HZ75" s="19">
        <f>63546603+63912992+6010000</f>
        <v>133469595</v>
      </c>
      <c r="IA75" s="19">
        <v>24172</v>
      </c>
      <c r="IB75" s="19"/>
      <c r="IC75" s="19"/>
      <c r="ID75" s="19"/>
      <c r="IE75" s="19" t="s">
        <v>172</v>
      </c>
      <c r="IF75" s="19">
        <f>1357000+2000000+2800000</f>
        <v>6157000</v>
      </c>
      <c r="IG75" s="19"/>
      <c r="IH75" s="19"/>
      <c r="II75" s="19"/>
      <c r="IJ75" s="19"/>
      <c r="IK75" s="19"/>
      <c r="IL75" s="19">
        <v>154000</v>
      </c>
      <c r="IM75" s="19"/>
      <c r="IN75" s="19"/>
      <c r="IO75" s="19"/>
      <c r="IP75" s="19"/>
      <c r="IQ75" s="19"/>
      <c r="IR75" s="19"/>
      <c r="IS75" s="19"/>
      <c r="IT75" s="19">
        <v>99500</v>
      </c>
      <c r="IU75" s="19">
        <v>13898060</v>
      </c>
      <c r="IV75" s="19"/>
      <c r="IW75" s="19"/>
      <c r="IX75" s="19">
        <v>23090911</v>
      </c>
      <c r="IY75" s="19"/>
      <c r="IZ75" s="19">
        <v>26137</v>
      </c>
      <c r="JA75" s="19">
        <v>13969420</v>
      </c>
      <c r="JB75" s="19">
        <v>7607</v>
      </c>
      <c r="JC75" s="19"/>
      <c r="JD75" s="19">
        <v>11225800</v>
      </c>
      <c r="JE75" s="19"/>
      <c r="JF75" s="19"/>
      <c r="JG75" s="19"/>
      <c r="JH75" s="19"/>
      <c r="JI75" s="19"/>
      <c r="JJ75" s="19"/>
      <c r="JK75" s="19"/>
      <c r="JL75" s="19">
        <f>32368400+60776850+560000</f>
        <v>93705250</v>
      </c>
      <c r="JM75" s="19"/>
      <c r="JN75" s="19">
        <v>1267674</v>
      </c>
      <c r="JO75" s="19"/>
      <c r="JP75" s="19">
        <v>609486</v>
      </c>
      <c r="JQ75" s="19" t="s">
        <v>175</v>
      </c>
      <c r="JR75" s="19"/>
      <c r="JS75" s="19">
        <f>51689603+53024000</f>
        <v>104713603</v>
      </c>
      <c r="JT75" s="19"/>
      <c r="JU75" s="19"/>
      <c r="JV75" s="19"/>
      <c r="JW75" s="19"/>
      <c r="JX75" s="19"/>
      <c r="JY75" s="19"/>
      <c r="JZ75" s="19"/>
      <c r="KA75" s="19"/>
      <c r="KB75" s="19">
        <v>8177080</v>
      </c>
      <c r="KC75" s="19"/>
      <c r="KD75" s="19"/>
      <c r="KE75" s="19"/>
      <c r="KF75" s="19">
        <v>3518313</v>
      </c>
      <c r="KG75" s="19"/>
      <c r="KH75" s="19"/>
      <c r="KI75" s="19"/>
      <c r="KJ75" s="19">
        <v>1702649</v>
      </c>
      <c r="KK75" s="19"/>
      <c r="KL75" s="19">
        <v>5814000</v>
      </c>
      <c r="KM75" s="19"/>
      <c r="KN75" s="19"/>
      <c r="KO75" s="19">
        <v>51733</v>
      </c>
      <c r="KP75" s="19">
        <v>0</v>
      </c>
      <c r="KQ75" s="19"/>
      <c r="KR75" s="19"/>
      <c r="KS75" s="19"/>
      <c r="KT75" s="19"/>
      <c r="KU75" s="19">
        <f>7454513+97400955</f>
        <v>104855468</v>
      </c>
      <c r="KV75" s="19"/>
      <c r="KW75" s="19"/>
      <c r="KX75" s="19"/>
      <c r="KY75" s="19"/>
      <c r="KZ75" s="58"/>
      <c r="LA75" s="70"/>
      <c r="LB75" s="70">
        <v>3674260</v>
      </c>
    </row>
    <row r="76" spans="1:314">
      <c r="A76" s="9" t="s">
        <v>103</v>
      </c>
      <c r="B76" s="10" t="s">
        <v>65</v>
      </c>
      <c r="C76" s="19">
        <f>C58+C59-C70</f>
        <v>-17265755</v>
      </c>
      <c r="D76" s="19">
        <f>D58+D59-D70</f>
        <v>472691876</v>
      </c>
      <c r="E76" s="19">
        <f>E58+E59-E70</f>
        <v>489533</v>
      </c>
      <c r="F76" s="19">
        <f>F58+F59-F70</f>
        <v>361259194</v>
      </c>
      <c r="G76" s="19" t="s">
        <v>130</v>
      </c>
      <c r="H76" s="19">
        <f>H58+H59-H70</f>
        <v>42325400</v>
      </c>
      <c r="I76" s="19">
        <f>I58+I59-I70</f>
        <v>16171950</v>
      </c>
      <c r="J76" s="19" t="s">
        <v>176</v>
      </c>
      <c r="K76" s="19">
        <f>K58+K59-K70</f>
        <v>56221091</v>
      </c>
      <c r="L76" s="19" t="s">
        <v>96</v>
      </c>
      <c r="M76" s="19" t="s">
        <v>96</v>
      </c>
      <c r="N76" s="19">
        <f t="shared" ref="N76:S76" si="185">N58+N59-N70</f>
        <v>66795788</v>
      </c>
      <c r="O76" s="19">
        <f t="shared" si="185"/>
        <v>-297919044</v>
      </c>
      <c r="P76" s="19">
        <f t="shared" si="185"/>
        <v>-439772194</v>
      </c>
      <c r="Q76" s="19">
        <f t="shared" si="185"/>
        <v>-63496310</v>
      </c>
      <c r="R76" s="19">
        <f t="shared" si="185"/>
        <v>-57739575</v>
      </c>
      <c r="S76" s="19">
        <f t="shared" si="185"/>
        <v>-99126936</v>
      </c>
      <c r="T76" s="19" t="s">
        <v>96</v>
      </c>
      <c r="U76" s="19" t="s">
        <v>96</v>
      </c>
      <c r="V76" s="19" t="s">
        <v>172</v>
      </c>
      <c r="W76" s="19">
        <f t="shared" ref="W76:AE76" si="186">W58+W59-W70</f>
        <v>-47662274</v>
      </c>
      <c r="X76" s="19">
        <f t="shared" si="186"/>
        <v>679574904</v>
      </c>
      <c r="Y76" s="19">
        <f t="shared" si="186"/>
        <v>-59624149</v>
      </c>
      <c r="Z76" s="19">
        <f t="shared" si="186"/>
        <v>214075879</v>
      </c>
      <c r="AA76" s="19">
        <f t="shared" si="186"/>
        <v>236879722</v>
      </c>
      <c r="AB76" s="19">
        <f t="shared" si="186"/>
        <v>20478133</v>
      </c>
      <c r="AC76" s="19">
        <f t="shared" si="186"/>
        <v>521552909</v>
      </c>
      <c r="AD76" s="19">
        <f t="shared" si="186"/>
        <v>616121637</v>
      </c>
      <c r="AE76" s="19">
        <f t="shared" si="186"/>
        <v>20906557</v>
      </c>
      <c r="AF76" s="56" t="s">
        <v>172</v>
      </c>
      <c r="AG76" s="19">
        <f>AG58+AG59-AG70</f>
        <v>-47342320</v>
      </c>
      <c r="AH76" s="19" t="s">
        <v>167</v>
      </c>
      <c r="AI76" s="19">
        <f>AI58+AI59-AI70</f>
        <v>-163818062</v>
      </c>
      <c r="AJ76" s="19">
        <f>AJ58+AJ59-AJ70</f>
        <v>-33129121</v>
      </c>
      <c r="AK76" s="19">
        <f>AK58+AK59-AK70</f>
        <v>15933287</v>
      </c>
      <c r="AL76" s="19">
        <f>AL58+AL59-AL70</f>
        <v>-269803569</v>
      </c>
      <c r="AM76" s="19" t="s">
        <v>4</v>
      </c>
      <c r="AN76" s="19">
        <f>AN58+AN59-AN70</f>
        <v>102657523</v>
      </c>
      <c r="AO76" s="19">
        <f>AO58+AO59-AO70</f>
        <v>-315330466</v>
      </c>
      <c r="AP76" s="19">
        <f>AP58+AP59-AP70</f>
        <v>114499256</v>
      </c>
      <c r="AQ76" s="19" t="s">
        <v>172</v>
      </c>
      <c r="AR76" s="19">
        <f>AR58+AR59-AR70</f>
        <v>-1123093183</v>
      </c>
      <c r="AS76" s="19">
        <f>AS58+AS59-AS70</f>
        <v>387674111</v>
      </c>
      <c r="AT76" s="19" t="s">
        <v>172</v>
      </c>
      <c r="AU76" s="19">
        <f>AU58+AU59-AU70</f>
        <v>-355887510</v>
      </c>
      <c r="AV76" s="19">
        <f>AV58+AV59-AV70</f>
        <v>215131590</v>
      </c>
      <c r="AW76" s="19">
        <f>AW58+AW59-AW70</f>
        <v>44476460</v>
      </c>
      <c r="AX76" s="19" t="s">
        <v>4</v>
      </c>
      <c r="AY76" s="19">
        <f>AY58+AY59-AY70</f>
        <v>-15348340</v>
      </c>
      <c r="AZ76" s="19">
        <f>AZ58+AZ59-AZ70</f>
        <v>59827770</v>
      </c>
      <c r="BA76" s="19" t="s">
        <v>167</v>
      </c>
      <c r="BB76" s="19">
        <f>BB58+BB59-BB70</f>
        <v>-16827767</v>
      </c>
      <c r="BC76" s="19" t="s">
        <v>4</v>
      </c>
      <c r="BD76" s="19" t="s">
        <v>172</v>
      </c>
      <c r="BE76" s="19">
        <f>BE58+BE59-BE70</f>
        <v>62359165</v>
      </c>
      <c r="BF76" s="19" t="s">
        <v>96</v>
      </c>
      <c r="BG76" s="19">
        <f t="shared" ref="BG76:BN76" si="187">BG58+BG59-BG70</f>
        <v>-248241207</v>
      </c>
      <c r="BH76" s="19">
        <f t="shared" si="187"/>
        <v>6308657</v>
      </c>
      <c r="BI76" s="19">
        <f t="shared" si="187"/>
        <v>76971564</v>
      </c>
      <c r="BJ76" s="19">
        <f t="shared" si="187"/>
        <v>2643273</v>
      </c>
      <c r="BK76" s="19">
        <f t="shared" si="187"/>
        <v>65564199</v>
      </c>
      <c r="BL76" s="19">
        <f t="shared" si="187"/>
        <v>-349667996</v>
      </c>
      <c r="BM76" s="19">
        <f t="shared" si="187"/>
        <v>701089</v>
      </c>
      <c r="BN76" s="19">
        <f t="shared" si="187"/>
        <v>-49323312</v>
      </c>
      <c r="BO76" s="19" t="s">
        <v>96</v>
      </c>
      <c r="BP76" s="19" t="s">
        <v>96</v>
      </c>
      <c r="BQ76" s="19" t="s">
        <v>175</v>
      </c>
      <c r="BR76" s="19">
        <f>BR58+BR59-BR70</f>
        <v>889116805</v>
      </c>
      <c r="BS76" s="19" t="s">
        <v>172</v>
      </c>
      <c r="BT76" s="19">
        <f t="shared" ref="BT76:CD76" si="188">BT58+BT59-BT70</f>
        <v>-1337004</v>
      </c>
      <c r="BU76" s="19">
        <f t="shared" si="188"/>
        <v>-103874041</v>
      </c>
      <c r="BV76" s="19">
        <f t="shared" si="188"/>
        <v>5086791</v>
      </c>
      <c r="BW76" s="19">
        <f t="shared" si="188"/>
        <v>-7531616</v>
      </c>
      <c r="BX76" s="19">
        <f t="shared" si="188"/>
        <v>12796574</v>
      </c>
      <c r="BY76" s="19">
        <f t="shared" si="188"/>
        <v>47472495</v>
      </c>
      <c r="BZ76" s="19">
        <f t="shared" si="188"/>
        <v>547532639</v>
      </c>
      <c r="CA76" s="19">
        <f t="shared" si="188"/>
        <v>202193298</v>
      </c>
      <c r="CB76" s="19">
        <f t="shared" si="188"/>
        <v>26540011</v>
      </c>
      <c r="CC76" s="19">
        <f t="shared" si="188"/>
        <v>-50117809</v>
      </c>
      <c r="CD76" s="19">
        <f t="shared" si="188"/>
        <v>38391644</v>
      </c>
      <c r="CE76" s="19" t="s">
        <v>172</v>
      </c>
      <c r="CF76" s="19">
        <f>CF58+CF59-CF70</f>
        <v>28333222</v>
      </c>
      <c r="CG76" s="19">
        <f>CG58+CG59-CG70</f>
        <v>-14768547</v>
      </c>
      <c r="CH76" s="19">
        <f>CH58+CH59-CH70</f>
        <v>180992880</v>
      </c>
      <c r="CI76" s="19" t="s">
        <v>172</v>
      </c>
      <c r="CJ76" s="19">
        <f t="shared" ref="CJ76:CP76" si="189">CJ58+CJ59-CJ70</f>
        <v>3719317</v>
      </c>
      <c r="CK76" s="19">
        <f t="shared" si="189"/>
        <v>-585479226</v>
      </c>
      <c r="CL76" s="19">
        <f t="shared" si="189"/>
        <v>-112801627</v>
      </c>
      <c r="CM76" s="19">
        <f t="shared" si="189"/>
        <v>-493455998</v>
      </c>
      <c r="CN76" s="19">
        <f t="shared" si="189"/>
        <v>39409394</v>
      </c>
      <c r="CO76" s="19">
        <f t="shared" si="189"/>
        <v>19759734</v>
      </c>
      <c r="CP76" s="19">
        <f t="shared" si="189"/>
        <v>25582784</v>
      </c>
      <c r="CQ76" s="19" t="s">
        <v>96</v>
      </c>
      <c r="CR76" s="19">
        <f>CR58+CR59-CR70</f>
        <v>-179775972</v>
      </c>
      <c r="CS76" s="56" t="s">
        <v>172</v>
      </c>
      <c r="CT76" s="19">
        <f>CT58+CT59-CT70</f>
        <v>-18403068003</v>
      </c>
      <c r="CU76" s="19">
        <f>CU58+CU59-CU70</f>
        <v>120344261</v>
      </c>
      <c r="CV76" s="19">
        <v>-17437423</v>
      </c>
      <c r="CW76" s="19">
        <f>CW58+CW59-CW70</f>
        <v>-90364199</v>
      </c>
      <c r="CX76" s="19">
        <f>CX58+CX59-CX70</f>
        <v>-1168271855</v>
      </c>
      <c r="CY76" s="19" t="s">
        <v>96</v>
      </c>
      <c r="CZ76" s="19">
        <f>CZ58+CZ59-CZ70</f>
        <v>415534380</v>
      </c>
      <c r="DA76" s="19" t="s">
        <v>175</v>
      </c>
      <c r="DB76" s="19">
        <f t="shared" ref="DB76:DR76" si="190">DB58+DB59-DB70</f>
        <v>-33648824</v>
      </c>
      <c r="DC76" s="19">
        <f t="shared" si="190"/>
        <v>22105352</v>
      </c>
      <c r="DD76" s="19">
        <f t="shared" si="190"/>
        <v>-35878085</v>
      </c>
      <c r="DE76" s="19">
        <f t="shared" si="190"/>
        <v>0</v>
      </c>
      <c r="DF76" s="19">
        <f t="shared" si="190"/>
        <v>-17481914</v>
      </c>
      <c r="DG76" s="19">
        <f t="shared" si="190"/>
        <v>2803093</v>
      </c>
      <c r="DH76" s="19">
        <f t="shared" si="190"/>
        <v>49087580</v>
      </c>
      <c r="DI76" s="19">
        <f t="shared" si="190"/>
        <v>41070469</v>
      </c>
      <c r="DJ76" s="19">
        <f t="shared" si="190"/>
        <v>15107943</v>
      </c>
      <c r="DK76" s="19">
        <f t="shared" si="190"/>
        <v>1265928277</v>
      </c>
      <c r="DL76" s="19">
        <f t="shared" si="190"/>
        <v>-65405712</v>
      </c>
      <c r="DM76" s="19">
        <f t="shared" si="190"/>
        <v>-179204046</v>
      </c>
      <c r="DN76" s="19">
        <f t="shared" si="190"/>
        <v>-179203096</v>
      </c>
      <c r="DO76" s="19">
        <f t="shared" si="190"/>
        <v>2973119</v>
      </c>
      <c r="DP76" s="19">
        <f t="shared" si="190"/>
        <v>-52109414</v>
      </c>
      <c r="DQ76" s="19">
        <f t="shared" si="190"/>
        <v>513180</v>
      </c>
      <c r="DR76" s="19">
        <f t="shared" si="190"/>
        <v>-564459398</v>
      </c>
      <c r="DS76" s="19">
        <f>DS58+DS59-DS70</f>
        <v>-55191934</v>
      </c>
      <c r="DT76" s="19">
        <f t="shared" ref="DT76:FF76" si="191">DT58+DT59-DT70</f>
        <v>5579635</v>
      </c>
      <c r="DU76" s="19">
        <f t="shared" si="191"/>
        <v>43640558</v>
      </c>
      <c r="DV76" s="19">
        <f t="shared" si="191"/>
        <v>-1507080305</v>
      </c>
      <c r="DW76" s="19">
        <f t="shared" si="191"/>
        <v>41698923</v>
      </c>
      <c r="DX76" s="19">
        <f t="shared" si="191"/>
        <v>-771994248</v>
      </c>
      <c r="DY76" s="19">
        <f t="shared" si="191"/>
        <v>48783649</v>
      </c>
      <c r="DZ76" s="19">
        <f t="shared" si="191"/>
        <v>53343477</v>
      </c>
      <c r="EA76" s="19">
        <f t="shared" si="191"/>
        <v>14538075</v>
      </c>
      <c r="EB76" s="19">
        <f t="shared" si="191"/>
        <v>552009143</v>
      </c>
      <c r="EC76" s="19">
        <f t="shared" si="191"/>
        <v>1286987</v>
      </c>
      <c r="ED76" s="19">
        <f t="shared" si="191"/>
        <v>61110381</v>
      </c>
      <c r="EE76" s="19">
        <f t="shared" si="191"/>
        <v>249876191</v>
      </c>
      <c r="EF76" s="19">
        <f t="shared" si="191"/>
        <v>286904204</v>
      </c>
      <c r="EG76" s="19">
        <f t="shared" si="191"/>
        <v>-4702994832</v>
      </c>
      <c r="EH76" s="19">
        <f t="shared" si="191"/>
        <v>-31009835</v>
      </c>
      <c r="EI76" s="19">
        <f t="shared" si="191"/>
        <v>-14489871137</v>
      </c>
      <c r="EJ76" s="19">
        <f t="shared" si="191"/>
        <v>66824770</v>
      </c>
      <c r="EK76" s="19">
        <f t="shared" si="191"/>
        <v>-684545931</v>
      </c>
      <c r="EL76" s="19">
        <f t="shared" si="191"/>
        <v>-227551372</v>
      </c>
      <c r="EM76" s="19">
        <f t="shared" si="191"/>
        <v>37384019</v>
      </c>
      <c r="EN76" s="19">
        <f t="shared" si="191"/>
        <v>776645064</v>
      </c>
      <c r="EO76" s="19">
        <f t="shared" si="191"/>
        <v>-19726398</v>
      </c>
      <c r="EP76" s="19">
        <f t="shared" si="191"/>
        <v>114976843</v>
      </c>
      <c r="EQ76" s="19">
        <f t="shared" si="191"/>
        <v>732438535</v>
      </c>
      <c r="ER76" s="19">
        <f t="shared" si="191"/>
        <v>-166791648</v>
      </c>
      <c r="ES76" s="19">
        <f t="shared" si="191"/>
        <v>610980539</v>
      </c>
      <c r="ET76" s="19">
        <f t="shared" si="191"/>
        <v>-5499837209</v>
      </c>
      <c r="EU76" s="19">
        <f t="shared" si="191"/>
        <v>742157330</v>
      </c>
      <c r="EV76" s="19">
        <f t="shared" si="191"/>
        <v>21462955</v>
      </c>
      <c r="EW76" s="19">
        <f t="shared" si="191"/>
        <v>8711654</v>
      </c>
      <c r="EX76" s="19">
        <f t="shared" si="191"/>
        <v>141643452</v>
      </c>
      <c r="EY76" s="19">
        <f t="shared" si="191"/>
        <v>169131949</v>
      </c>
      <c r="EZ76" s="19">
        <f t="shared" si="191"/>
        <v>-16455366</v>
      </c>
      <c r="FA76" s="19">
        <f t="shared" si="191"/>
        <v>-54817480</v>
      </c>
      <c r="FB76" s="19">
        <f t="shared" si="191"/>
        <v>3170550</v>
      </c>
      <c r="FC76" s="19">
        <f t="shared" si="191"/>
        <v>41232326</v>
      </c>
      <c r="FD76" s="19">
        <f t="shared" si="191"/>
        <v>-538159304</v>
      </c>
      <c r="FE76" s="19">
        <f t="shared" si="191"/>
        <v>741046249</v>
      </c>
      <c r="FF76" s="19">
        <f t="shared" si="191"/>
        <v>-10163741</v>
      </c>
      <c r="FG76" s="19" t="s">
        <v>172</v>
      </c>
      <c r="FH76" s="19">
        <f>FH58+FH59-FH70</f>
        <v>14986921</v>
      </c>
      <c r="FI76" s="19" t="s">
        <v>172</v>
      </c>
      <c r="FJ76" s="19">
        <f>FJ58+FJ59-FJ70</f>
        <v>18187303</v>
      </c>
      <c r="FK76" s="19">
        <f>FK58+FK59-FK70</f>
        <v>107675973</v>
      </c>
      <c r="FL76" s="19">
        <f>FL58+FL59-FL70</f>
        <v>-545966178</v>
      </c>
      <c r="FM76" s="19">
        <f>FM58+FM59-FM70</f>
        <v>-784552692</v>
      </c>
      <c r="FN76" s="19">
        <f>FN58+FN59-FN70</f>
        <v>280997706</v>
      </c>
      <c r="FO76" s="56" t="s">
        <v>172</v>
      </c>
      <c r="FP76" s="19">
        <f t="shared" ref="FP76:FU76" si="192">FP58+FP59-FP70</f>
        <v>-82392031</v>
      </c>
      <c r="FQ76" s="19">
        <f t="shared" si="192"/>
        <v>-14843340</v>
      </c>
      <c r="FR76" s="19">
        <f t="shared" si="192"/>
        <v>-105958581</v>
      </c>
      <c r="FS76" s="19">
        <f t="shared" si="192"/>
        <v>-318071742</v>
      </c>
      <c r="FT76" s="19">
        <f t="shared" si="192"/>
        <v>-580417572</v>
      </c>
      <c r="FU76" s="19">
        <f t="shared" si="192"/>
        <v>-30622970</v>
      </c>
      <c r="FV76" s="19" t="s">
        <v>172</v>
      </c>
      <c r="FW76" s="19">
        <f>FW58+FW59-FW70</f>
        <v>-5968152</v>
      </c>
      <c r="FX76" s="19">
        <f>FX58+FX59-FX70</f>
        <v>-29579876</v>
      </c>
      <c r="FY76" s="19" t="s">
        <v>172</v>
      </c>
      <c r="FZ76" s="19" t="s">
        <v>175</v>
      </c>
      <c r="GA76" s="19">
        <f>GA58+GA59-GA70</f>
        <v>-910363250</v>
      </c>
      <c r="GB76" s="19">
        <f>GB58+GB59-GB70</f>
        <v>-221863920</v>
      </c>
      <c r="GC76" s="19">
        <f>GC58+GC59-GC70</f>
        <v>30126003</v>
      </c>
      <c r="GD76" s="19" t="s">
        <v>172</v>
      </c>
      <c r="GE76" s="19" t="s">
        <v>172</v>
      </c>
      <c r="GF76" s="19">
        <f>GF58+GF59-GF70</f>
        <v>-526005242</v>
      </c>
      <c r="GG76" s="19">
        <f>GG58+GG59-GG70</f>
        <v>-1909332258</v>
      </c>
      <c r="GH76" s="19" t="s">
        <v>172</v>
      </c>
      <c r="GI76" s="19">
        <f t="shared" ref="GI76:KH76" si="193">GI58+GI59-GI70</f>
        <v>1067068</v>
      </c>
      <c r="GJ76" s="19" t="s">
        <v>172</v>
      </c>
      <c r="GK76" s="19">
        <f t="shared" si="193"/>
        <v>-78446115</v>
      </c>
      <c r="GL76" s="19" t="s">
        <v>172</v>
      </c>
      <c r="GM76" s="19">
        <f t="shared" si="193"/>
        <v>5850860</v>
      </c>
      <c r="GN76" s="19">
        <f t="shared" si="193"/>
        <v>46691108</v>
      </c>
      <c r="GO76" s="19" t="s">
        <v>172</v>
      </c>
      <c r="GP76" s="19">
        <f t="shared" si="193"/>
        <v>69144152</v>
      </c>
      <c r="GQ76" s="19">
        <f t="shared" si="193"/>
        <v>142015120</v>
      </c>
      <c r="GR76" s="19">
        <f t="shared" si="193"/>
        <v>194687286</v>
      </c>
      <c r="GS76" s="19">
        <f t="shared" si="193"/>
        <v>-674633859</v>
      </c>
      <c r="GT76" s="19">
        <f t="shared" si="193"/>
        <v>-193817727</v>
      </c>
      <c r="GU76" s="19">
        <f t="shared" si="193"/>
        <v>-39575097</v>
      </c>
      <c r="GV76" s="19">
        <f>GV58+GV59-GV70</f>
        <v>290912697</v>
      </c>
      <c r="GW76" s="19">
        <f>GW58+GW59-GW70</f>
        <v>-6026050139</v>
      </c>
      <c r="GX76" s="19">
        <f t="shared" si="193"/>
        <v>2476631</v>
      </c>
      <c r="GY76" s="19">
        <f t="shared" si="193"/>
        <v>-179685402</v>
      </c>
      <c r="GZ76" s="19">
        <f t="shared" si="193"/>
        <v>-206654241</v>
      </c>
      <c r="HA76" s="19" t="s">
        <v>172</v>
      </c>
      <c r="HB76" s="19">
        <f t="shared" si="193"/>
        <v>455060160</v>
      </c>
      <c r="HC76" s="19">
        <f t="shared" si="193"/>
        <v>-43266963</v>
      </c>
      <c r="HD76" s="19">
        <f t="shared" si="193"/>
        <v>254820985</v>
      </c>
      <c r="HE76" s="19" t="s">
        <v>172</v>
      </c>
      <c r="HF76" s="19">
        <f t="shared" si="193"/>
        <v>242396794</v>
      </c>
      <c r="HG76" s="19">
        <f t="shared" si="193"/>
        <v>521822949</v>
      </c>
      <c r="HH76" s="19" t="s">
        <v>172</v>
      </c>
      <c r="HI76" s="19">
        <f t="shared" si="193"/>
        <v>-2150156325</v>
      </c>
      <c r="HJ76" s="19" t="s">
        <v>172</v>
      </c>
      <c r="HK76" s="19">
        <f t="shared" si="193"/>
        <v>-515211686</v>
      </c>
      <c r="HL76" s="19">
        <f t="shared" si="193"/>
        <v>102655507</v>
      </c>
      <c r="HM76" s="19">
        <f t="shared" si="193"/>
        <v>-19161086</v>
      </c>
      <c r="HN76" s="19">
        <f t="shared" si="193"/>
        <v>41194006</v>
      </c>
      <c r="HO76" s="19">
        <f t="shared" si="193"/>
        <v>106508427</v>
      </c>
      <c r="HP76" s="19">
        <f t="shared" si="193"/>
        <v>228308120</v>
      </c>
      <c r="HQ76" s="19">
        <f t="shared" si="193"/>
        <v>271902265</v>
      </c>
      <c r="HR76" s="19">
        <f t="shared" si="193"/>
        <v>-18287936</v>
      </c>
      <c r="HS76" s="19">
        <f t="shared" si="193"/>
        <v>32351132</v>
      </c>
      <c r="HT76" s="19">
        <f t="shared" si="193"/>
        <v>2365554</v>
      </c>
      <c r="HU76" s="19">
        <f t="shared" si="193"/>
        <v>-2031199589</v>
      </c>
      <c r="HV76" s="19">
        <f t="shared" si="193"/>
        <v>-1041512</v>
      </c>
      <c r="HW76" s="19" t="s">
        <v>172</v>
      </c>
      <c r="HX76" s="19">
        <f t="shared" si="193"/>
        <v>179770337</v>
      </c>
      <c r="HY76" s="19" t="s">
        <v>172</v>
      </c>
      <c r="HZ76" s="19">
        <f t="shared" si="193"/>
        <v>695399159</v>
      </c>
      <c r="IA76" s="19">
        <f t="shared" si="193"/>
        <v>11579520</v>
      </c>
      <c r="IB76" s="19">
        <f t="shared" si="193"/>
        <v>9718333</v>
      </c>
      <c r="IC76" s="19">
        <f t="shared" si="193"/>
        <v>527097305</v>
      </c>
      <c r="ID76" s="19">
        <f t="shared" si="193"/>
        <v>17931975</v>
      </c>
      <c r="IE76" s="19" t="s">
        <v>172</v>
      </c>
      <c r="IF76" s="19">
        <f t="shared" si="193"/>
        <v>-16140361</v>
      </c>
      <c r="IG76" s="19">
        <f t="shared" si="193"/>
        <v>5648034</v>
      </c>
      <c r="IH76" s="19">
        <f>IH58+IH59-IH70</f>
        <v>198379850</v>
      </c>
      <c r="II76" s="19">
        <f t="shared" si="193"/>
        <v>3281986</v>
      </c>
      <c r="IJ76" s="19">
        <f t="shared" si="193"/>
        <v>-57843443</v>
      </c>
      <c r="IK76" s="19">
        <f t="shared" si="193"/>
        <v>61219224</v>
      </c>
      <c r="IL76" s="19">
        <f t="shared" si="193"/>
        <v>52771819</v>
      </c>
      <c r="IM76" s="19">
        <f>IM58+IM59-IM70</f>
        <v>-1210766782</v>
      </c>
      <c r="IN76" s="19">
        <f t="shared" si="193"/>
        <v>-1999698724</v>
      </c>
      <c r="IO76" s="19">
        <f t="shared" si="193"/>
        <v>-64583075</v>
      </c>
      <c r="IP76" s="19">
        <f t="shared" si="193"/>
        <v>15622063</v>
      </c>
      <c r="IQ76" s="19">
        <f t="shared" si="193"/>
        <v>-198394810</v>
      </c>
      <c r="IR76" s="19">
        <f t="shared" si="193"/>
        <v>89382130</v>
      </c>
      <c r="IS76" s="19">
        <f t="shared" si="193"/>
        <v>551144626</v>
      </c>
      <c r="IT76" s="19">
        <f t="shared" si="193"/>
        <v>19144211</v>
      </c>
      <c r="IU76" s="19">
        <f t="shared" si="193"/>
        <v>172812397</v>
      </c>
      <c r="IV76" s="19">
        <f t="shared" si="193"/>
        <v>38602934</v>
      </c>
      <c r="IW76" s="19">
        <f t="shared" si="193"/>
        <v>91559207</v>
      </c>
      <c r="IX76" s="19">
        <f t="shared" si="193"/>
        <v>2480708</v>
      </c>
      <c r="IY76" s="19">
        <f t="shared" si="193"/>
        <v>-311956490</v>
      </c>
      <c r="IZ76" s="19">
        <f t="shared" si="193"/>
        <v>36243674</v>
      </c>
      <c r="JA76" s="19">
        <f t="shared" si="193"/>
        <v>302886152</v>
      </c>
      <c r="JB76" s="19">
        <f t="shared" si="193"/>
        <v>65744485</v>
      </c>
      <c r="JC76" s="19">
        <f t="shared" si="193"/>
        <v>-58035127</v>
      </c>
      <c r="JD76" s="19">
        <f t="shared" si="193"/>
        <v>430301702</v>
      </c>
      <c r="JE76" s="19">
        <f t="shared" si="193"/>
        <v>52394128</v>
      </c>
      <c r="JF76" s="19">
        <f t="shared" si="193"/>
        <v>139311679</v>
      </c>
      <c r="JG76" s="19">
        <f t="shared" si="193"/>
        <v>-1571143</v>
      </c>
      <c r="JH76" s="19">
        <f t="shared" si="193"/>
        <v>3957404</v>
      </c>
      <c r="JI76" s="19">
        <f t="shared" si="193"/>
        <v>897163</v>
      </c>
      <c r="JJ76" s="19">
        <f t="shared" si="193"/>
        <v>3396762</v>
      </c>
      <c r="JK76" s="19">
        <f t="shared" si="193"/>
        <v>2866018</v>
      </c>
      <c r="JL76" s="19">
        <f t="shared" si="193"/>
        <v>23761855</v>
      </c>
      <c r="JM76" s="19">
        <f t="shared" si="193"/>
        <v>17945213</v>
      </c>
      <c r="JN76" s="19">
        <f t="shared" si="193"/>
        <v>315478876</v>
      </c>
      <c r="JO76" s="19">
        <f t="shared" si="193"/>
        <v>-86535209</v>
      </c>
      <c r="JP76" s="19">
        <f t="shared" si="193"/>
        <v>-54484069</v>
      </c>
      <c r="JQ76" s="19" t="s">
        <v>175</v>
      </c>
      <c r="JR76" s="19">
        <f t="shared" si="193"/>
        <v>-356911201</v>
      </c>
      <c r="JS76" s="19">
        <f t="shared" si="193"/>
        <v>-28122108</v>
      </c>
      <c r="JT76" s="19">
        <f t="shared" si="193"/>
        <v>7401994</v>
      </c>
      <c r="JU76" s="19">
        <f t="shared" si="193"/>
        <v>34890649</v>
      </c>
      <c r="JV76" s="19">
        <f t="shared" si="193"/>
        <v>150344255</v>
      </c>
      <c r="JW76" s="19">
        <f t="shared" si="193"/>
        <v>100421148</v>
      </c>
      <c r="JX76" s="19">
        <f t="shared" si="193"/>
        <v>193413920</v>
      </c>
      <c r="JY76" s="19">
        <f t="shared" si="193"/>
        <v>47883837</v>
      </c>
      <c r="JZ76" s="19">
        <f t="shared" si="193"/>
        <v>4521669</v>
      </c>
      <c r="KA76" s="19">
        <f t="shared" si="193"/>
        <v>61412949</v>
      </c>
      <c r="KB76" s="19">
        <f t="shared" si="193"/>
        <v>451940365</v>
      </c>
      <c r="KC76" s="19">
        <f t="shared" si="193"/>
        <v>3242353</v>
      </c>
      <c r="KD76" s="19">
        <f t="shared" si="193"/>
        <v>1461043</v>
      </c>
      <c r="KE76" s="19">
        <f t="shared" si="193"/>
        <v>3647106</v>
      </c>
      <c r="KF76" s="19">
        <f t="shared" si="193"/>
        <v>-483602010</v>
      </c>
      <c r="KG76" s="19">
        <f t="shared" si="193"/>
        <v>122485946</v>
      </c>
      <c r="KH76" s="19">
        <f t="shared" si="193"/>
        <v>25699605</v>
      </c>
      <c r="KI76" s="19">
        <f t="shared" ref="KI76:KY76" si="194">KI58+KI59-KI70</f>
        <v>-29959173</v>
      </c>
      <c r="KJ76" s="19">
        <f t="shared" si="194"/>
        <v>66885082</v>
      </c>
      <c r="KK76" s="19">
        <f t="shared" si="194"/>
        <v>-1407758653</v>
      </c>
      <c r="KL76" s="19">
        <f t="shared" si="194"/>
        <v>-13678984611</v>
      </c>
      <c r="KM76" s="19">
        <f t="shared" si="194"/>
        <v>10157428</v>
      </c>
      <c r="KN76" s="19">
        <f t="shared" si="194"/>
        <v>-1412191545</v>
      </c>
      <c r="KO76" s="19">
        <f t="shared" si="194"/>
        <v>-847240249</v>
      </c>
      <c r="KP76" s="19">
        <f t="shared" si="194"/>
        <v>-117053899</v>
      </c>
      <c r="KQ76" s="19">
        <f t="shared" si="194"/>
        <v>-4128023</v>
      </c>
      <c r="KR76" s="19">
        <f t="shared" si="194"/>
        <v>37915101</v>
      </c>
      <c r="KS76" s="19">
        <f t="shared" si="194"/>
        <v>39012101</v>
      </c>
      <c r="KT76" s="19">
        <f t="shared" si="194"/>
        <v>59920813</v>
      </c>
      <c r="KU76" s="19">
        <f t="shared" si="194"/>
        <v>-74146722</v>
      </c>
      <c r="KV76" s="19">
        <f t="shared" si="194"/>
        <v>51454703</v>
      </c>
      <c r="KW76" s="19">
        <f t="shared" si="194"/>
        <v>46058460</v>
      </c>
      <c r="KX76" s="19">
        <f t="shared" si="194"/>
        <v>143300</v>
      </c>
      <c r="KY76" s="19">
        <f t="shared" si="194"/>
        <v>60727082</v>
      </c>
      <c r="KZ76" s="58">
        <v>12942644</v>
      </c>
      <c r="LA76" s="70">
        <v>106940206</v>
      </c>
      <c r="LB76" s="70">
        <v>3674260</v>
      </c>
    </row>
    <row r="77" spans="1:314">
      <c r="A77" s="9" t="s">
        <v>103</v>
      </c>
      <c r="B77" s="10" t="s">
        <v>101</v>
      </c>
      <c r="C77" s="19"/>
      <c r="D77" s="19"/>
      <c r="E77" s="19">
        <v>13300</v>
      </c>
      <c r="F77" s="19">
        <v>39376460</v>
      </c>
      <c r="G77" s="19" t="s">
        <v>130</v>
      </c>
      <c r="H77" s="19">
        <v>9600540</v>
      </c>
      <c r="I77" s="19"/>
      <c r="J77" s="19" t="s">
        <v>176</v>
      </c>
      <c r="K77" s="19"/>
      <c r="L77" s="19" t="s">
        <v>96</v>
      </c>
      <c r="M77" s="19" t="s">
        <v>96</v>
      </c>
      <c r="N77" s="19"/>
      <c r="O77" s="19"/>
      <c r="P77" s="19">
        <v>-22268770</v>
      </c>
      <c r="Q77" s="19"/>
      <c r="R77" s="19"/>
      <c r="S77" s="19"/>
      <c r="T77" s="19" t="s">
        <v>96</v>
      </c>
      <c r="U77" s="19" t="s">
        <v>96</v>
      </c>
      <c r="V77" s="19" t="s">
        <v>172</v>
      </c>
      <c r="W77" s="19"/>
      <c r="X77" s="19">
        <v>12332450</v>
      </c>
      <c r="Y77" s="19"/>
      <c r="Z77" s="19"/>
      <c r="AA77" s="19"/>
      <c r="AB77" s="19"/>
      <c r="AC77" s="19"/>
      <c r="AD77" s="19">
        <v>38743587</v>
      </c>
      <c r="AE77" s="19">
        <v>1873294</v>
      </c>
      <c r="AF77" s="56" t="s">
        <v>172</v>
      </c>
      <c r="AG77" s="19"/>
      <c r="AH77" s="19" t="s">
        <v>167</v>
      </c>
      <c r="AI77" s="19"/>
      <c r="AJ77" s="19"/>
      <c r="AK77" s="19">
        <v>8939750</v>
      </c>
      <c r="AL77" s="19"/>
      <c r="AM77" s="19" t="s">
        <v>4</v>
      </c>
      <c r="AN77" s="19">
        <v>2898440</v>
      </c>
      <c r="AO77" s="19"/>
      <c r="AP77" s="19"/>
      <c r="AQ77" s="19" t="s">
        <v>172</v>
      </c>
      <c r="AR77" s="19"/>
      <c r="AS77" s="19"/>
      <c r="AT77" s="19" t="s">
        <v>172</v>
      </c>
      <c r="AU77" s="19"/>
      <c r="AV77" s="19">
        <v>25224341</v>
      </c>
      <c r="AW77" s="19"/>
      <c r="AX77" s="19" t="s">
        <v>4</v>
      </c>
      <c r="AY77" s="19">
        <v>1578</v>
      </c>
      <c r="AZ77" s="19">
        <v>4817072</v>
      </c>
      <c r="BA77" s="19" t="s">
        <v>167</v>
      </c>
      <c r="BB77" s="19"/>
      <c r="BC77" s="19" t="s">
        <v>4</v>
      </c>
      <c r="BD77" s="19" t="s">
        <v>172</v>
      </c>
      <c r="BE77" s="19">
        <v>7312697</v>
      </c>
      <c r="BF77" s="19" t="s">
        <v>96</v>
      </c>
      <c r="BG77" s="19"/>
      <c r="BH77" s="19">
        <v>3126320</v>
      </c>
      <c r="BI77" s="19">
        <v>4089881</v>
      </c>
      <c r="BJ77" s="19">
        <v>2188270</v>
      </c>
      <c r="BK77" s="19"/>
      <c r="BL77" s="19"/>
      <c r="BM77" s="19"/>
      <c r="BN77" s="19"/>
      <c r="BO77" s="19" t="s">
        <v>96</v>
      </c>
      <c r="BP77" s="19" t="s">
        <v>96</v>
      </c>
      <c r="BQ77" s="19" t="s">
        <v>175</v>
      </c>
      <c r="BR77" s="19">
        <v>36147056</v>
      </c>
      <c r="BS77" s="19" t="s">
        <v>172</v>
      </c>
      <c r="BT77" s="19"/>
      <c r="BU77" s="19"/>
      <c r="BV77" s="19"/>
      <c r="BW77" s="19"/>
      <c r="BX77" s="19"/>
      <c r="BY77" s="19"/>
      <c r="BZ77" s="19">
        <v>63373770</v>
      </c>
      <c r="CA77" s="19"/>
      <c r="CB77" s="19">
        <v>141440</v>
      </c>
      <c r="CC77" s="19"/>
      <c r="CD77" s="19">
        <v>405330</v>
      </c>
      <c r="CE77" s="19" t="s">
        <v>172</v>
      </c>
      <c r="CF77" s="19"/>
      <c r="CG77" s="19"/>
      <c r="CH77" s="19">
        <v>12385452</v>
      </c>
      <c r="CI77" s="19" t="s">
        <v>172</v>
      </c>
      <c r="CJ77" s="19">
        <v>52730</v>
      </c>
      <c r="CK77" s="19"/>
      <c r="CL77" s="19"/>
      <c r="CM77" s="19">
        <v>64424329</v>
      </c>
      <c r="CN77" s="19">
        <v>663360</v>
      </c>
      <c r="CO77" s="19"/>
      <c r="CP77" s="19">
        <v>15785040</v>
      </c>
      <c r="CQ77" s="19" t="s">
        <v>96</v>
      </c>
      <c r="CR77" s="19"/>
      <c r="CS77" s="56" t="s">
        <v>172</v>
      </c>
      <c r="CT77" s="19"/>
      <c r="CU77" s="19"/>
      <c r="CV77" s="19"/>
      <c r="CW77" s="19"/>
      <c r="CX77" s="19"/>
      <c r="CY77" s="19" t="s">
        <v>96</v>
      </c>
      <c r="CZ77" s="19"/>
      <c r="DA77" s="19" t="s">
        <v>175</v>
      </c>
      <c r="DB77" s="19"/>
      <c r="DC77" s="19"/>
      <c r="DD77" s="19"/>
      <c r="DE77" s="19"/>
      <c r="DF77" s="19"/>
      <c r="DG77" s="19"/>
      <c r="DH77" s="19"/>
      <c r="DI77" s="19">
        <v>492320</v>
      </c>
      <c r="DJ77" s="19">
        <v>1661968</v>
      </c>
      <c r="DK77" s="19"/>
      <c r="DL77" s="19"/>
      <c r="DM77" s="19"/>
      <c r="DN77" s="19">
        <v>1220</v>
      </c>
      <c r="DO77" s="19"/>
      <c r="DP77" s="19"/>
      <c r="DQ77" s="19">
        <v>56440</v>
      </c>
      <c r="DR77" s="19"/>
      <c r="DS77" s="19"/>
      <c r="DT77" s="19"/>
      <c r="DU77" s="19"/>
      <c r="DV77" s="19"/>
      <c r="DW77" s="19">
        <v>1378470</v>
      </c>
      <c r="DX77" s="19"/>
      <c r="DY77" s="19">
        <v>251650</v>
      </c>
      <c r="DZ77" s="19">
        <v>4588500</v>
      </c>
      <c r="EA77" s="19"/>
      <c r="EB77" s="19">
        <v>22714780</v>
      </c>
      <c r="EC77" s="19"/>
      <c r="ED77" s="19">
        <v>5081310</v>
      </c>
      <c r="EE77" s="19">
        <v>30808638</v>
      </c>
      <c r="EF77" s="19">
        <v>62065085</v>
      </c>
      <c r="EG77" s="19"/>
      <c r="EH77" s="19"/>
      <c r="EI77" s="19"/>
      <c r="EJ77" s="19"/>
      <c r="EK77" s="19"/>
      <c r="EL77" s="19"/>
      <c r="EM77" s="19">
        <v>4447887</v>
      </c>
      <c r="EN77" s="19">
        <v>18389454</v>
      </c>
      <c r="EO77" s="19"/>
      <c r="EP77" s="19"/>
      <c r="EQ77" s="19"/>
      <c r="ER77" s="19"/>
      <c r="ES77" s="19">
        <v>16020850</v>
      </c>
      <c r="ET77" s="19"/>
      <c r="EU77" s="19">
        <v>66515252</v>
      </c>
      <c r="EV77" s="19">
        <v>2025314</v>
      </c>
      <c r="EW77" s="19"/>
      <c r="EX77" s="19">
        <v>8840346</v>
      </c>
      <c r="EY77" s="19">
        <v>10334360</v>
      </c>
      <c r="EZ77" s="19"/>
      <c r="FA77" s="19"/>
      <c r="FB77" s="19"/>
      <c r="FC77" s="19">
        <v>2397460</v>
      </c>
      <c r="FD77" s="19"/>
      <c r="FE77" s="19">
        <v>52596880</v>
      </c>
      <c r="FF77" s="19"/>
      <c r="FG77" s="19" t="s">
        <v>172</v>
      </c>
      <c r="FH77" s="19"/>
      <c r="FI77" s="19" t="s">
        <v>172</v>
      </c>
      <c r="FJ77" s="19">
        <v>1874320</v>
      </c>
      <c r="FK77" s="19"/>
      <c r="FL77" s="19"/>
      <c r="FM77" s="19"/>
      <c r="FN77" s="19"/>
      <c r="FO77" s="56" t="s">
        <v>172</v>
      </c>
      <c r="FP77" s="19"/>
      <c r="FQ77" s="19"/>
      <c r="FR77" s="19"/>
      <c r="FS77" s="19"/>
      <c r="FT77" s="19"/>
      <c r="FU77" s="19"/>
      <c r="FV77" s="19" t="s">
        <v>172</v>
      </c>
      <c r="FW77" s="19"/>
      <c r="FX77" s="19"/>
      <c r="FY77" s="19" t="s">
        <v>172</v>
      </c>
      <c r="FZ77" s="19" t="s">
        <v>175</v>
      </c>
      <c r="GA77" s="19"/>
      <c r="GB77" s="19"/>
      <c r="GC77" s="19">
        <v>1609090</v>
      </c>
      <c r="GD77" s="19" t="s">
        <v>172</v>
      </c>
      <c r="GE77" s="19" t="s">
        <v>172</v>
      </c>
      <c r="GF77" s="19"/>
      <c r="GG77" s="19"/>
      <c r="GH77" s="19" t="s">
        <v>172</v>
      </c>
      <c r="GI77" s="19">
        <v>102880</v>
      </c>
      <c r="GJ77" s="19" t="s">
        <v>172</v>
      </c>
      <c r="GK77" s="19"/>
      <c r="GL77" s="19" t="s">
        <v>172</v>
      </c>
      <c r="GM77" s="19"/>
      <c r="GN77" s="19"/>
      <c r="GO77" s="19" t="s">
        <v>172</v>
      </c>
      <c r="GP77" s="19">
        <v>1296956</v>
      </c>
      <c r="GQ77" s="19">
        <v>2211711</v>
      </c>
      <c r="GR77" s="19">
        <v>10075513</v>
      </c>
      <c r="GS77" s="19"/>
      <c r="GT77" s="19"/>
      <c r="GU77" s="19"/>
      <c r="GV77" s="19"/>
      <c r="GW77" s="19"/>
      <c r="GX77" s="19"/>
      <c r="GY77" s="19"/>
      <c r="GZ77" s="19">
        <v>1214983</v>
      </c>
      <c r="HA77" s="19" t="s">
        <v>172</v>
      </c>
      <c r="HB77" s="19"/>
      <c r="HC77" s="19"/>
      <c r="HD77" s="19">
        <v>44891400</v>
      </c>
      <c r="HE77" s="19" t="s">
        <v>172</v>
      </c>
      <c r="HF77" s="19"/>
      <c r="HG77" s="19">
        <v>3979429</v>
      </c>
      <c r="HH77" s="19" t="s">
        <v>172</v>
      </c>
      <c r="HI77" s="19"/>
      <c r="HJ77" s="19" t="s">
        <v>172</v>
      </c>
      <c r="HK77" s="19"/>
      <c r="HL77" s="19">
        <v>1145240</v>
      </c>
      <c r="HM77" s="19"/>
      <c r="HN77" s="19"/>
      <c r="HO77" s="19">
        <v>21878190</v>
      </c>
      <c r="HP77" s="19"/>
      <c r="HQ77" s="19">
        <v>34439236</v>
      </c>
      <c r="HR77" s="19"/>
      <c r="HS77" s="19">
        <v>1640871</v>
      </c>
      <c r="HT77" s="19"/>
      <c r="HU77" s="19"/>
      <c r="HV77" s="19"/>
      <c r="HW77" s="19" t="s">
        <v>172</v>
      </c>
      <c r="HX77" s="19">
        <v>4172147</v>
      </c>
      <c r="HY77" s="19" t="s">
        <v>172</v>
      </c>
      <c r="HZ77" s="19">
        <v>66419067</v>
      </c>
      <c r="IA77" s="19"/>
      <c r="IB77" s="19">
        <v>6407668</v>
      </c>
      <c r="IC77" s="19"/>
      <c r="ID77" s="19"/>
      <c r="IE77" s="19" t="s">
        <v>172</v>
      </c>
      <c r="IF77" s="19"/>
      <c r="IG77" s="19"/>
      <c r="IH77" s="19">
        <v>11813520</v>
      </c>
      <c r="II77" s="19"/>
      <c r="IJ77" s="19"/>
      <c r="IK77" s="19">
        <v>775155</v>
      </c>
      <c r="IL77" s="19"/>
      <c r="IM77" s="19"/>
      <c r="IN77" s="19"/>
      <c r="IO77" s="19">
        <v>2867456</v>
      </c>
      <c r="IP77" s="19">
        <v>1151852</v>
      </c>
      <c r="IQ77" s="19"/>
      <c r="IR77" s="19">
        <v>8189961</v>
      </c>
      <c r="IS77" s="19">
        <v>7838046</v>
      </c>
      <c r="IT77" s="19">
        <v>3360487</v>
      </c>
      <c r="IU77" s="19"/>
      <c r="IV77" s="19">
        <v>5414090</v>
      </c>
      <c r="IW77" s="19"/>
      <c r="IX77" s="19">
        <v>860100</v>
      </c>
      <c r="IY77" s="19"/>
      <c r="IZ77" s="19">
        <v>316740</v>
      </c>
      <c r="JA77" s="19">
        <v>39426403</v>
      </c>
      <c r="JB77" s="19">
        <v>5070</v>
      </c>
      <c r="JC77" s="19">
        <v>343640</v>
      </c>
      <c r="JD77" s="19">
        <v>27786549</v>
      </c>
      <c r="JE77" s="19">
        <v>4200060</v>
      </c>
      <c r="JF77" s="19">
        <v>9990630</v>
      </c>
      <c r="JG77" s="19"/>
      <c r="JH77" s="19"/>
      <c r="JI77" s="19">
        <v>331170</v>
      </c>
      <c r="JJ77" s="19"/>
      <c r="JK77" s="19">
        <v>70080</v>
      </c>
      <c r="JL77" s="19"/>
      <c r="JM77" s="19">
        <v>1038480</v>
      </c>
      <c r="JN77" s="19">
        <v>30488767</v>
      </c>
      <c r="JO77" s="19"/>
      <c r="JP77" s="19"/>
      <c r="JQ77" s="19" t="s">
        <v>175</v>
      </c>
      <c r="JR77" s="19"/>
      <c r="JS77" s="19"/>
      <c r="JT77" s="19"/>
      <c r="JU77" s="19">
        <v>4362580</v>
      </c>
      <c r="JV77" s="19"/>
      <c r="JW77" s="19"/>
      <c r="JX77" s="19">
        <v>14427450</v>
      </c>
      <c r="JY77" s="19"/>
      <c r="JZ77" s="19"/>
      <c r="KA77" s="19"/>
      <c r="KB77" s="19">
        <v>55116732</v>
      </c>
      <c r="KC77" s="19"/>
      <c r="KD77" s="19">
        <v>704560</v>
      </c>
      <c r="KE77" s="19"/>
      <c r="KF77" s="19"/>
      <c r="KG77" s="19">
        <v>30150</v>
      </c>
      <c r="KH77" s="19">
        <v>3322930</v>
      </c>
      <c r="KI77" s="19">
        <v>0</v>
      </c>
      <c r="KJ77" s="19">
        <v>1077410</v>
      </c>
      <c r="KK77" s="19">
        <v>0</v>
      </c>
      <c r="KL77" s="19">
        <v>5476000</v>
      </c>
      <c r="KM77" s="19">
        <v>174760</v>
      </c>
      <c r="KN77" s="19">
        <v>0</v>
      </c>
      <c r="KO77" s="19">
        <v>0</v>
      </c>
      <c r="KP77" s="19">
        <v>0</v>
      </c>
      <c r="KQ77" s="19">
        <v>0</v>
      </c>
      <c r="KR77" s="19">
        <v>0</v>
      </c>
      <c r="KS77" s="19">
        <v>2274610</v>
      </c>
      <c r="KT77" s="19"/>
      <c r="KU77" s="19">
        <v>0</v>
      </c>
      <c r="KV77" s="19">
        <v>1552351</v>
      </c>
      <c r="KW77" s="19">
        <v>-2147450</v>
      </c>
      <c r="KX77" s="19">
        <v>0</v>
      </c>
      <c r="KY77" s="19">
        <v>2498239</v>
      </c>
      <c r="KZ77" s="58">
        <v>0</v>
      </c>
      <c r="LA77" s="70">
        <v>4664320</v>
      </c>
      <c r="LB77" s="70"/>
    </row>
    <row r="78" spans="1:314">
      <c r="A78" s="9" t="s">
        <v>103</v>
      </c>
      <c r="B78" s="10" t="s">
        <v>149</v>
      </c>
      <c r="C78" s="19">
        <f>C76-C77</f>
        <v>-17265755</v>
      </c>
      <c r="D78" s="19">
        <f>D76-D77</f>
        <v>472691876</v>
      </c>
      <c r="E78" s="19">
        <f>E76-E77</f>
        <v>476233</v>
      </c>
      <c r="F78" s="19">
        <f>F76-F77</f>
        <v>321882734</v>
      </c>
      <c r="G78" s="19" t="s">
        <v>130</v>
      </c>
      <c r="H78" s="19">
        <f>H76-H77</f>
        <v>32724860</v>
      </c>
      <c r="I78" s="19">
        <f>I76-I77</f>
        <v>16171950</v>
      </c>
      <c r="J78" s="19" t="s">
        <v>176</v>
      </c>
      <c r="K78" s="19">
        <f>K76-K77</f>
        <v>56221091</v>
      </c>
      <c r="L78" s="19" t="s">
        <v>96</v>
      </c>
      <c r="M78" s="19" t="s">
        <v>96</v>
      </c>
      <c r="N78" s="19">
        <f t="shared" ref="N78:S78" si="195">N76-N77</f>
        <v>66795788</v>
      </c>
      <c r="O78" s="19">
        <f t="shared" si="195"/>
        <v>-297919044</v>
      </c>
      <c r="P78" s="19">
        <f t="shared" si="195"/>
        <v>-417503424</v>
      </c>
      <c r="Q78" s="19">
        <f t="shared" si="195"/>
        <v>-63496310</v>
      </c>
      <c r="R78" s="19">
        <f t="shared" si="195"/>
        <v>-57739575</v>
      </c>
      <c r="S78" s="19">
        <f t="shared" si="195"/>
        <v>-99126936</v>
      </c>
      <c r="T78" s="19" t="s">
        <v>96</v>
      </c>
      <c r="U78" s="19" t="s">
        <v>96</v>
      </c>
      <c r="V78" s="19" t="s">
        <v>172</v>
      </c>
      <c r="W78" s="19">
        <f t="shared" ref="W78:AE78" si="196">W76-W77</f>
        <v>-47662274</v>
      </c>
      <c r="X78" s="19">
        <f t="shared" si="196"/>
        <v>667242454</v>
      </c>
      <c r="Y78" s="19">
        <f t="shared" si="196"/>
        <v>-59624149</v>
      </c>
      <c r="Z78" s="19">
        <f t="shared" si="196"/>
        <v>214075879</v>
      </c>
      <c r="AA78" s="19">
        <f t="shared" si="196"/>
        <v>236879722</v>
      </c>
      <c r="AB78" s="19">
        <f t="shared" si="196"/>
        <v>20478133</v>
      </c>
      <c r="AC78" s="19">
        <f t="shared" si="196"/>
        <v>521552909</v>
      </c>
      <c r="AD78" s="19">
        <f t="shared" si="196"/>
        <v>577378050</v>
      </c>
      <c r="AE78" s="19">
        <f t="shared" si="196"/>
        <v>19033263</v>
      </c>
      <c r="AF78" s="56" t="s">
        <v>172</v>
      </c>
      <c r="AG78" s="19">
        <f>AG76-AG77</f>
        <v>-47342320</v>
      </c>
      <c r="AH78" s="19" t="s">
        <v>167</v>
      </c>
      <c r="AI78" s="19">
        <f>AI76-AI77</f>
        <v>-163818062</v>
      </c>
      <c r="AJ78" s="19">
        <f>AJ76-AJ77</f>
        <v>-33129121</v>
      </c>
      <c r="AK78" s="19">
        <f>AK76-AK77</f>
        <v>6993537</v>
      </c>
      <c r="AL78" s="19">
        <f>AL76-AL77</f>
        <v>-269803569</v>
      </c>
      <c r="AM78" s="19" t="s">
        <v>4</v>
      </c>
      <c r="AN78" s="19">
        <f>AN76-AN77</f>
        <v>99759083</v>
      </c>
      <c r="AO78" s="19">
        <f>AO76-AO77</f>
        <v>-315330466</v>
      </c>
      <c r="AP78" s="19">
        <f>AP76-AP77</f>
        <v>114499256</v>
      </c>
      <c r="AQ78" s="19" t="s">
        <v>172</v>
      </c>
      <c r="AR78" s="19">
        <f>AR76-AR77</f>
        <v>-1123093183</v>
      </c>
      <c r="AS78" s="19">
        <f>AS76-AS77</f>
        <v>387674111</v>
      </c>
      <c r="AT78" s="19" t="s">
        <v>172</v>
      </c>
      <c r="AU78" s="19">
        <f>AU76-AU77</f>
        <v>-355887510</v>
      </c>
      <c r="AV78" s="19">
        <f>AV76-AV77</f>
        <v>189907249</v>
      </c>
      <c r="AW78" s="19">
        <f>AW76-AW77</f>
        <v>44476460</v>
      </c>
      <c r="AX78" s="19" t="s">
        <v>4</v>
      </c>
      <c r="AY78" s="19">
        <f>AY76-AY77</f>
        <v>-15349918</v>
      </c>
      <c r="AZ78" s="19">
        <f>AZ76-AZ77</f>
        <v>55010698</v>
      </c>
      <c r="BA78" s="19" t="s">
        <v>167</v>
      </c>
      <c r="BB78" s="19">
        <f>BB76-BB77</f>
        <v>-16827767</v>
      </c>
      <c r="BC78" s="19" t="s">
        <v>4</v>
      </c>
      <c r="BD78" s="19" t="s">
        <v>172</v>
      </c>
      <c r="BE78" s="19">
        <f>BE76-BE77</f>
        <v>55046468</v>
      </c>
      <c r="BF78" s="19" t="s">
        <v>96</v>
      </c>
      <c r="BG78" s="19">
        <f t="shared" ref="BG78:BN78" si="197">BG76-BG77</f>
        <v>-248241207</v>
      </c>
      <c r="BH78" s="19">
        <f t="shared" si="197"/>
        <v>3182337</v>
      </c>
      <c r="BI78" s="19">
        <f t="shared" si="197"/>
        <v>72881683</v>
      </c>
      <c r="BJ78" s="19">
        <f t="shared" si="197"/>
        <v>455003</v>
      </c>
      <c r="BK78" s="19">
        <f t="shared" si="197"/>
        <v>65564199</v>
      </c>
      <c r="BL78" s="19">
        <f t="shared" si="197"/>
        <v>-349667996</v>
      </c>
      <c r="BM78" s="19">
        <f t="shared" si="197"/>
        <v>701089</v>
      </c>
      <c r="BN78" s="19">
        <f t="shared" si="197"/>
        <v>-49323312</v>
      </c>
      <c r="BO78" s="19" t="s">
        <v>96</v>
      </c>
      <c r="BP78" s="19" t="s">
        <v>96</v>
      </c>
      <c r="BQ78" s="19" t="s">
        <v>175</v>
      </c>
      <c r="BR78" s="19">
        <f>BR76-BR77</f>
        <v>852969749</v>
      </c>
      <c r="BS78" s="19" t="s">
        <v>172</v>
      </c>
      <c r="BT78" s="19">
        <f t="shared" ref="BT78:CD78" si="198">BT76-BT77</f>
        <v>-1337004</v>
      </c>
      <c r="BU78" s="19">
        <f t="shared" si="198"/>
        <v>-103874041</v>
      </c>
      <c r="BV78" s="19">
        <f t="shared" si="198"/>
        <v>5086791</v>
      </c>
      <c r="BW78" s="19">
        <f t="shared" si="198"/>
        <v>-7531616</v>
      </c>
      <c r="BX78" s="19">
        <f t="shared" si="198"/>
        <v>12796574</v>
      </c>
      <c r="BY78" s="19">
        <f t="shared" si="198"/>
        <v>47472495</v>
      </c>
      <c r="BZ78" s="19">
        <f t="shared" si="198"/>
        <v>484158869</v>
      </c>
      <c r="CA78" s="19">
        <f t="shared" si="198"/>
        <v>202193298</v>
      </c>
      <c r="CB78" s="19">
        <f t="shared" si="198"/>
        <v>26398571</v>
      </c>
      <c r="CC78" s="19">
        <f t="shared" si="198"/>
        <v>-50117809</v>
      </c>
      <c r="CD78" s="19">
        <f t="shared" si="198"/>
        <v>37986314</v>
      </c>
      <c r="CE78" s="19" t="s">
        <v>172</v>
      </c>
      <c r="CF78" s="19">
        <f>CF76-CF77</f>
        <v>28333222</v>
      </c>
      <c r="CG78" s="19">
        <f>CG76-CG77</f>
        <v>-14768547</v>
      </c>
      <c r="CH78" s="19">
        <f>CH76-CH77</f>
        <v>168607428</v>
      </c>
      <c r="CI78" s="19" t="s">
        <v>172</v>
      </c>
      <c r="CJ78" s="19">
        <f t="shared" ref="CJ78:CP78" si="199">CJ76-CJ77</f>
        <v>3666587</v>
      </c>
      <c r="CK78" s="19">
        <f t="shared" si="199"/>
        <v>-585479226</v>
      </c>
      <c r="CL78" s="19">
        <f t="shared" si="199"/>
        <v>-112801627</v>
      </c>
      <c r="CM78" s="19">
        <f t="shared" si="199"/>
        <v>-557880327</v>
      </c>
      <c r="CN78" s="19">
        <f t="shared" si="199"/>
        <v>38746034</v>
      </c>
      <c r="CO78" s="19">
        <f t="shared" si="199"/>
        <v>19759734</v>
      </c>
      <c r="CP78" s="19">
        <f t="shared" si="199"/>
        <v>9797744</v>
      </c>
      <c r="CQ78" s="19" t="s">
        <v>96</v>
      </c>
      <c r="CR78" s="19">
        <f>CR76-CR77</f>
        <v>-179775972</v>
      </c>
      <c r="CS78" s="56" t="s">
        <v>172</v>
      </c>
      <c r="CT78" s="19">
        <f>CT76-CT77</f>
        <v>-18403068003</v>
      </c>
      <c r="CU78" s="19">
        <f>CU76-CU77</f>
        <v>120344261</v>
      </c>
      <c r="CV78" s="19">
        <v>-17437423</v>
      </c>
      <c r="CW78" s="19">
        <f>CW76-CW77</f>
        <v>-90364199</v>
      </c>
      <c r="CX78" s="19">
        <f>CX76-CX77</f>
        <v>-1168271855</v>
      </c>
      <c r="CY78" s="19" t="s">
        <v>96</v>
      </c>
      <c r="CZ78" s="19">
        <f>CZ76-CZ77</f>
        <v>415534380</v>
      </c>
      <c r="DA78" s="19" t="s">
        <v>175</v>
      </c>
      <c r="DB78" s="19">
        <f t="shared" ref="DB78:DR78" si="200">DB76-DB77</f>
        <v>-33648824</v>
      </c>
      <c r="DC78" s="19">
        <f t="shared" si="200"/>
        <v>22105352</v>
      </c>
      <c r="DD78" s="19">
        <f t="shared" si="200"/>
        <v>-35878085</v>
      </c>
      <c r="DE78" s="19">
        <f t="shared" si="200"/>
        <v>0</v>
      </c>
      <c r="DF78" s="19">
        <f t="shared" si="200"/>
        <v>-17481914</v>
      </c>
      <c r="DG78" s="19">
        <f t="shared" si="200"/>
        <v>2803093</v>
      </c>
      <c r="DH78" s="19">
        <f t="shared" si="200"/>
        <v>49087580</v>
      </c>
      <c r="DI78" s="19">
        <f t="shared" si="200"/>
        <v>40578149</v>
      </c>
      <c r="DJ78" s="19">
        <f t="shared" si="200"/>
        <v>13445975</v>
      </c>
      <c r="DK78" s="19">
        <f t="shared" si="200"/>
        <v>1265928277</v>
      </c>
      <c r="DL78" s="19">
        <f t="shared" si="200"/>
        <v>-65405712</v>
      </c>
      <c r="DM78" s="19">
        <f t="shared" si="200"/>
        <v>-179204046</v>
      </c>
      <c r="DN78" s="19">
        <f t="shared" si="200"/>
        <v>-179204316</v>
      </c>
      <c r="DO78" s="19">
        <f t="shared" si="200"/>
        <v>2973119</v>
      </c>
      <c r="DP78" s="19">
        <f t="shared" si="200"/>
        <v>-52109414</v>
      </c>
      <c r="DQ78" s="19">
        <f t="shared" si="200"/>
        <v>456740</v>
      </c>
      <c r="DR78" s="19">
        <f t="shared" si="200"/>
        <v>-564459398</v>
      </c>
      <c r="DS78" s="19">
        <f>DS76-DS77</f>
        <v>-55191934</v>
      </c>
      <c r="DT78" s="19">
        <f t="shared" ref="DT78:FF78" si="201">DT76-DT77</f>
        <v>5579635</v>
      </c>
      <c r="DU78" s="19">
        <f t="shared" si="201"/>
        <v>43640558</v>
      </c>
      <c r="DV78" s="19">
        <f t="shared" si="201"/>
        <v>-1507080305</v>
      </c>
      <c r="DW78" s="19">
        <f t="shared" si="201"/>
        <v>40320453</v>
      </c>
      <c r="DX78" s="19">
        <f t="shared" si="201"/>
        <v>-771994248</v>
      </c>
      <c r="DY78" s="19">
        <f t="shared" si="201"/>
        <v>48531999</v>
      </c>
      <c r="DZ78" s="19">
        <f t="shared" si="201"/>
        <v>48754977</v>
      </c>
      <c r="EA78" s="19">
        <f t="shared" si="201"/>
        <v>14538075</v>
      </c>
      <c r="EB78" s="19">
        <f t="shared" si="201"/>
        <v>529294363</v>
      </c>
      <c r="EC78" s="19">
        <f t="shared" si="201"/>
        <v>1286987</v>
      </c>
      <c r="ED78" s="19">
        <f t="shared" si="201"/>
        <v>56029071</v>
      </c>
      <c r="EE78" s="19">
        <f t="shared" si="201"/>
        <v>219067553</v>
      </c>
      <c r="EF78" s="19">
        <f t="shared" si="201"/>
        <v>224839119</v>
      </c>
      <c r="EG78" s="19">
        <f t="shared" si="201"/>
        <v>-4702994832</v>
      </c>
      <c r="EH78" s="19">
        <f t="shared" si="201"/>
        <v>-31009835</v>
      </c>
      <c r="EI78" s="19">
        <f t="shared" si="201"/>
        <v>-14489871137</v>
      </c>
      <c r="EJ78" s="19">
        <f t="shared" si="201"/>
        <v>66824770</v>
      </c>
      <c r="EK78" s="19">
        <f t="shared" si="201"/>
        <v>-684545931</v>
      </c>
      <c r="EL78" s="19">
        <f t="shared" si="201"/>
        <v>-227551372</v>
      </c>
      <c r="EM78" s="19">
        <f t="shared" si="201"/>
        <v>32936132</v>
      </c>
      <c r="EN78" s="19">
        <f t="shared" si="201"/>
        <v>758255610</v>
      </c>
      <c r="EO78" s="19">
        <f t="shared" si="201"/>
        <v>-19726398</v>
      </c>
      <c r="EP78" s="19">
        <f t="shared" si="201"/>
        <v>114976843</v>
      </c>
      <c r="EQ78" s="19">
        <f t="shared" si="201"/>
        <v>732438535</v>
      </c>
      <c r="ER78" s="19">
        <f t="shared" si="201"/>
        <v>-166791648</v>
      </c>
      <c r="ES78" s="19">
        <f t="shared" si="201"/>
        <v>594959689</v>
      </c>
      <c r="ET78" s="19">
        <f t="shared" si="201"/>
        <v>-5499837209</v>
      </c>
      <c r="EU78" s="19">
        <f t="shared" si="201"/>
        <v>675642078</v>
      </c>
      <c r="EV78" s="19">
        <f t="shared" si="201"/>
        <v>19437641</v>
      </c>
      <c r="EW78" s="19">
        <f t="shared" si="201"/>
        <v>8711654</v>
      </c>
      <c r="EX78" s="19">
        <f t="shared" si="201"/>
        <v>132803106</v>
      </c>
      <c r="EY78" s="19">
        <f t="shared" si="201"/>
        <v>158797589</v>
      </c>
      <c r="EZ78" s="19">
        <f t="shared" si="201"/>
        <v>-16455366</v>
      </c>
      <c r="FA78" s="19">
        <f t="shared" si="201"/>
        <v>-54817480</v>
      </c>
      <c r="FB78" s="19">
        <f t="shared" si="201"/>
        <v>3170550</v>
      </c>
      <c r="FC78" s="19">
        <f t="shared" si="201"/>
        <v>38834866</v>
      </c>
      <c r="FD78" s="19">
        <f t="shared" si="201"/>
        <v>-538159304</v>
      </c>
      <c r="FE78" s="19">
        <f t="shared" si="201"/>
        <v>688449369</v>
      </c>
      <c r="FF78" s="19">
        <f t="shared" si="201"/>
        <v>-10163741</v>
      </c>
      <c r="FG78" s="19" t="s">
        <v>172</v>
      </c>
      <c r="FH78" s="19">
        <f>FH76-FH77</f>
        <v>14986921</v>
      </c>
      <c r="FI78" s="19" t="s">
        <v>172</v>
      </c>
      <c r="FJ78" s="19">
        <f>FJ76-FJ77</f>
        <v>16312983</v>
      </c>
      <c r="FK78" s="19">
        <f>FK76-FK77</f>
        <v>107675973</v>
      </c>
      <c r="FL78" s="19">
        <f>FL76-FL77</f>
        <v>-545966178</v>
      </c>
      <c r="FM78" s="19">
        <f>FM76-FM77</f>
        <v>-784552692</v>
      </c>
      <c r="FN78" s="19">
        <f>FN76-FN77</f>
        <v>280997706</v>
      </c>
      <c r="FO78" s="56" t="s">
        <v>172</v>
      </c>
      <c r="FP78" s="19">
        <f t="shared" ref="FP78:FU78" si="202">FP76-FP77</f>
        <v>-82392031</v>
      </c>
      <c r="FQ78" s="19">
        <f t="shared" si="202"/>
        <v>-14843340</v>
      </c>
      <c r="FR78" s="19">
        <f t="shared" si="202"/>
        <v>-105958581</v>
      </c>
      <c r="FS78" s="19">
        <f t="shared" si="202"/>
        <v>-318071742</v>
      </c>
      <c r="FT78" s="19">
        <f t="shared" si="202"/>
        <v>-580417572</v>
      </c>
      <c r="FU78" s="19">
        <f t="shared" si="202"/>
        <v>-30622970</v>
      </c>
      <c r="FV78" s="19" t="s">
        <v>172</v>
      </c>
      <c r="FW78" s="19">
        <f>FW76-FW77</f>
        <v>-5968152</v>
      </c>
      <c r="FX78" s="19">
        <f>FX76-FX77</f>
        <v>-29579876</v>
      </c>
      <c r="FY78" s="19" t="s">
        <v>172</v>
      </c>
      <c r="FZ78" s="19" t="s">
        <v>175</v>
      </c>
      <c r="GA78" s="19">
        <f>GA76-GA77</f>
        <v>-910363250</v>
      </c>
      <c r="GB78" s="19">
        <f>GB76-GB77</f>
        <v>-221863920</v>
      </c>
      <c r="GC78" s="19">
        <f>GC76-GC77</f>
        <v>28516913</v>
      </c>
      <c r="GD78" s="19" t="s">
        <v>172</v>
      </c>
      <c r="GE78" s="19" t="s">
        <v>172</v>
      </c>
      <c r="GF78" s="19">
        <f>GF76-GF77</f>
        <v>-526005242</v>
      </c>
      <c r="GG78" s="19">
        <f>GG76-GG77</f>
        <v>-1909332258</v>
      </c>
      <c r="GH78" s="19" t="s">
        <v>172</v>
      </c>
      <c r="GI78" s="19">
        <f t="shared" ref="GI78:KH78" si="203">GI76-GI77</f>
        <v>964188</v>
      </c>
      <c r="GJ78" s="19" t="s">
        <v>172</v>
      </c>
      <c r="GK78" s="19">
        <f t="shared" si="203"/>
        <v>-78446115</v>
      </c>
      <c r="GL78" s="19" t="s">
        <v>172</v>
      </c>
      <c r="GM78" s="19">
        <f t="shared" si="203"/>
        <v>5850860</v>
      </c>
      <c r="GN78" s="19">
        <f t="shared" si="203"/>
        <v>46691108</v>
      </c>
      <c r="GO78" s="19" t="s">
        <v>172</v>
      </c>
      <c r="GP78" s="19">
        <f t="shared" si="203"/>
        <v>67847196</v>
      </c>
      <c r="GQ78" s="19">
        <f t="shared" si="203"/>
        <v>139803409</v>
      </c>
      <c r="GR78" s="19">
        <f t="shared" si="203"/>
        <v>184611773</v>
      </c>
      <c r="GS78" s="19">
        <f t="shared" si="203"/>
        <v>-674633859</v>
      </c>
      <c r="GT78" s="19">
        <f t="shared" si="203"/>
        <v>-193817727</v>
      </c>
      <c r="GU78" s="19">
        <f t="shared" si="203"/>
        <v>-39575097</v>
      </c>
      <c r="GV78" s="19">
        <f>GV76-GV77</f>
        <v>290912697</v>
      </c>
      <c r="GW78" s="19">
        <f>GW76-GW77</f>
        <v>-6026050139</v>
      </c>
      <c r="GX78" s="19">
        <f t="shared" si="203"/>
        <v>2476631</v>
      </c>
      <c r="GY78" s="19">
        <f t="shared" si="203"/>
        <v>-179685402</v>
      </c>
      <c r="GZ78" s="19">
        <f t="shared" si="203"/>
        <v>-207869224</v>
      </c>
      <c r="HA78" s="19" t="s">
        <v>172</v>
      </c>
      <c r="HB78" s="19">
        <f t="shared" si="203"/>
        <v>455060160</v>
      </c>
      <c r="HC78" s="19">
        <f t="shared" si="203"/>
        <v>-43266963</v>
      </c>
      <c r="HD78" s="19">
        <f t="shared" si="203"/>
        <v>209929585</v>
      </c>
      <c r="HE78" s="19" t="s">
        <v>172</v>
      </c>
      <c r="HF78" s="19">
        <f t="shared" si="203"/>
        <v>242396794</v>
      </c>
      <c r="HG78" s="19">
        <f t="shared" si="203"/>
        <v>517843520</v>
      </c>
      <c r="HH78" s="19" t="s">
        <v>172</v>
      </c>
      <c r="HI78" s="58">
        <f t="shared" si="203"/>
        <v>-2150156325</v>
      </c>
      <c r="HJ78" s="19" t="s">
        <v>172</v>
      </c>
      <c r="HK78" s="59">
        <f t="shared" si="203"/>
        <v>-515211686</v>
      </c>
      <c r="HL78" s="19">
        <f t="shared" si="203"/>
        <v>101510267</v>
      </c>
      <c r="HM78" s="19">
        <f t="shared" si="203"/>
        <v>-19161086</v>
      </c>
      <c r="HN78" s="19">
        <f t="shared" si="203"/>
        <v>41194006</v>
      </c>
      <c r="HO78" s="19">
        <f t="shared" si="203"/>
        <v>84630237</v>
      </c>
      <c r="HP78" s="19">
        <f t="shared" si="203"/>
        <v>228308120</v>
      </c>
      <c r="HQ78" s="19">
        <f t="shared" si="203"/>
        <v>237463029</v>
      </c>
      <c r="HR78" s="19">
        <f t="shared" si="203"/>
        <v>-18287936</v>
      </c>
      <c r="HS78" s="19">
        <f t="shared" si="203"/>
        <v>30710261</v>
      </c>
      <c r="HT78" s="19">
        <f t="shared" si="203"/>
        <v>2365554</v>
      </c>
      <c r="HU78" s="19">
        <f t="shared" si="203"/>
        <v>-2031199589</v>
      </c>
      <c r="HV78" s="19">
        <f t="shared" si="203"/>
        <v>-1041512</v>
      </c>
      <c r="HW78" s="19" t="s">
        <v>172</v>
      </c>
      <c r="HX78" s="19">
        <f t="shared" si="203"/>
        <v>175598190</v>
      </c>
      <c r="HY78" s="19" t="s">
        <v>172</v>
      </c>
      <c r="HZ78" s="19">
        <f t="shared" si="203"/>
        <v>628980092</v>
      </c>
      <c r="IA78" s="19">
        <f t="shared" si="203"/>
        <v>11579520</v>
      </c>
      <c r="IB78" s="19">
        <f t="shared" si="203"/>
        <v>3310665</v>
      </c>
      <c r="IC78" s="19">
        <f t="shared" si="203"/>
        <v>527097305</v>
      </c>
      <c r="ID78" s="19">
        <f t="shared" si="203"/>
        <v>17931975</v>
      </c>
      <c r="IE78" s="19" t="s">
        <v>172</v>
      </c>
      <c r="IF78" s="19">
        <f t="shared" si="203"/>
        <v>-16140361</v>
      </c>
      <c r="IG78" s="19">
        <f t="shared" si="203"/>
        <v>5648034</v>
      </c>
      <c r="IH78" s="19">
        <f t="shared" si="203"/>
        <v>186566330</v>
      </c>
      <c r="II78" s="19">
        <f t="shared" si="203"/>
        <v>3281986</v>
      </c>
      <c r="IJ78" s="19">
        <f t="shared" si="203"/>
        <v>-57843443</v>
      </c>
      <c r="IK78" s="19">
        <f t="shared" si="203"/>
        <v>60444069</v>
      </c>
      <c r="IL78" s="19">
        <f t="shared" si="203"/>
        <v>52771819</v>
      </c>
      <c r="IM78" s="19">
        <f t="shared" si="203"/>
        <v>-1210766782</v>
      </c>
      <c r="IN78" s="19">
        <f t="shared" si="203"/>
        <v>-1999698724</v>
      </c>
      <c r="IO78" s="19">
        <f t="shared" si="203"/>
        <v>-67450531</v>
      </c>
      <c r="IP78" s="19">
        <f t="shared" si="203"/>
        <v>14470211</v>
      </c>
      <c r="IQ78" s="19">
        <f t="shared" si="203"/>
        <v>-198394810</v>
      </c>
      <c r="IR78" s="19">
        <f t="shared" si="203"/>
        <v>81192169</v>
      </c>
      <c r="IS78" s="19">
        <f t="shared" si="203"/>
        <v>543306580</v>
      </c>
      <c r="IT78" s="19">
        <f t="shared" si="203"/>
        <v>15783724</v>
      </c>
      <c r="IU78" s="19">
        <f t="shared" si="203"/>
        <v>172812397</v>
      </c>
      <c r="IV78" s="19">
        <f t="shared" si="203"/>
        <v>33188844</v>
      </c>
      <c r="IW78" s="19">
        <f t="shared" si="203"/>
        <v>91559207</v>
      </c>
      <c r="IX78" s="19">
        <f t="shared" si="203"/>
        <v>1620608</v>
      </c>
      <c r="IY78" s="19">
        <f t="shared" si="203"/>
        <v>-311956490</v>
      </c>
      <c r="IZ78" s="19">
        <f t="shared" si="203"/>
        <v>35926934</v>
      </c>
      <c r="JA78" s="19">
        <f t="shared" si="203"/>
        <v>263459749</v>
      </c>
      <c r="JB78" s="19">
        <f t="shared" si="203"/>
        <v>65739415</v>
      </c>
      <c r="JC78" s="19">
        <f t="shared" si="203"/>
        <v>-58378767</v>
      </c>
      <c r="JD78" s="19">
        <f t="shared" si="203"/>
        <v>402515153</v>
      </c>
      <c r="JE78" s="19">
        <f t="shared" si="203"/>
        <v>48194068</v>
      </c>
      <c r="JF78" s="19">
        <f t="shared" si="203"/>
        <v>129321049</v>
      </c>
      <c r="JG78" s="19">
        <f t="shared" si="203"/>
        <v>-1571143</v>
      </c>
      <c r="JH78" s="19">
        <f t="shared" si="203"/>
        <v>3957404</v>
      </c>
      <c r="JI78" s="19">
        <f t="shared" si="203"/>
        <v>565993</v>
      </c>
      <c r="JJ78" s="19">
        <f t="shared" si="203"/>
        <v>3396762</v>
      </c>
      <c r="JK78" s="19">
        <f t="shared" si="203"/>
        <v>2795938</v>
      </c>
      <c r="JL78" s="19">
        <f t="shared" si="203"/>
        <v>23761855</v>
      </c>
      <c r="JM78" s="19">
        <f t="shared" si="203"/>
        <v>16906733</v>
      </c>
      <c r="JN78" s="19">
        <f t="shared" si="203"/>
        <v>284990109</v>
      </c>
      <c r="JO78" s="19">
        <f t="shared" si="203"/>
        <v>-86535209</v>
      </c>
      <c r="JP78" s="19">
        <f t="shared" si="203"/>
        <v>-54484069</v>
      </c>
      <c r="JQ78" s="19" t="s">
        <v>175</v>
      </c>
      <c r="JR78" s="19">
        <f t="shared" si="203"/>
        <v>-356911201</v>
      </c>
      <c r="JS78" s="19">
        <f t="shared" si="203"/>
        <v>-28122108</v>
      </c>
      <c r="JT78" s="19">
        <f t="shared" si="203"/>
        <v>7401994</v>
      </c>
      <c r="JU78" s="19">
        <f t="shared" si="203"/>
        <v>30528069</v>
      </c>
      <c r="JV78" s="19">
        <f t="shared" si="203"/>
        <v>150344255</v>
      </c>
      <c r="JW78" s="19">
        <f t="shared" si="203"/>
        <v>100421148</v>
      </c>
      <c r="JX78" s="19">
        <f t="shared" si="203"/>
        <v>178986470</v>
      </c>
      <c r="JY78" s="19">
        <f t="shared" si="203"/>
        <v>47883837</v>
      </c>
      <c r="JZ78" s="19">
        <f t="shared" si="203"/>
        <v>4521669</v>
      </c>
      <c r="KA78" s="19">
        <f t="shared" si="203"/>
        <v>61412949</v>
      </c>
      <c r="KB78" s="19">
        <f t="shared" si="203"/>
        <v>396823633</v>
      </c>
      <c r="KC78" s="19">
        <f t="shared" si="203"/>
        <v>3242353</v>
      </c>
      <c r="KD78" s="19">
        <f t="shared" si="203"/>
        <v>756483</v>
      </c>
      <c r="KE78" s="19">
        <f t="shared" si="203"/>
        <v>3647106</v>
      </c>
      <c r="KF78" s="19">
        <f t="shared" si="203"/>
        <v>-483602010</v>
      </c>
      <c r="KG78" s="19">
        <f t="shared" si="203"/>
        <v>122455796</v>
      </c>
      <c r="KH78" s="19">
        <f t="shared" si="203"/>
        <v>22376675</v>
      </c>
      <c r="KI78" s="19">
        <f t="shared" ref="KI78:KY78" si="204">KI76-KI77</f>
        <v>-29959173</v>
      </c>
      <c r="KJ78" s="19">
        <f t="shared" si="204"/>
        <v>65807672</v>
      </c>
      <c r="KK78" s="19">
        <f t="shared" si="204"/>
        <v>-1407758653</v>
      </c>
      <c r="KL78" s="19">
        <f t="shared" si="204"/>
        <v>-13684460611</v>
      </c>
      <c r="KM78" s="19">
        <f t="shared" si="204"/>
        <v>9982668</v>
      </c>
      <c r="KN78" s="19">
        <f t="shared" si="204"/>
        <v>-1412191545</v>
      </c>
      <c r="KO78" s="19">
        <f t="shared" si="204"/>
        <v>-847240249</v>
      </c>
      <c r="KP78" s="19">
        <f t="shared" si="204"/>
        <v>-117053899</v>
      </c>
      <c r="KQ78" s="19">
        <f t="shared" si="204"/>
        <v>-4128023</v>
      </c>
      <c r="KR78" s="19">
        <f t="shared" si="204"/>
        <v>37915101</v>
      </c>
      <c r="KS78" s="19">
        <f t="shared" si="204"/>
        <v>36737491</v>
      </c>
      <c r="KT78" s="19">
        <f t="shared" si="204"/>
        <v>59920813</v>
      </c>
      <c r="KU78" s="19">
        <f t="shared" si="204"/>
        <v>-74146722</v>
      </c>
      <c r="KV78" s="19">
        <f t="shared" si="204"/>
        <v>49902352</v>
      </c>
      <c r="KW78" s="19">
        <f t="shared" si="204"/>
        <v>48205910</v>
      </c>
      <c r="KX78" s="19">
        <f t="shared" si="204"/>
        <v>143300</v>
      </c>
      <c r="KY78" s="19">
        <f t="shared" si="204"/>
        <v>58228843</v>
      </c>
      <c r="KZ78" s="58">
        <v>12942644</v>
      </c>
      <c r="LA78" s="70">
        <v>102275886</v>
      </c>
      <c r="LB78" s="70">
        <v>3674260</v>
      </c>
    </row>
    <row r="79" spans="1:314">
      <c r="HL79" s="61"/>
    </row>
  </sheetData>
  <phoneticPr fontId="14" type="noConversion"/>
  <pageMargins left="0.69972223043441772" right="0.69972223043441772" top="0.75" bottom="0.75" header="0.30000001192092896" footer="0.30000001192092896"/>
  <pageSetup paperSize="9" fitToWidth="0" fitToHeight="0" orientation="portrait" verticalDpi="0" r:id="rId1"/>
  <legacyDrawing r:id="rId2"/>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C93BD0A-DFE6-4F3A-A750-CDAA82AC6038}">
  <dimension ref="A1:LL78"/>
  <sheetViews>
    <sheetView zoomScale="70" zoomScaleNormal="70" zoomScaleSheetLayoutView="70" workbookViewId="0">
      <pane xSplit="2" ySplit="1" topLeftCell="KT2" activePane="bottomRight" state="frozen"/>
      <selection pane="topRight"/>
      <selection pane="bottomLeft"/>
      <selection pane="bottomRight" activeCell="LC1" sqref="LC1:LZ1048576"/>
    </sheetView>
  </sheetViews>
  <sheetFormatPr defaultColWidth="8.796875" defaultRowHeight="17.399999999999999"/>
  <cols>
    <col min="1" max="1" width="8.796875" style="82"/>
    <col min="2" max="2" width="27.796875" style="82" customWidth="1"/>
    <col min="3" max="246" width="15.69921875" style="49" customWidth="1"/>
    <col min="247" max="247" width="15.69921875" style="60" customWidth="1"/>
    <col min="248" max="294" width="15.69921875" style="49" customWidth="1"/>
    <col min="295" max="314" width="15.59765625" style="49" customWidth="1"/>
    <col min="315" max="324" width="12.69921875" style="101" customWidth="1"/>
    <col min="325" max="16384" width="8.796875" style="49"/>
  </cols>
  <sheetData>
    <row r="1" spans="1:324" s="81" customFormat="1">
      <c r="A1" s="65"/>
      <c r="B1" s="66" t="s">
        <v>111</v>
      </c>
      <c r="C1" s="66">
        <v>1510001</v>
      </c>
      <c r="D1" s="66">
        <v>1510002</v>
      </c>
      <c r="E1" s="66">
        <v>1510003</v>
      </c>
      <c r="F1" s="66">
        <v>1510004</v>
      </c>
      <c r="G1" s="66">
        <v>1510005</v>
      </c>
      <c r="H1" s="66">
        <v>1510006</v>
      </c>
      <c r="I1" s="66">
        <v>1510007</v>
      </c>
      <c r="J1" s="66">
        <v>1510008</v>
      </c>
      <c r="K1" s="66">
        <v>1510009</v>
      </c>
      <c r="L1" s="66">
        <v>1510010</v>
      </c>
      <c r="M1" s="66">
        <v>1510011</v>
      </c>
      <c r="N1" s="66">
        <v>1510012</v>
      </c>
      <c r="O1" s="66">
        <v>1510013</v>
      </c>
      <c r="P1" s="66">
        <v>1510014</v>
      </c>
      <c r="Q1" s="66">
        <v>1510015</v>
      </c>
      <c r="R1" s="66">
        <v>1510016</v>
      </c>
      <c r="S1" s="66">
        <v>1510017</v>
      </c>
      <c r="T1" s="66">
        <v>1510018</v>
      </c>
      <c r="U1" s="66">
        <v>1510019</v>
      </c>
      <c r="V1" s="66">
        <v>1510020</v>
      </c>
      <c r="W1" s="66">
        <v>1510021</v>
      </c>
      <c r="X1" s="66">
        <v>1510022</v>
      </c>
      <c r="Y1" s="66">
        <v>1510023</v>
      </c>
      <c r="Z1" s="66">
        <v>1510024</v>
      </c>
      <c r="AA1" s="66">
        <v>1510025</v>
      </c>
      <c r="AB1" s="66">
        <v>1510026</v>
      </c>
      <c r="AC1" s="66">
        <v>1510027</v>
      </c>
      <c r="AD1" s="66">
        <v>1510028</v>
      </c>
      <c r="AE1" s="66">
        <v>1510029</v>
      </c>
      <c r="AF1" s="66">
        <v>1510030</v>
      </c>
      <c r="AG1" s="66">
        <v>1510031</v>
      </c>
      <c r="AH1" s="66">
        <v>1510032</v>
      </c>
      <c r="AI1" s="66">
        <v>1510033</v>
      </c>
      <c r="AJ1" s="66">
        <v>1510034</v>
      </c>
      <c r="AK1" s="66">
        <v>1510035</v>
      </c>
      <c r="AL1" s="66">
        <v>1510036</v>
      </c>
      <c r="AM1" s="66">
        <v>1510037</v>
      </c>
      <c r="AN1" s="66">
        <v>1510038</v>
      </c>
      <c r="AO1" s="66">
        <v>1510039</v>
      </c>
      <c r="AP1" s="66">
        <v>1510040</v>
      </c>
      <c r="AQ1" s="66">
        <v>1510041</v>
      </c>
      <c r="AR1" s="66">
        <v>1510042</v>
      </c>
      <c r="AS1" s="66">
        <v>1510043</v>
      </c>
      <c r="AT1" s="66">
        <v>1510044</v>
      </c>
      <c r="AU1" s="66">
        <v>1510045</v>
      </c>
      <c r="AV1" s="66">
        <v>1510046</v>
      </c>
      <c r="AW1" s="66">
        <v>1510047</v>
      </c>
      <c r="AX1" s="66">
        <v>1510048</v>
      </c>
      <c r="AY1" s="66">
        <v>1510049</v>
      </c>
      <c r="AZ1" s="66">
        <v>1510050</v>
      </c>
      <c r="BA1" s="66">
        <v>1510051</v>
      </c>
      <c r="BB1" s="66">
        <v>1510052</v>
      </c>
      <c r="BC1" s="66">
        <v>1604053</v>
      </c>
      <c r="BD1" s="66">
        <v>1604054</v>
      </c>
      <c r="BE1" s="66">
        <v>1604055</v>
      </c>
      <c r="BF1" s="66">
        <v>1604056</v>
      </c>
      <c r="BG1" s="66">
        <v>1604057</v>
      </c>
      <c r="BH1" s="66">
        <v>1604058</v>
      </c>
      <c r="BI1" s="66">
        <v>1604059</v>
      </c>
      <c r="BJ1" s="66">
        <v>1604060</v>
      </c>
      <c r="BK1" s="66">
        <v>1604061</v>
      </c>
      <c r="BL1" s="66">
        <v>1608062</v>
      </c>
      <c r="BM1" s="66">
        <v>1608063</v>
      </c>
      <c r="BN1" s="66">
        <v>1608064</v>
      </c>
      <c r="BO1" s="66">
        <v>1608065</v>
      </c>
      <c r="BP1" s="66">
        <v>1608066</v>
      </c>
      <c r="BQ1" s="66">
        <v>1608067</v>
      </c>
      <c r="BR1" s="66">
        <v>1608068</v>
      </c>
      <c r="BS1" s="66">
        <v>1608069</v>
      </c>
      <c r="BT1" s="66">
        <v>1608070</v>
      </c>
      <c r="BU1" s="66">
        <v>1608071</v>
      </c>
      <c r="BV1" s="66">
        <v>1608072</v>
      </c>
      <c r="BW1" s="66">
        <v>1608073</v>
      </c>
      <c r="BX1" s="66">
        <v>1608074</v>
      </c>
      <c r="BY1" s="66">
        <v>1608075</v>
      </c>
      <c r="BZ1" s="66">
        <v>1608076</v>
      </c>
      <c r="CA1" s="66">
        <v>1608077</v>
      </c>
      <c r="CB1" s="66">
        <v>1608078</v>
      </c>
      <c r="CC1" s="66">
        <v>1608079</v>
      </c>
      <c r="CD1" s="66">
        <v>1608080</v>
      </c>
      <c r="CE1" s="66">
        <v>1608081</v>
      </c>
      <c r="CF1" s="66">
        <v>1608082</v>
      </c>
      <c r="CG1" s="66">
        <v>1608083</v>
      </c>
      <c r="CH1" s="66">
        <v>1608084</v>
      </c>
      <c r="CI1" s="66">
        <v>1608085</v>
      </c>
      <c r="CJ1" s="66">
        <v>1608086</v>
      </c>
      <c r="CK1" s="66">
        <v>1608087</v>
      </c>
      <c r="CL1" s="66">
        <v>1608088</v>
      </c>
      <c r="CM1" s="66">
        <v>1608089</v>
      </c>
      <c r="CN1" s="66">
        <v>1608090</v>
      </c>
      <c r="CO1" s="66">
        <v>1608091</v>
      </c>
      <c r="CP1" s="66">
        <v>1608092</v>
      </c>
      <c r="CQ1" s="66">
        <v>1608093</v>
      </c>
      <c r="CR1" s="66">
        <v>1608094</v>
      </c>
      <c r="CS1" s="66">
        <v>1612095</v>
      </c>
      <c r="CT1" s="66">
        <v>1612096</v>
      </c>
      <c r="CU1" s="66">
        <v>1612097</v>
      </c>
      <c r="CV1" s="66">
        <v>1612098</v>
      </c>
      <c r="CW1" s="66">
        <v>1612099</v>
      </c>
      <c r="CX1" s="66">
        <v>1612100</v>
      </c>
      <c r="CY1" s="66">
        <v>1612101</v>
      </c>
      <c r="CZ1" s="66">
        <v>1708102</v>
      </c>
      <c r="DA1" s="66">
        <v>1708103</v>
      </c>
      <c r="DB1" s="66">
        <v>1708104</v>
      </c>
      <c r="DC1" s="66">
        <v>1708105</v>
      </c>
      <c r="DD1" s="66">
        <v>1708106</v>
      </c>
      <c r="DE1" s="66">
        <v>1708107</v>
      </c>
      <c r="DF1" s="66">
        <v>1708108</v>
      </c>
      <c r="DG1" s="66">
        <v>1708109</v>
      </c>
      <c r="DH1" s="66">
        <v>1708110</v>
      </c>
      <c r="DI1" s="66">
        <v>1708111</v>
      </c>
      <c r="DJ1" s="66">
        <v>1708112</v>
      </c>
      <c r="DK1" s="66">
        <v>1708113</v>
      </c>
      <c r="DL1" s="66">
        <v>1708114</v>
      </c>
      <c r="DM1" s="66">
        <v>1708115</v>
      </c>
      <c r="DN1" s="66">
        <v>1708116</v>
      </c>
      <c r="DO1" s="66">
        <v>1708117</v>
      </c>
      <c r="DP1" s="66">
        <v>1708118</v>
      </c>
      <c r="DQ1" s="66">
        <v>1708119</v>
      </c>
      <c r="DR1" s="66">
        <v>1708120</v>
      </c>
      <c r="DS1" s="66">
        <v>1708121</v>
      </c>
      <c r="DT1" s="66">
        <v>1708122</v>
      </c>
      <c r="DU1" s="66">
        <v>1708123</v>
      </c>
      <c r="DV1" s="66">
        <v>1708124</v>
      </c>
      <c r="DW1" s="66">
        <v>1708125</v>
      </c>
      <c r="DX1" s="66">
        <v>1708126</v>
      </c>
      <c r="DY1" s="66">
        <v>1708127</v>
      </c>
      <c r="DZ1" s="66">
        <v>1708128</v>
      </c>
      <c r="EA1" s="66">
        <v>1708129</v>
      </c>
      <c r="EB1" s="66">
        <v>1708130</v>
      </c>
      <c r="EC1" s="66">
        <v>1808131</v>
      </c>
      <c r="ED1" s="66">
        <v>1808132</v>
      </c>
      <c r="EE1" s="66">
        <v>1808133</v>
      </c>
      <c r="EF1" s="66">
        <v>1808134</v>
      </c>
      <c r="EG1" s="66" t="s">
        <v>196</v>
      </c>
      <c r="EH1" s="66">
        <v>1808136</v>
      </c>
      <c r="EI1" s="66">
        <v>1808137</v>
      </c>
      <c r="EJ1" s="66">
        <v>1808138</v>
      </c>
      <c r="EK1" s="66">
        <v>1808139</v>
      </c>
      <c r="EL1" s="66">
        <v>1808140</v>
      </c>
      <c r="EM1" s="66">
        <v>1808141</v>
      </c>
      <c r="EN1" s="66">
        <v>1808142</v>
      </c>
      <c r="EO1" s="66">
        <v>1808143</v>
      </c>
      <c r="EP1" s="66">
        <v>1808144</v>
      </c>
      <c r="EQ1" s="66">
        <v>1808145</v>
      </c>
      <c r="ER1" s="66">
        <v>1808146</v>
      </c>
      <c r="ES1" s="66">
        <v>1808147</v>
      </c>
      <c r="ET1" s="66">
        <v>1808148</v>
      </c>
      <c r="EU1" s="66">
        <v>1808149</v>
      </c>
      <c r="EV1" s="66">
        <v>1808150</v>
      </c>
      <c r="EW1" s="66">
        <v>1808151</v>
      </c>
      <c r="EX1" s="66">
        <v>1808152</v>
      </c>
      <c r="EY1" s="66">
        <v>1808153</v>
      </c>
      <c r="EZ1" s="66">
        <v>1808154</v>
      </c>
      <c r="FA1" s="66">
        <v>1808155</v>
      </c>
      <c r="FB1" s="66">
        <v>1808156</v>
      </c>
      <c r="FC1" s="66">
        <v>1808157</v>
      </c>
      <c r="FD1" s="66">
        <v>1808158</v>
      </c>
      <c r="FE1" s="66">
        <v>1808159</v>
      </c>
      <c r="FF1" s="66">
        <v>1808160</v>
      </c>
      <c r="FG1" s="66">
        <v>1808161</v>
      </c>
      <c r="FH1" s="66">
        <v>1808162</v>
      </c>
      <c r="FI1" s="66">
        <v>1808163</v>
      </c>
      <c r="FJ1" s="66">
        <v>1808164</v>
      </c>
      <c r="FK1" s="66">
        <v>1808165</v>
      </c>
      <c r="FL1" s="66">
        <v>1810166</v>
      </c>
      <c r="FM1" s="66">
        <v>1810167</v>
      </c>
      <c r="FN1" s="66">
        <v>1810168</v>
      </c>
      <c r="FO1" s="66">
        <v>1810169</v>
      </c>
      <c r="FP1" s="66">
        <v>1810170</v>
      </c>
      <c r="FQ1" s="66">
        <v>1810171</v>
      </c>
      <c r="FR1" s="66">
        <v>1810172</v>
      </c>
      <c r="FS1" s="66">
        <v>1810173</v>
      </c>
      <c r="FT1" s="66">
        <v>1810174</v>
      </c>
      <c r="FU1" s="66">
        <v>1810175</v>
      </c>
      <c r="FV1" s="66">
        <v>1810176</v>
      </c>
      <c r="FW1" s="66">
        <v>1810177</v>
      </c>
      <c r="FX1" s="66">
        <v>1810178</v>
      </c>
      <c r="FY1" s="66">
        <v>1810179</v>
      </c>
      <c r="FZ1" s="66">
        <v>1810180</v>
      </c>
      <c r="GA1" s="66">
        <v>1810181</v>
      </c>
      <c r="GB1" s="66">
        <v>1810182</v>
      </c>
      <c r="GC1" s="66">
        <v>1810183</v>
      </c>
      <c r="GD1" s="66">
        <v>1810184</v>
      </c>
      <c r="GE1" s="66">
        <v>1810185</v>
      </c>
      <c r="GF1" s="66">
        <v>1810186</v>
      </c>
      <c r="GG1" s="66">
        <v>1810187</v>
      </c>
      <c r="GH1" s="66">
        <v>1810188</v>
      </c>
      <c r="GI1" s="66">
        <v>1909189</v>
      </c>
      <c r="GJ1" s="66">
        <v>1909190</v>
      </c>
      <c r="GK1" s="66">
        <v>1909191</v>
      </c>
      <c r="GL1" s="66">
        <v>1909192</v>
      </c>
      <c r="GM1" s="66">
        <v>1909193</v>
      </c>
      <c r="GN1" s="66">
        <v>1909194</v>
      </c>
      <c r="GO1" s="66">
        <v>1909195</v>
      </c>
      <c r="GP1" s="66">
        <v>1909196</v>
      </c>
      <c r="GQ1" s="66">
        <v>1909197</v>
      </c>
      <c r="GR1" s="66">
        <v>1909198</v>
      </c>
      <c r="GS1" s="66">
        <v>1909199</v>
      </c>
      <c r="GT1" s="66">
        <v>1909200</v>
      </c>
      <c r="GU1" s="66">
        <v>1909201</v>
      </c>
      <c r="GV1" s="66">
        <v>1909202</v>
      </c>
      <c r="GW1" s="66">
        <v>1909203</v>
      </c>
      <c r="GX1" s="66">
        <v>1909204</v>
      </c>
      <c r="GY1" s="66">
        <v>1909205</v>
      </c>
      <c r="GZ1" s="66">
        <v>1909206</v>
      </c>
      <c r="HA1" s="66">
        <v>1909207</v>
      </c>
      <c r="HB1" s="66">
        <v>1909208</v>
      </c>
      <c r="HC1" s="66">
        <v>1909209</v>
      </c>
      <c r="HD1" s="66">
        <v>1909210</v>
      </c>
      <c r="HE1" s="66">
        <v>1909211</v>
      </c>
      <c r="HF1" s="66">
        <v>1909212</v>
      </c>
      <c r="HG1" s="66">
        <v>1909213</v>
      </c>
      <c r="HH1" s="66">
        <v>1909214</v>
      </c>
      <c r="HI1" s="66">
        <v>1909215</v>
      </c>
      <c r="HJ1" s="66">
        <v>1909216</v>
      </c>
      <c r="HK1" s="66">
        <v>1909217</v>
      </c>
      <c r="HL1" s="66">
        <v>1909218</v>
      </c>
      <c r="HM1" s="66">
        <v>1909219</v>
      </c>
      <c r="HN1" s="66">
        <v>1909220</v>
      </c>
      <c r="HO1" s="66">
        <v>1909221</v>
      </c>
      <c r="HP1" s="66">
        <v>1909222</v>
      </c>
      <c r="HQ1" s="66">
        <v>2010223</v>
      </c>
      <c r="HR1" s="66">
        <v>2010224</v>
      </c>
      <c r="HS1" s="66">
        <v>2010225</v>
      </c>
      <c r="HT1" s="66">
        <v>2010226</v>
      </c>
      <c r="HU1" s="66">
        <v>2010227</v>
      </c>
      <c r="HV1" s="66">
        <v>2010228</v>
      </c>
      <c r="HW1" s="66">
        <v>2010229</v>
      </c>
      <c r="HX1" s="66">
        <v>2010230</v>
      </c>
      <c r="HY1" s="66">
        <v>2010231</v>
      </c>
      <c r="HZ1" s="66">
        <v>2010232</v>
      </c>
      <c r="IA1" s="66">
        <v>2010233</v>
      </c>
      <c r="IB1" s="66">
        <v>2010234</v>
      </c>
      <c r="IC1" s="66">
        <v>2010235</v>
      </c>
      <c r="ID1" s="66">
        <v>2010236</v>
      </c>
      <c r="IE1" s="66">
        <v>2010237</v>
      </c>
      <c r="IF1" s="66">
        <v>2010238</v>
      </c>
      <c r="IG1" s="66">
        <v>2010239</v>
      </c>
      <c r="IH1" s="66">
        <v>2010240</v>
      </c>
      <c r="II1" s="66">
        <v>2010241</v>
      </c>
      <c r="IJ1" s="66">
        <v>2010242</v>
      </c>
      <c r="IK1" s="66">
        <v>2010243</v>
      </c>
      <c r="IL1" s="66">
        <v>2010244</v>
      </c>
      <c r="IM1" s="66">
        <v>2010245</v>
      </c>
      <c r="IN1" s="66">
        <v>2010246</v>
      </c>
      <c r="IO1" s="66">
        <v>2010247</v>
      </c>
      <c r="IP1" s="66">
        <v>2010248</v>
      </c>
      <c r="IQ1" s="66">
        <v>2010249</v>
      </c>
      <c r="IR1" s="66">
        <v>2010250</v>
      </c>
      <c r="IS1" s="66">
        <v>2010251</v>
      </c>
      <c r="IT1" s="66">
        <v>2010252</v>
      </c>
      <c r="IU1" s="66">
        <v>2110289</v>
      </c>
      <c r="IV1" s="66">
        <v>2110290</v>
      </c>
      <c r="IW1" s="66">
        <v>2110291</v>
      </c>
      <c r="IX1" s="66">
        <v>2110292</v>
      </c>
      <c r="IY1" s="66">
        <v>2110293</v>
      </c>
      <c r="IZ1" s="66">
        <v>2110294</v>
      </c>
      <c r="JA1" s="66">
        <v>2110295</v>
      </c>
      <c r="JB1" s="66">
        <v>2110296</v>
      </c>
      <c r="JC1" s="66">
        <v>2110297</v>
      </c>
      <c r="JD1" s="66">
        <v>2110298</v>
      </c>
      <c r="JE1" s="66">
        <v>2110299</v>
      </c>
      <c r="JF1" s="66">
        <v>2110300</v>
      </c>
      <c r="JG1" s="66">
        <v>2110301</v>
      </c>
      <c r="JH1" s="66">
        <v>2110302</v>
      </c>
      <c r="JI1" s="66">
        <v>2110303</v>
      </c>
      <c r="JJ1" s="66">
        <v>2110304</v>
      </c>
      <c r="JK1" s="66">
        <v>2110305</v>
      </c>
      <c r="JL1" s="66">
        <v>2110306</v>
      </c>
      <c r="JM1" s="66">
        <v>2110307</v>
      </c>
      <c r="JN1" s="66">
        <v>2110308</v>
      </c>
      <c r="JO1" s="66">
        <v>2210327</v>
      </c>
      <c r="JP1" s="66">
        <v>2210328</v>
      </c>
      <c r="JQ1" s="66">
        <v>2210329</v>
      </c>
      <c r="JR1" s="66">
        <v>2210330</v>
      </c>
      <c r="JS1" s="66">
        <v>2210331</v>
      </c>
      <c r="JT1" s="66">
        <v>2210332</v>
      </c>
      <c r="JU1" s="66">
        <v>2210333</v>
      </c>
      <c r="JV1" s="66">
        <v>2210334</v>
      </c>
      <c r="JW1" s="66">
        <v>2210335</v>
      </c>
      <c r="JX1" s="66">
        <v>2210336</v>
      </c>
      <c r="JY1" s="66">
        <v>2210337</v>
      </c>
      <c r="JZ1" s="66">
        <v>2210338</v>
      </c>
      <c r="KA1" s="66">
        <v>2210339</v>
      </c>
      <c r="KB1" s="66">
        <v>2210340</v>
      </c>
      <c r="KC1" s="66">
        <v>2210341</v>
      </c>
      <c r="KD1" s="66">
        <v>2210342</v>
      </c>
      <c r="KE1" s="66">
        <v>2210343</v>
      </c>
      <c r="KF1" s="66">
        <v>2210344</v>
      </c>
      <c r="KG1" s="66">
        <v>2210345</v>
      </c>
      <c r="KH1" s="66">
        <v>2210346</v>
      </c>
      <c r="KI1" s="66">
        <v>2310369</v>
      </c>
      <c r="KJ1" s="66">
        <v>2310370</v>
      </c>
      <c r="KK1" s="66">
        <v>2310371</v>
      </c>
      <c r="KL1" s="66">
        <v>2310372</v>
      </c>
      <c r="KM1" s="66">
        <v>2310373</v>
      </c>
      <c r="KN1" s="66">
        <v>2310374</v>
      </c>
      <c r="KO1" s="66">
        <v>2310375</v>
      </c>
      <c r="KP1" s="66">
        <v>2310376</v>
      </c>
      <c r="KQ1" s="66">
        <v>2310377</v>
      </c>
      <c r="KR1" s="66">
        <v>2310378</v>
      </c>
      <c r="KS1" s="66">
        <v>2310379</v>
      </c>
      <c r="KT1" s="66">
        <v>2310380</v>
      </c>
      <c r="KU1" s="66">
        <v>2310381</v>
      </c>
      <c r="KV1" s="66">
        <v>2310382</v>
      </c>
      <c r="KW1" s="66">
        <v>2310383</v>
      </c>
      <c r="KX1" s="66">
        <v>2310384</v>
      </c>
      <c r="KY1" s="66">
        <v>2310385</v>
      </c>
      <c r="KZ1" s="66">
        <v>2310386</v>
      </c>
      <c r="LA1" s="66">
        <v>2310387</v>
      </c>
      <c r="LB1" s="66">
        <v>2310388</v>
      </c>
      <c r="LC1" s="100">
        <v>2410413</v>
      </c>
      <c r="LD1" s="100">
        <v>2410414</v>
      </c>
      <c r="LE1" s="100">
        <v>2410415</v>
      </c>
      <c r="LF1" s="100">
        <v>2410416</v>
      </c>
      <c r="LG1" s="100">
        <v>2410417</v>
      </c>
      <c r="LH1" s="100">
        <v>2410418</v>
      </c>
      <c r="LI1" s="100">
        <v>2410419</v>
      </c>
      <c r="LJ1" s="100">
        <v>2410420</v>
      </c>
      <c r="LK1" s="100">
        <v>2410421</v>
      </c>
      <c r="LL1" s="100">
        <v>2410422</v>
      </c>
    </row>
    <row r="2" spans="1:324" ht="17.55" customHeight="1">
      <c r="A2" s="67" t="s">
        <v>184</v>
      </c>
      <c r="B2" s="83" t="s">
        <v>112</v>
      </c>
      <c r="C2" s="84">
        <v>507140296</v>
      </c>
      <c r="D2" s="84">
        <v>4748503294</v>
      </c>
      <c r="E2" s="84">
        <v>1191308440</v>
      </c>
      <c r="F2" s="85">
        <v>2326363258</v>
      </c>
      <c r="G2" s="84" t="s">
        <v>130</v>
      </c>
      <c r="H2" s="84">
        <v>4076238371</v>
      </c>
      <c r="I2" s="84">
        <v>3162138492</v>
      </c>
      <c r="J2" s="84" t="s">
        <v>4</v>
      </c>
      <c r="K2" s="84">
        <v>1029926258</v>
      </c>
      <c r="L2" s="84" t="s">
        <v>96</v>
      </c>
      <c r="M2" s="84" t="s">
        <v>96</v>
      </c>
      <c r="N2" s="84">
        <v>229988384</v>
      </c>
      <c r="O2" s="84">
        <v>7785064146</v>
      </c>
      <c r="P2" s="84">
        <v>6710775260</v>
      </c>
      <c r="Q2" s="84">
        <v>185709616</v>
      </c>
      <c r="R2" s="84" t="s">
        <v>130</v>
      </c>
      <c r="S2" s="84">
        <v>16467500614</v>
      </c>
      <c r="T2" s="84" t="s">
        <v>96</v>
      </c>
      <c r="U2" s="84" t="s">
        <v>96</v>
      </c>
      <c r="V2" s="84" t="s">
        <v>4</v>
      </c>
      <c r="W2" s="84">
        <v>804380550</v>
      </c>
      <c r="X2" s="84">
        <v>8248554347</v>
      </c>
      <c r="Y2" s="84">
        <v>345864724</v>
      </c>
      <c r="Z2" s="84">
        <v>7059536304</v>
      </c>
      <c r="AA2" s="84">
        <v>5725955316</v>
      </c>
      <c r="AB2" s="84">
        <v>147519750</v>
      </c>
      <c r="AC2" s="84">
        <v>2106143326</v>
      </c>
      <c r="AD2" s="84">
        <v>3825618678</v>
      </c>
      <c r="AE2" s="84">
        <v>5754866518</v>
      </c>
      <c r="AF2" s="84" t="s">
        <v>96</v>
      </c>
      <c r="AG2" s="84">
        <v>871522689</v>
      </c>
      <c r="AH2" s="84" t="s">
        <v>130</v>
      </c>
      <c r="AI2" s="84">
        <v>417218261</v>
      </c>
      <c r="AJ2" s="84">
        <v>1031545374</v>
      </c>
      <c r="AK2" s="84">
        <v>2166119551</v>
      </c>
      <c r="AL2" s="84">
        <v>811131927</v>
      </c>
      <c r="AM2" s="84" t="s">
        <v>4</v>
      </c>
      <c r="AN2" s="84">
        <v>2204405924</v>
      </c>
      <c r="AO2" s="84">
        <v>564309801</v>
      </c>
      <c r="AP2" s="84">
        <v>627915435</v>
      </c>
      <c r="AQ2" s="84" t="s">
        <v>4</v>
      </c>
      <c r="AR2" s="84">
        <v>1396230529</v>
      </c>
      <c r="AS2" s="84">
        <v>1891655141</v>
      </c>
      <c r="AT2" s="84" t="s">
        <v>96</v>
      </c>
      <c r="AU2" s="84">
        <v>8418682316</v>
      </c>
      <c r="AV2" s="84">
        <v>753960251</v>
      </c>
      <c r="AW2" s="84">
        <v>658850871</v>
      </c>
      <c r="AX2" s="84" t="s">
        <v>4</v>
      </c>
      <c r="AY2" s="84" t="s">
        <v>96</v>
      </c>
      <c r="AZ2" s="84">
        <v>935289116</v>
      </c>
      <c r="BA2" s="84" t="s">
        <v>130</v>
      </c>
      <c r="BB2" s="84">
        <v>12679703</v>
      </c>
      <c r="BC2" s="84" t="s">
        <v>4</v>
      </c>
      <c r="BD2" s="84" t="s">
        <v>96</v>
      </c>
      <c r="BE2" s="84">
        <v>3437434749</v>
      </c>
      <c r="BF2" s="84" t="s">
        <v>96</v>
      </c>
      <c r="BG2" s="84">
        <v>958177149</v>
      </c>
      <c r="BH2" s="84">
        <v>936713476</v>
      </c>
      <c r="BI2" s="84">
        <v>694629353</v>
      </c>
      <c r="BJ2" s="84">
        <v>858904660</v>
      </c>
      <c r="BK2" s="84">
        <v>3643248474</v>
      </c>
      <c r="BL2" s="84">
        <v>959668455</v>
      </c>
      <c r="BM2" s="84">
        <v>2100733621</v>
      </c>
      <c r="BN2" s="84">
        <v>188188117</v>
      </c>
      <c r="BO2" s="84" t="s">
        <v>96</v>
      </c>
      <c r="BP2" s="84" t="s">
        <v>96</v>
      </c>
      <c r="BQ2" s="84" t="s">
        <v>4</v>
      </c>
      <c r="BR2" s="84">
        <v>11753098040</v>
      </c>
      <c r="BS2" s="84" t="s">
        <v>4</v>
      </c>
      <c r="BT2" s="84" t="s">
        <v>96</v>
      </c>
      <c r="BU2" s="84">
        <v>1507097291</v>
      </c>
      <c r="BV2" s="84">
        <v>718894964</v>
      </c>
      <c r="BW2" s="84">
        <v>9979734</v>
      </c>
      <c r="BX2" s="84">
        <v>222335083</v>
      </c>
      <c r="BY2" s="84">
        <v>1727236853</v>
      </c>
      <c r="BZ2" s="84">
        <v>3398828304</v>
      </c>
      <c r="CA2" s="84">
        <v>3682777057</v>
      </c>
      <c r="CB2" s="84">
        <v>1637089053</v>
      </c>
      <c r="CC2" s="84">
        <v>98625563</v>
      </c>
      <c r="CD2" s="84">
        <v>1379579939</v>
      </c>
      <c r="CE2" s="84" t="s">
        <v>96</v>
      </c>
      <c r="CF2" s="84" t="s">
        <v>96</v>
      </c>
      <c r="CG2" s="84">
        <v>206411838</v>
      </c>
      <c r="CH2" s="84">
        <v>528123929</v>
      </c>
      <c r="CI2" s="84" t="s">
        <v>96</v>
      </c>
      <c r="CJ2" s="84">
        <v>553200706</v>
      </c>
      <c r="CK2" s="84">
        <v>7973255148</v>
      </c>
      <c r="CL2" s="84">
        <v>841686415</v>
      </c>
      <c r="CM2" s="84">
        <v>5180403491</v>
      </c>
      <c r="CN2" s="84">
        <v>64340159</v>
      </c>
      <c r="CO2" s="84">
        <v>104116982</v>
      </c>
      <c r="CP2" s="84" t="s">
        <v>96</v>
      </c>
      <c r="CQ2" s="84" t="s">
        <v>96</v>
      </c>
      <c r="CR2" s="84">
        <v>711017782</v>
      </c>
      <c r="CS2" s="84" t="s">
        <v>96</v>
      </c>
      <c r="CT2" s="84">
        <v>9149761607</v>
      </c>
      <c r="CU2" s="84">
        <v>812815482</v>
      </c>
      <c r="CV2" s="84">
        <v>24146618</v>
      </c>
      <c r="CW2" s="84" t="s">
        <v>96</v>
      </c>
      <c r="CX2" s="84">
        <v>4032934820</v>
      </c>
      <c r="CY2" s="84" t="s">
        <v>96</v>
      </c>
      <c r="CZ2" s="84">
        <v>6221127952</v>
      </c>
      <c r="DA2" s="84" t="s">
        <v>96</v>
      </c>
      <c r="DB2" s="84">
        <v>630976465</v>
      </c>
      <c r="DC2" s="84">
        <v>24949658</v>
      </c>
      <c r="DD2" s="84" t="s">
        <v>96</v>
      </c>
      <c r="DE2" s="84">
        <v>1089750639</v>
      </c>
      <c r="DF2" s="84">
        <v>28398676</v>
      </c>
      <c r="DG2" s="84">
        <v>956574281</v>
      </c>
      <c r="DH2" s="84">
        <v>1135940344</v>
      </c>
      <c r="DI2" s="84">
        <v>7202956763</v>
      </c>
      <c r="DJ2" s="84">
        <v>257826025</v>
      </c>
      <c r="DK2" s="84" t="s">
        <v>96</v>
      </c>
      <c r="DL2" s="84">
        <v>581234472</v>
      </c>
      <c r="DM2" s="84">
        <v>1073346749</v>
      </c>
      <c r="DN2" s="84">
        <v>655912245</v>
      </c>
      <c r="DO2" s="84">
        <v>128590476</v>
      </c>
      <c r="DP2" s="84">
        <v>3296100106</v>
      </c>
      <c r="DQ2" s="84">
        <v>486683316</v>
      </c>
      <c r="DR2" s="84">
        <v>5896173421</v>
      </c>
      <c r="DS2" s="84">
        <v>149452226</v>
      </c>
      <c r="DT2" s="84">
        <v>4324498261</v>
      </c>
      <c r="DU2" s="84">
        <v>137282947</v>
      </c>
      <c r="DV2" s="84">
        <v>4072728336</v>
      </c>
      <c r="DW2" s="84">
        <v>1461822125</v>
      </c>
      <c r="DX2" s="84">
        <v>11726466426</v>
      </c>
      <c r="DY2" s="84">
        <v>1260239926</v>
      </c>
      <c r="DZ2" s="84">
        <v>1031273433</v>
      </c>
      <c r="EA2" s="84">
        <v>106818658</v>
      </c>
      <c r="EB2" s="84">
        <v>7648786836</v>
      </c>
      <c r="EC2" s="84">
        <v>582709712</v>
      </c>
      <c r="ED2" s="84">
        <v>353676878</v>
      </c>
      <c r="EE2" s="84">
        <v>1077223262</v>
      </c>
      <c r="EF2" s="84">
        <v>4785826405</v>
      </c>
      <c r="EG2" s="84">
        <v>15504093755</v>
      </c>
      <c r="EH2" s="84">
        <v>3202759557</v>
      </c>
      <c r="EI2" s="84">
        <v>10921431481</v>
      </c>
      <c r="EJ2" s="84">
        <v>365783739</v>
      </c>
      <c r="EK2" s="84">
        <v>689609335</v>
      </c>
      <c r="EL2" s="84">
        <v>1999483341</v>
      </c>
      <c r="EM2" s="84">
        <v>994304308</v>
      </c>
      <c r="EN2" s="84">
        <v>6594027545</v>
      </c>
      <c r="EO2" s="84">
        <v>230682091</v>
      </c>
      <c r="EP2" s="84">
        <v>671764121</v>
      </c>
      <c r="EQ2" s="84">
        <v>3474707008</v>
      </c>
      <c r="ER2" s="84">
        <v>2794880891</v>
      </c>
      <c r="ES2" s="84">
        <v>1447341968</v>
      </c>
      <c r="ET2" s="84">
        <v>14974793581</v>
      </c>
      <c r="EU2" s="84">
        <v>5636075090</v>
      </c>
      <c r="EV2" s="84">
        <v>369861055</v>
      </c>
      <c r="EW2" s="84">
        <v>1249815733</v>
      </c>
      <c r="EX2" s="84">
        <v>3271142740</v>
      </c>
      <c r="EY2" s="84">
        <v>4621059834</v>
      </c>
      <c r="EZ2" s="84">
        <v>665770540</v>
      </c>
      <c r="FA2" s="84">
        <v>3449137658</v>
      </c>
      <c r="FB2" s="84">
        <v>120844419</v>
      </c>
      <c r="FC2" s="84">
        <v>964490150</v>
      </c>
      <c r="FD2" s="84">
        <v>1319118112</v>
      </c>
      <c r="FE2" s="84">
        <v>9342552994</v>
      </c>
      <c r="FF2" s="84">
        <v>84836907</v>
      </c>
      <c r="FG2" s="84" t="s">
        <v>96</v>
      </c>
      <c r="FH2" s="84">
        <v>2219874513</v>
      </c>
      <c r="FI2" s="84" t="s">
        <v>96</v>
      </c>
      <c r="FJ2" s="84">
        <v>355097553</v>
      </c>
      <c r="FK2" s="84">
        <v>2658472866</v>
      </c>
      <c r="FL2" s="84">
        <v>236808594</v>
      </c>
      <c r="FM2" s="84" t="s">
        <v>130</v>
      </c>
      <c r="FN2" s="84">
        <v>37014513484</v>
      </c>
      <c r="FO2" s="84" t="s">
        <v>96</v>
      </c>
      <c r="FP2" s="84" t="s">
        <v>96</v>
      </c>
      <c r="FQ2" s="84">
        <v>176948384</v>
      </c>
      <c r="FR2" s="84">
        <v>666928820</v>
      </c>
      <c r="FS2" s="84">
        <v>360191174</v>
      </c>
      <c r="FT2" s="84">
        <v>14816672467</v>
      </c>
      <c r="FU2" s="84">
        <v>126203236</v>
      </c>
      <c r="FV2" s="84" t="s">
        <v>96</v>
      </c>
      <c r="FW2" s="84">
        <v>147994281</v>
      </c>
      <c r="FX2" s="84">
        <v>153364029</v>
      </c>
      <c r="FY2" s="84" t="s">
        <v>96</v>
      </c>
      <c r="FZ2" s="84" t="s">
        <v>4</v>
      </c>
      <c r="GA2" s="84">
        <v>1334943458</v>
      </c>
      <c r="GB2" s="84">
        <v>411936359</v>
      </c>
      <c r="GC2" s="84">
        <v>262617352</v>
      </c>
      <c r="GD2" s="84" t="s">
        <v>96</v>
      </c>
      <c r="GE2" s="84" t="s">
        <v>4</v>
      </c>
      <c r="GF2" s="84">
        <v>1349289138</v>
      </c>
      <c r="GG2" s="84">
        <v>4588127009</v>
      </c>
      <c r="GH2" s="84" t="s">
        <v>4</v>
      </c>
      <c r="GI2" s="84">
        <v>275379428</v>
      </c>
      <c r="GJ2" s="84" t="s">
        <v>96</v>
      </c>
      <c r="GK2" s="84">
        <v>456394332</v>
      </c>
      <c r="GL2" s="84" t="s">
        <v>96</v>
      </c>
      <c r="GM2" s="84">
        <v>525123390</v>
      </c>
      <c r="GN2" s="84">
        <v>63290355</v>
      </c>
      <c r="GO2" s="84" t="s">
        <v>96</v>
      </c>
      <c r="GP2" s="84">
        <v>9443120605</v>
      </c>
      <c r="GQ2" s="84">
        <v>727140809</v>
      </c>
      <c r="GR2" s="84">
        <v>3575777121</v>
      </c>
      <c r="GS2" s="84">
        <v>575886062</v>
      </c>
      <c r="GT2" s="84" t="s">
        <v>130</v>
      </c>
      <c r="GU2" s="84">
        <v>72505487</v>
      </c>
      <c r="GV2" s="84">
        <v>4789841351</v>
      </c>
      <c r="GW2" s="84">
        <v>43509852787</v>
      </c>
      <c r="GX2" s="84">
        <v>3002735284</v>
      </c>
      <c r="GY2" s="84">
        <v>1780355254</v>
      </c>
      <c r="GZ2" s="84">
        <v>4430404402</v>
      </c>
      <c r="HA2" s="84" t="s">
        <v>96</v>
      </c>
      <c r="HB2" s="84">
        <v>1440299649</v>
      </c>
      <c r="HC2" s="84" t="s">
        <v>130</v>
      </c>
      <c r="HD2" s="84">
        <v>646911956</v>
      </c>
      <c r="HE2" s="84" t="s">
        <v>96</v>
      </c>
      <c r="HF2" s="84">
        <v>2210797429</v>
      </c>
      <c r="HG2" s="84">
        <v>897093122</v>
      </c>
      <c r="HH2" s="84" t="s">
        <v>96</v>
      </c>
      <c r="HI2" s="84">
        <v>2782658666</v>
      </c>
      <c r="HJ2" s="84" t="s">
        <v>96</v>
      </c>
      <c r="HK2" s="84">
        <v>2335634287</v>
      </c>
      <c r="HL2" s="84">
        <v>2399399376</v>
      </c>
      <c r="HM2" s="84">
        <v>835527384</v>
      </c>
      <c r="HN2" s="84">
        <v>725749826</v>
      </c>
      <c r="HO2" s="84">
        <v>1687324149</v>
      </c>
      <c r="HP2" s="84">
        <v>1121933443</v>
      </c>
      <c r="HQ2" s="84">
        <v>547096103</v>
      </c>
      <c r="HR2" s="84">
        <v>634075784</v>
      </c>
      <c r="HS2" s="84">
        <v>1075291694</v>
      </c>
      <c r="HT2" s="84">
        <v>703261420</v>
      </c>
      <c r="HU2" s="84" t="s">
        <v>130</v>
      </c>
      <c r="HV2" s="84">
        <v>230211321</v>
      </c>
      <c r="HW2" s="84" t="s">
        <v>96</v>
      </c>
      <c r="HX2" s="84">
        <v>6068003437</v>
      </c>
      <c r="HY2" s="84" t="s">
        <v>114</v>
      </c>
      <c r="HZ2" s="84">
        <v>14790640382</v>
      </c>
      <c r="IA2" s="84">
        <v>1085543411</v>
      </c>
      <c r="IB2" s="84">
        <v>6749046024</v>
      </c>
      <c r="IC2" s="84">
        <v>3238169826</v>
      </c>
      <c r="ID2" s="84">
        <v>18596586</v>
      </c>
      <c r="IE2" s="84" t="s">
        <v>96</v>
      </c>
      <c r="IF2" s="84">
        <v>8049395</v>
      </c>
      <c r="IG2" s="84">
        <v>87515900</v>
      </c>
      <c r="IH2" s="84">
        <v>1203504057</v>
      </c>
      <c r="II2" s="84">
        <v>476987127</v>
      </c>
      <c r="IJ2" s="84">
        <v>479243475</v>
      </c>
      <c r="IK2" s="84">
        <v>656394558</v>
      </c>
      <c r="IL2" s="84">
        <v>2536005742</v>
      </c>
      <c r="IM2" s="84">
        <v>1593973265</v>
      </c>
      <c r="IN2" s="84">
        <v>3257212264</v>
      </c>
      <c r="IO2" s="84">
        <v>864507083</v>
      </c>
      <c r="IP2" s="84">
        <v>552581232</v>
      </c>
      <c r="IQ2" s="84">
        <v>878860309</v>
      </c>
      <c r="IR2" s="84">
        <v>1349806251</v>
      </c>
      <c r="IS2" s="84">
        <v>11349270724</v>
      </c>
      <c r="IT2" s="84">
        <v>1450601329</v>
      </c>
      <c r="IU2" s="84">
        <v>2926164429</v>
      </c>
      <c r="IV2" s="84">
        <v>633589078</v>
      </c>
      <c r="IW2" s="84">
        <v>362388591</v>
      </c>
      <c r="IX2" s="84">
        <v>1520842089</v>
      </c>
      <c r="IY2" s="68">
        <v>5269971971</v>
      </c>
      <c r="IZ2" s="68">
        <v>843441109</v>
      </c>
      <c r="JA2" s="68">
        <v>2436388627</v>
      </c>
      <c r="JB2" s="68">
        <v>957853309</v>
      </c>
      <c r="JC2" s="68">
        <v>2750355044</v>
      </c>
      <c r="JD2" s="68">
        <v>863845350</v>
      </c>
      <c r="JE2" s="68">
        <v>273429744</v>
      </c>
      <c r="JF2" s="68">
        <v>1640980922</v>
      </c>
      <c r="JG2" s="68">
        <v>17725082</v>
      </c>
      <c r="JH2" s="68">
        <v>124591669</v>
      </c>
      <c r="JI2" s="68">
        <v>182426892</v>
      </c>
      <c r="JJ2" s="68">
        <v>248371017</v>
      </c>
      <c r="JK2" s="68">
        <v>428367168</v>
      </c>
      <c r="JL2" s="68">
        <v>3487904833</v>
      </c>
      <c r="JM2" s="68">
        <v>817031948</v>
      </c>
      <c r="JN2" s="68">
        <v>6713965547</v>
      </c>
      <c r="JO2" s="68">
        <v>76909040</v>
      </c>
      <c r="JP2" s="68">
        <v>169996694</v>
      </c>
      <c r="JQ2" s="68" t="s">
        <v>4</v>
      </c>
      <c r="JR2" s="68">
        <v>1380633471</v>
      </c>
      <c r="JS2" s="68">
        <v>68943600</v>
      </c>
      <c r="JT2" s="68">
        <v>59614687</v>
      </c>
      <c r="JU2" s="68">
        <v>569563604</v>
      </c>
      <c r="JV2" s="68">
        <v>875442742</v>
      </c>
      <c r="JW2" s="68">
        <v>296070886</v>
      </c>
      <c r="JX2" s="68">
        <v>2634977185</v>
      </c>
      <c r="JY2" s="68">
        <v>1569763524</v>
      </c>
      <c r="JZ2" s="68">
        <v>88877606</v>
      </c>
      <c r="KA2" s="68">
        <v>741816482</v>
      </c>
      <c r="KB2" s="68">
        <v>9566877101</v>
      </c>
      <c r="KC2" s="68">
        <v>458324478</v>
      </c>
      <c r="KD2" s="68">
        <v>677052225</v>
      </c>
      <c r="KE2" s="68">
        <v>101692191</v>
      </c>
      <c r="KF2" s="68">
        <v>1273808910</v>
      </c>
      <c r="KG2" s="68">
        <v>959708559</v>
      </c>
      <c r="KH2" s="68">
        <v>1027735671</v>
      </c>
      <c r="KI2" s="68">
        <v>423019767</v>
      </c>
      <c r="KJ2" s="68">
        <v>1965918741</v>
      </c>
      <c r="KK2" s="68">
        <v>8915306969</v>
      </c>
      <c r="KL2" s="68">
        <v>55576861811</v>
      </c>
      <c r="KM2" s="68">
        <v>408929983</v>
      </c>
      <c r="KN2" s="68">
        <v>21548086615</v>
      </c>
      <c r="KO2" s="68">
        <v>4001699402</v>
      </c>
      <c r="KP2" s="68">
        <v>624936409</v>
      </c>
      <c r="KQ2" s="68">
        <v>124123182</v>
      </c>
      <c r="KR2" s="68">
        <v>469357290</v>
      </c>
      <c r="KS2" s="68">
        <v>1749986397</v>
      </c>
      <c r="KT2" s="68">
        <v>982349441</v>
      </c>
      <c r="KU2" s="68">
        <v>8151155963</v>
      </c>
      <c r="KV2" s="68">
        <v>131952289</v>
      </c>
      <c r="KW2" s="68">
        <v>695865259</v>
      </c>
      <c r="KX2" s="68">
        <v>364800384</v>
      </c>
      <c r="KY2" s="68">
        <v>2120488815</v>
      </c>
      <c r="KZ2" s="68">
        <v>1812567969</v>
      </c>
      <c r="LA2" s="68">
        <v>776467554</v>
      </c>
      <c r="LB2" s="68">
        <v>103263499</v>
      </c>
      <c r="LC2" s="102">
        <v>906942797</v>
      </c>
      <c r="LD2" s="102">
        <v>576459302</v>
      </c>
      <c r="LE2" s="102">
        <v>1291587523</v>
      </c>
      <c r="LF2" s="102">
        <v>581211776</v>
      </c>
      <c r="LG2" s="102">
        <v>526443399</v>
      </c>
      <c r="LH2" s="102" t="s">
        <v>187</v>
      </c>
      <c r="LI2" s="102">
        <v>448239546</v>
      </c>
      <c r="LJ2" s="102" t="s">
        <v>187</v>
      </c>
      <c r="LK2" s="102">
        <v>1470942772</v>
      </c>
      <c r="LL2" s="102" t="s">
        <v>187</v>
      </c>
    </row>
    <row r="3" spans="1:324" ht="17.55" customHeight="1">
      <c r="A3" s="67" t="s">
        <v>184</v>
      </c>
      <c r="B3" s="83" t="s">
        <v>84</v>
      </c>
      <c r="C3" s="84">
        <v>406896296</v>
      </c>
      <c r="D3" s="84">
        <v>2824620556</v>
      </c>
      <c r="E3" s="84">
        <v>802130323</v>
      </c>
      <c r="F3" s="85">
        <v>1092089490</v>
      </c>
      <c r="G3" s="84" t="s">
        <v>130</v>
      </c>
      <c r="H3" s="84">
        <v>770940744</v>
      </c>
      <c r="I3" s="84">
        <v>1476346258</v>
      </c>
      <c r="J3" s="84" t="s">
        <v>4</v>
      </c>
      <c r="K3" s="84">
        <v>704885135</v>
      </c>
      <c r="L3" s="84" t="s">
        <v>96</v>
      </c>
      <c r="M3" s="84" t="s">
        <v>96</v>
      </c>
      <c r="N3" s="84">
        <v>163568279</v>
      </c>
      <c r="O3" s="84">
        <v>2895494300</v>
      </c>
      <c r="P3" s="84">
        <v>1266368416</v>
      </c>
      <c r="Q3" s="84">
        <v>168575784</v>
      </c>
      <c r="R3" s="84" t="s">
        <v>130</v>
      </c>
      <c r="S3" s="84">
        <v>2729750050</v>
      </c>
      <c r="T3" s="84" t="s">
        <v>96</v>
      </c>
      <c r="U3" s="84" t="s">
        <v>96</v>
      </c>
      <c r="V3" s="84" t="s">
        <v>4</v>
      </c>
      <c r="W3" s="84">
        <v>13638218</v>
      </c>
      <c r="X3" s="84">
        <v>3071719770</v>
      </c>
      <c r="Y3" s="84">
        <v>90797007</v>
      </c>
      <c r="Z3" s="84">
        <v>342150366</v>
      </c>
      <c r="AA3" s="84">
        <v>3191103967</v>
      </c>
      <c r="AB3" s="84">
        <v>92700902</v>
      </c>
      <c r="AC3" s="84">
        <v>946917895</v>
      </c>
      <c r="AD3" s="84">
        <v>946709464</v>
      </c>
      <c r="AE3" s="84">
        <v>877539029</v>
      </c>
      <c r="AF3" s="84" t="s">
        <v>96</v>
      </c>
      <c r="AG3" s="84">
        <v>358845090</v>
      </c>
      <c r="AH3" s="84" t="s">
        <v>130</v>
      </c>
      <c r="AI3" s="84">
        <v>56139030</v>
      </c>
      <c r="AJ3" s="84">
        <v>835030273</v>
      </c>
      <c r="AK3" s="84">
        <v>1944674419</v>
      </c>
      <c r="AL3" s="84">
        <v>340401376</v>
      </c>
      <c r="AM3" s="84" t="s">
        <v>4</v>
      </c>
      <c r="AN3" s="84">
        <v>298123970</v>
      </c>
      <c r="AO3" s="84">
        <v>285913533</v>
      </c>
      <c r="AP3" s="84">
        <v>625977912</v>
      </c>
      <c r="AQ3" s="84" t="s">
        <v>4</v>
      </c>
      <c r="AR3" s="84">
        <v>771619835</v>
      </c>
      <c r="AS3" s="84">
        <v>804987558</v>
      </c>
      <c r="AT3" s="84" t="s">
        <v>96</v>
      </c>
      <c r="AU3" s="84">
        <v>1027908321</v>
      </c>
      <c r="AV3" s="84">
        <v>485879960</v>
      </c>
      <c r="AW3" s="84">
        <v>108286983</v>
      </c>
      <c r="AX3" s="84" t="s">
        <v>4</v>
      </c>
      <c r="AY3" s="84" t="s">
        <v>96</v>
      </c>
      <c r="AZ3" s="84">
        <v>206284528</v>
      </c>
      <c r="BA3" s="84" t="s">
        <v>130</v>
      </c>
      <c r="BB3" s="84">
        <v>479038</v>
      </c>
      <c r="BC3" s="84" t="s">
        <v>4</v>
      </c>
      <c r="BD3" s="84" t="s">
        <v>96</v>
      </c>
      <c r="BE3" s="84">
        <v>399026464</v>
      </c>
      <c r="BF3" s="84" t="s">
        <v>96</v>
      </c>
      <c r="BG3" s="84">
        <v>830102089</v>
      </c>
      <c r="BH3" s="84">
        <v>233317834</v>
      </c>
      <c r="BI3" s="84">
        <v>620343392</v>
      </c>
      <c r="BJ3" s="84">
        <v>694027846</v>
      </c>
      <c r="BK3" s="84">
        <v>2180696277</v>
      </c>
      <c r="BL3" s="84">
        <v>850390942</v>
      </c>
      <c r="BM3" s="84">
        <v>1174851633</v>
      </c>
      <c r="BN3" s="84">
        <v>82849576</v>
      </c>
      <c r="BO3" s="84" t="s">
        <v>96</v>
      </c>
      <c r="BP3" s="84" t="s">
        <v>96</v>
      </c>
      <c r="BQ3" s="84" t="s">
        <v>4</v>
      </c>
      <c r="BR3" s="84">
        <v>5680219439</v>
      </c>
      <c r="BS3" s="84" t="s">
        <v>4</v>
      </c>
      <c r="BT3" s="84" t="s">
        <v>96</v>
      </c>
      <c r="BU3" s="84">
        <v>786805011</v>
      </c>
      <c r="BV3" s="84">
        <v>694278964</v>
      </c>
      <c r="BW3" s="84">
        <v>9465734</v>
      </c>
      <c r="BX3" s="84">
        <v>157246605</v>
      </c>
      <c r="BY3" s="84">
        <v>1250974321</v>
      </c>
      <c r="BZ3" s="84">
        <v>1427521402</v>
      </c>
      <c r="CA3" s="84">
        <v>2173008821</v>
      </c>
      <c r="CB3" s="84">
        <v>184889465</v>
      </c>
      <c r="CC3" s="84">
        <v>88075563</v>
      </c>
      <c r="CD3" s="84">
        <v>1351553302</v>
      </c>
      <c r="CE3" s="84" t="s">
        <v>96</v>
      </c>
      <c r="CF3" s="84" t="s">
        <v>96</v>
      </c>
      <c r="CG3" s="84">
        <v>112806319</v>
      </c>
      <c r="CH3" s="84">
        <v>405547475</v>
      </c>
      <c r="CI3" s="84" t="s">
        <v>96</v>
      </c>
      <c r="CJ3" s="84">
        <v>499705201</v>
      </c>
      <c r="CK3" s="84">
        <v>719100343</v>
      </c>
      <c r="CL3" s="84">
        <v>195710433</v>
      </c>
      <c r="CM3" s="84">
        <v>3902979103</v>
      </c>
      <c r="CN3" s="84">
        <v>52045568</v>
      </c>
      <c r="CO3" s="84">
        <v>90351607</v>
      </c>
      <c r="CP3" s="84" t="s">
        <v>96</v>
      </c>
      <c r="CQ3" s="84" t="s">
        <v>96</v>
      </c>
      <c r="CR3" s="84">
        <v>569046270</v>
      </c>
      <c r="CS3" s="84" t="s">
        <v>96</v>
      </c>
      <c r="CT3" s="84">
        <v>8526491249</v>
      </c>
      <c r="CU3" s="84">
        <v>431694534</v>
      </c>
      <c r="CV3" s="84">
        <v>21396618</v>
      </c>
      <c r="CW3" s="84" t="s">
        <v>96</v>
      </c>
      <c r="CX3" s="84">
        <v>3115607218</v>
      </c>
      <c r="CY3" s="84" t="s">
        <v>96</v>
      </c>
      <c r="CZ3" s="84">
        <v>1130448107</v>
      </c>
      <c r="DA3" s="84" t="s">
        <v>96</v>
      </c>
      <c r="DB3" s="84">
        <v>586129558</v>
      </c>
      <c r="DC3" s="84">
        <v>19926223</v>
      </c>
      <c r="DD3" s="84" t="s">
        <v>96</v>
      </c>
      <c r="DE3" s="84">
        <v>36269484</v>
      </c>
      <c r="DF3" s="84">
        <v>19145245</v>
      </c>
      <c r="DG3" s="84">
        <v>192108306</v>
      </c>
      <c r="DH3" s="84">
        <v>575589522</v>
      </c>
      <c r="DI3" s="84">
        <v>2075270209</v>
      </c>
      <c r="DJ3" s="84">
        <v>234810217</v>
      </c>
      <c r="DK3" s="84" t="s">
        <v>96</v>
      </c>
      <c r="DL3" s="84">
        <v>475886380</v>
      </c>
      <c r="DM3" s="84">
        <v>496842725</v>
      </c>
      <c r="DN3" s="84">
        <v>202814910</v>
      </c>
      <c r="DO3" s="84">
        <v>1949977</v>
      </c>
      <c r="DP3" s="84">
        <v>947142065</v>
      </c>
      <c r="DQ3" s="84">
        <v>466667316</v>
      </c>
      <c r="DR3" s="84">
        <v>666869548</v>
      </c>
      <c r="DS3" s="84">
        <v>80666919</v>
      </c>
      <c r="DT3" s="84">
        <v>1177452793</v>
      </c>
      <c r="DU3" s="84">
        <v>96481302</v>
      </c>
      <c r="DV3" s="84">
        <v>1904356383</v>
      </c>
      <c r="DW3" s="84">
        <v>364995466</v>
      </c>
      <c r="DX3" s="84">
        <v>10009104426</v>
      </c>
      <c r="DY3" s="84">
        <v>646315825</v>
      </c>
      <c r="DZ3" s="84">
        <v>771878376</v>
      </c>
      <c r="EA3" s="84">
        <v>71559644</v>
      </c>
      <c r="EB3" s="84">
        <v>2048747622</v>
      </c>
      <c r="EC3" s="84">
        <v>565134268</v>
      </c>
      <c r="ED3" s="84">
        <v>102631288</v>
      </c>
      <c r="EE3" s="84">
        <v>825394610</v>
      </c>
      <c r="EF3" s="84">
        <v>461082870</v>
      </c>
      <c r="EG3" s="84">
        <v>14219428914</v>
      </c>
      <c r="EH3" s="84">
        <v>133939483</v>
      </c>
      <c r="EI3" s="84">
        <v>8799130879</v>
      </c>
      <c r="EJ3" s="84">
        <v>353527502</v>
      </c>
      <c r="EK3" s="84">
        <v>573829257</v>
      </c>
      <c r="EL3" s="84">
        <v>1646948676</v>
      </c>
      <c r="EM3" s="84">
        <v>662467964</v>
      </c>
      <c r="EN3" s="84">
        <v>1467493701</v>
      </c>
      <c r="EO3" s="84">
        <v>96374947</v>
      </c>
      <c r="EP3" s="84">
        <v>355312950</v>
      </c>
      <c r="EQ3" s="84">
        <v>3436464208</v>
      </c>
      <c r="ER3" s="84">
        <v>1628537096</v>
      </c>
      <c r="ES3" s="84">
        <v>1076429521</v>
      </c>
      <c r="ET3" s="84">
        <v>10395574400</v>
      </c>
      <c r="EU3" s="84">
        <v>5142379519</v>
      </c>
      <c r="EV3" s="84">
        <v>367013350</v>
      </c>
      <c r="EW3" s="84">
        <v>430138632</v>
      </c>
      <c r="EX3" s="84">
        <v>553945729</v>
      </c>
      <c r="EY3" s="84">
        <v>1233788109</v>
      </c>
      <c r="EZ3" s="84">
        <v>409887058</v>
      </c>
      <c r="FA3" s="84">
        <v>88628818</v>
      </c>
      <c r="FB3" s="84">
        <v>48132843</v>
      </c>
      <c r="FC3" s="84">
        <v>382970376</v>
      </c>
      <c r="FD3" s="84">
        <v>120802069</v>
      </c>
      <c r="FE3" s="84">
        <v>6559072405</v>
      </c>
      <c r="FF3" s="84">
        <v>71933574</v>
      </c>
      <c r="FG3" s="84" t="s">
        <v>96</v>
      </c>
      <c r="FH3" s="84">
        <v>397673469</v>
      </c>
      <c r="FI3" s="84" t="s">
        <v>96</v>
      </c>
      <c r="FJ3" s="84">
        <v>269021806</v>
      </c>
      <c r="FK3" s="84">
        <v>1125867798</v>
      </c>
      <c r="FL3" s="84">
        <v>85451637</v>
      </c>
      <c r="FM3" s="84" t="s">
        <v>130</v>
      </c>
      <c r="FN3" s="84">
        <v>12431648141</v>
      </c>
      <c r="FO3" s="84" t="s">
        <v>96</v>
      </c>
      <c r="FP3" s="84" t="s">
        <v>96</v>
      </c>
      <c r="FQ3" s="84">
        <v>106399049</v>
      </c>
      <c r="FR3" s="84">
        <v>392433143</v>
      </c>
      <c r="FS3" s="84">
        <v>143777182</v>
      </c>
      <c r="FT3" s="84">
        <v>10817563675</v>
      </c>
      <c r="FU3" s="84">
        <v>126203236</v>
      </c>
      <c r="FV3" s="84" t="s">
        <v>96</v>
      </c>
      <c r="FW3" s="84">
        <v>140240009</v>
      </c>
      <c r="FX3" s="84">
        <v>60437305</v>
      </c>
      <c r="FY3" s="84" t="s">
        <v>96</v>
      </c>
      <c r="FZ3" s="84" t="s">
        <v>4</v>
      </c>
      <c r="GA3" s="84">
        <v>644833186</v>
      </c>
      <c r="GB3" s="84">
        <v>184489677</v>
      </c>
      <c r="GC3" s="84">
        <v>211843001</v>
      </c>
      <c r="GD3" s="84" t="s">
        <v>96</v>
      </c>
      <c r="GE3" s="84" t="s">
        <v>4</v>
      </c>
      <c r="GF3" s="84">
        <v>845532333</v>
      </c>
      <c r="GG3" s="84">
        <v>2791366726</v>
      </c>
      <c r="GH3" s="84" t="s">
        <v>4</v>
      </c>
      <c r="GI3" s="84">
        <v>242428463</v>
      </c>
      <c r="GJ3" s="84" t="s">
        <v>96</v>
      </c>
      <c r="GK3" s="84">
        <v>110868468</v>
      </c>
      <c r="GL3" s="84" t="s">
        <v>96</v>
      </c>
      <c r="GM3" s="84">
        <v>432361676</v>
      </c>
      <c r="GN3" s="84">
        <v>63290355</v>
      </c>
      <c r="GO3" s="84" t="s">
        <v>96</v>
      </c>
      <c r="GP3" s="84">
        <v>3322243776</v>
      </c>
      <c r="GQ3" s="84">
        <v>656295459</v>
      </c>
      <c r="GR3" s="84">
        <v>1490841537</v>
      </c>
      <c r="GS3" s="84">
        <v>226640672</v>
      </c>
      <c r="GT3" s="84" t="s">
        <v>130</v>
      </c>
      <c r="GU3" s="84">
        <v>42505487</v>
      </c>
      <c r="GV3" s="84">
        <v>1260671347</v>
      </c>
      <c r="GW3" s="84">
        <v>7961006544</v>
      </c>
      <c r="GX3" s="84">
        <v>681397400</v>
      </c>
      <c r="GY3" s="84">
        <v>592698625</v>
      </c>
      <c r="GZ3" s="84">
        <v>363102554</v>
      </c>
      <c r="HA3" s="84" t="s">
        <v>96</v>
      </c>
      <c r="HB3" s="84">
        <v>1427324649</v>
      </c>
      <c r="HC3" s="84" t="s">
        <v>130</v>
      </c>
      <c r="HD3" s="84">
        <v>569199781</v>
      </c>
      <c r="HE3" s="84" t="s">
        <v>96</v>
      </c>
      <c r="HF3" s="84">
        <v>846408707</v>
      </c>
      <c r="HG3" s="84">
        <v>881286904</v>
      </c>
      <c r="HH3" s="84" t="s">
        <v>96</v>
      </c>
      <c r="HI3" s="84">
        <v>677374552</v>
      </c>
      <c r="HJ3" s="84" t="s">
        <v>96</v>
      </c>
      <c r="HK3" s="84">
        <v>1548330744</v>
      </c>
      <c r="HL3" s="84">
        <v>2285972109</v>
      </c>
      <c r="HM3" s="84">
        <v>136200983</v>
      </c>
      <c r="HN3" s="84">
        <v>343774476</v>
      </c>
      <c r="HO3" s="84">
        <v>910068586</v>
      </c>
      <c r="HP3" s="84">
        <v>587824055</v>
      </c>
      <c r="HQ3" s="84">
        <v>493161269</v>
      </c>
      <c r="HR3" s="84">
        <v>521815813</v>
      </c>
      <c r="HS3" s="84">
        <v>797433449</v>
      </c>
      <c r="HT3" s="84">
        <v>672006255</v>
      </c>
      <c r="HU3" s="84" t="s">
        <v>130</v>
      </c>
      <c r="HV3" s="84">
        <v>168909474</v>
      </c>
      <c r="HW3" s="84" t="s">
        <v>96</v>
      </c>
      <c r="HX3" s="84">
        <v>1946879190</v>
      </c>
      <c r="HY3" s="84" t="s">
        <v>114</v>
      </c>
      <c r="HZ3" s="84">
        <v>7224408471</v>
      </c>
      <c r="IA3" s="84">
        <v>122209855</v>
      </c>
      <c r="IB3" s="84">
        <v>1560348491</v>
      </c>
      <c r="IC3" s="84">
        <v>2058816204</v>
      </c>
      <c r="ID3" s="84">
        <v>17595823</v>
      </c>
      <c r="IE3" s="84" t="s">
        <v>96</v>
      </c>
      <c r="IF3" s="84">
        <v>7720439</v>
      </c>
      <c r="IG3" s="84">
        <v>71378788</v>
      </c>
      <c r="IH3" s="84">
        <v>936844543</v>
      </c>
      <c r="II3" s="84">
        <v>72829241</v>
      </c>
      <c r="IJ3" s="84">
        <v>139791585</v>
      </c>
      <c r="IK3" s="84">
        <v>381342236</v>
      </c>
      <c r="IL3" s="84">
        <v>680243864</v>
      </c>
      <c r="IM3" s="84">
        <v>506966847</v>
      </c>
      <c r="IN3" s="84">
        <v>609756842</v>
      </c>
      <c r="IO3" s="84">
        <v>755960288</v>
      </c>
      <c r="IP3" s="84">
        <v>406208268</v>
      </c>
      <c r="IQ3" s="84">
        <v>792423281</v>
      </c>
      <c r="IR3" s="84">
        <v>1198253548</v>
      </c>
      <c r="IS3" s="84">
        <v>863068455</v>
      </c>
      <c r="IT3" s="84">
        <v>315457986</v>
      </c>
      <c r="IU3" s="84">
        <v>2638922420</v>
      </c>
      <c r="IV3" s="84">
        <v>357615123</v>
      </c>
      <c r="IW3" s="84">
        <v>281520737</v>
      </c>
      <c r="IX3" s="84">
        <v>446881933</v>
      </c>
      <c r="IY3" s="68">
        <v>1271506510</v>
      </c>
      <c r="IZ3" s="68">
        <v>452989617</v>
      </c>
      <c r="JA3" s="68">
        <v>2142022246</v>
      </c>
      <c r="JB3" s="68">
        <v>892719898</v>
      </c>
      <c r="JC3" s="68">
        <v>266424198</v>
      </c>
      <c r="JD3" s="68">
        <v>806163037</v>
      </c>
      <c r="JE3" s="68">
        <v>246139914</v>
      </c>
      <c r="JF3" s="68">
        <v>609538583</v>
      </c>
      <c r="JG3" s="68">
        <v>11361137</v>
      </c>
      <c r="JH3" s="68">
        <v>74854553</v>
      </c>
      <c r="JI3" s="68">
        <v>123967066</v>
      </c>
      <c r="JJ3" s="68">
        <v>54373518</v>
      </c>
      <c r="JK3" s="68">
        <v>152529974</v>
      </c>
      <c r="JL3" s="68">
        <v>938656345</v>
      </c>
      <c r="JM3" s="68">
        <v>179111288</v>
      </c>
      <c r="JN3" s="68">
        <v>4340368819</v>
      </c>
      <c r="JO3" s="68">
        <v>29369901</v>
      </c>
      <c r="JP3" s="68">
        <v>135049040</v>
      </c>
      <c r="JQ3" s="68" t="s">
        <v>4</v>
      </c>
      <c r="JR3" s="68">
        <v>737100321</v>
      </c>
      <c r="JS3" s="68">
        <v>43735030</v>
      </c>
      <c r="JT3" s="68">
        <v>47776772</v>
      </c>
      <c r="JU3" s="68">
        <v>335892885</v>
      </c>
      <c r="JV3" s="68">
        <v>782828983</v>
      </c>
      <c r="JW3" s="68">
        <v>206070886</v>
      </c>
      <c r="JX3" s="68">
        <v>2403168780</v>
      </c>
      <c r="JY3" s="68">
        <v>1151840725</v>
      </c>
      <c r="JZ3" s="68">
        <v>49137035</v>
      </c>
      <c r="KA3" s="68">
        <v>726094815</v>
      </c>
      <c r="KB3" s="68">
        <v>3571856273</v>
      </c>
      <c r="KC3" s="68">
        <v>438825536</v>
      </c>
      <c r="KD3" s="68">
        <v>611682410</v>
      </c>
      <c r="KE3" s="68">
        <v>39602253</v>
      </c>
      <c r="KF3" s="68">
        <v>1030077243</v>
      </c>
      <c r="KG3" s="68">
        <v>805599843</v>
      </c>
      <c r="KH3" s="68">
        <v>58457539</v>
      </c>
      <c r="KI3" s="68">
        <v>418778784</v>
      </c>
      <c r="KJ3" s="68">
        <v>665160235</v>
      </c>
      <c r="KK3" s="68">
        <v>2195940841</v>
      </c>
      <c r="KL3" s="68">
        <v>25163920441</v>
      </c>
      <c r="KM3" s="68">
        <v>297709577</v>
      </c>
      <c r="KN3" s="68">
        <v>21277471514</v>
      </c>
      <c r="KO3" s="68">
        <v>419389328</v>
      </c>
      <c r="KP3" s="68">
        <v>574333409</v>
      </c>
      <c r="KQ3" s="68">
        <v>72332702</v>
      </c>
      <c r="KR3" s="68">
        <v>220471923</v>
      </c>
      <c r="KS3" s="68">
        <v>592662280</v>
      </c>
      <c r="KT3" s="68">
        <v>53448145</v>
      </c>
      <c r="KU3" s="68">
        <v>2123692902</v>
      </c>
      <c r="KV3" s="68">
        <v>96729245</v>
      </c>
      <c r="KW3" s="68">
        <v>446937987</v>
      </c>
      <c r="KX3" s="68">
        <v>287232655</v>
      </c>
      <c r="KY3" s="68">
        <v>1355961535</v>
      </c>
      <c r="KZ3" s="68">
        <v>737602017</v>
      </c>
      <c r="LA3" s="68">
        <v>699126330</v>
      </c>
      <c r="LB3" s="68">
        <v>47807099</v>
      </c>
      <c r="LC3" s="102">
        <v>810494370</v>
      </c>
      <c r="LD3" s="102">
        <v>366957975</v>
      </c>
      <c r="LE3" s="102">
        <v>958241727</v>
      </c>
      <c r="LF3" s="102">
        <v>14340869</v>
      </c>
      <c r="LG3" s="102">
        <v>145313966</v>
      </c>
      <c r="LH3" s="102" t="s">
        <v>187</v>
      </c>
      <c r="LI3" s="102">
        <v>333508365</v>
      </c>
      <c r="LJ3" s="102" t="s">
        <v>187</v>
      </c>
      <c r="LK3" s="102">
        <v>1431710825</v>
      </c>
      <c r="LL3" s="102" t="s">
        <v>187</v>
      </c>
    </row>
    <row r="4" spans="1:324" ht="17.55" customHeight="1">
      <c r="A4" s="67" t="s">
        <v>184</v>
      </c>
      <c r="B4" s="87" t="s">
        <v>23</v>
      </c>
      <c r="C4" s="84">
        <v>406875626</v>
      </c>
      <c r="D4" s="84">
        <v>2795211994</v>
      </c>
      <c r="E4" s="84">
        <v>715169223</v>
      </c>
      <c r="F4" s="85">
        <v>1092089490</v>
      </c>
      <c r="G4" s="84" t="s">
        <v>130</v>
      </c>
      <c r="H4" s="84">
        <v>763558961</v>
      </c>
      <c r="I4" s="84">
        <v>1469523863</v>
      </c>
      <c r="J4" s="84" t="s">
        <v>4</v>
      </c>
      <c r="K4" s="84">
        <v>704885135</v>
      </c>
      <c r="L4" s="84" t="s">
        <v>96</v>
      </c>
      <c r="M4" s="84" t="s">
        <v>96</v>
      </c>
      <c r="N4" s="84">
        <v>155641505</v>
      </c>
      <c r="O4" s="84">
        <v>2796560652</v>
      </c>
      <c r="P4" s="84">
        <v>1176717682</v>
      </c>
      <c r="Q4" s="84">
        <v>142065784</v>
      </c>
      <c r="R4" s="84" t="s">
        <v>130</v>
      </c>
      <c r="S4" s="84">
        <v>2044023081</v>
      </c>
      <c r="T4" s="84" t="s">
        <v>96</v>
      </c>
      <c r="U4" s="84" t="s">
        <v>96</v>
      </c>
      <c r="V4" s="84" t="s">
        <v>4</v>
      </c>
      <c r="W4" s="84">
        <v>13638218</v>
      </c>
      <c r="X4" s="84">
        <v>3071719770</v>
      </c>
      <c r="Y4" s="84">
        <v>90795127</v>
      </c>
      <c r="Z4" s="84">
        <v>193562366</v>
      </c>
      <c r="AA4" s="84">
        <v>2409491125</v>
      </c>
      <c r="AB4" s="84">
        <v>91190285</v>
      </c>
      <c r="AC4" s="84">
        <v>939579954</v>
      </c>
      <c r="AD4" s="84">
        <v>727341564</v>
      </c>
      <c r="AE4" s="84">
        <v>407566270</v>
      </c>
      <c r="AF4" s="84" t="s">
        <v>96</v>
      </c>
      <c r="AG4" s="84">
        <v>358845090</v>
      </c>
      <c r="AH4" s="84" t="s">
        <v>130</v>
      </c>
      <c r="AI4" s="84">
        <v>55605451</v>
      </c>
      <c r="AJ4" s="84">
        <v>253320560</v>
      </c>
      <c r="AK4" s="84">
        <v>1779074419</v>
      </c>
      <c r="AL4" s="84">
        <v>340401376</v>
      </c>
      <c r="AM4" s="84" t="s">
        <v>4</v>
      </c>
      <c r="AN4" s="84">
        <v>298123970</v>
      </c>
      <c r="AO4" s="84">
        <v>260497874</v>
      </c>
      <c r="AP4" s="84">
        <v>625241655</v>
      </c>
      <c r="AQ4" s="84" t="s">
        <v>4</v>
      </c>
      <c r="AR4" s="84">
        <v>162748066</v>
      </c>
      <c r="AS4" s="84">
        <v>804987558</v>
      </c>
      <c r="AT4" s="84" t="s">
        <v>96</v>
      </c>
      <c r="AU4" s="84">
        <v>1027908321</v>
      </c>
      <c r="AV4" s="84">
        <v>485879960</v>
      </c>
      <c r="AW4" s="84">
        <v>108286983</v>
      </c>
      <c r="AX4" s="84" t="s">
        <v>4</v>
      </c>
      <c r="AY4" s="84" t="s">
        <v>96</v>
      </c>
      <c r="AZ4" s="84">
        <v>206284528</v>
      </c>
      <c r="BA4" s="84" t="s">
        <v>130</v>
      </c>
      <c r="BB4" s="84">
        <v>479038</v>
      </c>
      <c r="BC4" s="84" t="s">
        <v>4</v>
      </c>
      <c r="BD4" s="84" t="s">
        <v>96</v>
      </c>
      <c r="BE4" s="84">
        <v>271319076</v>
      </c>
      <c r="BF4" s="84" t="s">
        <v>96</v>
      </c>
      <c r="BG4" s="84">
        <v>594319316</v>
      </c>
      <c r="BH4" s="84">
        <v>70745079</v>
      </c>
      <c r="BI4" s="84">
        <v>395502497</v>
      </c>
      <c r="BJ4" s="84">
        <v>384614701</v>
      </c>
      <c r="BK4" s="84">
        <v>1769475156</v>
      </c>
      <c r="BL4" s="84">
        <v>850390942</v>
      </c>
      <c r="BM4" s="84">
        <v>1085833771</v>
      </c>
      <c r="BN4" s="84">
        <v>82849576</v>
      </c>
      <c r="BO4" s="84" t="s">
        <v>96</v>
      </c>
      <c r="BP4" s="84" t="s">
        <v>96</v>
      </c>
      <c r="BQ4" s="84" t="s">
        <v>4</v>
      </c>
      <c r="BR4" s="84">
        <v>4080665181</v>
      </c>
      <c r="BS4" s="84" t="s">
        <v>4</v>
      </c>
      <c r="BT4" s="84" t="s">
        <v>96</v>
      </c>
      <c r="BU4" s="84">
        <v>137464929</v>
      </c>
      <c r="BV4" s="84">
        <v>694278964</v>
      </c>
      <c r="BW4" s="84">
        <v>9465734</v>
      </c>
      <c r="BX4" s="84">
        <v>157246605</v>
      </c>
      <c r="BY4" s="84">
        <v>877578475</v>
      </c>
      <c r="BZ4" s="84">
        <v>1132171764</v>
      </c>
      <c r="CA4" s="84">
        <v>2172343784</v>
      </c>
      <c r="CB4" s="84">
        <v>142945379</v>
      </c>
      <c r="CC4" s="84">
        <v>63298371</v>
      </c>
      <c r="CD4" s="84">
        <v>1324241547</v>
      </c>
      <c r="CE4" s="84" t="s">
        <v>96</v>
      </c>
      <c r="CF4" s="84" t="s">
        <v>96</v>
      </c>
      <c r="CG4" s="84">
        <v>112806319</v>
      </c>
      <c r="CH4" s="84">
        <v>316671341</v>
      </c>
      <c r="CI4" s="84" t="s">
        <v>96</v>
      </c>
      <c r="CJ4" s="84">
        <v>44657491</v>
      </c>
      <c r="CK4" s="84">
        <v>674367713</v>
      </c>
      <c r="CL4" s="84">
        <v>26818825</v>
      </c>
      <c r="CM4" s="84">
        <v>3902979103</v>
      </c>
      <c r="CN4" s="84">
        <v>34112410</v>
      </c>
      <c r="CO4" s="84">
        <v>90351607</v>
      </c>
      <c r="CP4" s="84" t="s">
        <v>96</v>
      </c>
      <c r="CQ4" s="84" t="s">
        <v>96</v>
      </c>
      <c r="CR4" s="84">
        <v>545073231</v>
      </c>
      <c r="CS4" s="84" t="s">
        <v>96</v>
      </c>
      <c r="CT4" s="84">
        <v>8526491249</v>
      </c>
      <c r="CU4" s="84">
        <v>431694534</v>
      </c>
      <c r="CV4" s="84">
        <v>21396618</v>
      </c>
      <c r="CW4" s="84" t="s">
        <v>96</v>
      </c>
      <c r="CX4" s="84">
        <v>3115607218</v>
      </c>
      <c r="CY4" s="84" t="s">
        <v>96</v>
      </c>
      <c r="CZ4" s="84">
        <v>967617278</v>
      </c>
      <c r="DA4" s="84" t="s">
        <v>96</v>
      </c>
      <c r="DB4" s="84">
        <v>586129558</v>
      </c>
      <c r="DC4" s="84">
        <v>19926223</v>
      </c>
      <c r="DD4" s="84" t="s">
        <v>96</v>
      </c>
      <c r="DE4" s="84">
        <v>36269484</v>
      </c>
      <c r="DF4" s="84">
        <v>11456836</v>
      </c>
      <c r="DG4" s="84">
        <v>192108306</v>
      </c>
      <c r="DH4" s="84">
        <v>575589522</v>
      </c>
      <c r="DI4" s="84">
        <v>1790722409</v>
      </c>
      <c r="DJ4" s="84">
        <v>230745617</v>
      </c>
      <c r="DK4" s="84" t="s">
        <v>96</v>
      </c>
      <c r="DL4" s="84">
        <v>470532000</v>
      </c>
      <c r="DM4" s="84">
        <v>286919901</v>
      </c>
      <c r="DN4" s="84">
        <v>189117542</v>
      </c>
      <c r="DO4" s="84">
        <v>1949977</v>
      </c>
      <c r="DP4" s="84">
        <v>762357905</v>
      </c>
      <c r="DQ4" s="84">
        <v>360932872</v>
      </c>
      <c r="DR4" s="84">
        <v>449773041</v>
      </c>
      <c r="DS4" s="84">
        <v>80645899</v>
      </c>
      <c r="DT4" s="84">
        <v>1072229946</v>
      </c>
      <c r="DU4" s="84">
        <v>96481302</v>
      </c>
      <c r="DV4" s="84">
        <v>1903170383</v>
      </c>
      <c r="DW4" s="84">
        <v>322908407</v>
      </c>
      <c r="DX4" s="84">
        <v>10009104426</v>
      </c>
      <c r="DY4" s="84">
        <v>123842834</v>
      </c>
      <c r="DZ4" s="84">
        <v>339308576</v>
      </c>
      <c r="EA4" s="84">
        <v>71250877</v>
      </c>
      <c r="EB4" s="84">
        <v>2048747622</v>
      </c>
      <c r="EC4" s="84">
        <v>127993598</v>
      </c>
      <c r="ED4" s="84">
        <v>102631288</v>
      </c>
      <c r="EE4" s="84">
        <v>825394610</v>
      </c>
      <c r="EF4" s="84">
        <v>281288833</v>
      </c>
      <c r="EG4" s="84">
        <v>12147565663</v>
      </c>
      <c r="EH4" s="84">
        <v>133937793</v>
      </c>
      <c r="EI4" s="84">
        <v>8799130879</v>
      </c>
      <c r="EJ4" s="84">
        <v>353527502</v>
      </c>
      <c r="EK4" s="84">
        <v>573829257</v>
      </c>
      <c r="EL4" s="84">
        <v>1601953431</v>
      </c>
      <c r="EM4" s="84">
        <v>567363884</v>
      </c>
      <c r="EN4" s="84">
        <v>1467493701</v>
      </c>
      <c r="EO4" s="84">
        <v>77278810</v>
      </c>
      <c r="EP4" s="84">
        <v>266783448</v>
      </c>
      <c r="EQ4" s="84">
        <v>3436464208</v>
      </c>
      <c r="ER4" s="84">
        <v>1595078205</v>
      </c>
      <c r="ES4" s="84">
        <v>668716731</v>
      </c>
      <c r="ET4" s="84">
        <v>10272011500</v>
      </c>
      <c r="EU4" s="84">
        <v>5142379519</v>
      </c>
      <c r="EV4" s="84">
        <v>95973925</v>
      </c>
      <c r="EW4" s="84">
        <v>77518632</v>
      </c>
      <c r="EX4" s="84">
        <v>553945729</v>
      </c>
      <c r="EY4" s="84">
        <v>1233788109</v>
      </c>
      <c r="EZ4" s="84">
        <v>401863738</v>
      </c>
      <c r="FA4" s="84">
        <v>88628818</v>
      </c>
      <c r="FB4" s="84">
        <v>43934743</v>
      </c>
      <c r="FC4" s="84">
        <v>382970376</v>
      </c>
      <c r="FD4" s="84">
        <v>100882069</v>
      </c>
      <c r="FE4" s="84">
        <v>6194006207</v>
      </c>
      <c r="FF4" s="84">
        <v>71933574</v>
      </c>
      <c r="FG4" s="84" t="s">
        <v>96</v>
      </c>
      <c r="FH4" s="84">
        <v>351144869</v>
      </c>
      <c r="FI4" s="84" t="s">
        <v>96</v>
      </c>
      <c r="FJ4" s="84">
        <v>269021806</v>
      </c>
      <c r="FK4" s="84">
        <v>1053930653</v>
      </c>
      <c r="FL4" s="84">
        <v>84067397</v>
      </c>
      <c r="FM4" s="84" t="s">
        <v>130</v>
      </c>
      <c r="FN4" s="84">
        <v>8920538770</v>
      </c>
      <c r="FO4" s="84" t="s">
        <v>96</v>
      </c>
      <c r="FP4" s="84" t="s">
        <v>96</v>
      </c>
      <c r="FQ4" s="84">
        <v>26393529</v>
      </c>
      <c r="FR4" s="84">
        <v>368830031</v>
      </c>
      <c r="FS4" s="84">
        <v>119120473</v>
      </c>
      <c r="FT4" s="84">
        <v>9581282585</v>
      </c>
      <c r="FU4" s="84">
        <v>126196726</v>
      </c>
      <c r="FV4" s="84" t="s">
        <v>96</v>
      </c>
      <c r="FW4" s="84">
        <v>2285045</v>
      </c>
      <c r="FX4" s="84">
        <v>60437305</v>
      </c>
      <c r="FY4" s="84" t="s">
        <v>96</v>
      </c>
      <c r="FZ4" s="84" t="s">
        <v>4</v>
      </c>
      <c r="GA4" s="84">
        <v>644833186</v>
      </c>
      <c r="GB4" s="84">
        <v>184489677</v>
      </c>
      <c r="GC4" s="84">
        <v>211626739</v>
      </c>
      <c r="GD4" s="84" t="s">
        <v>96</v>
      </c>
      <c r="GE4" s="84" t="s">
        <v>4</v>
      </c>
      <c r="GF4" s="84">
        <v>583476892</v>
      </c>
      <c r="GG4" s="84">
        <v>2081522357</v>
      </c>
      <c r="GH4" s="84" t="s">
        <v>4</v>
      </c>
      <c r="GI4" s="84">
        <v>80774873</v>
      </c>
      <c r="GJ4" s="84" t="s">
        <v>96</v>
      </c>
      <c r="GK4" s="84">
        <v>59368468</v>
      </c>
      <c r="GL4" s="84" t="s">
        <v>96</v>
      </c>
      <c r="GM4" s="84">
        <v>432361676</v>
      </c>
      <c r="GN4" s="84">
        <v>63290355</v>
      </c>
      <c r="GO4" s="84" t="s">
        <v>96</v>
      </c>
      <c r="GP4" s="84">
        <v>2338524396</v>
      </c>
      <c r="GQ4" s="84">
        <v>552609569</v>
      </c>
      <c r="GR4" s="84">
        <v>847991678</v>
      </c>
      <c r="GS4" s="84">
        <v>226640672</v>
      </c>
      <c r="GT4" s="84" t="s">
        <v>130</v>
      </c>
      <c r="GU4" s="84">
        <v>42505487</v>
      </c>
      <c r="GV4" s="84">
        <v>1260671347</v>
      </c>
      <c r="GW4" s="84">
        <v>4444738278</v>
      </c>
      <c r="GX4" s="84">
        <v>236792586</v>
      </c>
      <c r="GY4" s="84">
        <v>483690143</v>
      </c>
      <c r="GZ4" s="84">
        <v>123369964</v>
      </c>
      <c r="HA4" s="84" t="s">
        <v>96</v>
      </c>
      <c r="HB4" s="84">
        <v>1427324649</v>
      </c>
      <c r="HC4" s="84" t="s">
        <v>130</v>
      </c>
      <c r="HD4" s="84">
        <v>444924121</v>
      </c>
      <c r="HE4" s="84" t="s">
        <v>96</v>
      </c>
      <c r="HF4" s="84">
        <v>840153099</v>
      </c>
      <c r="HG4" s="84">
        <v>850819724</v>
      </c>
      <c r="HH4" s="84" t="s">
        <v>96</v>
      </c>
      <c r="HI4" s="84">
        <v>675010001</v>
      </c>
      <c r="HJ4" s="84" t="s">
        <v>96</v>
      </c>
      <c r="HK4" s="84">
        <v>990293332</v>
      </c>
      <c r="HL4" s="84">
        <v>2199034109</v>
      </c>
      <c r="HM4" s="84">
        <v>136200983</v>
      </c>
      <c r="HN4" s="84">
        <v>343774476</v>
      </c>
      <c r="HO4" s="84">
        <v>892185136</v>
      </c>
      <c r="HP4" s="84">
        <v>256688579</v>
      </c>
      <c r="HQ4" s="84">
        <v>480609223</v>
      </c>
      <c r="HR4" s="84">
        <v>512340420</v>
      </c>
      <c r="HS4" s="84">
        <v>754668867</v>
      </c>
      <c r="HT4" s="84">
        <v>593269255</v>
      </c>
      <c r="HU4" s="84" t="s">
        <v>130</v>
      </c>
      <c r="HV4" s="84">
        <v>86991090</v>
      </c>
      <c r="HW4" s="84" t="s">
        <v>96</v>
      </c>
      <c r="HX4" s="84">
        <v>1784995617</v>
      </c>
      <c r="HY4" s="84" t="s">
        <v>114</v>
      </c>
      <c r="HZ4" s="84">
        <v>6917066032</v>
      </c>
      <c r="IA4" s="84">
        <v>122209855</v>
      </c>
      <c r="IB4" s="84">
        <v>1536171851</v>
      </c>
      <c r="IC4" s="84">
        <v>1729892114</v>
      </c>
      <c r="ID4" s="84">
        <v>11692673</v>
      </c>
      <c r="IE4" s="84" t="s">
        <v>96</v>
      </c>
      <c r="IF4" s="84">
        <v>6080439</v>
      </c>
      <c r="IG4" s="84">
        <v>17059044</v>
      </c>
      <c r="IH4" s="84">
        <v>173488340</v>
      </c>
      <c r="II4" s="84">
        <v>18168822</v>
      </c>
      <c r="IJ4" s="84">
        <v>139791585</v>
      </c>
      <c r="IK4" s="84">
        <v>138517996</v>
      </c>
      <c r="IL4" s="84">
        <v>303162247</v>
      </c>
      <c r="IM4" s="84">
        <v>506966847</v>
      </c>
      <c r="IN4" s="84">
        <v>609756842</v>
      </c>
      <c r="IO4" s="84">
        <v>421052572</v>
      </c>
      <c r="IP4" s="84">
        <v>225920068</v>
      </c>
      <c r="IQ4" s="84">
        <v>792423281</v>
      </c>
      <c r="IR4" s="84">
        <v>1046639008</v>
      </c>
      <c r="IS4" s="84">
        <v>863068455</v>
      </c>
      <c r="IT4" s="84">
        <v>185306394</v>
      </c>
      <c r="IU4" s="84">
        <v>2638922420</v>
      </c>
      <c r="IV4" s="84">
        <v>357615123</v>
      </c>
      <c r="IW4" s="84">
        <v>278634779</v>
      </c>
      <c r="IX4" s="84">
        <v>241727703</v>
      </c>
      <c r="IY4" s="68">
        <v>1271506510</v>
      </c>
      <c r="IZ4" s="68">
        <v>220470930</v>
      </c>
      <c r="JA4" s="68">
        <v>1141677844</v>
      </c>
      <c r="JB4" s="68">
        <v>198642836</v>
      </c>
      <c r="JC4" s="68">
        <v>26258448</v>
      </c>
      <c r="JD4" s="68">
        <v>806163037</v>
      </c>
      <c r="JE4" s="68">
        <v>246139914</v>
      </c>
      <c r="JF4" s="68">
        <v>329992977</v>
      </c>
      <c r="JG4" s="68">
        <v>3498434</v>
      </c>
      <c r="JH4" s="68">
        <v>74854553</v>
      </c>
      <c r="JI4" s="68">
        <v>38418241</v>
      </c>
      <c r="JJ4" s="68">
        <v>54373518</v>
      </c>
      <c r="JK4" s="68">
        <v>42529974</v>
      </c>
      <c r="JL4" s="68">
        <v>938656345</v>
      </c>
      <c r="JM4" s="68">
        <v>179111288</v>
      </c>
      <c r="JN4" s="68">
        <v>3955003342</v>
      </c>
      <c r="JO4" s="68">
        <v>29369901</v>
      </c>
      <c r="JP4" s="68">
        <v>120132563</v>
      </c>
      <c r="JQ4" s="68" t="s">
        <v>4</v>
      </c>
      <c r="JR4" s="68">
        <v>707142698</v>
      </c>
      <c r="JS4" s="68">
        <v>43735030</v>
      </c>
      <c r="JT4" s="68">
        <v>37456745</v>
      </c>
      <c r="JU4" s="68">
        <v>210577699</v>
      </c>
      <c r="JV4" s="68">
        <v>769800776</v>
      </c>
      <c r="JW4" s="68">
        <v>206070886</v>
      </c>
      <c r="JX4" s="68">
        <v>2403168780</v>
      </c>
      <c r="JY4" s="68">
        <v>1151840725</v>
      </c>
      <c r="JZ4" s="68">
        <v>8437335</v>
      </c>
      <c r="KA4" s="68">
        <v>726094815</v>
      </c>
      <c r="KB4" s="68">
        <v>2733336363</v>
      </c>
      <c r="KC4" s="68">
        <v>153364638</v>
      </c>
      <c r="KD4" s="68">
        <v>611682410</v>
      </c>
      <c r="KE4" s="68">
        <v>12081253</v>
      </c>
      <c r="KF4" s="68">
        <v>466084596</v>
      </c>
      <c r="KG4" s="68">
        <v>287604170</v>
      </c>
      <c r="KH4" s="68">
        <v>58457539</v>
      </c>
      <c r="KI4" s="68">
        <v>418778784</v>
      </c>
      <c r="KJ4" s="68">
        <v>665160235</v>
      </c>
      <c r="KK4" s="68">
        <v>1976970181</v>
      </c>
      <c r="KL4" s="68">
        <v>21453265392</v>
      </c>
      <c r="KM4" s="68">
        <v>276064071</v>
      </c>
      <c r="KN4" s="68">
        <v>21277471514</v>
      </c>
      <c r="KO4" s="68">
        <v>51655821</v>
      </c>
      <c r="KP4" s="68">
        <v>574333409</v>
      </c>
      <c r="KQ4" s="68">
        <v>46690702</v>
      </c>
      <c r="KR4" s="68">
        <v>144911923</v>
      </c>
      <c r="KS4" s="68">
        <v>463415558</v>
      </c>
      <c r="KT4" s="68">
        <v>53448145</v>
      </c>
      <c r="KU4" s="68">
        <v>2055455768</v>
      </c>
      <c r="KV4" s="68">
        <v>95004795</v>
      </c>
      <c r="KW4" s="68">
        <v>251937987</v>
      </c>
      <c r="KX4" s="68">
        <v>226370013</v>
      </c>
      <c r="KY4" s="68">
        <v>1052352395</v>
      </c>
      <c r="KZ4" s="68">
        <v>737602017</v>
      </c>
      <c r="LA4" s="68">
        <v>458126330</v>
      </c>
      <c r="LB4" s="68">
        <v>47807099</v>
      </c>
      <c r="LC4" s="102">
        <v>810494370</v>
      </c>
      <c r="LD4" s="102">
        <v>366957975</v>
      </c>
      <c r="LE4" s="102">
        <v>792266957</v>
      </c>
      <c r="LF4" s="102">
        <v>14340869</v>
      </c>
      <c r="LG4" s="102">
        <v>59492570</v>
      </c>
      <c r="LH4" s="102" t="s">
        <v>187</v>
      </c>
      <c r="LI4" s="102">
        <v>163831125</v>
      </c>
      <c r="LJ4" s="102" t="s">
        <v>187</v>
      </c>
      <c r="LK4" s="102">
        <v>1431710825</v>
      </c>
      <c r="LL4" s="102" t="s">
        <v>187</v>
      </c>
    </row>
    <row r="5" spans="1:324" ht="17.55" customHeight="1">
      <c r="A5" s="67" t="s">
        <v>184</v>
      </c>
      <c r="B5" s="88" t="s">
        <v>61</v>
      </c>
      <c r="C5" s="84">
        <v>162596787</v>
      </c>
      <c r="D5" s="84">
        <v>1034842443</v>
      </c>
      <c r="E5" s="84">
        <v>640986325</v>
      </c>
      <c r="F5" s="85">
        <v>175428905</v>
      </c>
      <c r="G5" s="84" t="s">
        <v>130</v>
      </c>
      <c r="H5" s="84">
        <v>537818961</v>
      </c>
      <c r="I5" s="84">
        <v>57715484</v>
      </c>
      <c r="J5" s="84" t="s">
        <v>4</v>
      </c>
      <c r="K5" s="84">
        <v>438267803</v>
      </c>
      <c r="L5" s="84" t="s">
        <v>96</v>
      </c>
      <c r="M5" s="84" t="s">
        <v>96</v>
      </c>
      <c r="N5" s="84">
        <v>92342292</v>
      </c>
      <c r="O5" s="84">
        <v>1829392659</v>
      </c>
      <c r="P5" s="84">
        <v>521665605</v>
      </c>
      <c r="Q5" s="84">
        <v>4722728</v>
      </c>
      <c r="R5" s="84" t="s">
        <v>130</v>
      </c>
      <c r="S5" s="84">
        <v>593034890</v>
      </c>
      <c r="T5" s="84" t="s">
        <v>96</v>
      </c>
      <c r="U5" s="84" t="s">
        <v>96</v>
      </c>
      <c r="V5" s="84" t="s">
        <v>4</v>
      </c>
      <c r="W5" s="84">
        <v>8624368</v>
      </c>
      <c r="X5" s="84">
        <v>1427185294</v>
      </c>
      <c r="Y5" s="84">
        <v>90468534</v>
      </c>
      <c r="Z5" s="84">
        <v>6199843</v>
      </c>
      <c r="AA5" s="84">
        <v>230512653</v>
      </c>
      <c r="AB5" s="84">
        <v>62187605</v>
      </c>
      <c r="AC5" s="84">
        <v>910289688</v>
      </c>
      <c r="AD5" s="84">
        <v>413757529</v>
      </c>
      <c r="AE5" s="84">
        <v>69543770</v>
      </c>
      <c r="AF5" s="84" t="s">
        <v>96</v>
      </c>
      <c r="AG5" s="84">
        <v>130693851</v>
      </c>
      <c r="AH5" s="84" t="s">
        <v>130</v>
      </c>
      <c r="AI5" s="84">
        <v>26141689</v>
      </c>
      <c r="AJ5" s="84">
        <v>20692926</v>
      </c>
      <c r="AK5" s="84">
        <v>32011951</v>
      </c>
      <c r="AL5" s="84">
        <v>318165932</v>
      </c>
      <c r="AM5" s="84" t="s">
        <v>4</v>
      </c>
      <c r="AN5" s="84">
        <v>188585786</v>
      </c>
      <c r="AO5" s="84">
        <v>46515751</v>
      </c>
      <c r="AP5" s="84">
        <v>304700985</v>
      </c>
      <c r="AQ5" s="84" t="s">
        <v>4</v>
      </c>
      <c r="AR5" s="84">
        <v>73930943</v>
      </c>
      <c r="AS5" s="84">
        <v>79736686</v>
      </c>
      <c r="AT5" s="84" t="s">
        <v>96</v>
      </c>
      <c r="AU5" s="84">
        <v>26107530</v>
      </c>
      <c r="AV5" s="84">
        <v>312717187</v>
      </c>
      <c r="AW5" s="84">
        <v>28844170</v>
      </c>
      <c r="AX5" s="84" t="s">
        <v>4</v>
      </c>
      <c r="AY5" s="84" t="s">
        <v>96</v>
      </c>
      <c r="AZ5" s="84">
        <v>78009868</v>
      </c>
      <c r="BA5" s="84" t="s">
        <v>130</v>
      </c>
      <c r="BB5" s="84">
        <v>236778</v>
      </c>
      <c r="BC5" s="84" t="s">
        <v>4</v>
      </c>
      <c r="BD5" s="84" t="s">
        <v>96</v>
      </c>
      <c r="BE5" s="84">
        <v>105380301</v>
      </c>
      <c r="BF5" s="84" t="s">
        <v>96</v>
      </c>
      <c r="BG5" s="84">
        <v>523010330</v>
      </c>
      <c r="BH5" s="84">
        <v>13152094</v>
      </c>
      <c r="BI5" s="84">
        <v>290337213</v>
      </c>
      <c r="BJ5" s="84">
        <v>9107406</v>
      </c>
      <c r="BK5" s="84">
        <v>159217706</v>
      </c>
      <c r="BL5" s="84">
        <v>828597073</v>
      </c>
      <c r="BM5" s="84">
        <v>671146035</v>
      </c>
      <c r="BN5" s="84">
        <v>51360483</v>
      </c>
      <c r="BO5" s="84" t="s">
        <v>96</v>
      </c>
      <c r="BP5" s="84" t="s">
        <v>96</v>
      </c>
      <c r="BQ5" s="84" t="s">
        <v>4</v>
      </c>
      <c r="BR5" s="84">
        <v>2507379023</v>
      </c>
      <c r="BS5" s="84" t="s">
        <v>4</v>
      </c>
      <c r="BT5" s="84" t="s">
        <v>96</v>
      </c>
      <c r="BU5" s="84">
        <v>6312523</v>
      </c>
      <c r="BV5" s="84">
        <v>9898043</v>
      </c>
      <c r="BW5" s="84">
        <v>3270230</v>
      </c>
      <c r="BX5" s="84">
        <v>108150517</v>
      </c>
      <c r="BY5" s="84">
        <v>249260371</v>
      </c>
      <c r="BZ5" s="84">
        <v>679914838</v>
      </c>
      <c r="CA5" s="84">
        <v>1221209508</v>
      </c>
      <c r="CB5" s="84">
        <v>97780703</v>
      </c>
      <c r="CC5" s="84">
        <v>15375216</v>
      </c>
      <c r="CD5" s="84">
        <v>1275329637</v>
      </c>
      <c r="CE5" s="84" t="s">
        <v>96</v>
      </c>
      <c r="CF5" s="84" t="s">
        <v>96</v>
      </c>
      <c r="CG5" s="84">
        <v>73349210</v>
      </c>
      <c r="CH5" s="84">
        <v>304737281</v>
      </c>
      <c r="CI5" s="84" t="s">
        <v>96</v>
      </c>
      <c r="CJ5" s="84">
        <v>898152</v>
      </c>
      <c r="CK5" s="84">
        <v>2256105</v>
      </c>
      <c r="CL5" s="84">
        <v>3774254</v>
      </c>
      <c r="CM5" s="84">
        <v>412151315</v>
      </c>
      <c r="CN5" s="84">
        <v>28481896</v>
      </c>
      <c r="CO5" s="84">
        <v>62403100</v>
      </c>
      <c r="CP5" s="84" t="s">
        <v>96</v>
      </c>
      <c r="CQ5" s="84" t="s">
        <v>96</v>
      </c>
      <c r="CR5" s="84">
        <v>241929477</v>
      </c>
      <c r="CS5" s="84" t="s">
        <v>96</v>
      </c>
      <c r="CT5" s="84">
        <v>6150731269</v>
      </c>
      <c r="CU5" s="84">
        <v>431694534</v>
      </c>
      <c r="CV5" s="84">
        <v>4817249</v>
      </c>
      <c r="CW5" s="84" t="s">
        <v>96</v>
      </c>
      <c r="CX5" s="84">
        <v>2557800009</v>
      </c>
      <c r="CY5" s="84" t="s">
        <v>96</v>
      </c>
      <c r="CZ5" s="84">
        <v>609526952</v>
      </c>
      <c r="DA5" s="84" t="s">
        <v>96</v>
      </c>
      <c r="DB5" s="84">
        <v>309982816</v>
      </c>
      <c r="DC5" s="84">
        <v>17663434</v>
      </c>
      <c r="DD5" s="84" t="s">
        <v>96</v>
      </c>
      <c r="DE5" s="84">
        <v>36269484</v>
      </c>
      <c r="DF5" s="84">
        <v>2927907</v>
      </c>
      <c r="DG5" s="84">
        <v>18593268</v>
      </c>
      <c r="DH5" s="84">
        <v>243879926</v>
      </c>
      <c r="DI5" s="84">
        <v>598945565</v>
      </c>
      <c r="DJ5" s="84">
        <v>229786974</v>
      </c>
      <c r="DK5" s="84" t="s">
        <v>96</v>
      </c>
      <c r="DL5" s="84">
        <v>207731789</v>
      </c>
      <c r="DM5" s="84">
        <v>49157181</v>
      </c>
      <c r="DN5" s="84">
        <v>75751534</v>
      </c>
      <c r="DO5" s="84">
        <v>642314</v>
      </c>
      <c r="DP5" s="86">
        <v>525742829</v>
      </c>
      <c r="DQ5" s="84">
        <v>3279577</v>
      </c>
      <c r="DR5" s="84">
        <v>228757366</v>
      </c>
      <c r="DS5" s="84">
        <v>16086508</v>
      </c>
      <c r="DT5" s="84">
        <v>801288231</v>
      </c>
      <c r="DU5" s="84">
        <v>94948842</v>
      </c>
      <c r="DV5" s="84">
        <v>1857391681</v>
      </c>
      <c r="DW5" s="84">
        <v>116746655</v>
      </c>
      <c r="DX5" s="84">
        <v>7729449335</v>
      </c>
      <c r="DY5" s="84">
        <v>15486889</v>
      </c>
      <c r="DZ5" s="84">
        <v>115221113</v>
      </c>
      <c r="EA5" s="84">
        <v>1250877</v>
      </c>
      <c r="EB5" s="84">
        <v>1095265871</v>
      </c>
      <c r="EC5" s="84">
        <v>31952642</v>
      </c>
      <c r="ED5" s="84">
        <v>98016217</v>
      </c>
      <c r="EE5" s="84">
        <v>696782495</v>
      </c>
      <c r="EF5" s="84">
        <v>92616873</v>
      </c>
      <c r="EG5" s="84">
        <v>8111487922</v>
      </c>
      <c r="EH5" s="98">
        <v>2305000</v>
      </c>
      <c r="EI5" s="84">
        <v>5806000738</v>
      </c>
      <c r="EJ5" s="84">
        <v>350394782</v>
      </c>
      <c r="EK5" s="84">
        <v>245850927</v>
      </c>
      <c r="EL5" s="84">
        <v>623488734</v>
      </c>
      <c r="EM5" s="84">
        <v>518350197</v>
      </c>
      <c r="EN5" s="84">
        <v>1457695186</v>
      </c>
      <c r="EO5" s="84">
        <v>57121496</v>
      </c>
      <c r="EP5" s="84">
        <v>237670034</v>
      </c>
      <c r="EQ5" s="84">
        <v>2960983148</v>
      </c>
      <c r="ER5" s="84">
        <v>1246141120</v>
      </c>
      <c r="ES5" s="84">
        <v>123698495</v>
      </c>
      <c r="ET5" s="84">
        <v>1465745870</v>
      </c>
      <c r="EU5" s="84">
        <v>4609835357</v>
      </c>
      <c r="EV5" s="84">
        <v>32727881</v>
      </c>
      <c r="EW5" s="84">
        <v>15372781</v>
      </c>
      <c r="EX5" s="84">
        <v>538845553</v>
      </c>
      <c r="EY5" s="84">
        <v>999549660</v>
      </c>
      <c r="EZ5" s="84">
        <v>375039284</v>
      </c>
      <c r="FA5" s="84">
        <v>63754850</v>
      </c>
      <c r="FB5" s="86">
        <v>34255033</v>
      </c>
      <c r="FC5" s="84">
        <v>169549250</v>
      </c>
      <c r="FD5" s="84">
        <v>27707123</v>
      </c>
      <c r="FE5" s="84">
        <v>4095033866</v>
      </c>
      <c r="FF5" s="84">
        <v>43357162</v>
      </c>
      <c r="FG5" s="84" t="s">
        <v>96</v>
      </c>
      <c r="FH5" s="84">
        <v>190324097</v>
      </c>
      <c r="FI5" s="84" t="s">
        <v>96</v>
      </c>
      <c r="FJ5" s="84">
        <v>219190728</v>
      </c>
      <c r="FK5" s="84">
        <v>585128572</v>
      </c>
      <c r="FL5" s="84">
        <v>32671269</v>
      </c>
      <c r="FM5" s="84" t="s">
        <v>130</v>
      </c>
      <c r="FN5" s="84">
        <v>4155912482</v>
      </c>
      <c r="FO5" s="84" t="s">
        <v>96</v>
      </c>
      <c r="FP5" s="84" t="s">
        <v>96</v>
      </c>
      <c r="FQ5" s="84">
        <v>26393529</v>
      </c>
      <c r="FR5" s="84">
        <v>333104893</v>
      </c>
      <c r="FS5" s="84">
        <v>22582694</v>
      </c>
      <c r="FT5" s="84">
        <v>8935317165</v>
      </c>
      <c r="FU5" s="84">
        <v>122409726</v>
      </c>
      <c r="FV5" s="84" t="s">
        <v>96</v>
      </c>
      <c r="FW5" s="84">
        <v>211398</v>
      </c>
      <c r="FX5" s="84">
        <v>50654873</v>
      </c>
      <c r="FY5" s="84" t="s">
        <v>96</v>
      </c>
      <c r="FZ5" s="84" t="s">
        <v>4</v>
      </c>
      <c r="GA5" s="84">
        <v>587246559</v>
      </c>
      <c r="GB5" s="84">
        <v>157284632</v>
      </c>
      <c r="GC5" s="84">
        <v>209554169</v>
      </c>
      <c r="GD5" s="84" t="s">
        <v>96</v>
      </c>
      <c r="GE5" s="84" t="s">
        <v>4</v>
      </c>
      <c r="GF5" s="84">
        <v>318327735</v>
      </c>
      <c r="GG5" s="84">
        <v>1715168344</v>
      </c>
      <c r="GH5" s="84" t="s">
        <v>4</v>
      </c>
      <c r="GI5" s="84">
        <v>33951809</v>
      </c>
      <c r="GJ5" s="84" t="s">
        <v>96</v>
      </c>
      <c r="GK5" s="84">
        <v>13168217</v>
      </c>
      <c r="GL5" s="84" t="s">
        <v>96</v>
      </c>
      <c r="GM5" s="84">
        <v>430729378</v>
      </c>
      <c r="GN5" s="84">
        <v>63290355</v>
      </c>
      <c r="GO5" s="84" t="s">
        <v>96</v>
      </c>
      <c r="GP5" s="84">
        <v>528044962</v>
      </c>
      <c r="GQ5" s="84">
        <v>526804712</v>
      </c>
      <c r="GR5" s="84">
        <v>527568557</v>
      </c>
      <c r="GS5" s="84">
        <v>14640672</v>
      </c>
      <c r="GT5" s="84" t="s">
        <v>130</v>
      </c>
      <c r="GU5" s="84">
        <v>42230397</v>
      </c>
      <c r="GV5" s="84">
        <v>1248373589</v>
      </c>
      <c r="GW5" s="84">
        <v>2474377426</v>
      </c>
      <c r="GX5" s="84">
        <v>171591939</v>
      </c>
      <c r="GY5" s="84">
        <v>80896231</v>
      </c>
      <c r="GZ5" s="84">
        <v>50917019</v>
      </c>
      <c r="HA5" s="84" t="s">
        <v>96</v>
      </c>
      <c r="HB5" s="84">
        <v>341033056</v>
      </c>
      <c r="HC5" s="84" t="s">
        <v>130</v>
      </c>
      <c r="HD5" s="84">
        <v>143564440</v>
      </c>
      <c r="HE5" s="84" t="s">
        <v>96</v>
      </c>
      <c r="HF5" s="84">
        <v>599148904</v>
      </c>
      <c r="HG5" s="84">
        <v>835031326</v>
      </c>
      <c r="HH5" s="84" t="s">
        <v>96</v>
      </c>
      <c r="HI5" s="84">
        <v>342025281</v>
      </c>
      <c r="HJ5" s="84" t="s">
        <v>96</v>
      </c>
      <c r="HK5" s="84">
        <v>930093255</v>
      </c>
      <c r="HL5" s="84">
        <v>1652305486</v>
      </c>
      <c r="HM5" s="84">
        <v>107481805</v>
      </c>
      <c r="HN5" s="84">
        <v>190333251</v>
      </c>
      <c r="HO5" s="84">
        <v>597407980</v>
      </c>
      <c r="HP5" s="84">
        <v>248477344</v>
      </c>
      <c r="HQ5" s="84">
        <v>371103122</v>
      </c>
      <c r="HR5" s="84">
        <v>38515246</v>
      </c>
      <c r="HS5" s="84">
        <v>736617970</v>
      </c>
      <c r="HT5" s="84">
        <v>5776120</v>
      </c>
      <c r="HU5" s="84" t="s">
        <v>130</v>
      </c>
      <c r="HV5" s="84">
        <v>5459620</v>
      </c>
      <c r="HW5" s="84" t="s">
        <v>96</v>
      </c>
      <c r="HX5" s="84">
        <v>1112870923</v>
      </c>
      <c r="HY5" s="84" t="s">
        <v>114</v>
      </c>
      <c r="HZ5" s="84">
        <v>4771380768</v>
      </c>
      <c r="IA5" s="84">
        <v>121537135</v>
      </c>
      <c r="IB5" s="84">
        <v>377388716</v>
      </c>
      <c r="IC5" s="84">
        <v>1674295643</v>
      </c>
      <c r="ID5" s="84">
        <v>7421625</v>
      </c>
      <c r="IE5" s="84" t="s">
        <v>96</v>
      </c>
      <c r="IF5" s="84">
        <v>5237956</v>
      </c>
      <c r="IG5" s="84">
        <v>9148998</v>
      </c>
      <c r="IH5" s="84">
        <v>11161627</v>
      </c>
      <c r="II5" s="84">
        <v>13858649</v>
      </c>
      <c r="IJ5" s="84">
        <v>138771778</v>
      </c>
      <c r="IK5" s="84">
        <v>61859069</v>
      </c>
      <c r="IL5" s="84">
        <v>131531792</v>
      </c>
      <c r="IM5" s="84">
        <v>272864470</v>
      </c>
      <c r="IN5" s="84">
        <v>216737846</v>
      </c>
      <c r="IO5" s="84">
        <v>166851623</v>
      </c>
      <c r="IP5" s="84">
        <v>43034955</v>
      </c>
      <c r="IQ5" s="84">
        <v>790312513</v>
      </c>
      <c r="IR5" s="84">
        <v>571635431</v>
      </c>
      <c r="IS5" s="84">
        <v>767614618</v>
      </c>
      <c r="IT5" s="84">
        <v>149655264</v>
      </c>
      <c r="IU5" s="84">
        <v>2348508888</v>
      </c>
      <c r="IV5" s="84">
        <v>204571073</v>
      </c>
      <c r="IW5" s="84">
        <v>4167263</v>
      </c>
      <c r="IX5" s="84">
        <v>110953983</v>
      </c>
      <c r="IY5" s="68">
        <v>534314971</v>
      </c>
      <c r="IZ5" s="68">
        <v>98543582</v>
      </c>
      <c r="JA5" s="68">
        <v>280405479</v>
      </c>
      <c r="JB5" s="68">
        <v>32170471</v>
      </c>
      <c r="JC5" s="68">
        <v>14366340</v>
      </c>
      <c r="JD5" s="68">
        <v>799061480</v>
      </c>
      <c r="JE5" s="68">
        <v>210969861</v>
      </c>
      <c r="JF5" s="68">
        <v>207723523</v>
      </c>
      <c r="JG5" s="68">
        <v>598834</v>
      </c>
      <c r="JH5" s="68">
        <v>17155185</v>
      </c>
      <c r="JI5" s="68">
        <v>1557308</v>
      </c>
      <c r="JJ5" s="68">
        <v>43008498</v>
      </c>
      <c r="JK5" s="68">
        <v>23836383</v>
      </c>
      <c r="JL5" s="68">
        <v>820245875</v>
      </c>
      <c r="JM5" s="68">
        <v>177921555</v>
      </c>
      <c r="JN5" s="68">
        <v>1607562633</v>
      </c>
      <c r="JO5" s="68">
        <v>29259901</v>
      </c>
      <c r="JP5" s="68">
        <v>91995632</v>
      </c>
      <c r="JQ5" s="68" t="s">
        <v>4</v>
      </c>
      <c r="JR5" s="68">
        <v>312698425</v>
      </c>
      <c r="JS5" s="68">
        <v>37169140</v>
      </c>
      <c r="JT5" s="68">
        <v>25518445</v>
      </c>
      <c r="JU5" s="68">
        <v>74305949</v>
      </c>
      <c r="JV5" s="68">
        <v>500089041</v>
      </c>
      <c r="JW5" s="68">
        <v>206070886</v>
      </c>
      <c r="JX5" s="68">
        <v>2162729500</v>
      </c>
      <c r="JY5" s="68">
        <v>976724520</v>
      </c>
      <c r="JZ5" s="68">
        <v>4988069</v>
      </c>
      <c r="KA5" s="68">
        <v>81961852</v>
      </c>
      <c r="KB5" s="68">
        <v>1095498531</v>
      </c>
      <c r="KC5" s="68">
        <v>112353750</v>
      </c>
      <c r="KD5" s="68">
        <v>561678109</v>
      </c>
      <c r="KE5" s="68">
        <v>6903896</v>
      </c>
      <c r="KF5" s="68">
        <v>12502896</v>
      </c>
      <c r="KG5" s="68">
        <v>154694793</v>
      </c>
      <c r="KH5" s="68">
        <v>26882539</v>
      </c>
      <c r="KI5" s="68">
        <v>377451343</v>
      </c>
      <c r="KJ5" s="68">
        <v>284983890</v>
      </c>
      <c r="KK5" s="68">
        <v>1915798720</v>
      </c>
      <c r="KL5" s="68">
        <v>6612043739</v>
      </c>
      <c r="KM5" s="68">
        <v>93724304</v>
      </c>
      <c r="KN5" s="68">
        <v>3785408654</v>
      </c>
      <c r="KO5" s="68">
        <v>2853848</v>
      </c>
      <c r="KP5" s="68">
        <v>547491729</v>
      </c>
      <c r="KQ5" s="68">
        <v>45473432</v>
      </c>
      <c r="KR5" s="68">
        <v>75936235</v>
      </c>
      <c r="KS5" s="68">
        <v>383567316</v>
      </c>
      <c r="KT5" s="68">
        <v>48829720</v>
      </c>
      <c r="KU5" s="68">
        <v>1014390968</v>
      </c>
      <c r="KV5" s="68">
        <v>78311478</v>
      </c>
      <c r="KW5" s="68">
        <v>105681037</v>
      </c>
      <c r="KX5" s="68">
        <v>59421655</v>
      </c>
      <c r="KY5" s="68">
        <v>252088734</v>
      </c>
      <c r="KZ5" s="68">
        <v>38066562</v>
      </c>
      <c r="LA5" s="68">
        <v>156958320</v>
      </c>
      <c r="LB5" s="68">
        <v>44613199</v>
      </c>
      <c r="LC5" s="102">
        <v>810494370</v>
      </c>
      <c r="LD5" s="102">
        <v>123403464</v>
      </c>
      <c r="LE5" s="102">
        <v>692392045</v>
      </c>
      <c r="LF5" s="102">
        <v>11000738</v>
      </c>
      <c r="LG5" s="102">
        <v>23630525</v>
      </c>
      <c r="LH5" s="102" t="s">
        <v>187</v>
      </c>
      <c r="LI5" s="102">
        <v>88774958</v>
      </c>
      <c r="LJ5" s="102" t="s">
        <v>187</v>
      </c>
      <c r="LK5" s="102">
        <v>1284721202</v>
      </c>
      <c r="LL5" s="102" t="s">
        <v>187</v>
      </c>
    </row>
    <row r="6" spans="1:324" ht="17.55" customHeight="1">
      <c r="A6" s="67" t="s">
        <v>184</v>
      </c>
      <c r="B6" s="88" t="s">
        <v>75</v>
      </c>
      <c r="C6" s="84">
        <v>229294260</v>
      </c>
      <c r="D6" s="84"/>
      <c r="E6" s="84"/>
      <c r="F6" s="85">
        <v>894308282</v>
      </c>
      <c r="G6" s="84" t="s">
        <v>130</v>
      </c>
      <c r="H6" s="84">
        <v>910000</v>
      </c>
      <c r="I6" s="84"/>
      <c r="J6" s="84" t="s">
        <v>4</v>
      </c>
      <c r="K6" s="84"/>
      <c r="L6" s="84" t="s">
        <v>96</v>
      </c>
      <c r="M6" s="84" t="s">
        <v>96</v>
      </c>
      <c r="N6" s="84">
        <v>41300000</v>
      </c>
      <c r="O6" s="84"/>
      <c r="P6" s="84"/>
      <c r="Q6" s="84">
        <v>0</v>
      </c>
      <c r="R6" s="84" t="s">
        <v>130</v>
      </c>
      <c r="S6" s="84"/>
      <c r="T6" s="84" t="s">
        <v>96</v>
      </c>
      <c r="U6" s="84" t="s">
        <v>96</v>
      </c>
      <c r="V6" s="84" t="s">
        <v>4</v>
      </c>
      <c r="W6" s="84"/>
      <c r="X6" s="84">
        <v>269657558</v>
      </c>
      <c r="Y6" s="84"/>
      <c r="Z6" s="84"/>
      <c r="AA6" s="84"/>
      <c r="AB6" s="84"/>
      <c r="AC6" s="84">
        <v>385266</v>
      </c>
      <c r="AD6" s="84"/>
      <c r="AE6" s="84"/>
      <c r="AF6" s="84" t="s">
        <v>96</v>
      </c>
      <c r="AG6" s="84"/>
      <c r="AH6" s="84" t="s">
        <v>130</v>
      </c>
      <c r="AI6" s="84"/>
      <c r="AJ6" s="84"/>
      <c r="AK6" s="84"/>
      <c r="AL6" s="84"/>
      <c r="AM6" s="84" t="s">
        <v>4</v>
      </c>
      <c r="AN6" s="84">
        <v>60000000</v>
      </c>
      <c r="AO6" s="84"/>
      <c r="AP6" s="84"/>
      <c r="AQ6" s="84" t="s">
        <v>4</v>
      </c>
      <c r="AR6" s="84"/>
      <c r="AS6" s="84"/>
      <c r="AT6" s="84" t="s">
        <v>96</v>
      </c>
      <c r="AU6" s="84"/>
      <c r="AV6" s="84"/>
      <c r="AW6" s="84">
        <v>41974747</v>
      </c>
      <c r="AX6" s="84" t="s">
        <v>4</v>
      </c>
      <c r="AY6" s="84" t="s">
        <v>96</v>
      </c>
      <c r="AZ6" s="84"/>
      <c r="BA6" s="84" t="s">
        <v>130</v>
      </c>
      <c r="BB6" s="84"/>
      <c r="BC6" s="84" t="s">
        <v>4</v>
      </c>
      <c r="BD6" s="84" t="s">
        <v>96</v>
      </c>
      <c r="BE6" s="84">
        <v>500000</v>
      </c>
      <c r="BF6" s="84" t="s">
        <v>96</v>
      </c>
      <c r="BG6" s="84"/>
      <c r="BH6" s="84"/>
      <c r="BI6" s="84"/>
      <c r="BJ6" s="84">
        <v>45011888</v>
      </c>
      <c r="BK6" s="84">
        <v>749972934</v>
      </c>
      <c r="BL6" s="84"/>
      <c r="BM6" s="84"/>
      <c r="BN6" s="84">
        <v>30000000</v>
      </c>
      <c r="BO6" s="84" t="s">
        <v>96</v>
      </c>
      <c r="BP6" s="84" t="s">
        <v>96</v>
      </c>
      <c r="BQ6" s="84" t="s">
        <v>4</v>
      </c>
      <c r="BR6" s="84"/>
      <c r="BS6" s="84" t="s">
        <v>4</v>
      </c>
      <c r="BT6" s="84" t="s">
        <v>96</v>
      </c>
      <c r="BU6" s="84"/>
      <c r="BV6" s="84"/>
      <c r="BW6" s="84"/>
      <c r="BX6" s="84"/>
      <c r="BY6" s="84"/>
      <c r="BZ6" s="84">
        <v>372039603</v>
      </c>
      <c r="CA6" s="84"/>
      <c r="CB6" s="84"/>
      <c r="CC6" s="84"/>
      <c r="CD6" s="84"/>
      <c r="CE6" s="84" t="s">
        <v>96</v>
      </c>
      <c r="CF6" s="84" t="s">
        <v>96</v>
      </c>
      <c r="CG6" s="84"/>
      <c r="CH6" s="84"/>
      <c r="CI6" s="84" t="s">
        <v>96</v>
      </c>
      <c r="CJ6" s="84">
        <v>18247034</v>
      </c>
      <c r="CK6" s="84">
        <v>29500000</v>
      </c>
      <c r="CL6" s="84">
        <v>0</v>
      </c>
      <c r="CM6" s="84">
        <v>709617722</v>
      </c>
      <c r="CN6" s="84"/>
      <c r="CO6" s="84"/>
      <c r="CP6" s="84" t="s">
        <v>96</v>
      </c>
      <c r="CQ6" s="84" t="s">
        <v>96</v>
      </c>
      <c r="CR6" s="84"/>
      <c r="CS6" s="84" t="s">
        <v>96</v>
      </c>
      <c r="CT6" s="84">
        <v>2000000000</v>
      </c>
      <c r="CU6" s="84"/>
      <c r="CV6" s="84"/>
      <c r="CW6" s="84" t="s">
        <v>96</v>
      </c>
      <c r="CX6" s="84">
        <v>0</v>
      </c>
      <c r="CY6" s="84" t="s">
        <v>96</v>
      </c>
      <c r="CZ6" s="84"/>
      <c r="DA6" s="84" t="s">
        <v>96</v>
      </c>
      <c r="DB6" s="84"/>
      <c r="DC6" s="84"/>
      <c r="DD6" s="84" t="s">
        <v>96</v>
      </c>
      <c r="DE6" s="84"/>
      <c r="DF6" s="84"/>
      <c r="DG6" s="84"/>
      <c r="DH6" s="84"/>
      <c r="DI6" s="84">
        <v>297852540</v>
      </c>
      <c r="DJ6" s="84"/>
      <c r="DK6" s="84" t="s">
        <v>96</v>
      </c>
      <c r="DL6" s="84"/>
      <c r="DM6" s="84"/>
      <c r="DN6" s="84"/>
      <c r="DO6" s="84"/>
      <c r="DP6" s="86">
        <v>5682883</v>
      </c>
      <c r="DQ6" s="84"/>
      <c r="DR6" s="84"/>
      <c r="DS6" s="84"/>
      <c r="DT6" s="84"/>
      <c r="DU6" s="84"/>
      <c r="DV6" s="84"/>
      <c r="DW6" s="84"/>
      <c r="DX6" s="84"/>
      <c r="DY6" s="84"/>
      <c r="DZ6" s="84"/>
      <c r="EA6" s="84"/>
      <c r="EB6" s="84"/>
      <c r="EC6" s="84"/>
      <c r="ED6" s="84"/>
      <c r="EE6" s="84"/>
      <c r="EF6" s="84">
        <v>3170301</v>
      </c>
      <c r="EG6" s="96"/>
      <c r="EH6" s="99"/>
      <c r="EI6" s="97"/>
      <c r="EJ6" s="84"/>
      <c r="EK6" s="84"/>
      <c r="EL6" s="84">
        <v>746953992</v>
      </c>
      <c r="EM6" s="84"/>
      <c r="EN6" s="84"/>
      <c r="EO6" s="84"/>
      <c r="EP6" s="84"/>
      <c r="EQ6" s="84"/>
      <c r="ER6" s="84">
        <v>51000000</v>
      </c>
      <c r="ES6" s="84">
        <v>181662207</v>
      </c>
      <c r="ET6" s="84">
        <v>7164012392</v>
      </c>
      <c r="EU6" s="84"/>
      <c r="EV6" s="84"/>
      <c r="EW6" s="84"/>
      <c r="EX6" s="84"/>
      <c r="EY6" s="84"/>
      <c r="EZ6" s="84"/>
      <c r="FA6" s="84"/>
      <c r="FB6" s="86"/>
      <c r="FC6" s="84">
        <v>100000000</v>
      </c>
      <c r="FD6" s="84"/>
      <c r="FE6" s="84">
        <v>47630000</v>
      </c>
      <c r="FF6" s="84"/>
      <c r="FG6" s="84" t="s">
        <v>96</v>
      </c>
      <c r="FH6" s="84">
        <v>54700000</v>
      </c>
      <c r="FI6" s="84" t="s">
        <v>96</v>
      </c>
      <c r="FJ6" s="84"/>
      <c r="FK6" s="84">
        <v>940197</v>
      </c>
      <c r="FL6" s="84"/>
      <c r="FM6" s="84" t="s">
        <v>130</v>
      </c>
      <c r="FN6" s="84"/>
      <c r="FO6" s="84" t="s">
        <v>96</v>
      </c>
      <c r="FP6" s="84" t="s">
        <v>96</v>
      </c>
      <c r="FQ6" s="84"/>
      <c r="FR6" s="84"/>
      <c r="FS6" s="84"/>
      <c r="FT6" s="84"/>
      <c r="FU6" s="84"/>
      <c r="FV6" s="84" t="s">
        <v>96</v>
      </c>
      <c r="FW6" s="84"/>
      <c r="FX6" s="84"/>
      <c r="FY6" s="84" t="s">
        <v>96</v>
      </c>
      <c r="FZ6" s="84" t="s">
        <v>4</v>
      </c>
      <c r="GA6" s="84"/>
      <c r="GB6" s="84"/>
      <c r="GC6" s="84"/>
      <c r="GD6" s="84" t="s">
        <v>96</v>
      </c>
      <c r="GE6" s="84" t="s">
        <v>4</v>
      </c>
      <c r="GF6" s="84"/>
      <c r="GG6" s="84">
        <v>1282798</v>
      </c>
      <c r="GH6" s="84" t="s">
        <v>4</v>
      </c>
      <c r="GI6" s="84"/>
      <c r="GJ6" s="84" t="s">
        <v>96</v>
      </c>
      <c r="GK6" s="84"/>
      <c r="GL6" s="84" t="s">
        <v>96</v>
      </c>
      <c r="GM6" s="84"/>
      <c r="GN6" s="84"/>
      <c r="GO6" s="84" t="s">
        <v>96</v>
      </c>
      <c r="GP6" s="84"/>
      <c r="GQ6" s="84"/>
      <c r="GR6" s="84"/>
      <c r="GS6" s="84">
        <v>30000000</v>
      </c>
      <c r="GT6" s="84" t="s">
        <v>130</v>
      </c>
      <c r="GU6" s="84"/>
      <c r="GV6" s="84"/>
      <c r="GW6" s="84"/>
      <c r="GX6" s="84"/>
      <c r="GY6" s="84"/>
      <c r="GZ6" s="84"/>
      <c r="HA6" s="84" t="s">
        <v>96</v>
      </c>
      <c r="HB6" s="84">
        <v>643864015</v>
      </c>
      <c r="HC6" s="84" t="s">
        <v>130</v>
      </c>
      <c r="HD6" s="84">
        <v>208352343</v>
      </c>
      <c r="HE6" s="84" t="s">
        <v>96</v>
      </c>
      <c r="HF6" s="84"/>
      <c r="HG6" s="84"/>
      <c r="HH6" s="84" t="s">
        <v>96</v>
      </c>
      <c r="HI6" s="84"/>
      <c r="HJ6" s="84" t="s">
        <v>96</v>
      </c>
      <c r="HK6" s="84"/>
      <c r="HL6" s="84"/>
      <c r="HM6" s="84"/>
      <c r="HN6" s="84">
        <v>10000000</v>
      </c>
      <c r="HO6" s="84"/>
      <c r="HP6" s="84"/>
      <c r="HQ6" s="84"/>
      <c r="HR6" s="84"/>
      <c r="HS6" s="84"/>
      <c r="HT6" s="84"/>
      <c r="HU6" s="84" t="s">
        <v>130</v>
      </c>
      <c r="HV6" s="84"/>
      <c r="HW6" s="84" t="s">
        <v>96</v>
      </c>
      <c r="HX6" s="84"/>
      <c r="HY6" s="84" t="s">
        <v>114</v>
      </c>
      <c r="HZ6" s="84"/>
      <c r="IA6" s="84"/>
      <c r="IB6" s="84"/>
      <c r="IC6" s="84"/>
      <c r="ID6" s="84"/>
      <c r="IE6" s="84" t="s">
        <v>96</v>
      </c>
      <c r="IF6" s="84"/>
      <c r="IG6" s="84"/>
      <c r="IH6" s="84">
        <v>5000000</v>
      </c>
      <c r="II6" s="84"/>
      <c r="IJ6" s="84"/>
      <c r="IK6" s="84"/>
      <c r="IL6" s="84"/>
      <c r="IM6" s="84">
        <v>200000000</v>
      </c>
      <c r="IN6" s="84"/>
      <c r="IO6" s="84"/>
      <c r="IP6" s="84"/>
      <c r="IQ6" s="84"/>
      <c r="IR6" s="84"/>
      <c r="IS6" s="84"/>
      <c r="IT6" s="84"/>
      <c r="IU6" s="84"/>
      <c r="IV6" s="84"/>
      <c r="IW6" s="84"/>
      <c r="IX6" s="84"/>
      <c r="IY6" s="68"/>
      <c r="IZ6" s="68"/>
      <c r="JA6" s="68"/>
      <c r="JB6" s="68"/>
      <c r="JC6" s="68"/>
      <c r="JD6" s="68"/>
      <c r="JE6" s="68"/>
      <c r="JF6" s="68"/>
      <c r="JG6" s="68"/>
      <c r="JH6" s="68">
        <v>20000000</v>
      </c>
      <c r="JI6" s="68"/>
      <c r="JJ6" s="68"/>
      <c r="JK6" s="68"/>
      <c r="JL6" s="68"/>
      <c r="JM6" s="68"/>
      <c r="JN6" s="68"/>
      <c r="JO6" s="68"/>
      <c r="JP6" s="68"/>
      <c r="JQ6" s="68" t="s">
        <v>4</v>
      </c>
      <c r="JR6" s="68"/>
      <c r="JS6" s="68"/>
      <c r="JT6" s="68"/>
      <c r="JU6" s="68"/>
      <c r="JV6" s="68"/>
      <c r="JW6" s="68"/>
      <c r="JX6" s="68"/>
      <c r="JY6" s="68"/>
      <c r="JZ6" s="68"/>
      <c r="KA6" s="68"/>
      <c r="KB6" s="68">
        <v>0</v>
      </c>
      <c r="KC6" s="68"/>
      <c r="KD6" s="68"/>
      <c r="KE6" s="68"/>
      <c r="KF6" s="68"/>
      <c r="KG6" s="68"/>
      <c r="KH6" s="68"/>
      <c r="KI6" s="68"/>
      <c r="KJ6" s="68">
        <v>200000000</v>
      </c>
      <c r="KK6" s="68"/>
      <c r="KL6" s="68">
        <v>13000000000</v>
      </c>
      <c r="KM6" s="68"/>
      <c r="KN6" s="68">
        <v>17100000000</v>
      </c>
      <c r="KO6" s="68"/>
      <c r="KP6" s="68"/>
      <c r="KQ6" s="68"/>
      <c r="KR6" s="68"/>
      <c r="KS6" s="68"/>
      <c r="KT6" s="68"/>
      <c r="KU6" s="68"/>
      <c r="KV6" s="68"/>
      <c r="KW6" s="68"/>
      <c r="KX6" s="68"/>
      <c r="KY6" s="68"/>
      <c r="KZ6" s="68"/>
      <c r="LA6" s="68"/>
      <c r="LB6" s="68"/>
      <c r="LC6" s="102"/>
      <c r="LD6" s="102"/>
      <c r="LE6" s="102">
        <v>40000000</v>
      </c>
      <c r="LF6" s="102"/>
      <c r="LG6" s="102"/>
      <c r="LH6" s="102" t="s">
        <v>187</v>
      </c>
      <c r="LI6" s="102"/>
      <c r="LJ6" s="102" t="s">
        <v>187</v>
      </c>
      <c r="LK6" s="102">
        <v>83346898</v>
      </c>
      <c r="LL6" s="102" t="s">
        <v>187</v>
      </c>
    </row>
    <row r="7" spans="1:324" ht="17.55" customHeight="1">
      <c r="A7" s="67" t="s">
        <v>184</v>
      </c>
      <c r="B7" s="89" t="s">
        <v>51</v>
      </c>
      <c r="C7" s="84">
        <v>14870239</v>
      </c>
      <c r="D7" s="84">
        <v>1758976591</v>
      </c>
      <c r="E7" s="84">
        <v>60560502</v>
      </c>
      <c r="F7" s="85"/>
      <c r="G7" s="84" t="s">
        <v>130</v>
      </c>
      <c r="H7" s="84"/>
      <c r="I7" s="84"/>
      <c r="J7" s="84" t="s">
        <v>4</v>
      </c>
      <c r="K7" s="84">
        <v>261656630</v>
      </c>
      <c r="L7" s="84" t="s">
        <v>96</v>
      </c>
      <c r="M7" s="84" t="s">
        <v>96</v>
      </c>
      <c r="N7" s="84">
        <v>20210232</v>
      </c>
      <c r="O7" s="84">
        <v>840156489</v>
      </c>
      <c r="P7" s="84"/>
      <c r="Q7" s="84">
        <v>3300000</v>
      </c>
      <c r="R7" s="84" t="s">
        <v>130</v>
      </c>
      <c r="S7" s="84">
        <v>1162180494</v>
      </c>
      <c r="T7" s="84" t="s">
        <v>96</v>
      </c>
      <c r="U7" s="84" t="s">
        <v>96</v>
      </c>
      <c r="V7" s="84" t="s">
        <v>4</v>
      </c>
      <c r="W7" s="84">
        <v>5000000</v>
      </c>
      <c r="X7" s="84">
        <v>336294160</v>
      </c>
      <c r="Y7" s="84">
        <v>324000</v>
      </c>
      <c r="Z7" s="84">
        <v>157362523</v>
      </c>
      <c r="AA7" s="84">
        <v>2156052708</v>
      </c>
      <c r="AB7" s="84"/>
      <c r="AC7" s="84">
        <v>2340000</v>
      </c>
      <c r="AD7" s="84">
        <v>265599280</v>
      </c>
      <c r="AE7" s="84">
        <v>158955758</v>
      </c>
      <c r="AF7" s="84" t="s">
        <v>96</v>
      </c>
      <c r="AG7" s="84">
        <v>39000</v>
      </c>
      <c r="AH7" s="84" t="s">
        <v>130</v>
      </c>
      <c r="AI7" s="84">
        <v>23249762</v>
      </c>
      <c r="AJ7" s="84">
        <v>66145545</v>
      </c>
      <c r="AK7" s="84">
        <v>742016767</v>
      </c>
      <c r="AL7" s="84">
        <v>214406</v>
      </c>
      <c r="AM7" s="84" t="s">
        <v>4</v>
      </c>
      <c r="AN7" s="84"/>
      <c r="AO7" s="84">
        <v>189402405</v>
      </c>
      <c r="AP7" s="84">
        <v>154594000</v>
      </c>
      <c r="AQ7" s="84" t="s">
        <v>4</v>
      </c>
      <c r="AR7" s="84">
        <v>63889123</v>
      </c>
      <c r="AS7" s="84">
        <v>580411841</v>
      </c>
      <c r="AT7" s="84" t="s">
        <v>96</v>
      </c>
      <c r="AU7" s="84"/>
      <c r="AV7" s="84">
        <v>166133283</v>
      </c>
      <c r="AW7" s="84">
        <v>32479066</v>
      </c>
      <c r="AX7" s="84" t="s">
        <v>4</v>
      </c>
      <c r="AY7" s="84" t="s">
        <v>96</v>
      </c>
      <c r="AZ7" s="84">
        <v>120326131</v>
      </c>
      <c r="BA7" s="84" t="s">
        <v>130</v>
      </c>
      <c r="BB7" s="84"/>
      <c r="BC7" s="84" t="s">
        <v>4</v>
      </c>
      <c r="BD7" s="84" t="s">
        <v>96</v>
      </c>
      <c r="BE7" s="84">
        <v>83256547</v>
      </c>
      <c r="BF7" s="84" t="s">
        <v>96</v>
      </c>
      <c r="BG7" s="84">
        <v>65117993</v>
      </c>
      <c r="BH7" s="84">
        <v>57029171</v>
      </c>
      <c r="BI7" s="84">
        <v>88007282</v>
      </c>
      <c r="BJ7" s="84">
        <v>283548706</v>
      </c>
      <c r="BK7" s="84">
        <v>592105363</v>
      </c>
      <c r="BL7" s="84"/>
      <c r="BM7" s="84">
        <v>121530734</v>
      </c>
      <c r="BN7" s="84"/>
      <c r="BO7" s="84" t="s">
        <v>96</v>
      </c>
      <c r="BP7" s="84" t="s">
        <v>96</v>
      </c>
      <c r="BQ7" s="84" t="s">
        <v>4</v>
      </c>
      <c r="BR7" s="84">
        <v>1302531631</v>
      </c>
      <c r="BS7" s="84" t="s">
        <v>4</v>
      </c>
      <c r="BT7" s="84" t="s">
        <v>96</v>
      </c>
      <c r="BU7" s="84">
        <v>91445976</v>
      </c>
      <c r="BV7" s="84">
        <v>163525161</v>
      </c>
      <c r="BW7" s="84"/>
      <c r="BX7" s="84">
        <v>17479298</v>
      </c>
      <c r="BY7" s="84">
        <v>253532603</v>
      </c>
      <c r="BZ7" s="84">
        <v>59572186</v>
      </c>
      <c r="CA7" s="84">
        <v>618524187</v>
      </c>
      <c r="CB7" s="84">
        <v>42496486</v>
      </c>
      <c r="CC7" s="84"/>
      <c r="CD7" s="84"/>
      <c r="CE7" s="84" t="s">
        <v>96</v>
      </c>
      <c r="CF7" s="84" t="s">
        <v>96</v>
      </c>
      <c r="CG7" s="84"/>
      <c r="CH7" s="84"/>
      <c r="CI7" s="84" t="s">
        <v>96</v>
      </c>
      <c r="CJ7" s="84">
        <v>25001102</v>
      </c>
      <c r="CK7" s="84">
        <v>77410632</v>
      </c>
      <c r="CL7" s="84">
        <v>1760571</v>
      </c>
      <c r="CM7" s="84">
        <v>366969118</v>
      </c>
      <c r="CN7" s="84">
        <v>4950034</v>
      </c>
      <c r="CO7" s="84"/>
      <c r="CP7" s="84" t="s">
        <v>96</v>
      </c>
      <c r="CQ7" s="84" t="s">
        <v>96</v>
      </c>
      <c r="CR7" s="84"/>
      <c r="CS7" s="84" t="s">
        <v>96</v>
      </c>
      <c r="CT7" s="84">
        <v>270876354</v>
      </c>
      <c r="CU7" s="84"/>
      <c r="CV7" s="84">
        <v>15692617</v>
      </c>
      <c r="CW7" s="84" t="s">
        <v>96</v>
      </c>
      <c r="CX7" s="84">
        <v>357362910</v>
      </c>
      <c r="CY7" s="84" t="s">
        <v>96</v>
      </c>
      <c r="CZ7" s="84">
        <v>184422791</v>
      </c>
      <c r="DA7" s="84" t="s">
        <v>96</v>
      </c>
      <c r="DB7" s="84">
        <v>270895275</v>
      </c>
      <c r="DC7" s="84">
        <v>2262789</v>
      </c>
      <c r="DD7" s="84" t="s">
        <v>96</v>
      </c>
      <c r="DE7" s="84"/>
      <c r="DF7" s="84">
        <v>1150000</v>
      </c>
      <c r="DG7" s="84"/>
      <c r="DH7" s="84">
        <v>201946140</v>
      </c>
      <c r="DI7" s="84">
        <v>832418361</v>
      </c>
      <c r="DJ7" s="84">
        <v>698646</v>
      </c>
      <c r="DK7" s="84" t="s">
        <v>96</v>
      </c>
      <c r="DL7" s="84">
        <v>175278653</v>
      </c>
      <c r="DM7" s="84">
        <v>203404728</v>
      </c>
      <c r="DN7" s="84">
        <v>18447644</v>
      </c>
      <c r="DO7" s="84"/>
      <c r="DP7" s="86">
        <v>196670596</v>
      </c>
      <c r="DQ7" s="84">
        <v>297417286</v>
      </c>
      <c r="DR7" s="84">
        <v>69470006</v>
      </c>
      <c r="DS7" s="84">
        <v>64559391</v>
      </c>
      <c r="DT7" s="84">
        <v>270941715</v>
      </c>
      <c r="DU7" s="84"/>
      <c r="DV7" s="84"/>
      <c r="DW7" s="84">
        <v>204002752</v>
      </c>
      <c r="DX7" s="84">
        <v>2145661895</v>
      </c>
      <c r="DY7" s="84">
        <v>68907811</v>
      </c>
      <c r="DZ7" s="84"/>
      <c r="EA7" s="84"/>
      <c r="EB7" s="84">
        <v>-4511519</v>
      </c>
      <c r="EC7" s="84">
        <v>23430477</v>
      </c>
      <c r="ED7" s="84">
        <v>1523361</v>
      </c>
      <c r="EE7" s="84">
        <v>11332860</v>
      </c>
      <c r="EF7" s="84">
        <v>169122201</v>
      </c>
      <c r="EG7" s="96">
        <v>3585104227</v>
      </c>
      <c r="EH7" s="99">
        <v>80750087</v>
      </c>
      <c r="EI7" s="97">
        <v>2920097403</v>
      </c>
      <c r="EJ7" s="84">
        <v>3000000</v>
      </c>
      <c r="EK7" s="84">
        <v>327978330</v>
      </c>
      <c r="EL7" s="84">
        <v>95262655</v>
      </c>
      <c r="EM7" s="84">
        <v>38624434</v>
      </c>
      <c r="EN7" s="84">
        <v>350000</v>
      </c>
      <c r="EO7" s="84"/>
      <c r="EP7" s="84">
        <v>16910350</v>
      </c>
      <c r="EQ7" s="84">
        <v>375481060</v>
      </c>
      <c r="ER7" s="84"/>
      <c r="ES7" s="84">
        <v>117175769</v>
      </c>
      <c r="ET7" s="84">
        <v>1198072537</v>
      </c>
      <c r="EU7" s="84">
        <v>158978980</v>
      </c>
      <c r="EV7" s="84">
        <v>33913893</v>
      </c>
      <c r="EW7" s="84">
        <v>59599007</v>
      </c>
      <c r="EX7" s="84">
        <v>2955995</v>
      </c>
      <c r="EY7" s="84"/>
      <c r="EZ7" s="84">
        <v>7759254</v>
      </c>
      <c r="FA7" s="84">
        <v>1167594</v>
      </c>
      <c r="FB7" s="86">
        <v>4021800</v>
      </c>
      <c r="FC7" s="84">
        <v>104454312</v>
      </c>
      <c r="FD7" s="84">
        <v>64452199</v>
      </c>
      <c r="FE7" s="84">
        <v>1527558763</v>
      </c>
      <c r="FF7" s="84">
        <v>28576412</v>
      </c>
      <c r="FG7" s="84" t="s">
        <v>96</v>
      </c>
      <c r="FH7" s="84">
        <v>57813758</v>
      </c>
      <c r="FI7" s="84" t="s">
        <v>96</v>
      </c>
      <c r="FJ7" s="84">
        <v>3105364</v>
      </c>
      <c r="FK7" s="84">
        <v>304365224</v>
      </c>
      <c r="FL7" s="84">
        <v>4371931</v>
      </c>
      <c r="FM7" s="84" t="s">
        <v>130</v>
      </c>
      <c r="FN7" s="84">
        <v>2256972039</v>
      </c>
      <c r="FO7" s="84" t="s">
        <v>96</v>
      </c>
      <c r="FP7" s="84" t="s">
        <v>96</v>
      </c>
      <c r="FQ7" s="84"/>
      <c r="FR7" s="84">
        <v>22064408</v>
      </c>
      <c r="FS7" s="84">
        <v>67238392</v>
      </c>
      <c r="FT7" s="84">
        <v>337021317</v>
      </c>
      <c r="FU7" s="84">
        <v>3594500</v>
      </c>
      <c r="FV7" s="84" t="s">
        <v>96</v>
      </c>
      <c r="FW7" s="84">
        <v>2064530</v>
      </c>
      <c r="FX7" s="84">
        <v>681000</v>
      </c>
      <c r="FY7" s="84" t="s">
        <v>96</v>
      </c>
      <c r="FZ7" s="84" t="s">
        <v>4</v>
      </c>
      <c r="GA7" s="84">
        <v>23494340</v>
      </c>
      <c r="GB7" s="84">
        <v>25651979</v>
      </c>
      <c r="GC7" s="84"/>
      <c r="GD7" s="84" t="s">
        <v>96</v>
      </c>
      <c r="GE7" s="84" t="s">
        <v>4</v>
      </c>
      <c r="GF7" s="84">
        <v>205658474</v>
      </c>
      <c r="GG7" s="84">
        <v>161005408</v>
      </c>
      <c r="GH7" s="84" t="s">
        <v>4</v>
      </c>
      <c r="GI7" s="84">
        <v>1548030</v>
      </c>
      <c r="GJ7" s="84" t="s">
        <v>96</v>
      </c>
      <c r="GK7" s="84">
        <v>32988369</v>
      </c>
      <c r="GL7" s="84" t="s">
        <v>96</v>
      </c>
      <c r="GM7" s="84">
        <v>327500</v>
      </c>
      <c r="GN7" s="84"/>
      <c r="GO7" s="84" t="s">
        <v>96</v>
      </c>
      <c r="GP7" s="84">
        <v>786164189</v>
      </c>
      <c r="GQ7" s="84">
        <v>15288000</v>
      </c>
      <c r="GR7" s="84">
        <v>249445062</v>
      </c>
      <c r="GS7" s="84"/>
      <c r="GT7" s="84" t="s">
        <v>130</v>
      </c>
      <c r="GU7" s="84"/>
      <c r="GV7" s="84"/>
      <c r="GW7" s="84">
        <v>1172465511</v>
      </c>
      <c r="GX7" s="84">
        <v>52091190</v>
      </c>
      <c r="GY7" s="84">
        <v>318700804</v>
      </c>
      <c r="GZ7" s="84">
        <v>67463252</v>
      </c>
      <c r="HA7" s="84" t="s">
        <v>96</v>
      </c>
      <c r="HB7" s="84">
        <v>26530935</v>
      </c>
      <c r="HC7" s="84" t="s">
        <v>130</v>
      </c>
      <c r="HD7" s="84">
        <v>46600553</v>
      </c>
      <c r="HE7" s="84" t="s">
        <v>96</v>
      </c>
      <c r="HF7" s="84">
        <v>237393428</v>
      </c>
      <c r="HG7" s="84">
        <v>8556724</v>
      </c>
      <c r="HH7" s="84" t="s">
        <v>96</v>
      </c>
      <c r="HI7" s="84">
        <v>207222075</v>
      </c>
      <c r="HJ7" s="84" t="s">
        <v>96</v>
      </c>
      <c r="HK7" s="84">
        <v>5228416</v>
      </c>
      <c r="HL7" s="84">
        <v>118778947</v>
      </c>
      <c r="HM7" s="84">
        <v>19057012</v>
      </c>
      <c r="HN7" s="84"/>
      <c r="HO7" s="84">
        <v>82779958</v>
      </c>
      <c r="HP7" s="84">
        <v>8192845</v>
      </c>
      <c r="HQ7" s="84"/>
      <c r="HR7" s="84">
        <v>5060000</v>
      </c>
      <c r="HS7" s="84">
        <v>18050897</v>
      </c>
      <c r="HT7" s="84">
        <v>541829785</v>
      </c>
      <c r="HU7" s="84" t="s">
        <v>130</v>
      </c>
      <c r="HV7" s="84">
        <v>17115000</v>
      </c>
      <c r="HW7" s="84" t="s">
        <v>96</v>
      </c>
      <c r="HX7" s="84">
        <v>470392016</v>
      </c>
      <c r="HY7" s="84" t="s">
        <v>114</v>
      </c>
      <c r="HZ7" s="84">
        <v>1906688733</v>
      </c>
      <c r="IA7" s="84"/>
      <c r="IB7" s="84">
        <v>977544061</v>
      </c>
      <c r="IC7" s="84"/>
      <c r="ID7" s="84">
        <v>2845888</v>
      </c>
      <c r="IE7" s="84" t="s">
        <v>96</v>
      </c>
      <c r="IF7" s="84">
        <v>585000</v>
      </c>
      <c r="IG7" s="84">
        <v>5548858</v>
      </c>
      <c r="IH7" s="84">
        <v>104769991</v>
      </c>
      <c r="II7" s="84">
        <v>931000</v>
      </c>
      <c r="IJ7" s="84">
        <v>989807</v>
      </c>
      <c r="IK7" s="84">
        <v>6463655</v>
      </c>
      <c r="IL7" s="84">
        <v>53822415</v>
      </c>
      <c r="IM7" s="84">
        <v>27237517</v>
      </c>
      <c r="IN7" s="84">
        <v>355474124</v>
      </c>
      <c r="IO7" s="84">
        <v>196430713</v>
      </c>
      <c r="IP7" s="84"/>
      <c r="IQ7" s="84"/>
      <c r="IR7" s="84">
        <v>272307572</v>
      </c>
      <c r="IS7" s="84">
        <v>59562932</v>
      </c>
      <c r="IT7" s="84">
        <v>29144824</v>
      </c>
      <c r="IU7" s="84"/>
      <c r="IV7" s="84"/>
      <c r="IW7" s="84">
        <v>1011600</v>
      </c>
      <c r="IX7" s="84">
        <v>15343773</v>
      </c>
      <c r="IY7" s="68">
        <v>639424336</v>
      </c>
      <c r="IZ7" s="68">
        <v>25954950</v>
      </c>
      <c r="JA7" s="68">
        <v>688311143</v>
      </c>
      <c r="JB7" s="68">
        <v>51114290</v>
      </c>
      <c r="JC7" s="68">
        <v>72960</v>
      </c>
      <c r="JD7" s="68">
        <v>5183200</v>
      </c>
      <c r="JE7" s="68">
        <v>26860712</v>
      </c>
      <c r="JF7" s="68">
        <v>89645775</v>
      </c>
      <c r="JG7" s="68">
        <v>197550</v>
      </c>
      <c r="JH7" s="68">
        <v>35651248</v>
      </c>
      <c r="JI7" s="68">
        <v>34552055</v>
      </c>
      <c r="JJ7" s="68"/>
      <c r="JK7" s="68"/>
      <c r="JL7" s="68">
        <v>33914760</v>
      </c>
      <c r="JM7" s="68"/>
      <c r="JN7" s="68">
        <v>1016054427</v>
      </c>
      <c r="JO7" s="68"/>
      <c r="JP7" s="68">
        <v>14934456</v>
      </c>
      <c r="JQ7" s="68" t="s">
        <v>4</v>
      </c>
      <c r="JR7" s="68">
        <v>325573050</v>
      </c>
      <c r="JS7" s="68">
        <v>5893890</v>
      </c>
      <c r="JT7" s="68">
        <v>800000</v>
      </c>
      <c r="JU7" s="68">
        <v>134866180</v>
      </c>
      <c r="JV7" s="68"/>
      <c r="JW7" s="68"/>
      <c r="JX7" s="68"/>
      <c r="JY7" s="68">
        <v>142581776</v>
      </c>
      <c r="JZ7" s="68">
        <v>1133946</v>
      </c>
      <c r="KA7" s="68">
        <v>175684898</v>
      </c>
      <c r="KB7" s="68">
        <v>205436390</v>
      </c>
      <c r="KC7" s="68">
        <v>37410622</v>
      </c>
      <c r="KD7" s="68">
        <v>49157020</v>
      </c>
      <c r="KE7" s="68">
        <v>1016500</v>
      </c>
      <c r="KF7" s="68">
        <v>55000000</v>
      </c>
      <c r="KG7" s="68">
        <v>130723489</v>
      </c>
      <c r="KH7" s="68">
        <v>31575000</v>
      </c>
      <c r="KI7" s="68">
        <v>-749919</v>
      </c>
      <c r="KJ7" s="68">
        <v>1928583</v>
      </c>
      <c r="KK7" s="68">
        <v>231000</v>
      </c>
      <c r="KL7" s="68">
        <v>1199413495</v>
      </c>
      <c r="KM7" s="68">
        <v>4196795</v>
      </c>
      <c r="KN7" s="68"/>
      <c r="KO7" s="68">
        <v>40703956</v>
      </c>
      <c r="KP7" s="68"/>
      <c r="KQ7" s="68"/>
      <c r="KR7" s="68">
        <v>51944302</v>
      </c>
      <c r="KS7" s="68">
        <v>71263192</v>
      </c>
      <c r="KT7" s="68">
        <v>3704135</v>
      </c>
      <c r="KU7" s="68">
        <v>241918219</v>
      </c>
      <c r="KV7" s="68">
        <v>14192000</v>
      </c>
      <c r="KW7" s="68">
        <v>144214820</v>
      </c>
      <c r="KX7" s="68">
        <v>1997151</v>
      </c>
      <c r="KY7" s="68">
        <v>799263661</v>
      </c>
      <c r="KZ7" s="68">
        <v>648513695</v>
      </c>
      <c r="LA7" s="68">
        <v>262364521</v>
      </c>
      <c r="LB7" s="68">
        <v>2313900</v>
      </c>
      <c r="LC7" s="102"/>
      <c r="LD7" s="102">
        <v>231562671</v>
      </c>
      <c r="LE7" s="102">
        <v>59874912</v>
      </c>
      <c r="LF7" s="102"/>
      <c r="LG7" s="102">
        <v>26671029</v>
      </c>
      <c r="LH7" s="102" t="s">
        <v>187</v>
      </c>
      <c r="LI7" s="102">
        <v>53244295</v>
      </c>
      <c r="LJ7" s="102" t="s">
        <v>187</v>
      </c>
      <c r="LK7" s="102">
        <v>51518975</v>
      </c>
      <c r="LL7" s="102" t="s">
        <v>187</v>
      </c>
    </row>
    <row r="8" spans="1:324" ht="17.55" customHeight="1">
      <c r="A8" s="67" t="s">
        <v>184</v>
      </c>
      <c r="B8" s="89" t="s">
        <v>69</v>
      </c>
      <c r="C8" s="84"/>
      <c r="D8" s="84"/>
      <c r="E8" s="84"/>
      <c r="F8" s="85"/>
      <c r="G8" s="84" t="s">
        <v>130</v>
      </c>
      <c r="H8" s="84">
        <v>63500000</v>
      </c>
      <c r="I8" s="84">
        <v>30000000</v>
      </c>
      <c r="J8" s="84" t="s">
        <v>4</v>
      </c>
      <c r="K8" s="84"/>
      <c r="L8" s="84" t="s">
        <v>96</v>
      </c>
      <c r="M8" s="84" t="s">
        <v>96</v>
      </c>
      <c r="N8" s="84"/>
      <c r="O8" s="84"/>
      <c r="P8" s="84"/>
      <c r="Q8" s="84">
        <v>127605214</v>
      </c>
      <c r="R8" s="84" t="s">
        <v>130</v>
      </c>
      <c r="S8" s="84"/>
      <c r="T8" s="84" t="s">
        <v>96</v>
      </c>
      <c r="U8" s="84" t="s">
        <v>96</v>
      </c>
      <c r="V8" s="84" t="s">
        <v>4</v>
      </c>
      <c r="W8" s="84"/>
      <c r="X8" s="84"/>
      <c r="Y8" s="84"/>
      <c r="Z8" s="84">
        <v>30000000</v>
      </c>
      <c r="AA8" s="84">
        <v>0</v>
      </c>
      <c r="AB8" s="84">
        <v>29000000</v>
      </c>
      <c r="AC8" s="84"/>
      <c r="AD8" s="84"/>
      <c r="AE8" s="84">
        <v>156000000</v>
      </c>
      <c r="AF8" s="84" t="s">
        <v>96</v>
      </c>
      <c r="AG8" s="84">
        <v>208488650</v>
      </c>
      <c r="AH8" s="84" t="s">
        <v>130</v>
      </c>
      <c r="AI8" s="84">
        <v>2300000</v>
      </c>
      <c r="AJ8" s="84">
        <v>1005000</v>
      </c>
      <c r="AK8" s="84"/>
      <c r="AL8" s="84"/>
      <c r="AM8" s="84" t="s">
        <v>4</v>
      </c>
      <c r="AN8" s="84"/>
      <c r="AO8" s="84">
        <v>20000000</v>
      </c>
      <c r="AP8" s="84">
        <v>132000000</v>
      </c>
      <c r="AQ8" s="84" t="s">
        <v>4</v>
      </c>
      <c r="AR8" s="84"/>
      <c r="AS8" s="84">
        <v>10000000</v>
      </c>
      <c r="AT8" s="84" t="s">
        <v>96</v>
      </c>
      <c r="AU8" s="84">
        <v>809398944</v>
      </c>
      <c r="AV8" s="84"/>
      <c r="AW8" s="84"/>
      <c r="AX8" s="84" t="s">
        <v>4</v>
      </c>
      <c r="AY8" s="84" t="s">
        <v>96</v>
      </c>
      <c r="AZ8" s="84"/>
      <c r="BA8" s="84" t="s">
        <v>130</v>
      </c>
      <c r="BB8" s="84"/>
      <c r="BC8" s="84" t="s">
        <v>4</v>
      </c>
      <c r="BD8" s="84" t="s">
        <v>96</v>
      </c>
      <c r="BE8" s="84"/>
      <c r="BF8" s="84" t="s">
        <v>96</v>
      </c>
      <c r="BG8" s="84"/>
      <c r="BH8" s="84"/>
      <c r="BI8" s="84"/>
      <c r="BJ8" s="84"/>
      <c r="BK8" s="84"/>
      <c r="BL8" s="84"/>
      <c r="BM8" s="84">
        <v>30000000</v>
      </c>
      <c r="BN8" s="84"/>
      <c r="BO8" s="84" t="s">
        <v>96</v>
      </c>
      <c r="BP8" s="84" t="s">
        <v>96</v>
      </c>
      <c r="BQ8" s="84" t="s">
        <v>4</v>
      </c>
      <c r="BR8" s="84">
        <v>84147452</v>
      </c>
      <c r="BS8" s="84" t="s">
        <v>4</v>
      </c>
      <c r="BT8" s="84" t="s">
        <v>96</v>
      </c>
      <c r="BU8" s="84"/>
      <c r="BV8" s="84"/>
      <c r="BW8" s="84"/>
      <c r="BX8" s="84"/>
      <c r="BY8" s="84">
        <v>371236189</v>
      </c>
      <c r="BZ8" s="84"/>
      <c r="CA8" s="84">
        <v>84700000</v>
      </c>
      <c r="CB8" s="84"/>
      <c r="CC8" s="84"/>
      <c r="CD8" s="84">
        <v>5000000</v>
      </c>
      <c r="CE8" s="84" t="s">
        <v>96</v>
      </c>
      <c r="CF8" s="84" t="s">
        <v>96</v>
      </c>
      <c r="CG8" s="84"/>
      <c r="CH8" s="84"/>
      <c r="CI8" s="84" t="s">
        <v>96</v>
      </c>
      <c r="CJ8" s="84"/>
      <c r="CK8" s="84"/>
      <c r="CL8" s="84"/>
      <c r="CM8" s="84">
        <v>2401000000</v>
      </c>
      <c r="CN8" s="84"/>
      <c r="CO8" s="84"/>
      <c r="CP8" s="84" t="s">
        <v>96</v>
      </c>
      <c r="CQ8" s="84" t="s">
        <v>96</v>
      </c>
      <c r="CR8" s="84"/>
      <c r="CS8" s="84" t="s">
        <v>96</v>
      </c>
      <c r="CT8" s="84"/>
      <c r="CU8" s="84"/>
      <c r="CV8" s="84"/>
      <c r="CW8" s="84" t="s">
        <v>96</v>
      </c>
      <c r="CX8" s="84"/>
      <c r="CY8" s="84" t="s">
        <v>96</v>
      </c>
      <c r="CZ8" s="84">
        <v>70000000</v>
      </c>
      <c r="DA8" s="84" t="s">
        <v>96</v>
      </c>
      <c r="DB8" s="84"/>
      <c r="DC8" s="84"/>
      <c r="DD8" s="84" t="s">
        <v>96</v>
      </c>
      <c r="DE8" s="84"/>
      <c r="DF8" s="84"/>
      <c r="DG8" s="84"/>
      <c r="DH8" s="84">
        <v>114000000</v>
      </c>
      <c r="DI8" s="84"/>
      <c r="DJ8" s="84"/>
      <c r="DK8" s="84" t="s">
        <v>96</v>
      </c>
      <c r="DL8" s="84"/>
      <c r="DM8" s="84"/>
      <c r="DN8" s="84">
        <v>43980000</v>
      </c>
      <c r="DO8" s="84"/>
      <c r="DP8" s="86"/>
      <c r="DQ8" s="84"/>
      <c r="DR8" s="84">
        <v>21759880</v>
      </c>
      <c r="DS8" s="84"/>
      <c r="DT8" s="84"/>
      <c r="DU8" s="84"/>
      <c r="DV8" s="84">
        <v>32245281</v>
      </c>
      <c r="DW8" s="84"/>
      <c r="DX8" s="84"/>
      <c r="DY8" s="84"/>
      <c r="DZ8" s="84"/>
      <c r="EA8" s="84"/>
      <c r="EB8" s="84">
        <v>248654403</v>
      </c>
      <c r="EC8" s="84"/>
      <c r="ED8" s="84"/>
      <c r="EE8" s="84">
        <v>0</v>
      </c>
      <c r="EF8" s="84"/>
      <c r="EG8" s="96"/>
      <c r="EH8" s="99"/>
      <c r="EI8" s="97"/>
      <c r="EJ8" s="84"/>
      <c r="EK8" s="84"/>
      <c r="EL8" s="84">
        <v>100000000</v>
      </c>
      <c r="EM8" s="84"/>
      <c r="EN8" s="84"/>
      <c r="EO8" s="84"/>
      <c r="EP8" s="84"/>
      <c r="EQ8" s="84">
        <v>100000000</v>
      </c>
      <c r="ER8" s="84"/>
      <c r="ES8" s="84"/>
      <c r="ET8" s="84"/>
      <c r="EU8" s="84">
        <v>20000000</v>
      </c>
      <c r="EV8" s="84"/>
      <c r="EW8" s="84"/>
      <c r="EX8" s="84"/>
      <c r="EY8" s="84">
        <v>19000000</v>
      </c>
      <c r="EZ8" s="84"/>
      <c r="FA8" s="84"/>
      <c r="FB8" s="86"/>
      <c r="FC8" s="84"/>
      <c r="FD8" s="84"/>
      <c r="FE8" s="84"/>
      <c r="FF8" s="84"/>
      <c r="FG8" s="84" t="s">
        <v>96</v>
      </c>
      <c r="FH8" s="84"/>
      <c r="FI8" s="84" t="s">
        <v>96</v>
      </c>
      <c r="FJ8" s="84">
        <v>0</v>
      </c>
      <c r="FK8" s="84"/>
      <c r="FL8" s="84">
        <v>5550000</v>
      </c>
      <c r="FM8" s="84" t="s">
        <v>130</v>
      </c>
      <c r="FN8" s="84">
        <v>62000000</v>
      </c>
      <c r="FO8" s="84" t="s">
        <v>96</v>
      </c>
      <c r="FP8" s="84" t="s">
        <v>96</v>
      </c>
      <c r="FQ8" s="84"/>
      <c r="FR8" s="84"/>
      <c r="FS8" s="84"/>
      <c r="FT8" s="84"/>
      <c r="FU8" s="84"/>
      <c r="FV8" s="84" t="s">
        <v>96</v>
      </c>
      <c r="FW8" s="84"/>
      <c r="FX8" s="84"/>
      <c r="FY8" s="84" t="s">
        <v>96</v>
      </c>
      <c r="FZ8" s="84" t="s">
        <v>4</v>
      </c>
      <c r="GA8" s="84"/>
      <c r="GB8" s="84"/>
      <c r="GC8" s="84"/>
      <c r="GD8" s="84" t="s">
        <v>96</v>
      </c>
      <c r="GE8" s="84" t="s">
        <v>4</v>
      </c>
      <c r="GF8" s="84">
        <v>0</v>
      </c>
      <c r="GG8" s="84">
        <v>5000000</v>
      </c>
      <c r="GH8" s="84" t="s">
        <v>4</v>
      </c>
      <c r="GI8" s="84"/>
      <c r="GJ8" s="84" t="s">
        <v>96</v>
      </c>
      <c r="GK8" s="84">
        <v>10876914</v>
      </c>
      <c r="GL8" s="84" t="s">
        <v>96</v>
      </c>
      <c r="GM8" s="84"/>
      <c r="GN8" s="84"/>
      <c r="GO8" s="84" t="s">
        <v>96</v>
      </c>
      <c r="GP8" s="84">
        <v>322756775</v>
      </c>
      <c r="GQ8" s="84"/>
      <c r="GR8" s="84">
        <v>52463360</v>
      </c>
      <c r="GS8" s="84">
        <v>182000000</v>
      </c>
      <c r="GT8" s="84" t="s">
        <v>130</v>
      </c>
      <c r="GU8" s="84"/>
      <c r="GV8" s="84"/>
      <c r="GW8" s="84"/>
      <c r="GX8" s="84"/>
      <c r="GY8" s="84"/>
      <c r="GZ8" s="84"/>
      <c r="HA8" s="84" t="s">
        <v>96</v>
      </c>
      <c r="HB8" s="84"/>
      <c r="HC8" s="84" t="s">
        <v>130</v>
      </c>
      <c r="HD8" s="84"/>
      <c r="HE8" s="84" t="s">
        <v>96</v>
      </c>
      <c r="HF8" s="84"/>
      <c r="HG8" s="84"/>
      <c r="HH8" s="84" t="s">
        <v>96</v>
      </c>
      <c r="HI8" s="84">
        <v>100000000</v>
      </c>
      <c r="HJ8" s="84" t="s">
        <v>96</v>
      </c>
      <c r="HK8" s="84"/>
      <c r="HL8" s="84"/>
      <c r="HM8" s="84"/>
      <c r="HN8" s="84"/>
      <c r="HO8" s="84">
        <v>160000000</v>
      </c>
      <c r="HP8" s="84"/>
      <c r="HQ8" s="84"/>
      <c r="HR8" s="84"/>
      <c r="HS8" s="84"/>
      <c r="HT8" s="84"/>
      <c r="HU8" s="84" t="s">
        <v>130</v>
      </c>
      <c r="HV8" s="84"/>
      <c r="HW8" s="84" t="s">
        <v>96</v>
      </c>
      <c r="HX8" s="84"/>
      <c r="HY8" s="84" t="s">
        <v>114</v>
      </c>
      <c r="HZ8" s="84">
        <v>40060490</v>
      </c>
      <c r="IA8" s="84"/>
      <c r="IB8" s="84">
        <v>105000000</v>
      </c>
      <c r="IC8" s="84">
        <v>39000000</v>
      </c>
      <c r="ID8" s="84"/>
      <c r="IE8" s="84" t="s">
        <v>96</v>
      </c>
      <c r="IF8" s="84"/>
      <c r="IG8" s="84"/>
      <c r="IH8" s="84"/>
      <c r="II8" s="84"/>
      <c r="IJ8" s="84"/>
      <c r="IK8" s="84"/>
      <c r="IL8" s="84">
        <v>42994150</v>
      </c>
      <c r="IM8" s="84"/>
      <c r="IN8" s="84"/>
      <c r="IO8" s="84"/>
      <c r="IP8" s="84"/>
      <c r="IQ8" s="84"/>
      <c r="IR8" s="84">
        <v>128481139</v>
      </c>
      <c r="IS8" s="84">
        <v>0</v>
      </c>
      <c r="IT8" s="84"/>
      <c r="IU8" s="84"/>
      <c r="IV8" s="84"/>
      <c r="IW8" s="84">
        <v>174057943</v>
      </c>
      <c r="IX8" s="84">
        <v>3000000</v>
      </c>
      <c r="IY8" s="68"/>
      <c r="IZ8" s="68"/>
      <c r="JA8" s="68"/>
      <c r="JB8" s="68"/>
      <c r="JC8" s="68"/>
      <c r="JD8" s="68">
        <v>0</v>
      </c>
      <c r="JE8" s="68"/>
      <c r="JF8" s="68"/>
      <c r="JG8" s="68"/>
      <c r="JH8" s="68"/>
      <c r="JI8" s="68"/>
      <c r="JJ8" s="68"/>
      <c r="JK8" s="68"/>
      <c r="JL8" s="68"/>
      <c r="JM8" s="68"/>
      <c r="JN8" s="68"/>
      <c r="JO8" s="68"/>
      <c r="JP8" s="68"/>
      <c r="JQ8" s="68" t="s">
        <v>4</v>
      </c>
      <c r="JR8" s="68">
        <v>5000000</v>
      </c>
      <c r="JS8" s="68"/>
      <c r="JT8" s="68"/>
      <c r="JU8" s="68"/>
      <c r="JV8" s="68"/>
      <c r="JW8" s="68"/>
      <c r="JX8" s="68"/>
      <c r="JY8" s="68"/>
      <c r="JZ8" s="68"/>
      <c r="KA8" s="68">
        <v>451182759</v>
      </c>
      <c r="KB8" s="68">
        <v>81596640</v>
      </c>
      <c r="KC8" s="68"/>
      <c r="KD8" s="68"/>
      <c r="KE8" s="68"/>
      <c r="KF8" s="68">
        <v>375432386</v>
      </c>
      <c r="KG8" s="68"/>
      <c r="KH8" s="68"/>
      <c r="KI8" s="68">
        <v>42077360</v>
      </c>
      <c r="KJ8" s="68">
        <v>20000000</v>
      </c>
      <c r="KK8" s="68"/>
      <c r="KL8" s="68"/>
      <c r="KM8" s="68">
        <v>164500000</v>
      </c>
      <c r="KN8" s="68"/>
      <c r="KO8" s="68"/>
      <c r="KP8" s="68">
        <v>26796310</v>
      </c>
      <c r="KQ8" s="68"/>
      <c r="KR8" s="68">
        <v>10570360</v>
      </c>
      <c r="KS8" s="68"/>
      <c r="KT8" s="68"/>
      <c r="KU8" s="68"/>
      <c r="KV8" s="68"/>
      <c r="KW8" s="68"/>
      <c r="KX8" s="68"/>
      <c r="KY8" s="68"/>
      <c r="KZ8" s="68"/>
      <c r="LA8" s="68"/>
      <c r="LB8" s="68"/>
      <c r="LC8" s="102"/>
      <c r="LD8" s="102"/>
      <c r="LE8" s="102"/>
      <c r="LF8" s="102">
        <v>3340131</v>
      </c>
      <c r="LG8" s="102"/>
      <c r="LH8" s="102" t="s">
        <v>187</v>
      </c>
      <c r="LI8" s="102"/>
      <c r="LJ8" s="102" t="s">
        <v>187</v>
      </c>
      <c r="LK8" s="102"/>
      <c r="LL8" s="102" t="s">
        <v>187</v>
      </c>
    </row>
    <row r="9" spans="1:324" ht="17.55" customHeight="1">
      <c r="A9" s="67" t="s">
        <v>184</v>
      </c>
      <c r="B9" s="89" t="s">
        <v>134</v>
      </c>
      <c r="C9" s="84"/>
      <c r="D9" s="84">
        <v>1392960</v>
      </c>
      <c r="E9" s="84">
        <v>4216507</v>
      </c>
      <c r="F9" s="85"/>
      <c r="G9" s="84" t="s">
        <v>130</v>
      </c>
      <c r="H9" s="84"/>
      <c r="I9" s="84">
        <v>837794629</v>
      </c>
      <c r="J9" s="84" t="s">
        <v>4</v>
      </c>
      <c r="K9" s="84"/>
      <c r="L9" s="84" t="s">
        <v>96</v>
      </c>
      <c r="M9" s="84" t="s">
        <v>96</v>
      </c>
      <c r="N9" s="84">
        <v>662480</v>
      </c>
      <c r="O9" s="84"/>
      <c r="P9" s="84">
        <v>626452641</v>
      </c>
      <c r="Q9" s="84">
        <v>6437842</v>
      </c>
      <c r="R9" s="84" t="s">
        <v>130</v>
      </c>
      <c r="S9" s="84">
        <v>49925339</v>
      </c>
      <c r="T9" s="84" t="s">
        <v>96</v>
      </c>
      <c r="U9" s="84" t="s">
        <v>96</v>
      </c>
      <c r="V9" s="84" t="s">
        <v>4</v>
      </c>
      <c r="W9" s="84"/>
      <c r="X9" s="84"/>
      <c r="Y9" s="84"/>
      <c r="Z9" s="84"/>
      <c r="AA9" s="84">
        <v>102305</v>
      </c>
      <c r="AB9" s="84"/>
      <c r="AC9" s="84"/>
      <c r="AD9" s="84">
        <v>14532947</v>
      </c>
      <c r="AE9" s="84">
        <v>7270742</v>
      </c>
      <c r="AF9" s="84" t="s">
        <v>96</v>
      </c>
      <c r="AG9" s="84">
        <v>16542010</v>
      </c>
      <c r="AH9" s="84" t="s">
        <v>130</v>
      </c>
      <c r="AI9" s="84">
        <v>3914000</v>
      </c>
      <c r="AJ9" s="84"/>
      <c r="AK9" s="84">
        <v>38521254</v>
      </c>
      <c r="AL9" s="84">
        <v>11941580</v>
      </c>
      <c r="AM9" s="84" t="s">
        <v>4</v>
      </c>
      <c r="AN9" s="84">
        <v>44184350</v>
      </c>
      <c r="AO9" s="84">
        <v>220000</v>
      </c>
      <c r="AP9" s="84">
        <v>33946670</v>
      </c>
      <c r="AQ9" s="84" t="s">
        <v>4</v>
      </c>
      <c r="AR9" s="84">
        <v>19721749</v>
      </c>
      <c r="AS9" s="84">
        <v>7263455</v>
      </c>
      <c r="AT9" s="84" t="s">
        <v>96</v>
      </c>
      <c r="AU9" s="84">
        <v>84680775</v>
      </c>
      <c r="AV9" s="84">
        <v>3970390</v>
      </c>
      <c r="AW9" s="84">
        <v>760000</v>
      </c>
      <c r="AX9" s="84" t="s">
        <v>4</v>
      </c>
      <c r="AY9" s="84" t="s">
        <v>96</v>
      </c>
      <c r="AZ9" s="84"/>
      <c r="BA9" s="84" t="s">
        <v>130</v>
      </c>
      <c r="BB9" s="84">
        <v>0</v>
      </c>
      <c r="BC9" s="84" t="s">
        <v>4</v>
      </c>
      <c r="BD9" s="84" t="s">
        <v>96</v>
      </c>
      <c r="BE9" s="84">
        <v>47326808</v>
      </c>
      <c r="BF9" s="84" t="s">
        <v>96</v>
      </c>
      <c r="BG9" s="84"/>
      <c r="BH9" s="84">
        <v>14308</v>
      </c>
      <c r="BI9" s="84">
        <v>13868702</v>
      </c>
      <c r="BJ9" s="84"/>
      <c r="BK9" s="84"/>
      <c r="BL9" s="84"/>
      <c r="BM9" s="84">
        <v>34338539</v>
      </c>
      <c r="BN9" s="84">
        <v>246000</v>
      </c>
      <c r="BO9" s="84" t="s">
        <v>96</v>
      </c>
      <c r="BP9" s="84" t="s">
        <v>96</v>
      </c>
      <c r="BQ9" s="84" t="s">
        <v>4</v>
      </c>
      <c r="BR9" s="84">
        <v>14423895</v>
      </c>
      <c r="BS9" s="84" t="s">
        <v>4</v>
      </c>
      <c r="BT9" s="84" t="s">
        <v>96</v>
      </c>
      <c r="BU9" s="84"/>
      <c r="BV9" s="84"/>
      <c r="BW9" s="84">
        <v>1556100</v>
      </c>
      <c r="BX9" s="84">
        <v>1243000</v>
      </c>
      <c r="BY9" s="84">
        <v>339010</v>
      </c>
      <c r="BZ9" s="84">
        <v>20645137</v>
      </c>
      <c r="CA9" s="84">
        <v>5841537</v>
      </c>
      <c r="CB9" s="84"/>
      <c r="CC9" s="84">
        <v>47580021</v>
      </c>
      <c r="CD9" s="84">
        <v>7947040</v>
      </c>
      <c r="CE9" s="84" t="s">
        <v>96</v>
      </c>
      <c r="CF9" s="84" t="s">
        <v>96</v>
      </c>
      <c r="CG9" s="84">
        <v>35409579</v>
      </c>
      <c r="CH9" s="84"/>
      <c r="CI9" s="84" t="s">
        <v>96</v>
      </c>
      <c r="CJ9" s="84">
        <v>-250011</v>
      </c>
      <c r="CK9" s="84">
        <v>15094835</v>
      </c>
      <c r="CL9" s="84"/>
      <c r="CM9" s="84"/>
      <c r="CN9" s="84">
        <v>134880</v>
      </c>
      <c r="CO9" s="84">
        <v>26184467</v>
      </c>
      <c r="CP9" s="84" t="s">
        <v>96</v>
      </c>
      <c r="CQ9" s="84" t="s">
        <v>96</v>
      </c>
      <c r="CR9" s="84">
        <v>77440989</v>
      </c>
      <c r="CS9" s="84" t="s">
        <v>96</v>
      </c>
      <c r="CT9" s="84">
        <v>11330092</v>
      </c>
      <c r="CU9" s="84"/>
      <c r="CV9" s="84">
        <v>184890</v>
      </c>
      <c r="CW9" s="84" t="s">
        <v>96</v>
      </c>
      <c r="CX9" s="84">
        <v>117345735</v>
      </c>
      <c r="CY9" s="84" t="s">
        <v>96</v>
      </c>
      <c r="CZ9" s="84">
        <v>32350</v>
      </c>
      <c r="DA9" s="84" t="s">
        <v>96</v>
      </c>
      <c r="DB9" s="84">
        <v>0</v>
      </c>
      <c r="DC9" s="84"/>
      <c r="DD9" s="84" t="s">
        <v>96</v>
      </c>
      <c r="DE9" s="84"/>
      <c r="DF9" s="84"/>
      <c r="DG9" s="84">
        <v>20799840</v>
      </c>
      <c r="DH9" s="84">
        <v>8265640</v>
      </c>
      <c r="DI9" s="84">
        <v>3080000</v>
      </c>
      <c r="DJ9" s="84">
        <v>255310</v>
      </c>
      <c r="DK9" s="84" t="s">
        <v>96</v>
      </c>
      <c r="DL9" s="84">
        <v>240557</v>
      </c>
      <c r="DM9" s="84">
        <v>90300</v>
      </c>
      <c r="DN9" s="84">
        <v>331450</v>
      </c>
      <c r="DO9" s="84">
        <v>70980</v>
      </c>
      <c r="DP9" s="86">
        <v>1871975</v>
      </c>
      <c r="DQ9" s="84">
        <v>1693171</v>
      </c>
      <c r="DR9" s="84"/>
      <c r="DS9" s="84"/>
      <c r="DT9" s="84"/>
      <c r="DU9" s="84"/>
      <c r="DV9" s="84">
        <v>6192009</v>
      </c>
      <c r="DW9" s="84"/>
      <c r="DX9" s="84">
        <v>60595556</v>
      </c>
      <c r="DY9" s="84">
        <v>38401125</v>
      </c>
      <c r="DZ9" s="84">
        <v>222020463</v>
      </c>
      <c r="EA9" s="84"/>
      <c r="EB9" s="84">
        <v>451151837</v>
      </c>
      <c r="EC9" s="84"/>
      <c r="ED9" s="84">
        <v>36200</v>
      </c>
      <c r="EE9" s="84">
        <v>95806102</v>
      </c>
      <c r="EF9" s="84">
        <v>3570648</v>
      </c>
      <c r="EG9" s="96">
        <v>217258293</v>
      </c>
      <c r="EH9" s="99">
        <v>49990000</v>
      </c>
      <c r="EI9" s="97">
        <v>822154</v>
      </c>
      <c r="EJ9" s="84">
        <v>0</v>
      </c>
      <c r="EK9" s="84"/>
      <c r="EL9" s="84">
        <v>30345450</v>
      </c>
      <c r="EM9" s="84">
        <v>9333368</v>
      </c>
      <c r="EN9" s="84">
        <v>3887801</v>
      </c>
      <c r="EO9" s="84">
        <v>9291811</v>
      </c>
      <c r="EP9" s="84"/>
      <c r="EQ9" s="84"/>
      <c r="ER9" s="84">
        <v>160023926</v>
      </c>
      <c r="ES9" s="84"/>
      <c r="ET9" s="84">
        <v>19303256</v>
      </c>
      <c r="EU9" s="84">
        <v>1694790</v>
      </c>
      <c r="EV9" s="84">
        <v>99000</v>
      </c>
      <c r="EW9" s="84">
        <v>0</v>
      </c>
      <c r="EX9" s="84">
        <v>5595630</v>
      </c>
      <c r="EY9" s="84">
        <v>203078055</v>
      </c>
      <c r="EZ9" s="84">
        <v>14855090</v>
      </c>
      <c r="FA9" s="84"/>
      <c r="FB9" s="86">
        <v>4202436</v>
      </c>
      <c r="FC9" s="84"/>
      <c r="FD9" s="84">
        <v>119710</v>
      </c>
      <c r="FE9" s="84">
        <v>372348818</v>
      </c>
      <c r="FF9" s="84"/>
      <c r="FG9" s="84" t="s">
        <v>96</v>
      </c>
      <c r="FH9" s="84">
        <v>15731744</v>
      </c>
      <c r="FI9" s="84" t="s">
        <v>96</v>
      </c>
      <c r="FJ9" s="84">
        <v>0</v>
      </c>
      <c r="FK9" s="84">
        <v>30006444</v>
      </c>
      <c r="FL9" s="84">
        <v>8415165</v>
      </c>
      <c r="FM9" s="84" t="s">
        <v>130</v>
      </c>
      <c r="FN9" s="84">
        <v>2148877693</v>
      </c>
      <c r="FO9" s="84" t="s">
        <v>96</v>
      </c>
      <c r="FP9" s="84" t="s">
        <v>96</v>
      </c>
      <c r="FQ9" s="84"/>
      <c r="FR9" s="84">
        <v>1100000</v>
      </c>
      <c r="FS9" s="84"/>
      <c r="FT9" s="84">
        <v>4668300</v>
      </c>
      <c r="FU9" s="84"/>
      <c r="FV9" s="84" t="s">
        <v>96</v>
      </c>
      <c r="FW9" s="84">
        <v>9117</v>
      </c>
      <c r="FX9" s="84"/>
      <c r="FY9" s="84" t="s">
        <v>96</v>
      </c>
      <c r="FZ9" s="84" t="s">
        <v>4</v>
      </c>
      <c r="GA9" s="84">
        <v>2670285</v>
      </c>
      <c r="GB9" s="84">
        <v>9560</v>
      </c>
      <c r="GC9" s="84">
        <v>2072570</v>
      </c>
      <c r="GD9" s="84" t="s">
        <v>96</v>
      </c>
      <c r="GE9" s="84" t="s">
        <v>4</v>
      </c>
      <c r="GF9" s="84">
        <v>23650000</v>
      </c>
      <c r="GG9" s="84">
        <v>50494685</v>
      </c>
      <c r="GH9" s="84" t="s">
        <v>4</v>
      </c>
      <c r="GI9" s="84">
        <v>1563000</v>
      </c>
      <c r="GJ9" s="84" t="s">
        <v>96</v>
      </c>
      <c r="GK9" s="84">
        <v>232848</v>
      </c>
      <c r="GL9" s="84" t="s">
        <v>96</v>
      </c>
      <c r="GM9" s="84">
        <v>1177766</v>
      </c>
      <c r="GN9" s="84"/>
      <c r="GO9" s="84" t="s">
        <v>96</v>
      </c>
      <c r="GP9" s="84">
        <v>287323235</v>
      </c>
      <c r="GQ9" s="84">
        <v>10516857</v>
      </c>
      <c r="GR9" s="84">
        <v>12590395</v>
      </c>
      <c r="GS9" s="84"/>
      <c r="GT9" s="84" t="s">
        <v>130</v>
      </c>
      <c r="GU9" s="84">
        <v>144510</v>
      </c>
      <c r="GV9" s="84">
        <v>7952540</v>
      </c>
      <c r="GW9" s="84">
        <v>118401303</v>
      </c>
      <c r="GX9" s="84">
        <v>0</v>
      </c>
      <c r="GY9" s="84">
        <v>2937107</v>
      </c>
      <c r="GZ9" s="84"/>
      <c r="HA9" s="84" t="s">
        <v>96</v>
      </c>
      <c r="HB9" s="84">
        <v>33458315</v>
      </c>
      <c r="HC9" s="84" t="s">
        <v>130</v>
      </c>
      <c r="HD9" s="84">
        <v>24915683</v>
      </c>
      <c r="HE9" s="84" t="s">
        <v>96</v>
      </c>
      <c r="HF9" s="84">
        <v>3610767</v>
      </c>
      <c r="HG9" s="84">
        <v>2360272</v>
      </c>
      <c r="HH9" s="84" t="s">
        <v>96</v>
      </c>
      <c r="HI9" s="84">
        <v>25762645</v>
      </c>
      <c r="HJ9" s="84" t="s">
        <v>96</v>
      </c>
      <c r="HK9" s="84">
        <v>41021855</v>
      </c>
      <c r="HL9" s="84"/>
      <c r="HM9" s="84">
        <v>628566</v>
      </c>
      <c r="HN9" s="84">
        <v>138988893</v>
      </c>
      <c r="HO9" s="84">
        <v>3003893</v>
      </c>
      <c r="HP9" s="84"/>
      <c r="HQ9" s="84">
        <v>96433228</v>
      </c>
      <c r="HR9" s="84"/>
      <c r="HS9" s="84"/>
      <c r="HT9" s="84"/>
      <c r="HU9" s="84" t="s">
        <v>130</v>
      </c>
      <c r="HV9" s="84"/>
      <c r="HW9" s="84" t="s">
        <v>96</v>
      </c>
      <c r="HX9" s="84">
        <v>112518551</v>
      </c>
      <c r="HY9" s="84" t="s">
        <v>114</v>
      </c>
      <c r="HZ9" s="84"/>
      <c r="IA9" s="84"/>
      <c r="IB9" s="84">
        <v>11133266</v>
      </c>
      <c r="IC9" s="84">
        <v>596273</v>
      </c>
      <c r="ID9" s="84">
        <v>680160</v>
      </c>
      <c r="IE9" s="84" t="s">
        <v>96</v>
      </c>
      <c r="IF9" s="84"/>
      <c r="IG9" s="84">
        <v>2010720</v>
      </c>
      <c r="IH9" s="84"/>
      <c r="II9" s="84"/>
      <c r="IJ9" s="84">
        <v>30000</v>
      </c>
      <c r="IK9" s="84">
        <v>137607</v>
      </c>
      <c r="IL9" s="84"/>
      <c r="IM9" s="84">
        <v>845106</v>
      </c>
      <c r="IN9" s="84">
        <v>14617527</v>
      </c>
      <c r="IO9" s="84">
        <v>16383975</v>
      </c>
      <c r="IP9" s="84">
        <v>174885113</v>
      </c>
      <c r="IQ9" s="84">
        <v>123120</v>
      </c>
      <c r="IR9" s="84">
        <v>8080836</v>
      </c>
      <c r="IS9" s="84">
        <v>0</v>
      </c>
      <c r="IT9" s="84">
        <v>37012</v>
      </c>
      <c r="IU9" s="84">
        <v>290413532</v>
      </c>
      <c r="IV9" s="84">
        <v>151113910</v>
      </c>
      <c r="IW9" s="84">
        <v>30022982</v>
      </c>
      <c r="IX9" s="84"/>
      <c r="IY9" s="68">
        <v>88134202</v>
      </c>
      <c r="IZ9" s="68">
        <v>6651586</v>
      </c>
      <c r="JA9" s="68">
        <v>3179417</v>
      </c>
      <c r="JB9" s="68">
        <v>14560055</v>
      </c>
      <c r="JC9" s="68"/>
      <c r="JD9" s="68">
        <v>208180</v>
      </c>
      <c r="JE9" s="68">
        <v>2735681</v>
      </c>
      <c r="JF9" s="68">
        <v>20573679</v>
      </c>
      <c r="JG9" s="68">
        <v>533720</v>
      </c>
      <c r="JH9" s="68"/>
      <c r="JI9" s="68">
        <v>2308878</v>
      </c>
      <c r="JJ9" s="68">
        <v>10928790</v>
      </c>
      <c r="JK9" s="68">
        <v>9121004</v>
      </c>
      <c r="JL9" s="68">
        <v>7370000</v>
      </c>
      <c r="JM9" s="68"/>
      <c r="JN9" s="68">
        <v>350590</v>
      </c>
      <c r="JO9" s="68"/>
      <c r="JP9" s="68">
        <v>0</v>
      </c>
      <c r="JQ9" s="68" t="s">
        <v>4</v>
      </c>
      <c r="JR9" s="68">
        <v>26023267</v>
      </c>
      <c r="JS9" s="68">
        <v>0</v>
      </c>
      <c r="JT9" s="68"/>
      <c r="JU9" s="68">
        <v>180630</v>
      </c>
      <c r="JV9" s="68">
        <v>269355245</v>
      </c>
      <c r="JW9" s="68"/>
      <c r="JX9" s="68">
        <v>231099820</v>
      </c>
      <c r="JY9" s="68">
        <v>16525485</v>
      </c>
      <c r="JZ9" s="68"/>
      <c r="KA9" s="68">
        <v>17265306</v>
      </c>
      <c r="KB9" s="68">
        <v>1132000000</v>
      </c>
      <c r="KC9" s="68">
        <v>1292167</v>
      </c>
      <c r="KD9" s="68">
        <v>153330</v>
      </c>
      <c r="KE9" s="68">
        <v>1735367</v>
      </c>
      <c r="KF9" s="68">
        <v>14479953</v>
      </c>
      <c r="KG9" s="68"/>
      <c r="KH9" s="68"/>
      <c r="KI9" s="68"/>
      <c r="KJ9" s="68">
        <v>128369140</v>
      </c>
      <c r="KK9" s="68"/>
      <c r="KL9" s="68"/>
      <c r="KM9" s="68">
        <v>8760843</v>
      </c>
      <c r="KN9" s="68">
        <v>327120854</v>
      </c>
      <c r="KO9" s="68">
        <v>1459094</v>
      </c>
      <c r="KP9" s="68"/>
      <c r="KQ9" s="68"/>
      <c r="KR9" s="68">
        <v>1008220</v>
      </c>
      <c r="KS9" s="68">
        <v>918576</v>
      </c>
      <c r="KT9" s="68">
        <v>381780</v>
      </c>
      <c r="KU9" s="68">
        <v>288114888</v>
      </c>
      <c r="KV9" s="68"/>
      <c r="KW9" s="68">
        <v>2042130</v>
      </c>
      <c r="KX9" s="68">
        <v>9730</v>
      </c>
      <c r="KY9" s="68">
        <v>0</v>
      </c>
      <c r="KZ9" s="68"/>
      <c r="LA9" s="68"/>
      <c r="LB9" s="68"/>
      <c r="LC9" s="102"/>
      <c r="LD9" s="102">
        <v>416840</v>
      </c>
      <c r="LE9" s="102">
        <v>0</v>
      </c>
      <c r="LF9" s="102"/>
      <c r="LG9" s="102"/>
      <c r="LH9" s="102" t="s">
        <v>187</v>
      </c>
      <c r="LI9" s="102">
        <v>270000</v>
      </c>
      <c r="LJ9" s="102" t="s">
        <v>187</v>
      </c>
      <c r="LK9" s="102"/>
      <c r="LL9" s="102" t="s">
        <v>187</v>
      </c>
    </row>
    <row r="10" spans="1:324" ht="17.55" customHeight="1">
      <c r="A10" s="67" t="s">
        <v>184</v>
      </c>
      <c r="B10" s="89" t="s">
        <v>135</v>
      </c>
      <c r="C10" s="84">
        <v>14340</v>
      </c>
      <c r="D10" s="84"/>
      <c r="E10" s="84">
        <v>9405889</v>
      </c>
      <c r="F10" s="85">
        <v>22352303</v>
      </c>
      <c r="G10" s="84" t="s">
        <v>130</v>
      </c>
      <c r="H10" s="84"/>
      <c r="I10" s="84">
        <v>544013750</v>
      </c>
      <c r="J10" s="84" t="s">
        <v>4</v>
      </c>
      <c r="K10" s="84">
        <v>4960702</v>
      </c>
      <c r="L10" s="84" t="s">
        <v>96</v>
      </c>
      <c r="M10" s="84" t="s">
        <v>96</v>
      </c>
      <c r="N10" s="84">
        <v>1126501</v>
      </c>
      <c r="O10" s="84">
        <v>28107924</v>
      </c>
      <c r="P10" s="84">
        <v>2219945</v>
      </c>
      <c r="Q10" s="84">
        <v>0</v>
      </c>
      <c r="R10" s="84" t="s">
        <v>130</v>
      </c>
      <c r="S10" s="84">
        <v>238882358</v>
      </c>
      <c r="T10" s="84" t="s">
        <v>96</v>
      </c>
      <c r="U10" s="84" t="s">
        <v>96</v>
      </c>
      <c r="V10" s="84" t="s">
        <v>4</v>
      </c>
      <c r="W10" s="84">
        <v>13850</v>
      </c>
      <c r="X10" s="84">
        <v>1038582758</v>
      </c>
      <c r="Y10" s="84">
        <v>2593</v>
      </c>
      <c r="Z10" s="84"/>
      <c r="AA10" s="84">
        <v>22822459</v>
      </c>
      <c r="AB10" s="84"/>
      <c r="AC10" s="84">
        <v>26565000</v>
      </c>
      <c r="AD10" s="84">
        <v>33451808</v>
      </c>
      <c r="AE10" s="84">
        <v>6246000</v>
      </c>
      <c r="AF10" s="84" t="s">
        <v>96</v>
      </c>
      <c r="AG10" s="84"/>
      <c r="AH10" s="84" t="s">
        <v>130</v>
      </c>
      <c r="AI10" s="84"/>
      <c r="AJ10" s="84">
        <v>165477089</v>
      </c>
      <c r="AK10" s="84">
        <v>206064949</v>
      </c>
      <c r="AL10" s="84">
        <v>10079458</v>
      </c>
      <c r="AM10" s="84" t="s">
        <v>4</v>
      </c>
      <c r="AN10" s="84">
        <v>3562220</v>
      </c>
      <c r="AO10" s="84">
        <v>4359718</v>
      </c>
      <c r="AP10" s="84"/>
      <c r="AQ10" s="84" t="s">
        <v>4</v>
      </c>
      <c r="AR10" s="84">
        <v>5206251</v>
      </c>
      <c r="AS10" s="84">
        <v>127575576</v>
      </c>
      <c r="AT10" s="84" t="s">
        <v>96</v>
      </c>
      <c r="AU10" s="84">
        <v>107721072</v>
      </c>
      <c r="AV10" s="84">
        <v>3059100</v>
      </c>
      <c r="AW10" s="84">
        <v>4229000</v>
      </c>
      <c r="AX10" s="84" t="s">
        <v>4</v>
      </c>
      <c r="AY10" s="84" t="s">
        <v>96</v>
      </c>
      <c r="AZ10" s="84">
        <v>7948529</v>
      </c>
      <c r="BA10" s="84" t="s">
        <v>130</v>
      </c>
      <c r="BB10" s="84">
        <v>242260</v>
      </c>
      <c r="BC10" s="84" t="s">
        <v>4</v>
      </c>
      <c r="BD10" s="84" t="s">
        <v>96</v>
      </c>
      <c r="BE10" s="84">
        <v>34855420</v>
      </c>
      <c r="BF10" s="84" t="s">
        <v>96</v>
      </c>
      <c r="BG10" s="84">
        <v>6190993</v>
      </c>
      <c r="BH10" s="84">
        <v>549506</v>
      </c>
      <c r="BI10" s="84">
        <v>3289300</v>
      </c>
      <c r="BJ10" s="84">
        <v>46946701</v>
      </c>
      <c r="BK10" s="84">
        <v>267269874</v>
      </c>
      <c r="BL10" s="84">
        <v>21793869</v>
      </c>
      <c r="BM10" s="84">
        <v>72818463</v>
      </c>
      <c r="BN10" s="84">
        <v>1243093</v>
      </c>
      <c r="BO10" s="84" t="s">
        <v>96</v>
      </c>
      <c r="BP10" s="84" t="s">
        <v>96</v>
      </c>
      <c r="BQ10" s="84" t="s">
        <v>4</v>
      </c>
      <c r="BR10" s="84">
        <v>172183180</v>
      </c>
      <c r="BS10" s="84" t="s">
        <v>4</v>
      </c>
      <c r="BT10" s="84" t="s">
        <v>96</v>
      </c>
      <c r="BU10" s="84">
        <v>39706430</v>
      </c>
      <c r="BV10" s="84">
        <v>520855760</v>
      </c>
      <c r="BW10" s="84">
        <v>4639404</v>
      </c>
      <c r="BX10" s="84">
        <v>30373790</v>
      </c>
      <c r="BY10" s="84">
        <v>3210302</v>
      </c>
      <c r="BZ10" s="84"/>
      <c r="CA10" s="84">
        <v>242068552</v>
      </c>
      <c r="CB10" s="84">
        <v>1000000</v>
      </c>
      <c r="CC10" s="84">
        <v>0</v>
      </c>
      <c r="CD10" s="84">
        <v>0</v>
      </c>
      <c r="CE10" s="84" t="s">
        <v>96</v>
      </c>
      <c r="CF10" s="84" t="s">
        <v>96</v>
      </c>
      <c r="CG10" s="84">
        <v>4025000</v>
      </c>
      <c r="CH10" s="84">
        <v>11934060</v>
      </c>
      <c r="CI10" s="84" t="s">
        <v>96</v>
      </c>
      <c r="CJ10" s="84">
        <v>761214</v>
      </c>
      <c r="CK10" s="84">
        <v>560000</v>
      </c>
      <c r="CL10" s="84"/>
      <c r="CM10" s="84">
        <v>13240948</v>
      </c>
      <c r="CN10" s="84">
        <v>545600</v>
      </c>
      <c r="CO10" s="84">
        <v>1764040</v>
      </c>
      <c r="CP10" s="84" t="s">
        <v>96</v>
      </c>
      <c r="CQ10" s="84" t="s">
        <v>96</v>
      </c>
      <c r="CR10" s="84">
        <v>18515140</v>
      </c>
      <c r="CS10" s="84" t="s">
        <v>96</v>
      </c>
      <c r="CT10" s="84">
        <v>93553534</v>
      </c>
      <c r="CU10" s="84"/>
      <c r="CV10" s="84">
        <v>701862</v>
      </c>
      <c r="CW10" s="84" t="s">
        <v>96</v>
      </c>
      <c r="CX10" s="84">
        <v>83098564</v>
      </c>
      <c r="CY10" s="84" t="s">
        <v>96</v>
      </c>
      <c r="CZ10" s="84">
        <v>102635185</v>
      </c>
      <c r="DA10" s="84" t="s">
        <v>96</v>
      </c>
      <c r="DB10" s="84">
        <v>5251467</v>
      </c>
      <c r="DC10" s="84"/>
      <c r="DD10" s="84" t="s">
        <v>96</v>
      </c>
      <c r="DE10" s="84"/>
      <c r="DF10" s="84">
        <v>7147800</v>
      </c>
      <c r="DG10" s="84">
        <v>20361198</v>
      </c>
      <c r="DH10" s="84">
        <v>6732616</v>
      </c>
      <c r="DI10" s="84">
        <v>58425943</v>
      </c>
      <c r="DJ10" s="84">
        <v>4687</v>
      </c>
      <c r="DK10" s="84" t="s">
        <v>96</v>
      </c>
      <c r="DL10" s="84">
        <v>87281001</v>
      </c>
      <c r="DM10" s="84">
        <v>34267692</v>
      </c>
      <c r="DN10" s="84">
        <v>50606914</v>
      </c>
      <c r="DO10" s="84">
        <v>1236683</v>
      </c>
      <c r="DP10" s="86">
        <v>32389622</v>
      </c>
      <c r="DQ10" s="84">
        <v>58542838</v>
      </c>
      <c r="DR10" s="84">
        <v>129578942</v>
      </c>
      <c r="DS10" s="84"/>
      <c r="DT10" s="84"/>
      <c r="DU10" s="84">
        <v>1532460</v>
      </c>
      <c r="DV10" s="84">
        <v>7341412</v>
      </c>
      <c r="DW10" s="84">
        <v>2159000</v>
      </c>
      <c r="DX10" s="84">
        <v>73397640</v>
      </c>
      <c r="DY10" s="84">
        <v>1047009</v>
      </c>
      <c r="DZ10" s="84">
        <v>2067000</v>
      </c>
      <c r="EA10" s="84"/>
      <c r="EB10" s="84">
        <v>258187030</v>
      </c>
      <c r="EC10" s="84">
        <v>73865911</v>
      </c>
      <c r="ED10" s="84">
        <v>3055510</v>
      </c>
      <c r="EE10" s="84">
        <v>21473153</v>
      </c>
      <c r="EF10" s="84">
        <v>5308810</v>
      </c>
      <c r="EG10" s="96">
        <v>233715221</v>
      </c>
      <c r="EH10" s="99">
        <v>892706</v>
      </c>
      <c r="EI10" s="97">
        <v>72210584</v>
      </c>
      <c r="EJ10" s="84">
        <v>132720</v>
      </c>
      <c r="EK10" s="84"/>
      <c r="EL10" s="84">
        <v>5902600</v>
      </c>
      <c r="EM10" s="84">
        <v>1055885</v>
      </c>
      <c r="EN10" s="84">
        <v>5560714</v>
      </c>
      <c r="EO10" s="84">
        <v>10865503</v>
      </c>
      <c r="EP10" s="84"/>
      <c r="EQ10" s="84"/>
      <c r="ER10" s="84">
        <v>19275659</v>
      </c>
      <c r="ES10" s="84">
        <v>231199399</v>
      </c>
      <c r="ET10" s="84">
        <v>424877445</v>
      </c>
      <c r="EU10" s="84">
        <v>321870392</v>
      </c>
      <c r="EV10" s="84">
        <v>29233151</v>
      </c>
      <c r="EW10" s="84">
        <v>2546844</v>
      </c>
      <c r="EX10" s="84">
        <v>6548551</v>
      </c>
      <c r="EY10" s="84">
        <v>12160394</v>
      </c>
      <c r="EZ10" s="84">
        <v>4210110</v>
      </c>
      <c r="FA10" s="84">
        <v>23706374</v>
      </c>
      <c r="FB10" s="86">
        <v>1455474</v>
      </c>
      <c r="FC10" s="84">
        <v>8966814</v>
      </c>
      <c r="FD10" s="84">
        <v>8603037</v>
      </c>
      <c r="FE10" s="84">
        <v>50968548</v>
      </c>
      <c r="FF10" s="84"/>
      <c r="FG10" s="84" t="s">
        <v>96</v>
      </c>
      <c r="FH10" s="84">
        <v>32575270</v>
      </c>
      <c r="FI10" s="84" t="s">
        <v>96</v>
      </c>
      <c r="FJ10" s="84">
        <v>46725714</v>
      </c>
      <c r="FK10" s="84">
        <v>133490216</v>
      </c>
      <c r="FL10" s="84">
        <v>33059032</v>
      </c>
      <c r="FM10" s="84" t="s">
        <v>130</v>
      </c>
      <c r="FN10" s="84">
        <v>296776556</v>
      </c>
      <c r="FO10" s="84" t="s">
        <v>96</v>
      </c>
      <c r="FP10" s="84" t="s">
        <v>96</v>
      </c>
      <c r="FQ10" s="84"/>
      <c r="FR10" s="84">
        <v>12560730</v>
      </c>
      <c r="FS10" s="84">
        <v>29299387</v>
      </c>
      <c r="FT10" s="84">
        <v>304275803</v>
      </c>
      <c r="FU10" s="84">
        <v>192500</v>
      </c>
      <c r="FV10" s="84" t="s">
        <v>96</v>
      </c>
      <c r="FW10" s="84">
        <v>0</v>
      </c>
      <c r="FX10" s="84">
        <v>5500000</v>
      </c>
      <c r="FY10" s="84" t="s">
        <v>96</v>
      </c>
      <c r="FZ10" s="84" t="s">
        <v>4</v>
      </c>
      <c r="GA10" s="84">
        <v>31422002</v>
      </c>
      <c r="GB10" s="84">
        <v>1543506</v>
      </c>
      <c r="GC10" s="84"/>
      <c r="GD10" s="84" t="s">
        <v>96</v>
      </c>
      <c r="GE10" s="84" t="s">
        <v>4</v>
      </c>
      <c r="GF10" s="84">
        <v>35840683</v>
      </c>
      <c r="GG10" s="84">
        <v>148571122</v>
      </c>
      <c r="GH10" s="84" t="s">
        <v>4</v>
      </c>
      <c r="GI10" s="84">
        <v>43712034</v>
      </c>
      <c r="GJ10" s="84" t="s">
        <v>96</v>
      </c>
      <c r="GK10" s="84">
        <v>2102120</v>
      </c>
      <c r="GL10" s="84" t="s">
        <v>96</v>
      </c>
      <c r="GM10" s="84">
        <v>127032</v>
      </c>
      <c r="GN10" s="84"/>
      <c r="GO10" s="84" t="s">
        <v>96</v>
      </c>
      <c r="GP10" s="84">
        <v>414235235</v>
      </c>
      <c r="GQ10" s="84"/>
      <c r="GR10" s="84">
        <v>5885000</v>
      </c>
      <c r="GS10" s="84"/>
      <c r="GT10" s="84" t="s">
        <v>130</v>
      </c>
      <c r="GU10" s="84">
        <v>130580</v>
      </c>
      <c r="GV10" s="84">
        <v>4345218</v>
      </c>
      <c r="GW10" s="84">
        <v>523088257</v>
      </c>
      <c r="GX10" s="84">
        <v>13109457</v>
      </c>
      <c r="GY10" s="84">
        <v>81156001</v>
      </c>
      <c r="GZ10" s="84">
        <v>4989693</v>
      </c>
      <c r="HA10" s="84" t="s">
        <v>96</v>
      </c>
      <c r="HB10" s="84">
        <v>382438328</v>
      </c>
      <c r="HC10" s="84" t="s">
        <v>130</v>
      </c>
      <c r="HD10" s="84">
        <v>21491102</v>
      </c>
      <c r="HE10" s="84" t="s">
        <v>96</v>
      </c>
      <c r="HF10" s="84"/>
      <c r="HG10" s="84">
        <v>4298943</v>
      </c>
      <c r="HH10" s="84" t="s">
        <v>96</v>
      </c>
      <c r="HI10" s="84"/>
      <c r="HJ10" s="84" t="s">
        <v>96</v>
      </c>
      <c r="HK10" s="84">
        <v>13949806</v>
      </c>
      <c r="HL10" s="84">
        <v>427949676</v>
      </c>
      <c r="HM10" s="84">
        <v>9033600</v>
      </c>
      <c r="HN10" s="84">
        <v>3444292</v>
      </c>
      <c r="HO10" s="84">
        <v>18133305</v>
      </c>
      <c r="HP10" s="84">
        <v>18390</v>
      </c>
      <c r="HQ10" s="84">
        <v>325000</v>
      </c>
      <c r="HR10" s="84">
        <v>100761642</v>
      </c>
      <c r="HS10" s="84"/>
      <c r="HT10" s="84">
        <v>45663350</v>
      </c>
      <c r="HU10" s="84" t="s">
        <v>130</v>
      </c>
      <c r="HV10" s="84">
        <v>64416470</v>
      </c>
      <c r="HW10" s="84" t="s">
        <v>96</v>
      </c>
      <c r="HX10" s="84">
        <v>89214127</v>
      </c>
      <c r="HY10" s="84" t="s">
        <v>114</v>
      </c>
      <c r="HZ10" s="84">
        <v>198936041</v>
      </c>
      <c r="IA10" s="84">
        <v>672720</v>
      </c>
      <c r="IB10" s="84">
        <v>18492078</v>
      </c>
      <c r="IC10" s="84">
        <v>16000198</v>
      </c>
      <c r="ID10" s="84">
        <v>745000</v>
      </c>
      <c r="IE10" s="84" t="s">
        <v>96</v>
      </c>
      <c r="IF10" s="84"/>
      <c r="IG10" s="84">
        <v>350468</v>
      </c>
      <c r="IH10" s="84">
        <v>52440722</v>
      </c>
      <c r="II10" s="84">
        <v>3379173</v>
      </c>
      <c r="IJ10" s="84"/>
      <c r="IK10" s="84">
        <v>8469000</v>
      </c>
      <c r="IL10" s="84">
        <v>76549890</v>
      </c>
      <c r="IM10" s="84">
        <v>6019754</v>
      </c>
      <c r="IN10" s="84">
        <v>22927345</v>
      </c>
      <c r="IO10" s="84">
        <v>35967729</v>
      </c>
      <c r="IP10" s="84">
        <v>8000000</v>
      </c>
      <c r="IQ10" s="84">
        <v>1987648</v>
      </c>
      <c r="IR10" s="84">
        <v>66134030</v>
      </c>
      <c r="IS10" s="84">
        <v>35890905</v>
      </c>
      <c r="IT10" s="84">
        <v>6469294</v>
      </c>
      <c r="IU10" s="84"/>
      <c r="IV10" s="84">
        <v>1930140</v>
      </c>
      <c r="IW10" s="84">
        <v>69374991</v>
      </c>
      <c r="IX10" s="84">
        <v>106047973</v>
      </c>
      <c r="IY10" s="68">
        <v>9633001</v>
      </c>
      <c r="IZ10" s="68">
        <v>73820812</v>
      </c>
      <c r="JA10" s="68">
        <v>169781805</v>
      </c>
      <c r="JB10" s="68">
        <v>100798020</v>
      </c>
      <c r="JC10" s="68">
        <v>11819148</v>
      </c>
      <c r="JD10" s="68">
        <v>1710177</v>
      </c>
      <c r="JE10" s="68">
        <v>5573660</v>
      </c>
      <c r="JF10" s="68">
        <v>12050000</v>
      </c>
      <c r="JG10" s="68">
        <v>2168330</v>
      </c>
      <c r="JH10" s="68">
        <v>2048120</v>
      </c>
      <c r="JI10" s="68"/>
      <c r="JJ10" s="68">
        <v>436230</v>
      </c>
      <c r="JK10" s="68">
        <v>9572587</v>
      </c>
      <c r="JL10" s="68">
        <v>7525710</v>
      </c>
      <c r="JM10" s="68">
        <v>1189733</v>
      </c>
      <c r="JN10" s="68">
        <v>1331035692</v>
      </c>
      <c r="JO10" s="68">
        <v>110000</v>
      </c>
      <c r="JP10" s="68">
        <v>13202475</v>
      </c>
      <c r="JQ10" s="68" t="s">
        <v>4</v>
      </c>
      <c r="JR10" s="68">
        <v>37847956</v>
      </c>
      <c r="JS10" s="68">
        <v>672000</v>
      </c>
      <c r="JT10" s="68">
        <v>11138300</v>
      </c>
      <c r="JU10" s="68">
        <v>1224940</v>
      </c>
      <c r="JV10" s="68">
        <v>356490</v>
      </c>
      <c r="JW10" s="68"/>
      <c r="JX10" s="68">
        <v>9339460</v>
      </c>
      <c r="JY10" s="68">
        <v>16008944</v>
      </c>
      <c r="JZ10" s="68">
        <v>2315320</v>
      </c>
      <c r="KA10" s="68"/>
      <c r="KB10" s="68">
        <v>218804802</v>
      </c>
      <c r="KC10" s="68">
        <v>567721</v>
      </c>
      <c r="KD10" s="68">
        <v>693951</v>
      </c>
      <c r="KE10" s="68">
        <v>2425490</v>
      </c>
      <c r="KF10" s="68">
        <v>8669361</v>
      </c>
      <c r="KG10" s="68">
        <v>2185888</v>
      </c>
      <c r="KH10" s="68"/>
      <c r="KI10" s="68"/>
      <c r="KJ10" s="68">
        <v>11878622</v>
      </c>
      <c r="KK10" s="68">
        <v>31361450</v>
      </c>
      <c r="KL10" s="68"/>
      <c r="KM10" s="68">
        <v>4882129</v>
      </c>
      <c r="KN10" s="68">
        <v>64942006</v>
      </c>
      <c r="KO10" s="68">
        <v>6638923</v>
      </c>
      <c r="KP10" s="68">
        <v>45370</v>
      </c>
      <c r="KQ10" s="68">
        <v>1217270</v>
      </c>
      <c r="KR10" s="68">
        <v>5452806</v>
      </c>
      <c r="KS10" s="68">
        <v>7666474</v>
      </c>
      <c r="KT10" s="68">
        <v>532510</v>
      </c>
      <c r="KU10" s="68">
        <v>58156286</v>
      </c>
      <c r="KV10" s="68">
        <v>2501317</v>
      </c>
      <c r="KW10" s="68"/>
      <c r="KX10" s="68">
        <v>164941477</v>
      </c>
      <c r="KY10" s="68">
        <v>1000000</v>
      </c>
      <c r="KZ10" s="68">
        <v>29133370</v>
      </c>
      <c r="LA10" s="68">
        <v>31274836</v>
      </c>
      <c r="LB10" s="68">
        <v>880000</v>
      </c>
      <c r="LC10" s="102"/>
      <c r="LD10" s="102">
        <v>11575000</v>
      </c>
      <c r="LE10" s="102">
        <v>0</v>
      </c>
      <c r="LF10" s="102"/>
      <c r="LG10" s="102">
        <v>9191016</v>
      </c>
      <c r="LH10" s="102" t="s">
        <v>187</v>
      </c>
      <c r="LI10" s="102">
        <v>21541872</v>
      </c>
      <c r="LJ10" s="102" t="s">
        <v>187</v>
      </c>
      <c r="LK10" s="102">
        <v>12123750</v>
      </c>
      <c r="LL10" s="102" t="s">
        <v>187</v>
      </c>
    </row>
    <row r="11" spans="1:324" ht="17.55" customHeight="1">
      <c r="A11" s="67" t="s">
        <v>184</v>
      </c>
      <c r="B11" s="89" t="s">
        <v>40</v>
      </c>
      <c r="C11" s="84">
        <v>100000</v>
      </c>
      <c r="D11" s="84"/>
      <c r="E11" s="84"/>
      <c r="F11" s="85"/>
      <c r="G11" s="84" t="s">
        <v>130</v>
      </c>
      <c r="H11" s="84">
        <v>161330000</v>
      </c>
      <c r="I11" s="84"/>
      <c r="J11" s="84" t="s">
        <v>4</v>
      </c>
      <c r="K11" s="84"/>
      <c r="L11" s="84" t="s">
        <v>96</v>
      </c>
      <c r="M11" s="84" t="s">
        <v>96</v>
      </c>
      <c r="N11" s="84"/>
      <c r="O11" s="84">
        <v>98903580</v>
      </c>
      <c r="P11" s="84">
        <v>26379491</v>
      </c>
      <c r="Q11" s="84"/>
      <c r="R11" s="84" t="s">
        <v>130</v>
      </c>
      <c r="S11" s="84"/>
      <c r="T11" s="84" t="s">
        <v>96</v>
      </c>
      <c r="U11" s="84" t="s">
        <v>96</v>
      </c>
      <c r="V11" s="84" t="s">
        <v>4</v>
      </c>
      <c r="W11" s="84"/>
      <c r="X11" s="84"/>
      <c r="Y11" s="84"/>
      <c r="Z11" s="84"/>
      <c r="AA11" s="84">
        <v>1000</v>
      </c>
      <c r="AB11" s="84">
        <v>2680</v>
      </c>
      <c r="AC11" s="84"/>
      <c r="AD11" s="84"/>
      <c r="AE11" s="84">
        <v>9550000</v>
      </c>
      <c r="AF11" s="84" t="s">
        <v>96</v>
      </c>
      <c r="AG11" s="84">
        <v>3081579</v>
      </c>
      <c r="AH11" s="84" t="s">
        <v>130</v>
      </c>
      <c r="AI11" s="84"/>
      <c r="AJ11" s="84"/>
      <c r="AK11" s="84">
        <v>760459498</v>
      </c>
      <c r="AL11" s="84"/>
      <c r="AM11" s="84" t="s">
        <v>4</v>
      </c>
      <c r="AN11" s="84">
        <v>1791614</v>
      </c>
      <c r="AO11" s="84"/>
      <c r="AP11" s="84"/>
      <c r="AQ11" s="84" t="s">
        <v>4</v>
      </c>
      <c r="AR11" s="84"/>
      <c r="AS11" s="84"/>
      <c r="AT11" s="84" t="s">
        <v>96</v>
      </c>
      <c r="AU11" s="84"/>
      <c r="AV11" s="84"/>
      <c r="AW11" s="84"/>
      <c r="AX11" s="84" t="s">
        <v>4</v>
      </c>
      <c r="AY11" s="84" t="s">
        <v>96</v>
      </c>
      <c r="AZ11" s="84"/>
      <c r="BA11" s="84" t="s">
        <v>130</v>
      </c>
      <c r="BB11" s="84"/>
      <c r="BC11" s="84" t="s">
        <v>4</v>
      </c>
      <c r="BD11" s="84" t="s">
        <v>96</v>
      </c>
      <c r="BE11" s="84"/>
      <c r="BF11" s="84" t="s">
        <v>96</v>
      </c>
      <c r="BG11" s="84"/>
      <c r="BH11" s="84"/>
      <c r="BI11" s="84"/>
      <c r="BJ11" s="84"/>
      <c r="BK11" s="84">
        <v>909279</v>
      </c>
      <c r="BL11" s="84"/>
      <c r="BM11" s="84">
        <v>156000000</v>
      </c>
      <c r="BN11" s="84"/>
      <c r="BO11" s="84" t="s">
        <v>96</v>
      </c>
      <c r="BP11" s="84" t="s">
        <v>96</v>
      </c>
      <c r="BQ11" s="84" t="s">
        <v>4</v>
      </c>
      <c r="BR11" s="84"/>
      <c r="BS11" s="84" t="s">
        <v>4</v>
      </c>
      <c r="BT11" s="84" t="s">
        <v>96</v>
      </c>
      <c r="BU11" s="84"/>
      <c r="BV11" s="84"/>
      <c r="BW11" s="84"/>
      <c r="BX11" s="84"/>
      <c r="BY11" s="84"/>
      <c r="BZ11" s="84"/>
      <c r="CA11" s="84"/>
      <c r="CB11" s="84">
        <v>1668190</v>
      </c>
      <c r="CC11" s="84">
        <v>343134</v>
      </c>
      <c r="CD11" s="84">
        <v>35964870</v>
      </c>
      <c r="CE11" s="84" t="s">
        <v>96</v>
      </c>
      <c r="CF11" s="84" t="s">
        <v>96</v>
      </c>
      <c r="CG11" s="84">
        <v>22530</v>
      </c>
      <c r="CH11" s="84"/>
      <c r="CI11" s="84" t="s">
        <v>96</v>
      </c>
      <c r="CJ11" s="84"/>
      <c r="CK11" s="84">
        <v>549546141</v>
      </c>
      <c r="CL11" s="84">
        <v>21284000</v>
      </c>
      <c r="CM11" s="84"/>
      <c r="CN11" s="84"/>
      <c r="CO11" s="84"/>
      <c r="CP11" s="84" t="s">
        <v>96</v>
      </c>
      <c r="CQ11" s="84" t="s">
        <v>96</v>
      </c>
      <c r="CR11" s="84">
        <v>207187625</v>
      </c>
      <c r="CS11" s="84" t="s">
        <v>96</v>
      </c>
      <c r="CT11" s="84"/>
      <c r="CU11" s="84"/>
      <c r="CV11" s="84"/>
      <c r="CW11" s="84" t="s">
        <v>96</v>
      </c>
      <c r="CX11" s="84"/>
      <c r="CY11" s="84" t="s">
        <v>96</v>
      </c>
      <c r="CZ11" s="84">
        <v>1000000</v>
      </c>
      <c r="DA11" s="84" t="s">
        <v>96</v>
      </c>
      <c r="DB11" s="84"/>
      <c r="DC11" s="84"/>
      <c r="DD11" s="84" t="s">
        <v>96</v>
      </c>
      <c r="DE11" s="84"/>
      <c r="DF11" s="84">
        <v>231129</v>
      </c>
      <c r="DG11" s="84">
        <v>132354000</v>
      </c>
      <c r="DH11" s="84">
        <v>765200</v>
      </c>
      <c r="DI11" s="84"/>
      <c r="DJ11" s="84"/>
      <c r="DK11" s="84" t="s">
        <v>96</v>
      </c>
      <c r="DL11" s="84"/>
      <c r="DM11" s="84"/>
      <c r="DN11" s="84">
        <v>0</v>
      </c>
      <c r="DO11" s="84"/>
      <c r="DP11" s="86"/>
      <c r="DQ11" s="84"/>
      <c r="DR11" s="84">
        <v>206847</v>
      </c>
      <c r="DS11" s="84"/>
      <c r="DT11" s="84"/>
      <c r="DU11" s="84"/>
      <c r="DV11" s="84"/>
      <c r="DW11" s="84"/>
      <c r="DX11" s="84"/>
      <c r="DY11" s="84"/>
      <c r="DZ11" s="84"/>
      <c r="EA11" s="84">
        <v>70000000</v>
      </c>
      <c r="EB11" s="84"/>
      <c r="EC11" s="84">
        <v>-1255432</v>
      </c>
      <c r="ED11" s="84">
        <v>0</v>
      </c>
      <c r="EE11" s="84"/>
      <c r="EF11" s="84">
        <v>7500000</v>
      </c>
      <c r="EG11" s="96"/>
      <c r="EH11" s="99"/>
      <c r="EI11" s="97"/>
      <c r="EJ11" s="84">
        <v>0</v>
      </c>
      <c r="EK11" s="84"/>
      <c r="EL11" s="84"/>
      <c r="EM11" s="84"/>
      <c r="EN11" s="84"/>
      <c r="EO11" s="84"/>
      <c r="EP11" s="84">
        <v>12203064</v>
      </c>
      <c r="EQ11" s="84"/>
      <c r="ER11" s="84">
        <v>118637500</v>
      </c>
      <c r="ES11" s="84">
        <v>14980861</v>
      </c>
      <c r="ET11" s="84"/>
      <c r="EU11" s="84">
        <v>30000000</v>
      </c>
      <c r="EV11" s="84"/>
      <c r="EW11" s="84"/>
      <c r="EX11" s="84"/>
      <c r="EY11" s="84"/>
      <c r="EZ11" s="84"/>
      <c r="FA11" s="84"/>
      <c r="FB11" s="86"/>
      <c r="FC11" s="84"/>
      <c r="FD11" s="84">
        <v>0</v>
      </c>
      <c r="FE11" s="84">
        <v>100466212</v>
      </c>
      <c r="FF11" s="84"/>
      <c r="FG11" s="84" t="s">
        <v>96</v>
      </c>
      <c r="FH11" s="84"/>
      <c r="FI11" s="84" t="s">
        <v>96</v>
      </c>
      <c r="FJ11" s="84"/>
      <c r="FK11" s="84"/>
      <c r="FL11" s="84"/>
      <c r="FM11" s="84" t="s">
        <v>130</v>
      </c>
      <c r="FN11" s="84"/>
      <c r="FO11" s="84" t="s">
        <v>96</v>
      </c>
      <c r="FP11" s="84" t="s">
        <v>96</v>
      </c>
      <c r="FQ11" s="84"/>
      <c r="FR11" s="84"/>
      <c r="FS11" s="84"/>
      <c r="FT11" s="84"/>
      <c r="FU11" s="84"/>
      <c r="FV11" s="84" t="s">
        <v>96</v>
      </c>
      <c r="FW11" s="84"/>
      <c r="FX11" s="84">
        <v>3601432</v>
      </c>
      <c r="FY11" s="84" t="s">
        <v>96</v>
      </c>
      <c r="FZ11" s="84" t="s">
        <v>4</v>
      </c>
      <c r="GA11" s="84"/>
      <c r="GB11" s="84"/>
      <c r="GC11" s="84"/>
      <c r="GD11" s="84" t="s">
        <v>96</v>
      </c>
      <c r="GE11" s="84" t="s">
        <v>4</v>
      </c>
      <c r="GF11" s="84"/>
      <c r="GG11" s="84"/>
      <c r="GH11" s="84" t="s">
        <v>4</v>
      </c>
      <c r="GI11" s="84"/>
      <c r="GJ11" s="84" t="s">
        <v>96</v>
      </c>
      <c r="GK11" s="84"/>
      <c r="GL11" s="84" t="s">
        <v>96</v>
      </c>
      <c r="GM11" s="84"/>
      <c r="GN11" s="84"/>
      <c r="GO11" s="84" t="s">
        <v>96</v>
      </c>
      <c r="GP11" s="84"/>
      <c r="GQ11" s="84"/>
      <c r="GR11" s="84">
        <v>39304</v>
      </c>
      <c r="GS11" s="84"/>
      <c r="GT11" s="84" t="s">
        <v>130</v>
      </c>
      <c r="GU11" s="84"/>
      <c r="GV11" s="84"/>
      <c r="GW11" s="84">
        <v>156405781</v>
      </c>
      <c r="GX11" s="84"/>
      <c r="GY11" s="84"/>
      <c r="GZ11" s="84"/>
      <c r="HA11" s="84" t="s">
        <v>96</v>
      </c>
      <c r="HB11" s="84"/>
      <c r="HC11" s="84" t="s">
        <v>130</v>
      </c>
      <c r="HD11" s="84"/>
      <c r="HE11" s="84" t="s">
        <v>96</v>
      </c>
      <c r="HF11" s="84"/>
      <c r="HG11" s="84">
        <v>572459</v>
      </c>
      <c r="HH11" s="84" t="s">
        <v>96</v>
      </c>
      <c r="HI11" s="84"/>
      <c r="HJ11" s="84" t="s">
        <v>96</v>
      </c>
      <c r="HK11" s="84"/>
      <c r="HL11" s="84"/>
      <c r="HM11" s="84"/>
      <c r="HN11" s="84">
        <v>1008040</v>
      </c>
      <c r="HO11" s="84">
        <v>30860000</v>
      </c>
      <c r="HP11" s="84"/>
      <c r="HQ11" s="84">
        <v>12747873</v>
      </c>
      <c r="HR11" s="84">
        <v>368003532</v>
      </c>
      <c r="HS11" s="84"/>
      <c r="HT11" s="84"/>
      <c r="HU11" s="84" t="s">
        <v>130</v>
      </c>
      <c r="HV11" s="84"/>
      <c r="HW11" s="84" t="s">
        <v>96</v>
      </c>
      <c r="HX11" s="84"/>
      <c r="HY11" s="84" t="s">
        <v>114</v>
      </c>
      <c r="HZ11" s="84"/>
      <c r="IA11" s="84"/>
      <c r="IB11" s="84">
        <v>46613730</v>
      </c>
      <c r="IC11" s="84"/>
      <c r="ID11" s="84"/>
      <c r="IE11" s="84" t="s">
        <v>96</v>
      </c>
      <c r="IF11" s="84">
        <v>257483</v>
      </c>
      <c r="IG11" s="84"/>
      <c r="IH11" s="84">
        <v>116000</v>
      </c>
      <c r="II11" s="84"/>
      <c r="IJ11" s="84"/>
      <c r="IK11" s="84">
        <v>61588665</v>
      </c>
      <c r="IL11" s="84">
        <v>-1736000</v>
      </c>
      <c r="IM11" s="84"/>
      <c r="IN11" s="84"/>
      <c r="IO11" s="84">
        <v>5418532</v>
      </c>
      <c r="IP11" s="84"/>
      <c r="IQ11" s="84"/>
      <c r="IR11" s="84"/>
      <c r="IS11" s="84"/>
      <c r="IT11" s="84"/>
      <c r="IU11" s="84"/>
      <c r="IV11" s="84"/>
      <c r="IW11" s="84"/>
      <c r="IX11" s="84">
        <v>6381974</v>
      </c>
      <c r="IY11" s="68"/>
      <c r="IZ11" s="68">
        <v>15500000</v>
      </c>
      <c r="JA11" s="68"/>
      <c r="JB11" s="68"/>
      <c r="JC11" s="68"/>
      <c r="JD11" s="68"/>
      <c r="JE11" s="68"/>
      <c r="JF11" s="68"/>
      <c r="JG11" s="68"/>
      <c r="JH11" s="68"/>
      <c r="JI11" s="68"/>
      <c r="JJ11" s="68"/>
      <c r="JK11" s="68"/>
      <c r="JL11" s="68">
        <v>69600000</v>
      </c>
      <c r="JM11" s="68"/>
      <c r="JN11" s="68"/>
      <c r="JO11" s="68"/>
      <c r="JP11" s="68"/>
      <c r="JQ11" s="68" t="s">
        <v>4</v>
      </c>
      <c r="JR11" s="68"/>
      <c r="JS11" s="68"/>
      <c r="JT11" s="68"/>
      <c r="JU11" s="68"/>
      <c r="JV11" s="68"/>
      <c r="JW11" s="68"/>
      <c r="JX11" s="68"/>
      <c r="JY11" s="68"/>
      <c r="JZ11" s="68"/>
      <c r="KA11" s="68"/>
      <c r="KB11" s="68"/>
      <c r="KC11" s="68">
        <v>1740378</v>
      </c>
      <c r="KD11" s="68"/>
      <c r="KE11" s="68"/>
      <c r="KF11" s="68"/>
      <c r="KG11" s="68"/>
      <c r="KH11" s="68"/>
      <c r="KI11" s="68"/>
      <c r="KJ11" s="68">
        <v>18000000</v>
      </c>
      <c r="KK11" s="68">
        <v>29579011</v>
      </c>
      <c r="KL11" s="68">
        <v>641808158</v>
      </c>
      <c r="KM11" s="68"/>
      <c r="KN11" s="68"/>
      <c r="KO11" s="68"/>
      <c r="KP11" s="68"/>
      <c r="KQ11" s="68"/>
      <c r="KR11" s="68"/>
      <c r="KS11" s="68"/>
      <c r="KT11" s="68"/>
      <c r="KU11" s="68">
        <v>452875407</v>
      </c>
      <c r="KV11" s="68"/>
      <c r="KW11" s="68"/>
      <c r="KX11" s="68"/>
      <c r="KY11" s="68"/>
      <c r="KZ11" s="68">
        <v>21888390</v>
      </c>
      <c r="LA11" s="68">
        <v>7528653</v>
      </c>
      <c r="LB11" s="68"/>
      <c r="LC11" s="102"/>
      <c r="LD11" s="102"/>
      <c r="LE11" s="102"/>
      <c r="LF11" s="102"/>
      <c r="LG11" s="102"/>
      <c r="LH11" s="102" t="s">
        <v>187</v>
      </c>
      <c r="LI11" s="102"/>
      <c r="LJ11" s="102" t="s">
        <v>187</v>
      </c>
      <c r="LK11" s="102"/>
      <c r="LL11" s="102" t="s">
        <v>187</v>
      </c>
    </row>
    <row r="12" spans="1:324" ht="17.55" customHeight="1">
      <c r="A12" s="67" t="s">
        <v>184</v>
      </c>
      <c r="B12" s="90" t="s">
        <v>30</v>
      </c>
      <c r="C12" s="84">
        <v>0</v>
      </c>
      <c r="D12" s="84">
        <v>22887060</v>
      </c>
      <c r="E12" s="84">
        <v>86961100</v>
      </c>
      <c r="F12" s="85"/>
      <c r="G12" s="84" t="s">
        <v>130</v>
      </c>
      <c r="H12" s="84">
        <v>7381783</v>
      </c>
      <c r="I12" s="84">
        <v>0</v>
      </c>
      <c r="J12" s="84" t="s">
        <v>4</v>
      </c>
      <c r="K12" s="84">
        <v>0</v>
      </c>
      <c r="L12" s="84" t="s">
        <v>96</v>
      </c>
      <c r="M12" s="84" t="s">
        <v>96</v>
      </c>
      <c r="N12" s="84">
        <v>7926774</v>
      </c>
      <c r="O12" s="84">
        <v>98933648</v>
      </c>
      <c r="P12" s="84">
        <v>89621594</v>
      </c>
      <c r="Q12" s="84">
        <v>26510000</v>
      </c>
      <c r="R12" s="84" t="s">
        <v>130</v>
      </c>
      <c r="S12" s="84">
        <v>685726969</v>
      </c>
      <c r="T12" s="84" t="s">
        <v>96</v>
      </c>
      <c r="U12" s="84" t="s">
        <v>96</v>
      </c>
      <c r="V12" s="84" t="s">
        <v>4</v>
      </c>
      <c r="W12" s="84">
        <v>0</v>
      </c>
      <c r="X12" s="84">
        <v>0</v>
      </c>
      <c r="Y12" s="84">
        <v>0</v>
      </c>
      <c r="Z12" s="84">
        <v>148588000</v>
      </c>
      <c r="AA12" s="84">
        <v>781612842</v>
      </c>
      <c r="AB12" s="84">
        <v>0</v>
      </c>
      <c r="AC12" s="84">
        <v>3884400</v>
      </c>
      <c r="AD12" s="84">
        <v>219367900</v>
      </c>
      <c r="AE12" s="84">
        <v>447272704</v>
      </c>
      <c r="AF12" s="84" t="s">
        <v>96</v>
      </c>
      <c r="AG12" s="84">
        <v>0</v>
      </c>
      <c r="AH12" s="84" t="s">
        <v>130</v>
      </c>
      <c r="AI12" s="84">
        <v>0</v>
      </c>
      <c r="AJ12" s="84">
        <v>581709713</v>
      </c>
      <c r="AK12" s="84"/>
      <c r="AL12" s="84">
        <v>0</v>
      </c>
      <c r="AM12" s="84" t="s">
        <v>4</v>
      </c>
      <c r="AN12" s="84"/>
      <c r="AO12" s="84">
        <v>25415659</v>
      </c>
      <c r="AP12" s="84">
        <v>0</v>
      </c>
      <c r="AQ12" s="84" t="s">
        <v>4</v>
      </c>
      <c r="AR12" s="84">
        <v>608650403</v>
      </c>
      <c r="AS12" s="84">
        <v>0</v>
      </c>
      <c r="AT12" s="84" t="s">
        <v>96</v>
      </c>
      <c r="AU12" s="84">
        <v>0</v>
      </c>
      <c r="AV12" s="84">
        <v>0</v>
      </c>
      <c r="AW12" s="84">
        <v>0</v>
      </c>
      <c r="AX12" s="84" t="s">
        <v>4</v>
      </c>
      <c r="AY12" s="84" t="s">
        <v>96</v>
      </c>
      <c r="AZ12" s="84"/>
      <c r="BA12" s="84" t="s">
        <v>130</v>
      </c>
      <c r="BB12" s="84">
        <v>0</v>
      </c>
      <c r="BC12" s="84" t="s">
        <v>4</v>
      </c>
      <c r="BD12" s="84" t="s">
        <v>96</v>
      </c>
      <c r="BE12" s="84">
        <v>124500000</v>
      </c>
      <c r="BF12" s="84" t="s">
        <v>96</v>
      </c>
      <c r="BG12" s="84">
        <v>235782773</v>
      </c>
      <c r="BH12" s="84">
        <v>162572755</v>
      </c>
      <c r="BI12" s="84">
        <v>224840895</v>
      </c>
      <c r="BJ12" s="84">
        <v>309413145</v>
      </c>
      <c r="BK12" s="84">
        <v>411221121</v>
      </c>
      <c r="BL12" s="84"/>
      <c r="BM12" s="84">
        <v>89017862</v>
      </c>
      <c r="BN12" s="84">
        <v>0</v>
      </c>
      <c r="BO12" s="84" t="s">
        <v>96</v>
      </c>
      <c r="BP12" s="84" t="s">
        <v>96</v>
      </c>
      <c r="BQ12" s="84" t="s">
        <v>4</v>
      </c>
      <c r="BR12" s="84">
        <v>1599554258</v>
      </c>
      <c r="BS12" s="84" t="s">
        <v>4</v>
      </c>
      <c r="BT12" s="84" t="s">
        <v>96</v>
      </c>
      <c r="BU12" s="84">
        <v>649340082</v>
      </c>
      <c r="BV12" s="84">
        <v>0</v>
      </c>
      <c r="BW12" s="84">
        <v>0</v>
      </c>
      <c r="BX12" s="84">
        <v>0</v>
      </c>
      <c r="BY12" s="84">
        <v>373395846</v>
      </c>
      <c r="BZ12" s="84">
        <v>295349638</v>
      </c>
      <c r="CA12" s="84">
        <v>0</v>
      </c>
      <c r="CB12" s="84">
        <v>41944086</v>
      </c>
      <c r="CC12" s="84">
        <v>24777192</v>
      </c>
      <c r="CD12" s="84">
        <v>27311755</v>
      </c>
      <c r="CE12" s="84" t="s">
        <v>96</v>
      </c>
      <c r="CF12" s="84" t="s">
        <v>96</v>
      </c>
      <c r="CG12" s="84">
        <v>0</v>
      </c>
      <c r="CH12" s="84">
        <v>69525908</v>
      </c>
      <c r="CI12" s="84" t="s">
        <v>96</v>
      </c>
      <c r="CJ12" s="84">
        <v>455047710</v>
      </c>
      <c r="CK12" s="84">
        <v>44732630</v>
      </c>
      <c r="CL12" s="84">
        <v>168891608</v>
      </c>
      <c r="CM12" s="84"/>
      <c r="CN12" s="84">
        <v>0</v>
      </c>
      <c r="CO12" s="84">
        <v>0</v>
      </c>
      <c r="CP12" s="84" t="s">
        <v>96</v>
      </c>
      <c r="CQ12" s="84" t="s">
        <v>96</v>
      </c>
      <c r="CR12" s="84">
        <v>23973039</v>
      </c>
      <c r="CS12" s="84" t="s">
        <v>96</v>
      </c>
      <c r="CT12" s="84"/>
      <c r="CU12" s="84">
        <v>0</v>
      </c>
      <c r="CV12" s="84"/>
      <c r="CW12" s="84" t="s">
        <v>96</v>
      </c>
      <c r="CX12" s="84">
        <v>0</v>
      </c>
      <c r="CY12" s="84" t="s">
        <v>96</v>
      </c>
      <c r="CZ12" s="84">
        <v>162830829</v>
      </c>
      <c r="DA12" s="84" t="s">
        <v>96</v>
      </c>
      <c r="DB12" s="84">
        <v>0</v>
      </c>
      <c r="DC12" s="84"/>
      <c r="DD12" s="84" t="s">
        <v>96</v>
      </c>
      <c r="DE12" s="84">
        <v>0</v>
      </c>
      <c r="DF12" s="84">
        <v>7688409</v>
      </c>
      <c r="DG12" s="84"/>
      <c r="DH12" s="84">
        <v>0</v>
      </c>
      <c r="DI12" s="84">
        <v>284547800</v>
      </c>
      <c r="DJ12" s="84">
        <v>4064600</v>
      </c>
      <c r="DK12" s="84" t="s">
        <v>96</v>
      </c>
      <c r="DL12" s="84">
        <v>5354380</v>
      </c>
      <c r="DM12" s="84">
        <v>200463875</v>
      </c>
      <c r="DN12" s="84">
        <v>13697368</v>
      </c>
      <c r="DO12" s="84"/>
      <c r="DP12" s="86">
        <v>184784160</v>
      </c>
      <c r="DQ12" s="84">
        <v>105734444</v>
      </c>
      <c r="DR12" s="84">
        <v>217096507</v>
      </c>
      <c r="DS12" s="84"/>
      <c r="DT12" s="84">
        <v>105219627</v>
      </c>
      <c r="DU12" s="84"/>
      <c r="DV12" s="84">
        <v>1186000</v>
      </c>
      <c r="DW12" s="84">
        <v>37920785</v>
      </c>
      <c r="DX12" s="84"/>
      <c r="DY12" s="84">
        <v>522472991</v>
      </c>
      <c r="DZ12" s="84">
        <v>432569800</v>
      </c>
      <c r="EA12" s="84">
        <v>0</v>
      </c>
      <c r="EB12" s="84">
        <v>0</v>
      </c>
      <c r="EC12" s="84">
        <v>437140670</v>
      </c>
      <c r="ED12" s="84">
        <v>0</v>
      </c>
      <c r="EE12" s="84">
        <v>0</v>
      </c>
      <c r="EF12" s="84">
        <v>179794037</v>
      </c>
      <c r="EG12" s="96">
        <v>1940992467</v>
      </c>
      <c r="EH12" s="99">
        <v>0</v>
      </c>
      <c r="EI12" s="97"/>
      <c r="EJ12" s="84">
        <v>0</v>
      </c>
      <c r="EK12" s="84"/>
      <c r="EL12" s="84">
        <v>44995245</v>
      </c>
      <c r="EM12" s="84">
        <v>95104080</v>
      </c>
      <c r="EN12" s="84">
        <v>0</v>
      </c>
      <c r="EO12" s="84">
        <v>19096137</v>
      </c>
      <c r="EP12" s="84">
        <v>88529502</v>
      </c>
      <c r="EQ12" s="84"/>
      <c r="ER12" s="84">
        <v>33458891</v>
      </c>
      <c r="ES12" s="84">
        <v>407712790</v>
      </c>
      <c r="ET12" s="84">
        <v>123562900</v>
      </c>
      <c r="EU12" s="84">
        <v>0</v>
      </c>
      <c r="EV12" s="84">
        <v>271039425</v>
      </c>
      <c r="EW12" s="84">
        <v>352620000</v>
      </c>
      <c r="EX12" s="84"/>
      <c r="EY12" s="84">
        <v>0</v>
      </c>
      <c r="EZ12" s="84">
        <v>8023320</v>
      </c>
      <c r="FA12" s="84">
        <v>0</v>
      </c>
      <c r="FB12" s="86">
        <v>4198100</v>
      </c>
      <c r="FC12" s="84"/>
      <c r="FD12" s="84">
        <v>19920000</v>
      </c>
      <c r="FE12" s="84">
        <v>365066198</v>
      </c>
      <c r="FF12" s="84">
        <v>0</v>
      </c>
      <c r="FG12" s="84" t="s">
        <v>96</v>
      </c>
      <c r="FH12" s="84">
        <v>46528600</v>
      </c>
      <c r="FI12" s="84" t="s">
        <v>96</v>
      </c>
      <c r="FJ12" s="84">
        <v>0</v>
      </c>
      <c r="FK12" s="84">
        <v>71937145</v>
      </c>
      <c r="FL12" s="84">
        <v>0</v>
      </c>
      <c r="FM12" s="84" t="s">
        <v>130</v>
      </c>
      <c r="FN12" s="84">
        <v>3511109371</v>
      </c>
      <c r="FO12" s="84" t="s">
        <v>96</v>
      </c>
      <c r="FP12" s="84" t="s">
        <v>96</v>
      </c>
      <c r="FQ12" s="84">
        <v>80000000</v>
      </c>
      <c r="FR12" s="84">
        <v>23603112</v>
      </c>
      <c r="FS12" s="84">
        <v>24656709</v>
      </c>
      <c r="FT12" s="84">
        <v>1176998611</v>
      </c>
      <c r="FU12" s="84">
        <v>0</v>
      </c>
      <c r="FV12" s="84" t="s">
        <v>96</v>
      </c>
      <c r="FW12" s="84">
        <v>137954964</v>
      </c>
      <c r="FX12" s="84">
        <v>0</v>
      </c>
      <c r="FY12" s="84" t="s">
        <v>96</v>
      </c>
      <c r="FZ12" s="84" t="s">
        <v>4</v>
      </c>
      <c r="GA12" s="84"/>
      <c r="GB12" s="84">
        <v>0</v>
      </c>
      <c r="GC12" s="84">
        <v>0</v>
      </c>
      <c r="GD12" s="84" t="s">
        <v>96</v>
      </c>
      <c r="GE12" s="84" t="s">
        <v>4</v>
      </c>
      <c r="GF12" s="84">
        <v>262055441</v>
      </c>
      <c r="GG12" s="84">
        <v>709844369</v>
      </c>
      <c r="GH12" s="84" t="s">
        <v>4</v>
      </c>
      <c r="GI12" s="84">
        <v>161653590</v>
      </c>
      <c r="GJ12" s="84" t="s">
        <v>96</v>
      </c>
      <c r="GK12" s="84">
        <v>51500000</v>
      </c>
      <c r="GL12" s="84" t="s">
        <v>96</v>
      </c>
      <c r="GM12" s="84"/>
      <c r="GN12" s="84">
        <v>0</v>
      </c>
      <c r="GO12" s="84" t="s">
        <v>96</v>
      </c>
      <c r="GP12" s="84">
        <v>983719380</v>
      </c>
      <c r="GQ12" s="84">
        <v>83775905</v>
      </c>
      <c r="GR12" s="84">
        <v>642193173</v>
      </c>
      <c r="GS12" s="84"/>
      <c r="GT12" s="84" t="s">
        <v>130</v>
      </c>
      <c r="GU12" s="84">
        <v>0</v>
      </c>
      <c r="GV12" s="84"/>
      <c r="GW12" s="84">
        <v>3516268266</v>
      </c>
      <c r="GX12" s="84">
        <v>444604814</v>
      </c>
      <c r="GY12" s="84">
        <v>108971852</v>
      </c>
      <c r="GZ12" s="84">
        <v>192300000</v>
      </c>
      <c r="HA12" s="84" t="s">
        <v>96</v>
      </c>
      <c r="HB12" s="84"/>
      <c r="HC12" s="84" t="s">
        <v>130</v>
      </c>
      <c r="HD12" s="84">
        <v>124275660</v>
      </c>
      <c r="HE12" s="84" t="s">
        <v>96</v>
      </c>
      <c r="HF12" s="84">
        <v>0</v>
      </c>
      <c r="HG12" s="84">
        <v>28820060</v>
      </c>
      <c r="HH12" s="84" t="s">
        <v>96</v>
      </c>
      <c r="HI12" s="84">
        <v>0</v>
      </c>
      <c r="HJ12" s="84" t="s">
        <v>96</v>
      </c>
      <c r="HK12" s="84">
        <v>558037412</v>
      </c>
      <c r="HL12" s="84">
        <v>86938000</v>
      </c>
      <c r="HM12" s="84">
        <v>0</v>
      </c>
      <c r="HN12" s="84">
        <v>0</v>
      </c>
      <c r="HO12" s="84">
        <v>17883450</v>
      </c>
      <c r="HP12" s="84">
        <v>331135476</v>
      </c>
      <c r="HQ12" s="84">
        <v>0</v>
      </c>
      <c r="HR12" s="84">
        <v>4109458</v>
      </c>
      <c r="HS12" s="84">
        <v>42764582</v>
      </c>
      <c r="HT12" s="84">
        <v>78737000</v>
      </c>
      <c r="HU12" s="84" t="s">
        <v>130</v>
      </c>
      <c r="HV12" s="84">
        <v>81918384</v>
      </c>
      <c r="HW12" s="84" t="s">
        <v>96</v>
      </c>
      <c r="HX12" s="84">
        <v>161883573</v>
      </c>
      <c r="HY12" s="84" t="s">
        <v>114</v>
      </c>
      <c r="HZ12" s="84">
        <v>307342439</v>
      </c>
      <c r="IA12" s="84"/>
      <c r="IB12" s="84"/>
      <c r="IC12" s="84">
        <v>328924090</v>
      </c>
      <c r="ID12" s="84">
        <v>5903150</v>
      </c>
      <c r="IE12" s="84" t="s">
        <v>96</v>
      </c>
      <c r="IF12" s="84">
        <v>1640000</v>
      </c>
      <c r="IG12" s="84">
        <v>54319744</v>
      </c>
      <c r="IH12" s="84">
        <v>763356203</v>
      </c>
      <c r="II12" s="84">
        <v>54660419</v>
      </c>
      <c r="IJ12" s="84"/>
      <c r="IK12" s="84">
        <v>184460511</v>
      </c>
      <c r="IL12" s="84">
        <v>366307600</v>
      </c>
      <c r="IM12" s="84">
        <v>0</v>
      </c>
      <c r="IN12" s="84">
        <v>0</v>
      </c>
      <c r="IO12" s="84">
        <v>334907716</v>
      </c>
      <c r="IP12" s="84">
        <v>180288200</v>
      </c>
      <c r="IQ12" s="84"/>
      <c r="IR12" s="84">
        <v>151614540</v>
      </c>
      <c r="IS12" s="84">
        <v>0</v>
      </c>
      <c r="IT12" s="84">
        <v>130151592</v>
      </c>
      <c r="IU12" s="84"/>
      <c r="IV12" s="84">
        <v>0</v>
      </c>
      <c r="IW12" s="84">
        <v>0</v>
      </c>
      <c r="IX12" s="84">
        <v>205154230</v>
      </c>
      <c r="IY12" s="68">
        <v>0</v>
      </c>
      <c r="IZ12" s="68">
        <v>232518687</v>
      </c>
      <c r="JA12" s="68">
        <v>1000344402</v>
      </c>
      <c r="JB12" s="68">
        <v>694077062</v>
      </c>
      <c r="JC12" s="68">
        <v>240165750</v>
      </c>
      <c r="JD12" s="68">
        <v>0</v>
      </c>
      <c r="JE12" s="68"/>
      <c r="JF12" s="68">
        <v>279545606</v>
      </c>
      <c r="JG12" s="68">
        <v>7862703</v>
      </c>
      <c r="JH12" s="68">
        <v>0</v>
      </c>
      <c r="JI12" s="68">
        <v>85548825</v>
      </c>
      <c r="JJ12" s="68">
        <v>0</v>
      </c>
      <c r="JK12" s="68">
        <v>110000000</v>
      </c>
      <c r="JL12" s="68">
        <v>0</v>
      </c>
      <c r="JM12" s="68">
        <v>0</v>
      </c>
      <c r="JN12" s="68">
        <v>385365477</v>
      </c>
      <c r="JO12" s="68"/>
      <c r="JP12" s="68">
        <v>14916477</v>
      </c>
      <c r="JQ12" s="68" t="s">
        <v>4</v>
      </c>
      <c r="JR12" s="68">
        <v>29957623</v>
      </c>
      <c r="JS12" s="68">
        <v>0</v>
      </c>
      <c r="JT12" s="68">
        <v>10320027</v>
      </c>
      <c r="JU12" s="68">
        <v>123649167</v>
      </c>
      <c r="JV12" s="68">
        <v>13028207</v>
      </c>
      <c r="JW12" s="68"/>
      <c r="JX12" s="68">
        <v>0</v>
      </c>
      <c r="JY12" s="68"/>
      <c r="JZ12" s="68">
        <v>40699700</v>
      </c>
      <c r="KA12" s="68">
        <v>0</v>
      </c>
      <c r="KB12" s="68">
        <v>838519910</v>
      </c>
      <c r="KC12" s="68">
        <v>285460898</v>
      </c>
      <c r="KD12" s="68">
        <v>0</v>
      </c>
      <c r="KE12" s="68">
        <v>27521000</v>
      </c>
      <c r="KF12" s="68">
        <v>563992647</v>
      </c>
      <c r="KG12" s="68">
        <v>517995673</v>
      </c>
      <c r="KH12" s="68">
        <v>0</v>
      </c>
      <c r="KI12" s="68">
        <v>0</v>
      </c>
      <c r="KJ12" s="68">
        <v>0</v>
      </c>
      <c r="KK12" s="68">
        <v>218970660</v>
      </c>
      <c r="KL12" s="68">
        <v>3478465720</v>
      </c>
      <c r="KM12" s="68">
        <v>21645506</v>
      </c>
      <c r="KN12" s="68"/>
      <c r="KO12" s="68">
        <v>367733507</v>
      </c>
      <c r="KP12" s="68">
        <v>0</v>
      </c>
      <c r="KQ12" s="68">
        <v>25642000</v>
      </c>
      <c r="KR12" s="68">
        <v>75560000</v>
      </c>
      <c r="KS12" s="68">
        <v>129246722</v>
      </c>
      <c r="KT12" s="68"/>
      <c r="KU12" s="68">
        <v>68237134</v>
      </c>
      <c r="KV12" s="68">
        <v>1724450</v>
      </c>
      <c r="KW12" s="68">
        <v>195000000</v>
      </c>
      <c r="KX12" s="68">
        <v>60862642</v>
      </c>
      <c r="KY12" s="68">
        <v>303609140</v>
      </c>
      <c r="KZ12" s="68">
        <v>0</v>
      </c>
      <c r="LA12" s="68">
        <v>241000000</v>
      </c>
      <c r="LB12" s="68"/>
      <c r="LC12" s="102">
        <v>0</v>
      </c>
      <c r="LD12" s="102">
        <v>0</v>
      </c>
      <c r="LE12" s="102">
        <v>165974770</v>
      </c>
      <c r="LF12" s="102">
        <v>0</v>
      </c>
      <c r="LG12" s="102">
        <v>85821396</v>
      </c>
      <c r="LH12" s="102" t="s">
        <v>187</v>
      </c>
      <c r="LI12" s="102">
        <v>169677240</v>
      </c>
      <c r="LJ12" s="102" t="s">
        <v>187</v>
      </c>
      <c r="LK12" s="102"/>
      <c r="LL12" s="102" t="s">
        <v>187</v>
      </c>
    </row>
    <row r="13" spans="1:324" ht="17.55" customHeight="1">
      <c r="A13" s="67" t="s">
        <v>184</v>
      </c>
      <c r="B13" s="90" t="s">
        <v>66</v>
      </c>
      <c r="C13" s="84">
        <v>20670</v>
      </c>
      <c r="D13" s="84">
        <v>6521502</v>
      </c>
      <c r="E13" s="84"/>
      <c r="F13" s="85"/>
      <c r="G13" s="84" t="s">
        <v>130</v>
      </c>
      <c r="H13" s="84"/>
      <c r="I13" s="84">
        <v>6822395</v>
      </c>
      <c r="J13" s="84" t="s">
        <v>4</v>
      </c>
      <c r="K13" s="84"/>
      <c r="L13" s="84" t="s">
        <v>96</v>
      </c>
      <c r="M13" s="84" t="s">
        <v>96</v>
      </c>
      <c r="N13" s="84"/>
      <c r="O13" s="84"/>
      <c r="P13" s="84">
        <v>29140</v>
      </c>
      <c r="Q13" s="84"/>
      <c r="R13" s="84" t="s">
        <v>130</v>
      </c>
      <c r="S13" s="84"/>
      <c r="T13" s="84" t="s">
        <v>96</v>
      </c>
      <c r="U13" s="84" t="s">
        <v>96</v>
      </c>
      <c r="V13" s="84" t="s">
        <v>4</v>
      </c>
      <c r="W13" s="84"/>
      <c r="X13" s="84"/>
      <c r="Y13" s="84">
        <v>1880</v>
      </c>
      <c r="Z13" s="84">
        <v>0</v>
      </c>
      <c r="AA13" s="84"/>
      <c r="AB13" s="84">
        <v>1510617</v>
      </c>
      <c r="AC13" s="84">
        <v>3453541</v>
      </c>
      <c r="AD13" s="84"/>
      <c r="AE13" s="84">
        <v>22700055</v>
      </c>
      <c r="AF13" s="84" t="s">
        <v>96</v>
      </c>
      <c r="AG13" s="84"/>
      <c r="AH13" s="84" t="s">
        <v>130</v>
      </c>
      <c r="AI13" s="84">
        <v>533579</v>
      </c>
      <c r="AJ13" s="84">
        <v>0</v>
      </c>
      <c r="AK13" s="84">
        <v>165600000</v>
      </c>
      <c r="AL13" s="84"/>
      <c r="AM13" s="84" t="s">
        <v>4</v>
      </c>
      <c r="AN13" s="84"/>
      <c r="AO13" s="84"/>
      <c r="AP13" s="84">
        <v>736257</v>
      </c>
      <c r="AQ13" s="84" t="s">
        <v>4</v>
      </c>
      <c r="AR13" s="84">
        <v>221366</v>
      </c>
      <c r="AS13" s="84">
        <v>0</v>
      </c>
      <c r="AT13" s="84" t="s">
        <v>96</v>
      </c>
      <c r="AU13" s="84"/>
      <c r="AV13" s="84"/>
      <c r="AW13" s="84"/>
      <c r="AX13" s="84" t="s">
        <v>4</v>
      </c>
      <c r="AY13" s="84" t="s">
        <v>96</v>
      </c>
      <c r="AZ13" s="84"/>
      <c r="BA13" s="84" t="s">
        <v>130</v>
      </c>
      <c r="BB13" s="84"/>
      <c r="BC13" s="84" t="s">
        <v>4</v>
      </c>
      <c r="BD13" s="84" t="s">
        <v>96</v>
      </c>
      <c r="BE13" s="84">
        <v>3207388</v>
      </c>
      <c r="BF13" s="84" t="s">
        <v>96</v>
      </c>
      <c r="BG13" s="84"/>
      <c r="BH13" s="84"/>
      <c r="BI13" s="84"/>
      <c r="BJ13" s="84"/>
      <c r="BK13" s="84"/>
      <c r="BL13" s="84"/>
      <c r="BM13" s="84"/>
      <c r="BN13" s="84"/>
      <c r="BO13" s="84" t="s">
        <v>96</v>
      </c>
      <c r="BP13" s="84" t="s">
        <v>96</v>
      </c>
      <c r="BQ13" s="84" t="s">
        <v>4</v>
      </c>
      <c r="BR13" s="84"/>
      <c r="BS13" s="84" t="s">
        <v>4</v>
      </c>
      <c r="BT13" s="84" t="s">
        <v>96</v>
      </c>
      <c r="BU13" s="84"/>
      <c r="BV13" s="84"/>
      <c r="BW13" s="84"/>
      <c r="BX13" s="84"/>
      <c r="BY13" s="84"/>
      <c r="BZ13" s="84"/>
      <c r="CA13" s="84">
        <v>665037</v>
      </c>
      <c r="CB13" s="84">
        <v>0</v>
      </c>
      <c r="CC13" s="84">
        <v>0</v>
      </c>
      <c r="CD13" s="84">
        <v>0</v>
      </c>
      <c r="CE13" s="84" t="s">
        <v>96</v>
      </c>
      <c r="CF13" s="84" t="s">
        <v>96</v>
      </c>
      <c r="CG13" s="84">
        <v>0</v>
      </c>
      <c r="CH13" s="84">
        <v>19350226</v>
      </c>
      <c r="CI13" s="84" t="s">
        <v>96</v>
      </c>
      <c r="CJ13" s="84"/>
      <c r="CK13" s="84">
        <v>0</v>
      </c>
      <c r="CL13" s="84"/>
      <c r="CM13" s="84"/>
      <c r="CN13" s="84">
        <v>17933158</v>
      </c>
      <c r="CO13" s="84"/>
      <c r="CP13" s="84" t="s">
        <v>96</v>
      </c>
      <c r="CQ13" s="84" t="s">
        <v>96</v>
      </c>
      <c r="CR13" s="84"/>
      <c r="CS13" s="84" t="s">
        <v>96</v>
      </c>
      <c r="CT13" s="84"/>
      <c r="CU13" s="84">
        <v>0</v>
      </c>
      <c r="CV13" s="84"/>
      <c r="CW13" s="84" t="s">
        <v>96</v>
      </c>
      <c r="CX13" s="84"/>
      <c r="CY13" s="84" t="s">
        <v>96</v>
      </c>
      <c r="CZ13" s="84"/>
      <c r="DA13" s="84" t="s">
        <v>96</v>
      </c>
      <c r="DB13" s="84"/>
      <c r="DC13" s="84"/>
      <c r="DD13" s="84" t="s">
        <v>96</v>
      </c>
      <c r="DE13" s="84"/>
      <c r="DF13" s="84"/>
      <c r="DG13" s="84"/>
      <c r="DH13" s="84"/>
      <c r="DI13" s="84"/>
      <c r="DJ13" s="84"/>
      <c r="DK13" s="84" t="s">
        <v>96</v>
      </c>
      <c r="DL13" s="84"/>
      <c r="DM13" s="84">
        <v>9458949</v>
      </c>
      <c r="DN13" s="84"/>
      <c r="DO13" s="84"/>
      <c r="DP13" s="86"/>
      <c r="DQ13" s="84"/>
      <c r="DR13" s="84"/>
      <c r="DS13" s="84">
        <v>21020</v>
      </c>
      <c r="DT13" s="84">
        <v>3220</v>
      </c>
      <c r="DU13" s="84"/>
      <c r="DV13" s="84"/>
      <c r="DW13" s="84">
        <v>4166274</v>
      </c>
      <c r="DX13" s="84"/>
      <c r="DY13" s="84"/>
      <c r="DZ13" s="84"/>
      <c r="EA13" s="84">
        <v>308767</v>
      </c>
      <c r="EB13" s="84"/>
      <c r="EC13" s="84"/>
      <c r="ED13" s="84"/>
      <c r="EE13" s="84"/>
      <c r="EF13" s="84"/>
      <c r="EG13" s="96">
        <v>130870784</v>
      </c>
      <c r="EH13" s="99">
        <v>1690</v>
      </c>
      <c r="EI13" s="97"/>
      <c r="EJ13" s="84"/>
      <c r="EK13" s="84"/>
      <c r="EL13" s="84"/>
      <c r="EM13" s="84"/>
      <c r="EN13" s="84"/>
      <c r="EO13" s="84"/>
      <c r="EP13" s="84"/>
      <c r="EQ13" s="84"/>
      <c r="ER13" s="84"/>
      <c r="ES13" s="84"/>
      <c r="ET13" s="84"/>
      <c r="EU13" s="84"/>
      <c r="EV13" s="84"/>
      <c r="EW13" s="84"/>
      <c r="EX13" s="84"/>
      <c r="EY13" s="84"/>
      <c r="EZ13" s="84"/>
      <c r="FA13" s="84"/>
      <c r="FB13" s="86"/>
      <c r="FC13" s="84"/>
      <c r="FD13" s="84"/>
      <c r="FE13" s="84"/>
      <c r="FF13" s="84"/>
      <c r="FG13" s="84" t="s">
        <v>96</v>
      </c>
      <c r="FH13" s="84"/>
      <c r="FI13" s="84" t="s">
        <v>96</v>
      </c>
      <c r="FJ13" s="84"/>
      <c r="FK13" s="84"/>
      <c r="FL13" s="84">
        <v>1384240</v>
      </c>
      <c r="FM13" s="84" t="s">
        <v>130</v>
      </c>
      <c r="FN13" s="84"/>
      <c r="FO13" s="84" t="s">
        <v>96</v>
      </c>
      <c r="FP13" s="84" t="s">
        <v>96</v>
      </c>
      <c r="FQ13" s="84">
        <v>5520</v>
      </c>
      <c r="FR13" s="84"/>
      <c r="FS13" s="84"/>
      <c r="FT13" s="84">
        <v>59282479</v>
      </c>
      <c r="FU13" s="84">
        <v>6510</v>
      </c>
      <c r="FV13" s="84" t="s">
        <v>96</v>
      </c>
      <c r="FW13" s="84"/>
      <c r="FX13" s="84"/>
      <c r="FY13" s="84" t="s">
        <v>96</v>
      </c>
      <c r="FZ13" s="84" t="s">
        <v>4</v>
      </c>
      <c r="GA13" s="84"/>
      <c r="GB13" s="84">
        <v>0</v>
      </c>
      <c r="GC13" s="84">
        <v>216262</v>
      </c>
      <c r="GD13" s="84" t="s">
        <v>96</v>
      </c>
      <c r="GE13" s="84" t="s">
        <v>4</v>
      </c>
      <c r="GF13" s="84"/>
      <c r="GG13" s="84"/>
      <c r="GH13" s="84" t="s">
        <v>4</v>
      </c>
      <c r="GI13" s="84"/>
      <c r="GJ13" s="84" t="s">
        <v>96</v>
      </c>
      <c r="GK13" s="84"/>
      <c r="GL13" s="84" t="s">
        <v>96</v>
      </c>
      <c r="GM13" s="84"/>
      <c r="GN13" s="84">
        <v>0</v>
      </c>
      <c r="GO13" s="84" t="s">
        <v>96</v>
      </c>
      <c r="GP13" s="84"/>
      <c r="GQ13" s="84">
        <v>19909985</v>
      </c>
      <c r="GR13" s="84">
        <v>656686</v>
      </c>
      <c r="GS13" s="84"/>
      <c r="GT13" s="84" t="s">
        <v>130</v>
      </c>
      <c r="GU13" s="84"/>
      <c r="GV13" s="84"/>
      <c r="GW13" s="84"/>
      <c r="GX13" s="84"/>
      <c r="GY13" s="84">
        <v>36630</v>
      </c>
      <c r="GZ13" s="84">
        <v>47432590</v>
      </c>
      <c r="HA13" s="84" t="s">
        <v>96</v>
      </c>
      <c r="HB13" s="84"/>
      <c r="HC13" s="84" t="s">
        <v>130</v>
      </c>
      <c r="HD13" s="84"/>
      <c r="HE13" s="84" t="s">
        <v>96</v>
      </c>
      <c r="HF13" s="84">
        <v>6255608</v>
      </c>
      <c r="HG13" s="84">
        <v>1647120</v>
      </c>
      <c r="HH13" s="84" t="s">
        <v>96</v>
      </c>
      <c r="HI13" s="84">
        <v>2364551</v>
      </c>
      <c r="HJ13" s="84" t="s">
        <v>96</v>
      </c>
      <c r="HK13" s="84"/>
      <c r="HL13" s="84"/>
      <c r="HM13" s="84"/>
      <c r="HN13" s="84"/>
      <c r="HO13" s="84"/>
      <c r="HP13" s="84"/>
      <c r="HQ13" s="84">
        <v>12552046</v>
      </c>
      <c r="HR13" s="84">
        <v>5365935</v>
      </c>
      <c r="HS13" s="84"/>
      <c r="HT13" s="84"/>
      <c r="HU13" s="84" t="s">
        <v>130</v>
      </c>
      <c r="HV13" s="84"/>
      <c r="HW13" s="84" t="s">
        <v>96</v>
      </c>
      <c r="HX13" s="84"/>
      <c r="HY13" s="84" t="s">
        <v>114</v>
      </c>
      <c r="HZ13" s="84"/>
      <c r="IA13" s="84"/>
      <c r="IB13" s="84">
        <v>24176640</v>
      </c>
      <c r="IC13" s="84"/>
      <c r="ID13" s="84"/>
      <c r="IE13" s="84" t="s">
        <v>96</v>
      </c>
      <c r="IF13" s="84"/>
      <c r="IG13" s="84"/>
      <c r="IH13" s="84"/>
      <c r="II13" s="84"/>
      <c r="IJ13" s="84"/>
      <c r="IK13" s="84">
        <v>58363729</v>
      </c>
      <c r="IL13" s="84">
        <v>10774017</v>
      </c>
      <c r="IM13" s="84"/>
      <c r="IN13" s="84"/>
      <c r="IO13" s="84"/>
      <c r="IP13" s="84"/>
      <c r="IQ13" s="84"/>
      <c r="IR13" s="84"/>
      <c r="IS13" s="84"/>
      <c r="IT13" s="84"/>
      <c r="IU13" s="84"/>
      <c r="IV13" s="84"/>
      <c r="IW13" s="84">
        <v>2885958</v>
      </c>
      <c r="IX13" s="84"/>
      <c r="IY13" s="68"/>
      <c r="IZ13" s="68"/>
      <c r="JA13" s="68"/>
      <c r="JB13" s="68"/>
      <c r="JC13" s="68"/>
      <c r="JD13" s="68"/>
      <c r="JE13" s="68"/>
      <c r="JF13" s="68"/>
      <c r="JG13" s="68"/>
      <c r="JH13" s="68"/>
      <c r="JI13" s="68">
        <v>0</v>
      </c>
      <c r="JJ13" s="68"/>
      <c r="JK13" s="68"/>
      <c r="JL13" s="68"/>
      <c r="JM13" s="68"/>
      <c r="JN13" s="68"/>
      <c r="JO13" s="68"/>
      <c r="JP13" s="68"/>
      <c r="JQ13" s="68" t="s">
        <v>4</v>
      </c>
      <c r="JR13" s="68"/>
      <c r="JS13" s="68"/>
      <c r="JT13" s="68"/>
      <c r="JU13" s="68">
        <v>1666019</v>
      </c>
      <c r="JV13" s="68"/>
      <c r="JW13" s="68"/>
      <c r="JX13" s="68"/>
      <c r="JY13" s="68"/>
      <c r="JZ13" s="68"/>
      <c r="KA13" s="68"/>
      <c r="KB13" s="68"/>
      <c r="KC13" s="68"/>
      <c r="KD13" s="68"/>
      <c r="KE13" s="68"/>
      <c r="KF13" s="68"/>
      <c r="KG13" s="68"/>
      <c r="KH13" s="68">
        <v>0</v>
      </c>
      <c r="KI13" s="68"/>
      <c r="KJ13" s="68"/>
      <c r="KK13" s="68"/>
      <c r="KL13" s="68">
        <v>232189329</v>
      </c>
      <c r="KM13" s="68"/>
      <c r="KN13" s="68"/>
      <c r="KO13" s="68"/>
      <c r="KP13" s="68"/>
      <c r="KQ13" s="68"/>
      <c r="KR13" s="68"/>
      <c r="KS13" s="68"/>
      <c r="KT13" s="68"/>
      <c r="KU13" s="68"/>
      <c r="KV13" s="68"/>
      <c r="KW13" s="68"/>
      <c r="KX13" s="68"/>
      <c r="KY13" s="68"/>
      <c r="KZ13" s="68"/>
      <c r="LA13" s="68"/>
      <c r="LB13" s="68"/>
      <c r="LC13" s="102"/>
      <c r="LD13" s="102"/>
      <c r="LE13" s="102"/>
      <c r="LF13" s="102"/>
      <c r="LG13" s="102"/>
      <c r="LH13" s="102" t="s">
        <v>187</v>
      </c>
      <c r="LI13" s="102"/>
      <c r="LJ13" s="102" t="s">
        <v>187</v>
      </c>
      <c r="LK13" s="102"/>
      <c r="LL13" s="102" t="s">
        <v>187</v>
      </c>
    </row>
    <row r="14" spans="1:324" ht="17.55" customHeight="1">
      <c r="A14" s="67" t="s">
        <v>184</v>
      </c>
      <c r="B14" s="91" t="s">
        <v>19</v>
      </c>
      <c r="C14" s="84">
        <v>100244000</v>
      </c>
      <c r="D14" s="84">
        <v>1923882738</v>
      </c>
      <c r="E14" s="84">
        <v>389178117</v>
      </c>
      <c r="F14" s="85">
        <v>1234273768</v>
      </c>
      <c r="G14" s="84" t="s">
        <v>130</v>
      </c>
      <c r="H14" s="84">
        <v>3305297627</v>
      </c>
      <c r="I14" s="84">
        <v>1685792234</v>
      </c>
      <c r="J14" s="84" t="s">
        <v>4</v>
      </c>
      <c r="K14" s="84">
        <v>325041123</v>
      </c>
      <c r="L14" s="84" t="s">
        <v>96</v>
      </c>
      <c r="M14" s="84" t="s">
        <v>96</v>
      </c>
      <c r="N14" s="84">
        <v>66420105</v>
      </c>
      <c r="O14" s="84">
        <v>4889569846</v>
      </c>
      <c r="P14" s="84">
        <v>5444406844</v>
      </c>
      <c r="Q14" s="84">
        <v>17133832</v>
      </c>
      <c r="R14" s="84" t="s">
        <v>130</v>
      </c>
      <c r="S14" s="84">
        <v>13737750564</v>
      </c>
      <c r="T14" s="84" t="s">
        <v>96</v>
      </c>
      <c r="U14" s="84" t="s">
        <v>96</v>
      </c>
      <c r="V14" s="84" t="s">
        <v>4</v>
      </c>
      <c r="W14" s="84">
        <v>790742332</v>
      </c>
      <c r="X14" s="84">
        <v>5176834577</v>
      </c>
      <c r="Y14" s="84">
        <v>255067717</v>
      </c>
      <c r="Z14" s="84">
        <v>6717385938</v>
      </c>
      <c r="AA14" s="84">
        <v>2534851349</v>
      </c>
      <c r="AB14" s="84">
        <v>54818848</v>
      </c>
      <c r="AC14" s="84">
        <v>1159225431</v>
      </c>
      <c r="AD14" s="84">
        <v>2878909214</v>
      </c>
      <c r="AE14" s="84">
        <v>4877327489</v>
      </c>
      <c r="AF14" s="84" t="s">
        <v>96</v>
      </c>
      <c r="AG14" s="84">
        <v>512677599</v>
      </c>
      <c r="AH14" s="84" t="s">
        <v>130</v>
      </c>
      <c r="AI14" s="84">
        <v>361079231</v>
      </c>
      <c r="AJ14" s="84">
        <v>196515101</v>
      </c>
      <c r="AK14" s="84">
        <v>221445132</v>
      </c>
      <c r="AL14" s="84">
        <v>470730551</v>
      </c>
      <c r="AM14" s="84" t="s">
        <v>4</v>
      </c>
      <c r="AN14" s="84">
        <v>1906281954</v>
      </c>
      <c r="AO14" s="84">
        <v>278396268</v>
      </c>
      <c r="AP14" s="84">
        <v>1937523</v>
      </c>
      <c r="AQ14" s="84" t="s">
        <v>4</v>
      </c>
      <c r="AR14" s="84">
        <v>624610694</v>
      </c>
      <c r="AS14" s="84">
        <v>1086667583</v>
      </c>
      <c r="AT14" s="84" t="s">
        <v>96</v>
      </c>
      <c r="AU14" s="84">
        <v>7390773995</v>
      </c>
      <c r="AV14" s="84">
        <v>268080291</v>
      </c>
      <c r="AW14" s="84">
        <v>550563888</v>
      </c>
      <c r="AX14" s="84" t="s">
        <v>4</v>
      </c>
      <c r="AY14" s="84" t="s">
        <v>96</v>
      </c>
      <c r="AZ14" s="84">
        <v>729004588</v>
      </c>
      <c r="BA14" s="84" t="s">
        <v>130</v>
      </c>
      <c r="BB14" s="84">
        <v>12200665</v>
      </c>
      <c r="BC14" s="84" t="s">
        <v>4</v>
      </c>
      <c r="BD14" s="84" t="s">
        <v>96</v>
      </c>
      <c r="BE14" s="84">
        <v>3038408285</v>
      </c>
      <c r="BF14" s="84" t="s">
        <v>96</v>
      </c>
      <c r="BG14" s="84">
        <v>128075060</v>
      </c>
      <c r="BH14" s="84">
        <v>703395642</v>
      </c>
      <c r="BI14" s="84">
        <v>74285961</v>
      </c>
      <c r="BJ14" s="84">
        <v>164876814</v>
      </c>
      <c r="BK14" s="84">
        <v>1462552197</v>
      </c>
      <c r="BL14" s="84">
        <v>109277513</v>
      </c>
      <c r="BM14" s="84">
        <v>925881988</v>
      </c>
      <c r="BN14" s="84">
        <v>105338541</v>
      </c>
      <c r="BO14" s="84" t="s">
        <v>96</v>
      </c>
      <c r="BP14" s="84" t="s">
        <v>96</v>
      </c>
      <c r="BQ14" s="84" t="s">
        <v>4</v>
      </c>
      <c r="BR14" s="84">
        <v>6072878601</v>
      </c>
      <c r="BS14" s="84" t="s">
        <v>4</v>
      </c>
      <c r="BT14" s="84" t="s">
        <v>96</v>
      </c>
      <c r="BU14" s="84">
        <v>720292280</v>
      </c>
      <c r="BV14" s="84">
        <v>24616000</v>
      </c>
      <c r="BW14" s="84">
        <v>514000</v>
      </c>
      <c r="BX14" s="84">
        <v>65088478</v>
      </c>
      <c r="BY14" s="84">
        <v>476262532</v>
      </c>
      <c r="BZ14" s="84">
        <v>1971306902</v>
      </c>
      <c r="CA14" s="84">
        <v>1509768236</v>
      </c>
      <c r="CB14" s="84">
        <v>1452199588</v>
      </c>
      <c r="CC14" s="84">
        <v>10550000</v>
      </c>
      <c r="CD14" s="84">
        <v>28026637</v>
      </c>
      <c r="CE14" s="84" t="s">
        <v>96</v>
      </c>
      <c r="CF14" s="84" t="s">
        <v>96</v>
      </c>
      <c r="CG14" s="84">
        <v>93605519</v>
      </c>
      <c r="CH14" s="84">
        <v>122576454</v>
      </c>
      <c r="CI14" s="84" t="s">
        <v>96</v>
      </c>
      <c r="CJ14" s="84">
        <v>53495505</v>
      </c>
      <c r="CK14" s="84">
        <v>7254154805</v>
      </c>
      <c r="CL14" s="84">
        <v>645975982</v>
      </c>
      <c r="CM14" s="84">
        <v>1277424388</v>
      </c>
      <c r="CN14" s="84">
        <v>12294591</v>
      </c>
      <c r="CO14" s="84">
        <v>13765375</v>
      </c>
      <c r="CP14" s="84" t="s">
        <v>96</v>
      </c>
      <c r="CQ14" s="84" t="s">
        <v>96</v>
      </c>
      <c r="CR14" s="84">
        <v>141971512</v>
      </c>
      <c r="CS14" s="84" t="s">
        <v>96</v>
      </c>
      <c r="CT14" s="84">
        <v>623270358</v>
      </c>
      <c r="CU14" s="84">
        <v>381120948</v>
      </c>
      <c r="CV14" s="84">
        <v>2750000</v>
      </c>
      <c r="CW14" s="84" t="s">
        <v>96</v>
      </c>
      <c r="CX14" s="84">
        <v>917327602</v>
      </c>
      <c r="CY14" s="84" t="s">
        <v>96</v>
      </c>
      <c r="CZ14" s="84">
        <v>5090679845</v>
      </c>
      <c r="DA14" s="84" t="s">
        <v>96</v>
      </c>
      <c r="DB14" s="84">
        <v>44846907</v>
      </c>
      <c r="DC14" s="84">
        <v>5023435</v>
      </c>
      <c r="DD14" s="84" t="s">
        <v>96</v>
      </c>
      <c r="DE14" s="84">
        <v>1053481155</v>
      </c>
      <c r="DF14" s="84">
        <v>9253431</v>
      </c>
      <c r="DG14" s="84">
        <v>764465975</v>
      </c>
      <c r="DH14" s="84">
        <v>560350822</v>
      </c>
      <c r="DI14" s="84">
        <v>5127686554</v>
      </c>
      <c r="DJ14" s="84">
        <v>23015808</v>
      </c>
      <c r="DK14" s="84" t="s">
        <v>96</v>
      </c>
      <c r="DL14" s="84">
        <v>105348092</v>
      </c>
      <c r="DM14" s="84">
        <v>576504024</v>
      </c>
      <c r="DN14" s="84">
        <v>453097335</v>
      </c>
      <c r="DO14" s="84">
        <v>126640499</v>
      </c>
      <c r="DP14" s="86">
        <v>2348958041</v>
      </c>
      <c r="DQ14" s="84">
        <v>20016000</v>
      </c>
      <c r="DR14" s="84">
        <v>5229303873</v>
      </c>
      <c r="DS14" s="84">
        <v>68785307</v>
      </c>
      <c r="DT14" s="84">
        <v>3147045468</v>
      </c>
      <c r="DU14" s="84">
        <v>40801645</v>
      </c>
      <c r="DV14" s="84">
        <v>2168371953</v>
      </c>
      <c r="DW14" s="84">
        <v>1096826659</v>
      </c>
      <c r="DX14" s="84">
        <v>1717362000</v>
      </c>
      <c r="DY14" s="84">
        <v>613924101</v>
      </c>
      <c r="DZ14" s="84">
        <v>259395057</v>
      </c>
      <c r="EA14" s="84">
        <v>35259014</v>
      </c>
      <c r="EB14" s="84">
        <v>5600039214</v>
      </c>
      <c r="EC14" s="84">
        <v>17575444</v>
      </c>
      <c r="ED14" s="84">
        <v>251045590</v>
      </c>
      <c r="EE14" s="84">
        <v>251828652</v>
      </c>
      <c r="EF14" s="84">
        <v>4324743535</v>
      </c>
      <c r="EG14" s="96">
        <v>1284664841</v>
      </c>
      <c r="EH14" s="99">
        <v>3068820074</v>
      </c>
      <c r="EI14" s="97">
        <v>2122300602</v>
      </c>
      <c r="EJ14" s="84">
        <v>12256237</v>
      </c>
      <c r="EK14" s="84">
        <v>115780078</v>
      </c>
      <c r="EL14" s="84">
        <v>352534665</v>
      </c>
      <c r="EM14" s="84">
        <v>331836344</v>
      </c>
      <c r="EN14" s="84">
        <v>5126533844</v>
      </c>
      <c r="EO14" s="84">
        <v>134307144</v>
      </c>
      <c r="EP14" s="84">
        <v>316451171</v>
      </c>
      <c r="EQ14" s="84">
        <v>38242800</v>
      </c>
      <c r="ER14" s="84">
        <v>1166343795</v>
      </c>
      <c r="ES14" s="84">
        <v>370912447</v>
      </c>
      <c r="ET14" s="84">
        <v>4579219181</v>
      </c>
      <c r="EU14" s="84">
        <v>493695571</v>
      </c>
      <c r="EV14" s="84">
        <v>2847705</v>
      </c>
      <c r="EW14" s="84">
        <v>819677101</v>
      </c>
      <c r="EX14" s="84">
        <v>2717197011</v>
      </c>
      <c r="EY14" s="84">
        <v>3387271725</v>
      </c>
      <c r="EZ14" s="84">
        <v>255883482</v>
      </c>
      <c r="FA14" s="84">
        <v>3360508840</v>
      </c>
      <c r="FB14" s="86">
        <v>72711576</v>
      </c>
      <c r="FC14" s="84">
        <v>581519774</v>
      </c>
      <c r="FD14" s="84">
        <v>1198316043</v>
      </c>
      <c r="FE14" s="84">
        <v>2783480589</v>
      </c>
      <c r="FF14" s="84">
        <v>12903333</v>
      </c>
      <c r="FG14" s="84" t="s">
        <v>96</v>
      </c>
      <c r="FH14" s="84">
        <v>1822201044</v>
      </c>
      <c r="FI14" s="84" t="s">
        <v>96</v>
      </c>
      <c r="FJ14" s="84">
        <v>86075747</v>
      </c>
      <c r="FK14" s="84">
        <v>1532605068</v>
      </c>
      <c r="FL14" s="84">
        <v>151356957</v>
      </c>
      <c r="FM14" s="84" t="s">
        <v>130</v>
      </c>
      <c r="FN14" s="84">
        <v>24582865343</v>
      </c>
      <c r="FO14" s="84" t="s">
        <v>96</v>
      </c>
      <c r="FP14" s="84" t="s">
        <v>96</v>
      </c>
      <c r="FQ14" s="84">
        <v>70549335</v>
      </c>
      <c r="FR14" s="84">
        <v>274495677</v>
      </c>
      <c r="FS14" s="84">
        <v>216413992</v>
      </c>
      <c r="FT14" s="84">
        <v>3999108792</v>
      </c>
      <c r="FU14" s="84">
        <v>0</v>
      </c>
      <c r="FV14" s="84" t="s">
        <v>96</v>
      </c>
      <c r="FW14" s="84">
        <v>7754272</v>
      </c>
      <c r="FX14" s="84">
        <v>92926724</v>
      </c>
      <c r="FY14" s="84" t="s">
        <v>96</v>
      </c>
      <c r="FZ14" s="84" t="s">
        <v>4</v>
      </c>
      <c r="GA14" s="84">
        <v>690110272</v>
      </c>
      <c r="GB14" s="84">
        <v>227446682</v>
      </c>
      <c r="GC14" s="84">
        <v>50774351</v>
      </c>
      <c r="GD14" s="84" t="s">
        <v>96</v>
      </c>
      <c r="GE14" s="84" t="s">
        <v>4</v>
      </c>
      <c r="GF14" s="84">
        <v>503756805</v>
      </c>
      <c r="GG14" s="84">
        <v>1796760283</v>
      </c>
      <c r="GH14" s="84" t="s">
        <v>4</v>
      </c>
      <c r="GI14" s="84">
        <v>32950965</v>
      </c>
      <c r="GJ14" s="84" t="s">
        <v>96</v>
      </c>
      <c r="GK14" s="84">
        <v>345525864</v>
      </c>
      <c r="GL14" s="84" t="s">
        <v>96</v>
      </c>
      <c r="GM14" s="84">
        <v>92761714</v>
      </c>
      <c r="GN14" s="84">
        <v>0</v>
      </c>
      <c r="GO14" s="84" t="s">
        <v>96</v>
      </c>
      <c r="GP14" s="84">
        <v>6120876829</v>
      </c>
      <c r="GQ14" s="84">
        <v>70845350</v>
      </c>
      <c r="GR14" s="84">
        <v>2084935584</v>
      </c>
      <c r="GS14" s="84">
        <v>349245390</v>
      </c>
      <c r="GT14" s="84" t="s">
        <v>130</v>
      </c>
      <c r="GU14" s="84">
        <v>30000000</v>
      </c>
      <c r="GV14" s="84">
        <v>3529170004</v>
      </c>
      <c r="GW14" s="84">
        <v>35548846243</v>
      </c>
      <c r="GX14" s="84">
        <v>2321337884</v>
      </c>
      <c r="GY14" s="84">
        <v>1187656629</v>
      </c>
      <c r="GZ14" s="84">
        <v>4067301848</v>
      </c>
      <c r="HA14" s="84" t="s">
        <v>96</v>
      </c>
      <c r="HB14" s="84">
        <v>12975000</v>
      </c>
      <c r="HC14" s="84" t="s">
        <v>130</v>
      </c>
      <c r="HD14" s="84">
        <v>77712175</v>
      </c>
      <c r="HE14" s="84" t="s">
        <v>96</v>
      </c>
      <c r="HF14" s="84">
        <v>1364388722</v>
      </c>
      <c r="HG14" s="84">
        <v>15806218</v>
      </c>
      <c r="HH14" s="84" t="s">
        <v>96</v>
      </c>
      <c r="HI14" s="84">
        <v>2105284114</v>
      </c>
      <c r="HJ14" s="84" t="s">
        <v>96</v>
      </c>
      <c r="HK14" s="84">
        <v>787303543</v>
      </c>
      <c r="HL14" s="84">
        <v>113427267</v>
      </c>
      <c r="HM14" s="84">
        <v>699326401</v>
      </c>
      <c r="HN14" s="84">
        <v>381975350</v>
      </c>
      <c r="HO14" s="84">
        <v>777255563</v>
      </c>
      <c r="HP14" s="84">
        <v>534109388</v>
      </c>
      <c r="HQ14" s="84">
        <v>53934834</v>
      </c>
      <c r="HR14" s="84">
        <v>112259971</v>
      </c>
      <c r="HS14" s="84">
        <v>277858245</v>
      </c>
      <c r="HT14" s="84">
        <v>31255165</v>
      </c>
      <c r="HU14" s="84" t="s">
        <v>130</v>
      </c>
      <c r="HV14" s="84">
        <v>61301847</v>
      </c>
      <c r="HW14" s="84" t="s">
        <v>96</v>
      </c>
      <c r="HX14" s="84">
        <v>4121124247</v>
      </c>
      <c r="HY14" s="84" t="s">
        <v>114</v>
      </c>
      <c r="HZ14" s="84">
        <v>7566231911</v>
      </c>
      <c r="IA14" s="84">
        <v>963333556</v>
      </c>
      <c r="IB14" s="84">
        <v>5188697533</v>
      </c>
      <c r="IC14" s="84">
        <v>1179353622</v>
      </c>
      <c r="ID14" s="84">
        <v>1000763</v>
      </c>
      <c r="IE14" s="84" t="s">
        <v>96</v>
      </c>
      <c r="IF14" s="84">
        <v>328956</v>
      </c>
      <c r="IG14" s="84">
        <v>16137112</v>
      </c>
      <c r="IH14" s="84">
        <v>266659514</v>
      </c>
      <c r="II14" s="84">
        <v>404157886</v>
      </c>
      <c r="IJ14" s="84">
        <v>339451890</v>
      </c>
      <c r="IK14" s="84">
        <v>275052322</v>
      </c>
      <c r="IL14" s="84">
        <v>1855761878</v>
      </c>
      <c r="IM14" s="84">
        <v>1087006418</v>
      </c>
      <c r="IN14" s="84">
        <v>2647455422</v>
      </c>
      <c r="IO14" s="84">
        <v>108546795</v>
      </c>
      <c r="IP14" s="84">
        <v>146372964</v>
      </c>
      <c r="IQ14" s="84">
        <v>86437028</v>
      </c>
      <c r="IR14" s="84">
        <v>151552703</v>
      </c>
      <c r="IS14" s="84">
        <v>10486202269</v>
      </c>
      <c r="IT14" s="84">
        <v>1135143343</v>
      </c>
      <c r="IU14" s="84">
        <v>287242009</v>
      </c>
      <c r="IV14" s="84">
        <v>275973955</v>
      </c>
      <c r="IW14" s="84">
        <v>80867854</v>
      </c>
      <c r="IX14" s="84">
        <v>1073960156</v>
      </c>
      <c r="IY14" s="68">
        <v>3998465461</v>
      </c>
      <c r="IZ14" s="68">
        <v>390451492</v>
      </c>
      <c r="JA14" s="68">
        <v>294366381</v>
      </c>
      <c r="JB14" s="68">
        <v>65133411</v>
      </c>
      <c r="JC14" s="68">
        <v>2483930846</v>
      </c>
      <c r="JD14" s="68">
        <v>57682313</v>
      </c>
      <c r="JE14" s="68">
        <v>27289830</v>
      </c>
      <c r="JF14" s="68">
        <v>1031442339</v>
      </c>
      <c r="JG14" s="68">
        <v>6363945</v>
      </c>
      <c r="JH14" s="68">
        <v>49737116</v>
      </c>
      <c r="JI14" s="68">
        <v>58459826</v>
      </c>
      <c r="JJ14" s="68">
        <v>193997499</v>
      </c>
      <c r="JK14" s="68">
        <v>275837194</v>
      </c>
      <c r="JL14" s="68">
        <v>2549248488</v>
      </c>
      <c r="JM14" s="68">
        <v>637920660</v>
      </c>
      <c r="JN14" s="68">
        <v>2373596728</v>
      </c>
      <c r="JO14" s="68">
        <v>47539139</v>
      </c>
      <c r="JP14" s="68">
        <v>34947654</v>
      </c>
      <c r="JQ14" s="68" t="s">
        <v>4</v>
      </c>
      <c r="JR14" s="68">
        <v>643533150</v>
      </c>
      <c r="JS14" s="68">
        <v>25208570</v>
      </c>
      <c r="JT14" s="68">
        <v>11837915</v>
      </c>
      <c r="JU14" s="68">
        <v>233670719</v>
      </c>
      <c r="JV14" s="68">
        <v>92613759</v>
      </c>
      <c r="JW14" s="68">
        <v>90000000</v>
      </c>
      <c r="JX14" s="68">
        <v>231808405</v>
      </c>
      <c r="JY14" s="68">
        <v>417922799</v>
      </c>
      <c r="JZ14" s="68">
        <v>39740571</v>
      </c>
      <c r="KA14" s="68">
        <v>15721667</v>
      </c>
      <c r="KB14" s="68">
        <v>5995020828</v>
      </c>
      <c r="KC14" s="68">
        <v>19498942</v>
      </c>
      <c r="KD14" s="68">
        <v>65369815</v>
      </c>
      <c r="KE14" s="68">
        <v>62089938</v>
      </c>
      <c r="KF14" s="68">
        <v>243731667</v>
      </c>
      <c r="KG14" s="68">
        <v>154108716</v>
      </c>
      <c r="KH14" s="68">
        <v>969278132</v>
      </c>
      <c r="KI14" s="68">
        <v>4240983</v>
      </c>
      <c r="KJ14" s="68">
        <v>1300758506</v>
      </c>
      <c r="KK14" s="68">
        <v>6719366128</v>
      </c>
      <c r="KL14" s="68">
        <v>30412941370</v>
      </c>
      <c r="KM14" s="68">
        <v>111220406</v>
      </c>
      <c r="KN14" s="68">
        <v>270615101</v>
      </c>
      <c r="KO14" s="68">
        <v>3582310074</v>
      </c>
      <c r="KP14" s="68">
        <v>50603000</v>
      </c>
      <c r="KQ14" s="68">
        <v>51790480</v>
      </c>
      <c r="KR14" s="68">
        <v>248885367</v>
      </c>
      <c r="KS14" s="68">
        <v>1157324117</v>
      </c>
      <c r="KT14" s="68">
        <v>928901296</v>
      </c>
      <c r="KU14" s="68">
        <v>6027463061</v>
      </c>
      <c r="KV14" s="68">
        <v>35223044</v>
      </c>
      <c r="KW14" s="68">
        <v>248927272</v>
      </c>
      <c r="KX14" s="68">
        <v>77567729</v>
      </c>
      <c r="KY14" s="68">
        <v>764527280</v>
      </c>
      <c r="KZ14" s="68">
        <v>1074965952</v>
      </c>
      <c r="LA14" s="68">
        <v>77341224</v>
      </c>
      <c r="LB14" s="68">
        <v>55456400</v>
      </c>
      <c r="LC14" s="102">
        <v>96448427</v>
      </c>
      <c r="LD14" s="102">
        <v>209501327</v>
      </c>
      <c r="LE14" s="102">
        <v>333345796</v>
      </c>
      <c r="LF14" s="102">
        <v>566870907</v>
      </c>
      <c r="LG14" s="102">
        <v>381129433</v>
      </c>
      <c r="LH14" s="102" t="s">
        <v>187</v>
      </c>
      <c r="LI14" s="102">
        <v>114731181</v>
      </c>
      <c r="LJ14" s="102" t="s">
        <v>187</v>
      </c>
      <c r="LK14" s="102">
        <v>39231947</v>
      </c>
      <c r="LL14" s="102" t="s">
        <v>187</v>
      </c>
    </row>
    <row r="15" spans="1:324" ht="17.55" customHeight="1">
      <c r="A15" s="67" t="s">
        <v>184</v>
      </c>
      <c r="B15" s="87" t="s">
        <v>8</v>
      </c>
      <c r="C15" s="84">
        <v>0</v>
      </c>
      <c r="D15" s="84">
        <v>5000000</v>
      </c>
      <c r="E15" s="84">
        <v>31505000</v>
      </c>
      <c r="F15" s="85">
        <v>85235436</v>
      </c>
      <c r="G15" s="84" t="s">
        <v>130</v>
      </c>
      <c r="H15" s="84">
        <v>101000000</v>
      </c>
      <c r="I15" s="84">
        <v>189000000</v>
      </c>
      <c r="J15" s="84" t="s">
        <v>4</v>
      </c>
      <c r="K15" s="84">
        <v>0</v>
      </c>
      <c r="L15" s="84" t="s">
        <v>96</v>
      </c>
      <c r="M15" s="84" t="s">
        <v>96</v>
      </c>
      <c r="N15" s="84"/>
      <c r="O15" s="84">
        <v>19953714</v>
      </c>
      <c r="P15" s="84">
        <v>19460000</v>
      </c>
      <c r="Q15" s="84">
        <v>0</v>
      </c>
      <c r="R15" s="84" t="s">
        <v>130</v>
      </c>
      <c r="S15" s="84">
        <v>770990540</v>
      </c>
      <c r="T15" s="84" t="s">
        <v>96</v>
      </c>
      <c r="U15" s="84" t="s">
        <v>96</v>
      </c>
      <c r="V15" s="84" t="s">
        <v>4</v>
      </c>
      <c r="W15" s="84">
        <v>632927844</v>
      </c>
      <c r="X15" s="84">
        <v>307844018</v>
      </c>
      <c r="Y15" s="84">
        <v>20000000</v>
      </c>
      <c r="Z15" s="84">
        <v>453566255</v>
      </c>
      <c r="AA15" s="84">
        <v>345001200</v>
      </c>
      <c r="AB15" s="84">
        <v>0</v>
      </c>
      <c r="AC15" s="84">
        <v>19000000</v>
      </c>
      <c r="AD15" s="84">
        <v>432549955</v>
      </c>
      <c r="AE15" s="84">
        <v>0</v>
      </c>
      <c r="AF15" s="84" t="s">
        <v>96</v>
      </c>
      <c r="AG15" s="84">
        <v>70935791</v>
      </c>
      <c r="AH15" s="84" t="s">
        <v>130</v>
      </c>
      <c r="AI15" s="84">
        <v>20000000</v>
      </c>
      <c r="AJ15" s="84">
        <v>4865586</v>
      </c>
      <c r="AK15" s="84">
        <v>7327970</v>
      </c>
      <c r="AL15" s="84">
        <v>125722759</v>
      </c>
      <c r="AM15" s="84" t="s">
        <v>4</v>
      </c>
      <c r="AN15" s="84">
        <v>88722067</v>
      </c>
      <c r="AO15" s="84"/>
      <c r="AP15" s="84">
        <v>0</v>
      </c>
      <c r="AQ15" s="84" t="s">
        <v>4</v>
      </c>
      <c r="AR15" s="84">
        <v>0</v>
      </c>
      <c r="AS15" s="84">
        <v>0</v>
      </c>
      <c r="AT15" s="84" t="s">
        <v>96</v>
      </c>
      <c r="AU15" s="84">
        <v>2404000000</v>
      </c>
      <c r="AV15" s="84">
        <v>200000</v>
      </c>
      <c r="AW15" s="84">
        <v>0</v>
      </c>
      <c r="AX15" s="84" t="s">
        <v>4</v>
      </c>
      <c r="AY15" s="84" t="s">
        <v>96</v>
      </c>
      <c r="AZ15" s="84">
        <v>39548477</v>
      </c>
      <c r="BA15" s="84" t="s">
        <v>130</v>
      </c>
      <c r="BB15" s="84">
        <v>0</v>
      </c>
      <c r="BC15" s="84" t="s">
        <v>4</v>
      </c>
      <c r="BD15" s="84" t="s">
        <v>96</v>
      </c>
      <c r="BE15" s="84">
        <v>0</v>
      </c>
      <c r="BF15" s="84" t="s">
        <v>96</v>
      </c>
      <c r="BG15" s="84"/>
      <c r="BH15" s="84">
        <v>7808310</v>
      </c>
      <c r="BI15" s="84">
        <v>0</v>
      </c>
      <c r="BJ15" s="84">
        <v>4472044</v>
      </c>
      <c r="BK15" s="84">
        <v>156252180</v>
      </c>
      <c r="BL15" s="84">
        <v>30892425</v>
      </c>
      <c r="BM15" s="84">
        <v>83384140</v>
      </c>
      <c r="BN15" s="84">
        <v>30390935</v>
      </c>
      <c r="BO15" s="84" t="s">
        <v>96</v>
      </c>
      <c r="BP15" s="84" t="s">
        <v>96</v>
      </c>
      <c r="BQ15" s="84" t="s">
        <v>4</v>
      </c>
      <c r="BR15" s="84">
        <v>10200000</v>
      </c>
      <c r="BS15" s="84" t="s">
        <v>4</v>
      </c>
      <c r="BT15" s="84" t="s">
        <v>96</v>
      </c>
      <c r="BU15" s="84">
        <v>0</v>
      </c>
      <c r="BV15" s="84">
        <v>0</v>
      </c>
      <c r="BW15" s="84">
        <v>0</v>
      </c>
      <c r="BX15" s="84">
        <v>0</v>
      </c>
      <c r="BY15" s="84">
        <v>73000000</v>
      </c>
      <c r="BZ15" s="84">
        <v>1950000000</v>
      </c>
      <c r="CA15" s="84">
        <v>31500000</v>
      </c>
      <c r="CB15" s="84">
        <v>16800000</v>
      </c>
      <c r="CC15" s="84">
        <v>3050000</v>
      </c>
      <c r="CD15" s="84">
        <v>300000</v>
      </c>
      <c r="CE15" s="84" t="s">
        <v>96</v>
      </c>
      <c r="CF15" s="84" t="s">
        <v>96</v>
      </c>
      <c r="CG15" s="84">
        <v>75511553</v>
      </c>
      <c r="CH15" s="84">
        <v>0</v>
      </c>
      <c r="CI15" s="84" t="s">
        <v>96</v>
      </c>
      <c r="CJ15" s="84">
        <v>2069705</v>
      </c>
      <c r="CK15" s="84">
        <v>12762849</v>
      </c>
      <c r="CL15" s="84">
        <v>29895224</v>
      </c>
      <c r="CM15" s="84">
        <v>605015412</v>
      </c>
      <c r="CN15" s="84">
        <v>1403574</v>
      </c>
      <c r="CO15" s="84">
        <v>0</v>
      </c>
      <c r="CP15" s="84" t="s">
        <v>96</v>
      </c>
      <c r="CQ15" s="84" t="s">
        <v>96</v>
      </c>
      <c r="CR15" s="84">
        <v>0</v>
      </c>
      <c r="CS15" s="84" t="s">
        <v>96</v>
      </c>
      <c r="CT15" s="84"/>
      <c r="CU15" s="84">
        <v>292977917</v>
      </c>
      <c r="CV15" s="84"/>
      <c r="CW15" s="84" t="s">
        <v>96</v>
      </c>
      <c r="CX15" s="84">
        <v>614000000</v>
      </c>
      <c r="CY15" s="84" t="s">
        <v>96</v>
      </c>
      <c r="CZ15" s="84">
        <v>59432491</v>
      </c>
      <c r="DA15" s="84" t="s">
        <v>96</v>
      </c>
      <c r="DB15" s="84">
        <v>0</v>
      </c>
      <c r="DC15" s="84"/>
      <c r="DD15" s="84" t="s">
        <v>96</v>
      </c>
      <c r="DE15" s="84">
        <v>3200000</v>
      </c>
      <c r="DF15" s="84">
        <v>9000000</v>
      </c>
      <c r="DG15" s="84"/>
      <c r="DH15" s="84">
        <v>0</v>
      </c>
      <c r="DI15" s="84">
        <v>4000000</v>
      </c>
      <c r="DJ15" s="84">
        <v>3000000</v>
      </c>
      <c r="DK15" s="84" t="s">
        <v>96</v>
      </c>
      <c r="DL15" s="84">
        <v>4600000</v>
      </c>
      <c r="DM15" s="84">
        <v>0</v>
      </c>
      <c r="DN15" s="84">
        <v>3220000</v>
      </c>
      <c r="DO15" s="84">
        <v>7200000</v>
      </c>
      <c r="DP15" s="86"/>
      <c r="DQ15" s="84"/>
      <c r="DR15" s="84">
        <v>1224900</v>
      </c>
      <c r="DS15" s="84"/>
      <c r="DT15" s="84">
        <v>38894200</v>
      </c>
      <c r="DU15" s="84"/>
      <c r="DV15" s="84">
        <v>889121825</v>
      </c>
      <c r="DW15" s="84">
        <v>122080000</v>
      </c>
      <c r="DX15" s="84">
        <v>638795450</v>
      </c>
      <c r="DY15" s="84">
        <v>0</v>
      </c>
      <c r="DZ15" s="84">
        <v>202717784</v>
      </c>
      <c r="EA15" s="84">
        <v>0</v>
      </c>
      <c r="EB15" s="84">
        <v>0</v>
      </c>
      <c r="EC15" s="84">
        <v>0</v>
      </c>
      <c r="ED15" s="84">
        <v>0</v>
      </c>
      <c r="EE15" s="84">
        <v>6000000</v>
      </c>
      <c r="EF15" s="84">
        <v>0</v>
      </c>
      <c r="EG15" s="96">
        <v>195205570</v>
      </c>
      <c r="EH15" s="99">
        <v>40000000</v>
      </c>
      <c r="EI15" s="97"/>
      <c r="EJ15" s="84">
        <v>0</v>
      </c>
      <c r="EK15" s="84"/>
      <c r="EL15" s="84">
        <v>0</v>
      </c>
      <c r="EM15" s="84">
        <v>3000000</v>
      </c>
      <c r="EN15" s="84">
        <v>21451618</v>
      </c>
      <c r="EO15" s="84">
        <v>45532880</v>
      </c>
      <c r="EP15" s="84">
        <v>0</v>
      </c>
      <c r="EQ15" s="84"/>
      <c r="ER15" s="84">
        <v>29184000</v>
      </c>
      <c r="ES15" s="84">
        <v>65353008</v>
      </c>
      <c r="ET15" s="84">
        <v>27091644</v>
      </c>
      <c r="EU15" s="84">
        <v>121505413</v>
      </c>
      <c r="EV15" s="84">
        <v>0</v>
      </c>
      <c r="EW15" s="84">
        <v>9800000</v>
      </c>
      <c r="EX15" s="84">
        <v>200000000</v>
      </c>
      <c r="EY15" s="84">
        <v>22615202</v>
      </c>
      <c r="EZ15" s="84">
        <v>700000</v>
      </c>
      <c r="FA15" s="84">
        <v>12000000</v>
      </c>
      <c r="FB15" s="86">
        <v>0</v>
      </c>
      <c r="FC15" s="84">
        <v>68030980</v>
      </c>
      <c r="FD15" s="84">
        <v>0</v>
      </c>
      <c r="FE15" s="84">
        <v>1470741312</v>
      </c>
      <c r="FF15" s="84">
        <v>5500000</v>
      </c>
      <c r="FG15" s="84" t="s">
        <v>96</v>
      </c>
      <c r="FH15" s="84">
        <v>0</v>
      </c>
      <c r="FI15" s="84" t="s">
        <v>96</v>
      </c>
      <c r="FJ15" s="84">
        <v>0</v>
      </c>
      <c r="FK15" s="84">
        <v>0</v>
      </c>
      <c r="FL15" s="84">
        <v>1224894</v>
      </c>
      <c r="FM15" s="84" t="s">
        <v>130</v>
      </c>
      <c r="FN15" s="84">
        <v>34038000</v>
      </c>
      <c r="FO15" s="84" t="s">
        <v>96</v>
      </c>
      <c r="FP15" s="84" t="s">
        <v>96</v>
      </c>
      <c r="FQ15" s="84">
        <v>0</v>
      </c>
      <c r="FR15" s="84">
        <v>0</v>
      </c>
      <c r="FS15" s="84">
        <v>0</v>
      </c>
      <c r="FT15" s="84">
        <v>0</v>
      </c>
      <c r="FU15" s="84">
        <v>0</v>
      </c>
      <c r="FV15" s="84" t="s">
        <v>96</v>
      </c>
      <c r="FW15" s="84">
        <v>0</v>
      </c>
      <c r="FX15" s="84">
        <v>0</v>
      </c>
      <c r="FY15" s="84" t="s">
        <v>96</v>
      </c>
      <c r="FZ15" s="84" t="s">
        <v>4</v>
      </c>
      <c r="GA15" s="84">
        <v>57741480</v>
      </c>
      <c r="GB15" s="84">
        <v>0</v>
      </c>
      <c r="GC15" s="84">
        <v>1000000</v>
      </c>
      <c r="GD15" s="84" t="s">
        <v>96</v>
      </c>
      <c r="GE15" s="84" t="s">
        <v>4</v>
      </c>
      <c r="GF15" s="84">
        <v>0</v>
      </c>
      <c r="GG15" s="84">
        <v>0</v>
      </c>
      <c r="GH15" s="84" t="s">
        <v>4</v>
      </c>
      <c r="GI15" s="84">
        <v>0</v>
      </c>
      <c r="GJ15" s="84" t="s">
        <v>96</v>
      </c>
      <c r="GK15" s="84">
        <v>0</v>
      </c>
      <c r="GL15" s="84" t="s">
        <v>96</v>
      </c>
      <c r="GM15" s="84"/>
      <c r="GN15" s="84">
        <v>0</v>
      </c>
      <c r="GO15" s="84" t="s">
        <v>96</v>
      </c>
      <c r="GP15" s="84">
        <v>677146379</v>
      </c>
      <c r="GQ15" s="84">
        <v>0</v>
      </c>
      <c r="GR15" s="84">
        <v>178283924</v>
      </c>
      <c r="GS15" s="84"/>
      <c r="GT15" s="84" t="s">
        <v>130</v>
      </c>
      <c r="GU15" s="84">
        <v>0</v>
      </c>
      <c r="GV15" s="84">
        <v>1200000</v>
      </c>
      <c r="GW15" s="84">
        <v>15000000</v>
      </c>
      <c r="GX15" s="84">
        <v>0</v>
      </c>
      <c r="GY15" s="84">
        <v>980000</v>
      </c>
      <c r="GZ15" s="84">
        <v>0</v>
      </c>
      <c r="HA15" s="84" t="s">
        <v>96</v>
      </c>
      <c r="HB15" s="84"/>
      <c r="HC15" s="84" t="s">
        <v>130</v>
      </c>
      <c r="HD15" s="84">
        <v>0</v>
      </c>
      <c r="HE15" s="84" t="s">
        <v>96</v>
      </c>
      <c r="HF15" s="84">
        <v>54976968</v>
      </c>
      <c r="HG15" s="84">
        <v>0</v>
      </c>
      <c r="HH15" s="84" t="s">
        <v>96</v>
      </c>
      <c r="HI15" s="84">
        <v>1305374220</v>
      </c>
      <c r="HJ15" s="84" t="s">
        <v>96</v>
      </c>
      <c r="HK15" s="84">
        <v>0</v>
      </c>
      <c r="HL15" s="84">
        <v>0</v>
      </c>
      <c r="HM15" s="84">
        <v>0</v>
      </c>
      <c r="HN15" s="84">
        <v>350971850</v>
      </c>
      <c r="HO15" s="84">
        <v>2000000</v>
      </c>
      <c r="HP15" s="84">
        <v>50900000</v>
      </c>
      <c r="HQ15" s="84">
        <v>0</v>
      </c>
      <c r="HR15" s="84">
        <v>0</v>
      </c>
      <c r="HS15" s="84">
        <v>0</v>
      </c>
      <c r="HT15" s="84"/>
      <c r="HU15" s="84" t="s">
        <v>130</v>
      </c>
      <c r="HV15" s="84"/>
      <c r="HW15" s="84" t="s">
        <v>96</v>
      </c>
      <c r="HX15" s="84">
        <v>241639277</v>
      </c>
      <c r="HY15" s="84" t="s">
        <v>114</v>
      </c>
      <c r="HZ15" s="84">
        <v>283704386</v>
      </c>
      <c r="IA15" s="84">
        <v>200000</v>
      </c>
      <c r="IB15" s="84">
        <v>112659866</v>
      </c>
      <c r="IC15" s="84">
        <v>206753361</v>
      </c>
      <c r="ID15" s="84">
        <v>0</v>
      </c>
      <c r="IE15" s="84" t="s">
        <v>96</v>
      </c>
      <c r="IF15" s="84">
        <v>0</v>
      </c>
      <c r="IG15" s="84">
        <v>4057099</v>
      </c>
      <c r="IH15" s="84">
        <v>5000000</v>
      </c>
      <c r="II15" s="84">
        <v>0</v>
      </c>
      <c r="IJ15" s="84">
        <v>0</v>
      </c>
      <c r="IK15" s="84">
        <v>0</v>
      </c>
      <c r="IL15" s="84">
        <v>0</v>
      </c>
      <c r="IM15" s="84">
        <v>990000000</v>
      </c>
      <c r="IN15" s="84">
        <v>0</v>
      </c>
      <c r="IO15" s="84">
        <v>35803331</v>
      </c>
      <c r="IP15" s="84">
        <v>50400000</v>
      </c>
      <c r="IQ15" s="84"/>
      <c r="IR15" s="84">
        <v>50294844</v>
      </c>
      <c r="IS15" s="84">
        <v>107218085</v>
      </c>
      <c r="IT15" s="84">
        <v>9490128</v>
      </c>
      <c r="IU15" s="84">
        <v>252537613</v>
      </c>
      <c r="IV15" s="84">
        <v>0</v>
      </c>
      <c r="IW15" s="84">
        <v>0</v>
      </c>
      <c r="IX15" s="84">
        <v>6000000</v>
      </c>
      <c r="IY15" s="68">
        <v>0</v>
      </c>
      <c r="IZ15" s="68">
        <v>76468283</v>
      </c>
      <c r="JA15" s="68">
        <v>0</v>
      </c>
      <c r="JB15" s="68">
        <v>0</v>
      </c>
      <c r="JC15" s="68">
        <v>0</v>
      </c>
      <c r="JD15" s="68">
        <v>0</v>
      </c>
      <c r="JE15" s="68"/>
      <c r="JF15" s="68">
        <v>0</v>
      </c>
      <c r="JG15" s="68"/>
      <c r="JH15" s="68">
        <v>2100000</v>
      </c>
      <c r="JI15" s="68">
        <v>0</v>
      </c>
      <c r="JJ15" s="68">
        <v>0</v>
      </c>
      <c r="JK15" s="68">
        <v>4899901</v>
      </c>
      <c r="JL15" s="68">
        <v>17650000</v>
      </c>
      <c r="JM15" s="68">
        <v>0</v>
      </c>
      <c r="JN15" s="68">
        <v>0</v>
      </c>
      <c r="JO15" s="68"/>
      <c r="JP15" s="68">
        <v>0</v>
      </c>
      <c r="JQ15" s="68" t="s">
        <v>4</v>
      </c>
      <c r="JR15" s="68">
        <v>0</v>
      </c>
      <c r="JS15" s="68">
        <v>0</v>
      </c>
      <c r="JT15" s="68"/>
      <c r="JU15" s="68">
        <v>0</v>
      </c>
      <c r="JV15" s="68">
        <v>2300000</v>
      </c>
      <c r="JW15" s="68">
        <v>0</v>
      </c>
      <c r="JX15" s="68">
        <v>0</v>
      </c>
      <c r="JY15" s="68">
        <v>37500000</v>
      </c>
      <c r="JZ15" s="68"/>
      <c r="KA15" s="68">
        <v>0</v>
      </c>
      <c r="KB15" s="68">
        <v>45108450</v>
      </c>
      <c r="KC15" s="68">
        <v>0</v>
      </c>
      <c r="KD15" s="68">
        <v>19539254</v>
      </c>
      <c r="KE15" s="68">
        <v>0</v>
      </c>
      <c r="KF15" s="68">
        <v>41095000</v>
      </c>
      <c r="KG15" s="68">
        <v>119000000</v>
      </c>
      <c r="KH15" s="68">
        <v>0</v>
      </c>
      <c r="KI15" s="68">
        <v>1860983</v>
      </c>
      <c r="KJ15" s="68">
        <v>1000000</v>
      </c>
      <c r="KK15" s="68">
        <v>0</v>
      </c>
      <c r="KL15" s="68">
        <v>20000000000</v>
      </c>
      <c r="KM15" s="68">
        <v>6470600</v>
      </c>
      <c r="KN15" s="68"/>
      <c r="KO15" s="68">
        <v>0</v>
      </c>
      <c r="KP15" s="68">
        <v>600000</v>
      </c>
      <c r="KQ15" s="68">
        <v>0</v>
      </c>
      <c r="KR15" s="68">
        <v>100000</v>
      </c>
      <c r="KS15" s="68">
        <v>0</v>
      </c>
      <c r="KT15" s="68"/>
      <c r="KU15" s="68">
        <v>0</v>
      </c>
      <c r="KV15" s="68">
        <v>0</v>
      </c>
      <c r="KW15" s="68">
        <v>0</v>
      </c>
      <c r="KX15" s="68">
        <v>0</v>
      </c>
      <c r="KY15" s="68">
        <v>0</v>
      </c>
      <c r="KZ15" s="68">
        <v>0</v>
      </c>
      <c r="LA15" s="68">
        <v>0</v>
      </c>
      <c r="LB15" s="68">
        <v>500000</v>
      </c>
      <c r="LC15" s="102">
        <v>0</v>
      </c>
      <c r="LD15" s="102">
        <v>16000000</v>
      </c>
      <c r="LE15" s="102">
        <v>0</v>
      </c>
      <c r="LF15" s="102">
        <v>0</v>
      </c>
      <c r="LG15" s="102">
        <v>0</v>
      </c>
      <c r="LH15" s="102" t="s">
        <v>187</v>
      </c>
      <c r="LI15" s="102">
        <v>0</v>
      </c>
      <c r="LJ15" s="102" t="s">
        <v>187</v>
      </c>
      <c r="LK15" s="102"/>
      <c r="LL15" s="102" t="s">
        <v>187</v>
      </c>
    </row>
    <row r="16" spans="1:324" ht="17.55" customHeight="1">
      <c r="A16" s="67" t="s">
        <v>184</v>
      </c>
      <c r="B16" s="87" t="s">
        <v>151</v>
      </c>
      <c r="C16" s="84">
        <v>41000</v>
      </c>
      <c r="D16" s="84">
        <v>1918882738</v>
      </c>
      <c r="E16" s="84">
        <v>337673117</v>
      </c>
      <c r="F16" s="85">
        <v>1084398092</v>
      </c>
      <c r="G16" s="84" t="s">
        <v>130</v>
      </c>
      <c r="H16" s="84">
        <v>2932389627</v>
      </c>
      <c r="I16" s="84">
        <v>889927634</v>
      </c>
      <c r="J16" s="84" t="s">
        <v>4</v>
      </c>
      <c r="K16" s="84">
        <v>268979123</v>
      </c>
      <c r="L16" s="84" t="s">
        <v>96</v>
      </c>
      <c r="M16" s="84" t="s">
        <v>96</v>
      </c>
      <c r="N16" s="84">
        <v>479168</v>
      </c>
      <c r="O16" s="84">
        <v>4691075200</v>
      </c>
      <c r="P16" s="84">
        <v>5251864782</v>
      </c>
      <c r="Q16" s="84">
        <v>1130832</v>
      </c>
      <c r="R16" s="84" t="s">
        <v>130</v>
      </c>
      <c r="S16" s="84">
        <v>12745590961</v>
      </c>
      <c r="T16" s="84" t="s">
        <v>96</v>
      </c>
      <c r="U16" s="84" t="s">
        <v>96</v>
      </c>
      <c r="V16" s="84" t="s">
        <v>4</v>
      </c>
      <c r="W16" s="84">
        <v>7319081</v>
      </c>
      <c r="X16" s="84">
        <v>4512271725</v>
      </c>
      <c r="Y16" s="84">
        <v>57926458</v>
      </c>
      <c r="Z16" s="84">
        <v>4980834416</v>
      </c>
      <c r="AA16" s="84">
        <v>1664385966</v>
      </c>
      <c r="AB16" s="84">
        <v>4152848</v>
      </c>
      <c r="AC16" s="84">
        <v>1124680191</v>
      </c>
      <c r="AD16" s="84">
        <v>2368545860</v>
      </c>
      <c r="AE16" s="84">
        <v>4665846363</v>
      </c>
      <c r="AF16" s="84" t="s">
        <v>96</v>
      </c>
      <c r="AG16" s="84">
        <v>74155570</v>
      </c>
      <c r="AH16" s="84" t="s">
        <v>130</v>
      </c>
      <c r="AI16" s="84">
        <v>97417945</v>
      </c>
      <c r="AJ16" s="84">
        <v>5128775</v>
      </c>
      <c r="AK16" s="84">
        <v>179954762</v>
      </c>
      <c r="AL16" s="84">
        <v>106155909</v>
      </c>
      <c r="AM16" s="84" t="s">
        <v>4</v>
      </c>
      <c r="AN16" s="84">
        <v>1714779127</v>
      </c>
      <c r="AO16" s="84">
        <v>16010046</v>
      </c>
      <c r="AP16" s="84">
        <v>1937523</v>
      </c>
      <c r="AQ16" s="84" t="s">
        <v>4</v>
      </c>
      <c r="AR16" s="84">
        <v>123457694</v>
      </c>
      <c r="AS16" s="84">
        <v>91483583</v>
      </c>
      <c r="AT16" s="84" t="s">
        <v>96</v>
      </c>
      <c r="AU16" s="84">
        <v>4655114595</v>
      </c>
      <c r="AV16" s="84">
        <v>116582291</v>
      </c>
      <c r="AW16" s="84">
        <v>549563888</v>
      </c>
      <c r="AX16" s="84" t="s">
        <v>4</v>
      </c>
      <c r="AY16" s="84" t="s">
        <v>96</v>
      </c>
      <c r="AZ16" s="84">
        <v>253956110</v>
      </c>
      <c r="BA16" s="84" t="s">
        <v>130</v>
      </c>
      <c r="BB16" s="84">
        <v>1485509</v>
      </c>
      <c r="BC16" s="84" t="s">
        <v>4</v>
      </c>
      <c r="BD16" s="84" t="s">
        <v>96</v>
      </c>
      <c r="BE16" s="84">
        <v>1870056254</v>
      </c>
      <c r="BF16" s="84" t="s">
        <v>96</v>
      </c>
      <c r="BG16" s="84">
        <v>54539660</v>
      </c>
      <c r="BH16" s="84">
        <v>695583332</v>
      </c>
      <c r="BI16" s="84">
        <v>18642544</v>
      </c>
      <c r="BJ16" s="84">
        <v>35432433</v>
      </c>
      <c r="BK16" s="84">
        <v>956983977</v>
      </c>
      <c r="BL16" s="84">
        <v>36372588</v>
      </c>
      <c r="BM16" s="84">
        <v>747491621</v>
      </c>
      <c r="BN16" s="84">
        <v>24936606</v>
      </c>
      <c r="BO16" s="84" t="s">
        <v>96</v>
      </c>
      <c r="BP16" s="84" t="s">
        <v>96</v>
      </c>
      <c r="BQ16" s="84" t="s">
        <v>4</v>
      </c>
      <c r="BR16" s="84">
        <v>5841933900</v>
      </c>
      <c r="BS16" s="84" t="s">
        <v>4</v>
      </c>
      <c r="BT16" s="84" t="s">
        <v>96</v>
      </c>
      <c r="BU16" s="84">
        <v>64527447</v>
      </c>
      <c r="BV16" s="84">
        <v>24616000</v>
      </c>
      <c r="BW16" s="84">
        <v>14000</v>
      </c>
      <c r="BX16" s="84">
        <v>17658478</v>
      </c>
      <c r="BY16" s="84">
        <v>77000</v>
      </c>
      <c r="BZ16" s="84">
        <v>8781844</v>
      </c>
      <c r="CA16" s="84">
        <v>934129244</v>
      </c>
      <c r="CB16" s="84">
        <v>1435380588</v>
      </c>
      <c r="CC16" s="84"/>
      <c r="CD16" s="84">
        <v>27726637</v>
      </c>
      <c r="CE16" s="84" t="s">
        <v>96</v>
      </c>
      <c r="CF16" s="84" t="s">
        <v>96</v>
      </c>
      <c r="CG16" s="84">
        <v>8093966</v>
      </c>
      <c r="CH16" s="84">
        <v>37342867</v>
      </c>
      <c r="CI16" s="84" t="s">
        <v>96</v>
      </c>
      <c r="CJ16" s="84">
        <v>25000</v>
      </c>
      <c r="CK16" s="84">
        <v>7237480592</v>
      </c>
      <c r="CL16" s="84">
        <v>585192848</v>
      </c>
      <c r="CM16" s="84">
        <v>221691909</v>
      </c>
      <c r="CN16" s="84">
        <v>3283617</v>
      </c>
      <c r="CO16" s="84">
        <v>9762375</v>
      </c>
      <c r="CP16" s="84" t="s">
        <v>96</v>
      </c>
      <c r="CQ16" s="84" t="s">
        <v>96</v>
      </c>
      <c r="CR16" s="84">
        <v>2044282</v>
      </c>
      <c r="CS16" s="84" t="s">
        <v>96</v>
      </c>
      <c r="CT16" s="84">
        <v>287541945</v>
      </c>
      <c r="CU16" s="84">
        <v>53892481</v>
      </c>
      <c r="CV16" s="84"/>
      <c r="CW16" s="84" t="s">
        <v>96</v>
      </c>
      <c r="CX16" s="84">
        <v>62698387</v>
      </c>
      <c r="CY16" s="84" t="s">
        <v>96</v>
      </c>
      <c r="CZ16" s="84">
        <v>4968500087</v>
      </c>
      <c r="DA16" s="84" t="s">
        <v>96</v>
      </c>
      <c r="DB16" s="84">
        <v>43916907</v>
      </c>
      <c r="DC16" s="84">
        <v>5023435</v>
      </c>
      <c r="DD16" s="84" t="s">
        <v>96</v>
      </c>
      <c r="DE16" s="84">
        <v>1015400555</v>
      </c>
      <c r="DF16" s="84">
        <v>253431</v>
      </c>
      <c r="DG16" s="84">
        <v>656768853</v>
      </c>
      <c r="DH16" s="84">
        <v>10763881</v>
      </c>
      <c r="DI16" s="84">
        <v>5018890986</v>
      </c>
      <c r="DJ16" s="84">
        <v>1000</v>
      </c>
      <c r="DK16" s="84" t="s">
        <v>96</v>
      </c>
      <c r="DL16" s="84">
        <v>3915335</v>
      </c>
      <c r="DM16" s="84">
        <v>24373752</v>
      </c>
      <c r="DN16" s="84">
        <v>233034431</v>
      </c>
      <c r="DO16" s="84">
        <v>49128499</v>
      </c>
      <c r="DP16" s="86">
        <v>2139452340</v>
      </c>
      <c r="DQ16" s="84">
        <v>16000</v>
      </c>
      <c r="DR16" s="84">
        <v>5108762709</v>
      </c>
      <c r="DS16" s="84">
        <v>68785307</v>
      </c>
      <c r="DT16" s="84">
        <v>2981723465</v>
      </c>
      <c r="DU16" s="84">
        <v>797645</v>
      </c>
      <c r="DV16" s="84">
        <v>1180410128</v>
      </c>
      <c r="DW16" s="84">
        <v>579473112</v>
      </c>
      <c r="DX16" s="84">
        <v>256955444</v>
      </c>
      <c r="DY16" s="84">
        <v>547488848</v>
      </c>
      <c r="DZ16" s="84">
        <v>20600878</v>
      </c>
      <c r="EA16" s="84">
        <v>25259014</v>
      </c>
      <c r="EB16" s="84">
        <v>5599846014</v>
      </c>
      <c r="EC16" s="84">
        <v>0</v>
      </c>
      <c r="ED16" s="84">
        <v>249272672</v>
      </c>
      <c r="EE16" s="84">
        <v>145828652</v>
      </c>
      <c r="EF16" s="84">
        <v>4319689535</v>
      </c>
      <c r="EG16" s="96">
        <v>780485989</v>
      </c>
      <c r="EH16" s="99">
        <v>3024323344</v>
      </c>
      <c r="EI16" s="97">
        <v>666766145</v>
      </c>
      <c r="EJ16" s="84">
        <v>2105237</v>
      </c>
      <c r="EK16" s="84">
        <v>19845078</v>
      </c>
      <c r="EL16" s="84">
        <v>203774665</v>
      </c>
      <c r="EM16" s="84">
        <v>18836344</v>
      </c>
      <c r="EN16" s="84">
        <v>4599580226</v>
      </c>
      <c r="EO16" s="84">
        <v>33331264</v>
      </c>
      <c r="EP16" s="84">
        <v>316451171</v>
      </c>
      <c r="EQ16" s="84">
        <v>38242800</v>
      </c>
      <c r="ER16" s="84">
        <v>1047331195</v>
      </c>
      <c r="ES16" s="84">
        <v>4898141</v>
      </c>
      <c r="ET16" s="84">
        <v>1760532452</v>
      </c>
      <c r="EU16" s="84">
        <v>18294458</v>
      </c>
      <c r="EV16" s="84">
        <v>2547705</v>
      </c>
      <c r="EW16" s="84">
        <v>783328781</v>
      </c>
      <c r="EX16" s="84">
        <v>2181794011</v>
      </c>
      <c r="EY16" s="84">
        <v>3239170523</v>
      </c>
      <c r="EZ16" s="84">
        <v>117871126</v>
      </c>
      <c r="FA16" s="84">
        <v>3325658840</v>
      </c>
      <c r="FB16" s="86">
        <v>65102106</v>
      </c>
      <c r="FC16" s="84">
        <v>415703814</v>
      </c>
      <c r="FD16" s="84">
        <v>1198316043</v>
      </c>
      <c r="FE16" s="84">
        <v>503030435</v>
      </c>
      <c r="FF16" s="84">
        <v>7403333</v>
      </c>
      <c r="FG16" s="84" t="s">
        <v>96</v>
      </c>
      <c r="FH16" s="84">
        <v>1632768552</v>
      </c>
      <c r="FI16" s="84" t="s">
        <v>96</v>
      </c>
      <c r="FJ16" s="84">
        <v>25485747</v>
      </c>
      <c r="FK16" s="84">
        <v>124013707</v>
      </c>
      <c r="FL16" s="84">
        <v>29997277</v>
      </c>
      <c r="FM16" s="84" t="s">
        <v>130</v>
      </c>
      <c r="FN16" s="84">
        <v>23274523064</v>
      </c>
      <c r="FO16" s="84" t="s">
        <v>96</v>
      </c>
      <c r="FP16" s="84" t="s">
        <v>96</v>
      </c>
      <c r="FQ16" s="84">
        <v>45693935</v>
      </c>
      <c r="FR16" s="84">
        <v>0</v>
      </c>
      <c r="FS16" s="84">
        <v>22667937</v>
      </c>
      <c r="FT16" s="84">
        <v>3787969222</v>
      </c>
      <c r="FU16" s="84">
        <v>0</v>
      </c>
      <c r="FV16" s="84" t="s">
        <v>96</v>
      </c>
      <c r="FW16" s="84">
        <v>554272</v>
      </c>
      <c r="FX16" s="84">
        <v>917524</v>
      </c>
      <c r="FY16" s="84" t="s">
        <v>96</v>
      </c>
      <c r="FZ16" s="84" t="s">
        <v>4</v>
      </c>
      <c r="GA16" s="84">
        <v>215375358</v>
      </c>
      <c r="GB16" s="84">
        <v>11149404</v>
      </c>
      <c r="GC16" s="84">
        <v>16092371</v>
      </c>
      <c r="GD16" s="84" t="s">
        <v>96</v>
      </c>
      <c r="GE16" s="84" t="s">
        <v>4</v>
      </c>
      <c r="GF16" s="84">
        <v>257161835</v>
      </c>
      <c r="GG16" s="84">
        <v>1707748690</v>
      </c>
      <c r="GH16" s="84" t="s">
        <v>4</v>
      </c>
      <c r="GI16" s="84">
        <v>2320424</v>
      </c>
      <c r="GJ16" s="84" t="s">
        <v>96</v>
      </c>
      <c r="GK16" s="84">
        <v>81821743</v>
      </c>
      <c r="GL16" s="84" t="s">
        <v>96</v>
      </c>
      <c r="GM16" s="84">
        <v>65561714</v>
      </c>
      <c r="GN16" s="84">
        <v>0</v>
      </c>
      <c r="GO16" s="84" t="s">
        <v>96</v>
      </c>
      <c r="GP16" s="84">
        <v>5364345452</v>
      </c>
      <c r="GQ16" s="84">
        <v>5701054</v>
      </c>
      <c r="GR16" s="84">
        <v>524173737</v>
      </c>
      <c r="GS16" s="84">
        <v>5975958</v>
      </c>
      <c r="GT16" s="84" t="s">
        <v>130</v>
      </c>
      <c r="GU16" s="84">
        <v>0</v>
      </c>
      <c r="GV16" s="84">
        <v>3527964004</v>
      </c>
      <c r="GW16" s="84">
        <v>33822365781</v>
      </c>
      <c r="GX16" s="84">
        <v>1891120489</v>
      </c>
      <c r="GY16" s="84">
        <v>1176656965</v>
      </c>
      <c r="GZ16" s="84">
        <v>4046329489</v>
      </c>
      <c r="HA16" s="84" t="s">
        <v>96</v>
      </c>
      <c r="HB16" s="84">
        <v>0</v>
      </c>
      <c r="HC16" s="84" t="s">
        <v>130</v>
      </c>
      <c r="HD16" s="84">
        <v>56843995</v>
      </c>
      <c r="HE16" s="84" t="s">
        <v>96</v>
      </c>
      <c r="HF16" s="84">
        <v>1274221754</v>
      </c>
      <c r="HG16" s="84">
        <v>13571075</v>
      </c>
      <c r="HH16" s="84" t="s">
        <v>96</v>
      </c>
      <c r="HI16" s="84">
        <v>148329589</v>
      </c>
      <c r="HJ16" s="84" t="s">
        <v>96</v>
      </c>
      <c r="HK16" s="84">
        <v>324870006</v>
      </c>
      <c r="HL16" s="84">
        <v>13031267</v>
      </c>
      <c r="HM16" s="84">
        <v>582198401</v>
      </c>
      <c r="HN16" s="84">
        <v>0</v>
      </c>
      <c r="HO16" s="84">
        <v>772735563</v>
      </c>
      <c r="HP16" s="84">
        <v>135873012</v>
      </c>
      <c r="HQ16" s="84">
        <v>2537500</v>
      </c>
      <c r="HR16" s="84">
        <v>447271</v>
      </c>
      <c r="HS16" s="84">
        <v>41322291</v>
      </c>
      <c r="HT16" s="84">
        <v>11722585</v>
      </c>
      <c r="HU16" s="84" t="s">
        <v>130</v>
      </c>
      <c r="HV16" s="84">
        <v>50119607</v>
      </c>
      <c r="HW16" s="84" t="s">
        <v>96</v>
      </c>
      <c r="HX16" s="84">
        <v>2918213581</v>
      </c>
      <c r="HY16" s="84" t="s">
        <v>114</v>
      </c>
      <c r="HZ16" s="84">
        <v>6901911525</v>
      </c>
      <c r="IA16" s="84">
        <v>963133556</v>
      </c>
      <c r="IB16" s="84">
        <v>4906569862</v>
      </c>
      <c r="IC16" s="84">
        <v>780539245</v>
      </c>
      <c r="ID16" s="84">
        <v>800763</v>
      </c>
      <c r="IE16" s="84" t="s">
        <v>96</v>
      </c>
      <c r="IF16" s="84">
        <v>328956</v>
      </c>
      <c r="IG16" s="84">
        <v>413876</v>
      </c>
      <c r="IH16" s="84">
        <v>32819291</v>
      </c>
      <c r="II16" s="84">
        <v>187516314</v>
      </c>
      <c r="IJ16" s="84">
        <v>335694710</v>
      </c>
      <c r="IK16" s="84">
        <v>262597322</v>
      </c>
      <c r="IL16" s="84">
        <v>1820847974</v>
      </c>
      <c r="IM16" s="84">
        <v>33673989</v>
      </c>
      <c r="IN16" s="84">
        <v>2351528782</v>
      </c>
      <c r="IO16" s="84">
        <v>1690064</v>
      </c>
      <c r="IP16" s="84">
        <v>28164964</v>
      </c>
      <c r="IQ16" s="84">
        <v>76137028</v>
      </c>
      <c r="IR16" s="84">
        <v>54257859</v>
      </c>
      <c r="IS16" s="84">
        <v>10377342591</v>
      </c>
      <c r="IT16" s="84">
        <v>1103534311</v>
      </c>
      <c r="IU16" s="84">
        <v>4704396</v>
      </c>
      <c r="IV16" s="84">
        <v>160973955</v>
      </c>
      <c r="IW16" s="84">
        <v>16334325</v>
      </c>
      <c r="IX16" s="84">
        <v>1004789194</v>
      </c>
      <c r="IY16" s="68">
        <v>3540250978</v>
      </c>
      <c r="IZ16" s="68">
        <v>81941269</v>
      </c>
      <c r="JA16" s="68">
        <v>153591634</v>
      </c>
      <c r="JB16" s="68">
        <v>11956077</v>
      </c>
      <c r="JC16" s="68">
        <v>2479053446</v>
      </c>
      <c r="JD16" s="68">
        <v>904449</v>
      </c>
      <c r="JE16" s="68">
        <v>12985784</v>
      </c>
      <c r="JF16" s="68">
        <v>71207088</v>
      </c>
      <c r="JG16" s="68">
        <v>2723945</v>
      </c>
      <c r="JH16" s="68">
        <v>30717116</v>
      </c>
      <c r="JI16" s="68">
        <v>3459826</v>
      </c>
      <c r="JJ16" s="68">
        <v>173247499</v>
      </c>
      <c r="JK16" s="68">
        <v>230080813</v>
      </c>
      <c r="JL16" s="68">
        <v>2411598488</v>
      </c>
      <c r="JM16" s="68">
        <v>637920660</v>
      </c>
      <c r="JN16" s="68">
        <v>1540750627</v>
      </c>
      <c r="JO16" s="68">
        <v>4899139</v>
      </c>
      <c r="JP16" s="68">
        <v>4943654</v>
      </c>
      <c r="JQ16" s="68" t="s">
        <v>4</v>
      </c>
      <c r="JR16" s="68">
        <v>97934088</v>
      </c>
      <c r="JS16" s="68">
        <v>25208570</v>
      </c>
      <c r="JT16" s="68">
        <v>2287415</v>
      </c>
      <c r="JU16" s="68">
        <v>156157051</v>
      </c>
      <c r="JV16" s="68">
        <v>45313759</v>
      </c>
      <c r="JW16" s="68"/>
      <c r="JX16" s="68">
        <v>1808405</v>
      </c>
      <c r="JY16" s="68">
        <v>126362899</v>
      </c>
      <c r="JZ16" s="68">
        <v>20940371</v>
      </c>
      <c r="KA16" s="68">
        <v>10721667</v>
      </c>
      <c r="KB16" s="68">
        <v>5586761161</v>
      </c>
      <c r="KC16" s="68">
        <v>15748942</v>
      </c>
      <c r="KD16" s="68">
        <v>11111281</v>
      </c>
      <c r="KE16" s="68">
        <v>32089938</v>
      </c>
      <c r="KF16" s="68">
        <v>148697242</v>
      </c>
      <c r="KG16" s="68">
        <v>2448920</v>
      </c>
      <c r="KH16" s="68">
        <v>18212184</v>
      </c>
      <c r="KI16" s="68">
        <v>2380000</v>
      </c>
      <c r="KJ16" s="68">
        <v>1247258506</v>
      </c>
      <c r="KK16" s="68">
        <v>6656204117</v>
      </c>
      <c r="KL16" s="68">
        <v>9639347737</v>
      </c>
      <c r="KM16" s="68">
        <v>22533763</v>
      </c>
      <c r="KN16" s="68">
        <v>47241938</v>
      </c>
      <c r="KO16" s="68">
        <v>3451341977</v>
      </c>
      <c r="KP16" s="68">
        <v>3000</v>
      </c>
      <c r="KQ16" s="68">
        <v>5790480</v>
      </c>
      <c r="KR16" s="68">
        <v>106147644</v>
      </c>
      <c r="KS16" s="68">
        <v>1129123450</v>
      </c>
      <c r="KT16" s="68">
        <v>919024477</v>
      </c>
      <c r="KU16" s="68">
        <v>4352052605</v>
      </c>
      <c r="KV16" s="68">
        <v>31336377</v>
      </c>
      <c r="KW16" s="68">
        <v>131360844</v>
      </c>
      <c r="KX16" s="68">
        <v>49876819</v>
      </c>
      <c r="KY16" s="68">
        <v>637647006</v>
      </c>
      <c r="KZ16" s="68">
        <v>1044197032</v>
      </c>
      <c r="LA16" s="68">
        <v>54641224</v>
      </c>
      <c r="LB16" s="68">
        <v>21696643</v>
      </c>
      <c r="LC16" s="102">
        <v>96448427</v>
      </c>
      <c r="LD16" s="102">
        <v>94801327</v>
      </c>
      <c r="LE16" s="102">
        <v>19964646</v>
      </c>
      <c r="LF16" s="102">
        <v>566870907</v>
      </c>
      <c r="LG16" s="102">
        <v>311129433</v>
      </c>
      <c r="LH16" s="102" t="s">
        <v>187</v>
      </c>
      <c r="LI16" s="102">
        <v>84731181</v>
      </c>
      <c r="LJ16" s="102" t="s">
        <v>187</v>
      </c>
      <c r="LK16" s="102">
        <v>19231947</v>
      </c>
      <c r="LL16" s="102" t="s">
        <v>187</v>
      </c>
    </row>
    <row r="17" spans="1:324" ht="17.55" customHeight="1">
      <c r="A17" s="67" t="s">
        <v>184</v>
      </c>
      <c r="B17" s="87" t="s">
        <v>27</v>
      </c>
      <c r="C17" s="84">
        <v>34903000</v>
      </c>
      <c r="D17" s="84">
        <v>0</v>
      </c>
      <c r="E17" s="84">
        <v>0</v>
      </c>
      <c r="F17" s="85">
        <v>35040240</v>
      </c>
      <c r="G17" s="84" t="s">
        <v>130</v>
      </c>
      <c r="H17" s="84">
        <v>0</v>
      </c>
      <c r="I17" s="84">
        <v>96177000</v>
      </c>
      <c r="J17" s="84" t="s">
        <v>4</v>
      </c>
      <c r="K17" s="84">
        <v>1000</v>
      </c>
      <c r="L17" s="84" t="s">
        <v>96</v>
      </c>
      <c r="M17" s="84" t="s">
        <v>96</v>
      </c>
      <c r="N17" s="84">
        <v>28560937</v>
      </c>
      <c r="O17" s="84">
        <v>3868812</v>
      </c>
      <c r="P17" s="84">
        <v>28382062</v>
      </c>
      <c r="Q17" s="84">
        <v>3000</v>
      </c>
      <c r="R17" s="84" t="s">
        <v>130</v>
      </c>
      <c r="S17" s="84">
        <v>164514063</v>
      </c>
      <c r="T17" s="84" t="s">
        <v>96</v>
      </c>
      <c r="U17" s="84" t="s">
        <v>96</v>
      </c>
      <c r="V17" s="84" t="s">
        <v>4</v>
      </c>
      <c r="W17" s="84">
        <v>130165407</v>
      </c>
      <c r="X17" s="84">
        <v>321718834</v>
      </c>
      <c r="Y17" s="84">
        <v>155102799</v>
      </c>
      <c r="Z17" s="84">
        <v>512985267</v>
      </c>
      <c r="AA17" s="84">
        <v>464183</v>
      </c>
      <c r="AB17" s="84">
        <v>1000</v>
      </c>
      <c r="AC17" s="84">
        <v>440240</v>
      </c>
      <c r="AD17" s="84">
        <v>1394399</v>
      </c>
      <c r="AE17" s="84">
        <v>153164126</v>
      </c>
      <c r="AF17" s="84" t="s">
        <v>96</v>
      </c>
      <c r="AG17" s="84">
        <v>350397238</v>
      </c>
      <c r="AH17" s="84" t="s">
        <v>130</v>
      </c>
      <c r="AI17" s="84">
        <v>211499286</v>
      </c>
      <c r="AJ17" s="84">
        <v>139320740</v>
      </c>
      <c r="AK17" s="84">
        <v>0</v>
      </c>
      <c r="AL17" s="84">
        <v>188516000</v>
      </c>
      <c r="AM17" s="84" t="s">
        <v>4</v>
      </c>
      <c r="AN17" s="84">
        <v>516760</v>
      </c>
      <c r="AO17" s="84">
        <v>239805222</v>
      </c>
      <c r="AP17" s="84">
        <v>0</v>
      </c>
      <c r="AQ17" s="84" t="s">
        <v>4</v>
      </c>
      <c r="AR17" s="84">
        <v>1013000</v>
      </c>
      <c r="AS17" s="84">
        <v>4000</v>
      </c>
      <c r="AT17" s="84" t="s">
        <v>96</v>
      </c>
      <c r="AU17" s="84">
        <v>0</v>
      </c>
      <c r="AV17" s="84">
        <v>0</v>
      </c>
      <c r="AW17" s="84">
        <v>0</v>
      </c>
      <c r="AX17" s="84" t="s">
        <v>4</v>
      </c>
      <c r="AY17" s="84" t="s">
        <v>96</v>
      </c>
      <c r="AZ17" s="84">
        <v>5500001</v>
      </c>
      <c r="BA17" s="84" t="s">
        <v>130</v>
      </c>
      <c r="BB17" s="84">
        <v>10715156</v>
      </c>
      <c r="BC17" s="84" t="s">
        <v>4</v>
      </c>
      <c r="BD17" s="84" t="s">
        <v>96</v>
      </c>
      <c r="BE17" s="84">
        <v>1068804031</v>
      </c>
      <c r="BF17" s="84" t="s">
        <v>96</v>
      </c>
      <c r="BG17" s="84">
        <v>9168383</v>
      </c>
      <c r="BH17" s="84">
        <v>4000</v>
      </c>
      <c r="BI17" s="84">
        <v>343417</v>
      </c>
      <c r="BJ17" s="84">
        <v>9487503</v>
      </c>
      <c r="BK17" s="84">
        <v>155116040</v>
      </c>
      <c r="BL17" s="84">
        <v>2012500</v>
      </c>
      <c r="BM17" s="84">
        <v>5896897</v>
      </c>
      <c r="BN17" s="84">
        <v>11000</v>
      </c>
      <c r="BO17" s="84" t="s">
        <v>96</v>
      </c>
      <c r="BP17" s="84" t="s">
        <v>96</v>
      </c>
      <c r="BQ17" s="84" t="s">
        <v>4</v>
      </c>
      <c r="BR17" s="84">
        <v>36258701</v>
      </c>
      <c r="BS17" s="84" t="s">
        <v>4</v>
      </c>
      <c r="BT17" s="84" t="s">
        <v>96</v>
      </c>
      <c r="BU17" s="84">
        <v>614759833</v>
      </c>
      <c r="BV17" s="84">
        <v>0</v>
      </c>
      <c r="BW17" s="84">
        <v>0</v>
      </c>
      <c r="BX17" s="84">
        <v>47430000</v>
      </c>
      <c r="BY17" s="84">
        <v>220025532</v>
      </c>
      <c r="BZ17" s="84">
        <v>2525058</v>
      </c>
      <c r="CA17" s="84">
        <v>215403292</v>
      </c>
      <c r="CB17" s="84">
        <v>19000</v>
      </c>
      <c r="CC17" s="84">
        <v>0</v>
      </c>
      <c r="CD17" s="84">
        <v>0</v>
      </c>
      <c r="CE17" s="84" t="s">
        <v>96</v>
      </c>
      <c r="CF17" s="84" t="s">
        <v>96</v>
      </c>
      <c r="CG17" s="84">
        <v>0</v>
      </c>
      <c r="CH17" s="84">
        <v>5133587</v>
      </c>
      <c r="CI17" s="84" t="s">
        <v>96</v>
      </c>
      <c r="CJ17" s="84">
        <v>38400800</v>
      </c>
      <c r="CK17" s="84">
        <v>2516364</v>
      </c>
      <c r="CL17" s="84">
        <v>30387910</v>
      </c>
      <c r="CM17" s="84">
        <v>3797067</v>
      </c>
      <c r="CN17" s="84">
        <v>5000</v>
      </c>
      <c r="CO17" s="84">
        <v>4003000</v>
      </c>
      <c r="CP17" s="84" t="s">
        <v>96</v>
      </c>
      <c r="CQ17" s="84" t="s">
        <v>96</v>
      </c>
      <c r="CR17" s="84">
        <v>0</v>
      </c>
      <c r="CS17" s="84" t="s">
        <v>96</v>
      </c>
      <c r="CT17" s="84">
        <v>4982413</v>
      </c>
      <c r="CU17" s="84">
        <v>0</v>
      </c>
      <c r="CV17" s="84">
        <v>2750000</v>
      </c>
      <c r="CW17" s="84" t="s">
        <v>96</v>
      </c>
      <c r="CX17" s="84">
        <v>13887215</v>
      </c>
      <c r="CY17" s="84" t="s">
        <v>96</v>
      </c>
      <c r="CZ17" s="84">
        <v>26543267</v>
      </c>
      <c r="DA17" s="84" t="s">
        <v>96</v>
      </c>
      <c r="DB17" s="84">
        <v>0</v>
      </c>
      <c r="DC17" s="84">
        <v>0</v>
      </c>
      <c r="DD17" s="84" t="s">
        <v>96</v>
      </c>
      <c r="DE17" s="84">
        <v>0</v>
      </c>
      <c r="DF17" s="84">
        <v>0</v>
      </c>
      <c r="DG17" s="84">
        <v>107397122</v>
      </c>
      <c r="DH17" s="84">
        <v>549586941</v>
      </c>
      <c r="DI17" s="84">
        <v>104495568</v>
      </c>
      <c r="DJ17" s="84">
        <v>20014808</v>
      </c>
      <c r="DK17" s="84" t="s">
        <v>96</v>
      </c>
      <c r="DL17" s="84">
        <v>89468757</v>
      </c>
      <c r="DM17" s="84">
        <v>0</v>
      </c>
      <c r="DN17" s="84">
        <v>185691904</v>
      </c>
      <c r="DO17" s="84">
        <v>312000</v>
      </c>
      <c r="DP17" s="86">
        <v>1040701</v>
      </c>
      <c r="DQ17" s="84"/>
      <c r="DR17" s="84">
        <v>49589264</v>
      </c>
      <c r="DS17" s="84"/>
      <c r="DT17" s="84">
        <v>26290587</v>
      </c>
      <c r="DU17" s="84">
        <v>4000</v>
      </c>
      <c r="DV17" s="84"/>
      <c r="DW17" s="84">
        <v>11278547</v>
      </c>
      <c r="DX17" s="84">
        <v>84971656</v>
      </c>
      <c r="DY17" s="84">
        <v>66435253</v>
      </c>
      <c r="DZ17" s="84">
        <v>0</v>
      </c>
      <c r="EA17" s="84">
        <v>0</v>
      </c>
      <c r="EB17" s="84">
        <v>193200</v>
      </c>
      <c r="EC17" s="84">
        <v>17575444</v>
      </c>
      <c r="ED17" s="84">
        <v>1772918</v>
      </c>
      <c r="EE17" s="84">
        <v>0</v>
      </c>
      <c r="EF17" s="84">
        <v>54000</v>
      </c>
      <c r="EG17" s="96">
        <v>130695482</v>
      </c>
      <c r="EH17" s="99">
        <v>4496730</v>
      </c>
      <c r="EI17" s="97">
        <v>39600457</v>
      </c>
      <c r="EJ17" s="84">
        <v>1000</v>
      </c>
      <c r="EK17" s="84">
        <v>95935000</v>
      </c>
      <c r="EL17" s="84">
        <v>0</v>
      </c>
      <c r="EM17" s="84">
        <v>0</v>
      </c>
      <c r="EN17" s="84">
        <v>5502000</v>
      </c>
      <c r="EO17" s="84">
        <v>1000</v>
      </c>
      <c r="EP17" s="84">
        <v>0</v>
      </c>
      <c r="EQ17" s="84"/>
      <c r="ER17" s="84">
        <v>5188600</v>
      </c>
      <c r="ES17" s="84">
        <v>194298</v>
      </c>
      <c r="ET17" s="84">
        <v>1946861085</v>
      </c>
      <c r="EU17" s="84">
        <v>19000</v>
      </c>
      <c r="EV17" s="84">
        <v>0</v>
      </c>
      <c r="EW17" s="84">
        <v>23048320</v>
      </c>
      <c r="EX17" s="84">
        <v>20403000</v>
      </c>
      <c r="EY17" s="84">
        <v>0</v>
      </c>
      <c r="EZ17" s="84">
        <v>20962356</v>
      </c>
      <c r="FA17" s="84">
        <v>22650000</v>
      </c>
      <c r="FB17" s="86">
        <v>4829470</v>
      </c>
      <c r="FC17" s="84">
        <v>40900000</v>
      </c>
      <c r="FD17" s="84">
        <v>0</v>
      </c>
      <c r="FE17" s="84">
        <v>191975342</v>
      </c>
      <c r="FF17" s="84">
        <v>0</v>
      </c>
      <c r="FG17" s="84" t="s">
        <v>96</v>
      </c>
      <c r="FH17" s="84">
        <v>85944492</v>
      </c>
      <c r="FI17" s="84" t="s">
        <v>96</v>
      </c>
      <c r="FJ17" s="84">
        <v>0</v>
      </c>
      <c r="FK17" s="84">
        <v>81818182</v>
      </c>
      <c r="FL17" s="84">
        <v>81858786</v>
      </c>
      <c r="FM17" s="84" t="s">
        <v>130</v>
      </c>
      <c r="FN17" s="84">
        <v>863053279</v>
      </c>
      <c r="FO17" s="84" t="s">
        <v>96</v>
      </c>
      <c r="FP17" s="84" t="s">
        <v>96</v>
      </c>
      <c r="FQ17" s="84">
        <v>14795600</v>
      </c>
      <c r="FR17" s="84">
        <v>156065100</v>
      </c>
      <c r="FS17" s="84">
        <v>193546055</v>
      </c>
      <c r="FT17" s="84">
        <v>57564070</v>
      </c>
      <c r="FU17" s="84">
        <v>0</v>
      </c>
      <c r="FV17" s="84" t="s">
        <v>96</v>
      </c>
      <c r="FW17" s="84">
        <v>7200000</v>
      </c>
      <c r="FX17" s="84">
        <v>92009200</v>
      </c>
      <c r="FY17" s="84" t="s">
        <v>96</v>
      </c>
      <c r="FZ17" s="84" t="s">
        <v>4</v>
      </c>
      <c r="GA17" s="84">
        <v>252034</v>
      </c>
      <c r="GB17" s="84">
        <v>199780778</v>
      </c>
      <c r="GC17" s="84">
        <v>33481980</v>
      </c>
      <c r="GD17" s="84" t="s">
        <v>96</v>
      </c>
      <c r="GE17" s="84" t="s">
        <v>4</v>
      </c>
      <c r="GF17" s="84">
        <v>71594970</v>
      </c>
      <c r="GG17" s="84">
        <v>14401593</v>
      </c>
      <c r="GH17" s="84" t="s">
        <v>4</v>
      </c>
      <c r="GI17" s="84">
        <v>10630541</v>
      </c>
      <c r="GJ17" s="84" t="s">
        <v>96</v>
      </c>
      <c r="GK17" s="84">
        <v>163504121</v>
      </c>
      <c r="GL17" s="84" t="s">
        <v>96</v>
      </c>
      <c r="GM17" s="84"/>
      <c r="GN17" s="84">
        <v>0</v>
      </c>
      <c r="GO17" s="84" t="s">
        <v>96</v>
      </c>
      <c r="GP17" s="84">
        <v>12991998</v>
      </c>
      <c r="GQ17" s="84">
        <v>40144296</v>
      </c>
      <c r="GR17" s="84">
        <v>1243327923</v>
      </c>
      <c r="GS17" s="84">
        <v>87286380</v>
      </c>
      <c r="GT17" s="84" t="s">
        <v>130</v>
      </c>
      <c r="GU17" s="84">
        <v>0</v>
      </c>
      <c r="GV17" s="84">
        <v>6000</v>
      </c>
      <c r="GW17" s="84">
        <v>312164854</v>
      </c>
      <c r="GX17" s="84">
        <v>425949395</v>
      </c>
      <c r="GY17" s="84">
        <v>10019664</v>
      </c>
      <c r="GZ17" s="84">
        <v>9164359</v>
      </c>
      <c r="HA17" s="84" t="s">
        <v>96</v>
      </c>
      <c r="HB17" s="84"/>
      <c r="HC17" s="84" t="s">
        <v>130</v>
      </c>
      <c r="HD17" s="84">
        <v>868180</v>
      </c>
      <c r="HE17" s="84" t="s">
        <v>96</v>
      </c>
      <c r="HF17" s="84">
        <v>0</v>
      </c>
      <c r="HG17" s="84">
        <v>1935143</v>
      </c>
      <c r="HH17" s="84" t="s">
        <v>96</v>
      </c>
      <c r="HI17" s="84">
        <v>482740305</v>
      </c>
      <c r="HJ17" s="84" t="s">
        <v>96</v>
      </c>
      <c r="HK17" s="84">
        <v>24312510</v>
      </c>
      <c r="HL17" s="84">
        <v>50012000</v>
      </c>
      <c r="HM17" s="84">
        <v>0</v>
      </c>
      <c r="HN17" s="84">
        <v>26003500</v>
      </c>
      <c r="HO17" s="84">
        <v>2520000</v>
      </c>
      <c r="HP17" s="84">
        <v>27336376</v>
      </c>
      <c r="HQ17" s="84">
        <v>20258334</v>
      </c>
      <c r="HR17" s="84">
        <v>1000</v>
      </c>
      <c r="HS17" s="84">
        <v>201535954</v>
      </c>
      <c r="HT17" s="84">
        <v>0</v>
      </c>
      <c r="HU17" s="84" t="s">
        <v>130</v>
      </c>
      <c r="HV17" s="84">
        <v>1152240</v>
      </c>
      <c r="HW17" s="84" t="s">
        <v>96</v>
      </c>
      <c r="HX17" s="84">
        <v>937271389</v>
      </c>
      <c r="HY17" s="84" t="s">
        <v>114</v>
      </c>
      <c r="HZ17" s="84">
        <v>0</v>
      </c>
      <c r="IA17" s="84"/>
      <c r="IB17" s="84">
        <v>129207175</v>
      </c>
      <c r="IC17" s="84">
        <v>166267116</v>
      </c>
      <c r="ID17" s="84">
        <v>0</v>
      </c>
      <c r="IE17" s="84" t="s">
        <v>96</v>
      </c>
      <c r="IF17" s="84">
        <v>0</v>
      </c>
      <c r="IG17" s="84">
        <v>1666137</v>
      </c>
      <c r="IH17" s="84">
        <v>78840223</v>
      </c>
      <c r="II17" s="84">
        <v>173279572</v>
      </c>
      <c r="IJ17" s="84">
        <v>0</v>
      </c>
      <c r="IK17" s="84">
        <v>2375000</v>
      </c>
      <c r="IL17" s="84">
        <v>13848354</v>
      </c>
      <c r="IM17" s="84">
        <v>3600002</v>
      </c>
      <c r="IN17" s="84">
        <v>25466640</v>
      </c>
      <c r="IO17" s="84">
        <v>0</v>
      </c>
      <c r="IP17" s="84">
        <v>1000</v>
      </c>
      <c r="IQ17" s="84">
        <v>0</v>
      </c>
      <c r="IR17" s="84">
        <v>0</v>
      </c>
      <c r="IS17" s="84">
        <v>1641593</v>
      </c>
      <c r="IT17" s="84">
        <v>17118904</v>
      </c>
      <c r="IU17" s="84">
        <v>0</v>
      </c>
      <c r="IV17" s="84">
        <v>0</v>
      </c>
      <c r="IW17" s="84">
        <v>33263576</v>
      </c>
      <c r="IX17" s="84">
        <v>30029962</v>
      </c>
      <c r="IY17" s="68">
        <v>368205683</v>
      </c>
      <c r="IZ17" s="68">
        <v>232041940</v>
      </c>
      <c r="JA17" s="68">
        <v>76685947</v>
      </c>
      <c r="JB17" s="68">
        <v>2977334</v>
      </c>
      <c r="JC17" s="68">
        <v>0</v>
      </c>
      <c r="JD17" s="68">
        <v>3053334</v>
      </c>
      <c r="JE17" s="68">
        <v>4304046</v>
      </c>
      <c r="JF17" s="68">
        <v>940201251</v>
      </c>
      <c r="JG17" s="68">
        <v>3640000</v>
      </c>
      <c r="JH17" s="68">
        <v>0</v>
      </c>
      <c r="JI17" s="68">
        <v>0</v>
      </c>
      <c r="JJ17" s="68">
        <v>0</v>
      </c>
      <c r="JK17" s="68">
        <v>856480</v>
      </c>
      <c r="JL17" s="68">
        <v>0</v>
      </c>
      <c r="JM17" s="68">
        <v>0</v>
      </c>
      <c r="JN17" s="68">
        <v>497413245</v>
      </c>
      <c r="JO17" s="68">
        <v>2640000</v>
      </c>
      <c r="JP17" s="68">
        <v>4000</v>
      </c>
      <c r="JQ17" s="68" t="s">
        <v>4</v>
      </c>
      <c r="JR17" s="68">
        <v>519541542</v>
      </c>
      <c r="JS17" s="68">
        <v>0</v>
      </c>
      <c r="JT17" s="68">
        <v>4026000</v>
      </c>
      <c r="JU17" s="68">
        <v>34297168</v>
      </c>
      <c r="JV17" s="68">
        <v>0</v>
      </c>
      <c r="JW17" s="68"/>
      <c r="JX17" s="68">
        <v>0</v>
      </c>
      <c r="JY17" s="68"/>
      <c r="JZ17" s="68">
        <v>4300200</v>
      </c>
      <c r="KA17" s="68">
        <v>0</v>
      </c>
      <c r="KB17" s="68">
        <v>69316147</v>
      </c>
      <c r="KC17" s="68">
        <v>120000</v>
      </c>
      <c r="KD17" s="68">
        <v>0</v>
      </c>
      <c r="KE17" s="68">
        <v>0</v>
      </c>
      <c r="KF17" s="68">
        <v>8030424</v>
      </c>
      <c r="KG17" s="68">
        <v>17659796</v>
      </c>
      <c r="KH17" s="68">
        <v>940056548</v>
      </c>
      <c r="KI17" s="68">
        <v>0</v>
      </c>
      <c r="KJ17" s="68">
        <v>8500000</v>
      </c>
      <c r="KK17" s="68">
        <v>6082011</v>
      </c>
      <c r="KL17" s="68">
        <v>170197447</v>
      </c>
      <c r="KM17" s="68">
        <v>2216043</v>
      </c>
      <c r="KN17" s="68">
        <v>13572428</v>
      </c>
      <c r="KO17" s="68">
        <v>50714097</v>
      </c>
      <c r="KP17" s="68">
        <v>0</v>
      </c>
      <c r="KQ17" s="68">
        <v>0</v>
      </c>
      <c r="KR17" s="68">
        <v>121047723</v>
      </c>
      <c r="KS17" s="68">
        <v>3359667</v>
      </c>
      <c r="KT17" s="68">
        <v>8526819</v>
      </c>
      <c r="KU17" s="68">
        <v>1636210936</v>
      </c>
      <c r="KV17" s="68">
        <v>216667</v>
      </c>
      <c r="KW17" s="68">
        <v>112566428</v>
      </c>
      <c r="KX17" s="68">
        <v>2690910</v>
      </c>
      <c r="KY17" s="68">
        <v>4330974</v>
      </c>
      <c r="KZ17" s="68">
        <v>20768920</v>
      </c>
      <c r="LA17" s="68">
        <v>0</v>
      </c>
      <c r="LB17" s="68">
        <v>6403757</v>
      </c>
      <c r="LC17" s="102">
        <v>0</v>
      </c>
      <c r="LD17" s="102">
        <v>0</v>
      </c>
      <c r="LE17" s="102">
        <v>1421756</v>
      </c>
      <c r="LF17" s="102">
        <v>0</v>
      </c>
      <c r="LG17" s="102">
        <v>0</v>
      </c>
      <c r="LH17" s="102" t="s">
        <v>187</v>
      </c>
      <c r="LI17" s="102">
        <v>0</v>
      </c>
      <c r="LJ17" s="102" t="s">
        <v>187</v>
      </c>
      <c r="LK17" s="102"/>
      <c r="LL17" s="102" t="s">
        <v>187</v>
      </c>
    </row>
    <row r="18" spans="1:324" ht="17.55" customHeight="1">
      <c r="A18" s="67" t="s">
        <v>184</v>
      </c>
      <c r="B18" s="88" t="s">
        <v>54</v>
      </c>
      <c r="C18" s="84">
        <v>34903000</v>
      </c>
      <c r="D18" s="84"/>
      <c r="E18" s="84"/>
      <c r="F18" s="85"/>
      <c r="G18" s="84" t="s">
        <v>130</v>
      </c>
      <c r="H18" s="84"/>
      <c r="I18" s="84">
        <v>89270000</v>
      </c>
      <c r="J18" s="84" t="s">
        <v>4</v>
      </c>
      <c r="K18" s="84"/>
      <c r="L18" s="84" t="s">
        <v>96</v>
      </c>
      <c r="M18" s="84" t="s">
        <v>96</v>
      </c>
      <c r="N18" s="84">
        <v>28560937</v>
      </c>
      <c r="O18" s="84"/>
      <c r="P18" s="84">
        <v>28381062</v>
      </c>
      <c r="Q18" s="84">
        <v>1000</v>
      </c>
      <c r="R18" s="84" t="s">
        <v>130</v>
      </c>
      <c r="S18" s="84">
        <v>14496154</v>
      </c>
      <c r="T18" s="84" t="s">
        <v>96</v>
      </c>
      <c r="U18" s="84" t="s">
        <v>96</v>
      </c>
      <c r="V18" s="84" t="s">
        <v>4</v>
      </c>
      <c r="W18" s="84"/>
      <c r="X18" s="84">
        <v>12370334</v>
      </c>
      <c r="Y18" s="84">
        <v>-26827545</v>
      </c>
      <c r="Z18" s="84">
        <v>2750000</v>
      </c>
      <c r="AA18" s="84"/>
      <c r="AB18" s="84">
        <v>1000</v>
      </c>
      <c r="AC18" s="84"/>
      <c r="AD18" s="84"/>
      <c r="AE18" s="84"/>
      <c r="AF18" s="84" t="s">
        <v>96</v>
      </c>
      <c r="AG18" s="84">
        <v>208449998</v>
      </c>
      <c r="AH18" s="84" t="s">
        <v>130</v>
      </c>
      <c r="AI18" s="84">
        <v>92631486</v>
      </c>
      <c r="AJ18" s="84"/>
      <c r="AK18" s="84"/>
      <c r="AL18" s="84"/>
      <c r="AM18" s="84" t="s">
        <v>4</v>
      </c>
      <c r="AN18" s="84">
        <v>4000</v>
      </c>
      <c r="AO18" s="84">
        <v>170334</v>
      </c>
      <c r="AP18" s="84"/>
      <c r="AQ18" s="84" t="s">
        <v>4</v>
      </c>
      <c r="AR18" s="84">
        <v>905000</v>
      </c>
      <c r="AS18" s="84"/>
      <c r="AT18" s="84" t="s">
        <v>96</v>
      </c>
      <c r="AU18" s="84"/>
      <c r="AV18" s="84"/>
      <c r="AW18" s="84"/>
      <c r="AX18" s="84" t="s">
        <v>4</v>
      </c>
      <c r="AY18" s="84" t="s">
        <v>96</v>
      </c>
      <c r="AZ18" s="84"/>
      <c r="BA18" s="84" t="s">
        <v>130</v>
      </c>
      <c r="BB18" s="84"/>
      <c r="BC18" s="84" t="s">
        <v>4</v>
      </c>
      <c r="BD18" s="84" t="s">
        <v>96</v>
      </c>
      <c r="BE18" s="84">
        <v>13547640</v>
      </c>
      <c r="BF18" s="84" t="s">
        <v>96</v>
      </c>
      <c r="BG18" s="84">
        <v>2537669</v>
      </c>
      <c r="BH18" s="84">
        <v>3000</v>
      </c>
      <c r="BI18" s="84"/>
      <c r="BJ18" s="84"/>
      <c r="BK18" s="84"/>
      <c r="BL18" s="84"/>
      <c r="BM18" s="84"/>
      <c r="BN18" s="84"/>
      <c r="BO18" s="84" t="s">
        <v>96</v>
      </c>
      <c r="BP18" s="84" t="s">
        <v>96</v>
      </c>
      <c r="BQ18" s="84" t="s">
        <v>4</v>
      </c>
      <c r="BR18" s="84">
        <v>33589034</v>
      </c>
      <c r="BS18" s="84" t="s">
        <v>4</v>
      </c>
      <c r="BT18" s="84" t="s">
        <v>96</v>
      </c>
      <c r="BU18" s="84"/>
      <c r="BV18" s="84"/>
      <c r="BW18" s="84"/>
      <c r="BX18" s="84">
        <v>36180000</v>
      </c>
      <c r="BY18" s="84">
        <v>4035014</v>
      </c>
      <c r="BZ18" s="84"/>
      <c r="CA18" s="84">
        <v>214846892</v>
      </c>
      <c r="CB18" s="84"/>
      <c r="CC18" s="84"/>
      <c r="CD18" s="84"/>
      <c r="CE18" s="84" t="s">
        <v>96</v>
      </c>
      <c r="CF18" s="84" t="s">
        <v>96</v>
      </c>
      <c r="CG18" s="84">
        <v>0</v>
      </c>
      <c r="CH18" s="84"/>
      <c r="CI18" s="84" t="s">
        <v>96</v>
      </c>
      <c r="CJ18" s="84"/>
      <c r="CK18" s="84">
        <v>2516364</v>
      </c>
      <c r="CL18" s="84"/>
      <c r="CM18" s="84">
        <v>10527001</v>
      </c>
      <c r="CN18" s="84"/>
      <c r="CO18" s="84">
        <v>4003000</v>
      </c>
      <c r="CP18" s="84" t="s">
        <v>96</v>
      </c>
      <c r="CQ18" s="84" t="s">
        <v>96</v>
      </c>
      <c r="CR18" s="84"/>
      <c r="CS18" s="84" t="s">
        <v>96</v>
      </c>
      <c r="CT18" s="84">
        <v>4213119</v>
      </c>
      <c r="CU18" s="84"/>
      <c r="CV18" s="84">
        <v>2750000</v>
      </c>
      <c r="CW18" s="84" t="s">
        <v>96</v>
      </c>
      <c r="CX18" s="84">
        <v>8645973</v>
      </c>
      <c r="CY18" s="84" t="s">
        <v>96</v>
      </c>
      <c r="CZ18" s="84"/>
      <c r="DA18" s="84" t="s">
        <v>96</v>
      </c>
      <c r="DB18" s="84"/>
      <c r="DC18" s="84"/>
      <c r="DD18" s="84" t="s">
        <v>96</v>
      </c>
      <c r="DE18" s="84"/>
      <c r="DF18" s="84"/>
      <c r="DG18" s="84"/>
      <c r="DH18" s="84"/>
      <c r="DI18" s="84"/>
      <c r="DJ18" s="84"/>
      <c r="DK18" s="84" t="s">
        <v>96</v>
      </c>
      <c r="DL18" s="84"/>
      <c r="DM18" s="84"/>
      <c r="DN18" s="84"/>
      <c r="DO18" s="84"/>
      <c r="DP18" s="86"/>
      <c r="DQ18" s="84"/>
      <c r="DR18" s="84"/>
      <c r="DS18" s="84"/>
      <c r="DT18" s="84">
        <v>1000</v>
      </c>
      <c r="DU18" s="84"/>
      <c r="DV18" s="84"/>
      <c r="DW18" s="84"/>
      <c r="DX18" s="84">
        <v>84971656</v>
      </c>
      <c r="DY18" s="84"/>
      <c r="DZ18" s="84"/>
      <c r="EA18" s="84"/>
      <c r="EB18" s="84"/>
      <c r="EC18" s="84">
        <v>-25468334</v>
      </c>
      <c r="ED18" s="84">
        <v>1772918</v>
      </c>
      <c r="EE18" s="84"/>
      <c r="EF18" s="84"/>
      <c r="EG18" s="96"/>
      <c r="EH18" s="99">
        <v>4496730</v>
      </c>
      <c r="EI18" s="97">
        <v>27250126</v>
      </c>
      <c r="EJ18" s="84">
        <v>1000</v>
      </c>
      <c r="EK18" s="84">
        <v>95935000</v>
      </c>
      <c r="EL18" s="84"/>
      <c r="EM18" s="84"/>
      <c r="EN18" s="84"/>
      <c r="EO18" s="84"/>
      <c r="EP18" s="84"/>
      <c r="EQ18" s="84"/>
      <c r="ER18" s="84"/>
      <c r="ES18" s="84">
        <v>181600</v>
      </c>
      <c r="ET18" s="84">
        <v>391468162</v>
      </c>
      <c r="EU18" s="84">
        <v>19000</v>
      </c>
      <c r="EV18" s="84"/>
      <c r="EW18" s="84"/>
      <c r="EX18" s="84"/>
      <c r="EY18" s="84"/>
      <c r="EZ18" s="84">
        <v>2484421</v>
      </c>
      <c r="FA18" s="84"/>
      <c r="FB18" s="86"/>
      <c r="FC18" s="84"/>
      <c r="FD18" s="84"/>
      <c r="FE18" s="84">
        <v>24108445</v>
      </c>
      <c r="FF18" s="84"/>
      <c r="FG18" s="84" t="s">
        <v>96</v>
      </c>
      <c r="FH18" s="84">
        <v>72294492</v>
      </c>
      <c r="FI18" s="84" t="s">
        <v>96</v>
      </c>
      <c r="FJ18" s="84"/>
      <c r="FK18" s="84">
        <v>81818182</v>
      </c>
      <c r="FL18" s="84"/>
      <c r="FM18" s="84" t="s">
        <v>130</v>
      </c>
      <c r="FN18" s="84">
        <v>23119358</v>
      </c>
      <c r="FO18" s="84" t="s">
        <v>96</v>
      </c>
      <c r="FP18" s="84" t="s">
        <v>96</v>
      </c>
      <c r="FQ18" s="84"/>
      <c r="FR18" s="84"/>
      <c r="FS18" s="84"/>
      <c r="FT18" s="84">
        <v>47700592</v>
      </c>
      <c r="FU18" s="84"/>
      <c r="FV18" s="84" t="s">
        <v>96</v>
      </c>
      <c r="FW18" s="84"/>
      <c r="FX18" s="84"/>
      <c r="FY18" s="84" t="s">
        <v>96</v>
      </c>
      <c r="FZ18" s="84" t="s">
        <v>4</v>
      </c>
      <c r="GA18" s="84">
        <v>-14733334</v>
      </c>
      <c r="GB18" s="84">
        <v>12000000</v>
      </c>
      <c r="GC18" s="84"/>
      <c r="GD18" s="84" t="s">
        <v>96</v>
      </c>
      <c r="GE18" s="84" t="s">
        <v>4</v>
      </c>
      <c r="GF18" s="84"/>
      <c r="GG18" s="84"/>
      <c r="GH18" s="84" t="s">
        <v>4</v>
      </c>
      <c r="GI18" s="84"/>
      <c r="GJ18" s="84" t="s">
        <v>96</v>
      </c>
      <c r="GK18" s="84"/>
      <c r="GL18" s="84" t="s">
        <v>96</v>
      </c>
      <c r="GM18" s="84"/>
      <c r="GN18" s="84"/>
      <c r="GO18" s="84" t="s">
        <v>96</v>
      </c>
      <c r="GP18" s="84">
        <v>8701998</v>
      </c>
      <c r="GQ18" s="84"/>
      <c r="GR18" s="84">
        <v>115950984</v>
      </c>
      <c r="GS18" s="84">
        <v>77924162</v>
      </c>
      <c r="GT18" s="84" t="s">
        <v>130</v>
      </c>
      <c r="GU18" s="84"/>
      <c r="GV18" s="84">
        <v>1000</v>
      </c>
      <c r="GW18" s="84">
        <v>108405215</v>
      </c>
      <c r="GX18" s="84"/>
      <c r="GY18" s="84">
        <v>448000</v>
      </c>
      <c r="GZ18" s="84"/>
      <c r="HA18" s="84" t="s">
        <v>96</v>
      </c>
      <c r="HB18" s="84"/>
      <c r="HC18" s="84" t="s">
        <v>130</v>
      </c>
      <c r="HD18" s="84"/>
      <c r="HE18" s="84" t="s">
        <v>96</v>
      </c>
      <c r="HF18" s="84"/>
      <c r="HG18" s="84"/>
      <c r="HH18" s="84" t="s">
        <v>96</v>
      </c>
      <c r="HI18" s="84">
        <v>262091978</v>
      </c>
      <c r="HJ18" s="84" t="s">
        <v>96</v>
      </c>
      <c r="HK18" s="84">
        <v>2000</v>
      </c>
      <c r="HL18" s="84">
        <v>50012000</v>
      </c>
      <c r="HM18" s="84"/>
      <c r="HN18" s="84">
        <v>1000</v>
      </c>
      <c r="HO18" s="84">
        <v>2520000</v>
      </c>
      <c r="HP18" s="84">
        <v>27336376</v>
      </c>
      <c r="HQ18" s="84">
        <v>20258334</v>
      </c>
      <c r="HR18" s="84"/>
      <c r="HS18" s="84"/>
      <c r="HT18" s="84"/>
      <c r="HU18" s="84" t="s">
        <v>130</v>
      </c>
      <c r="HV18" s="84"/>
      <c r="HW18" s="84" t="s">
        <v>96</v>
      </c>
      <c r="HX18" s="84"/>
      <c r="HY18" s="84" t="s">
        <v>114</v>
      </c>
      <c r="HZ18" s="84"/>
      <c r="IA18" s="84"/>
      <c r="IB18" s="84">
        <v>91363826</v>
      </c>
      <c r="IC18" s="84">
        <v>109862852</v>
      </c>
      <c r="ID18" s="84"/>
      <c r="IE18" s="84" t="s">
        <v>96</v>
      </c>
      <c r="IF18" s="84"/>
      <c r="IG18" s="84"/>
      <c r="IH18" s="84"/>
      <c r="II18" s="84"/>
      <c r="IJ18" s="84">
        <v>0</v>
      </c>
      <c r="IK18" s="84">
        <v>2375000</v>
      </c>
      <c r="IL18" s="84">
        <v>-3648001</v>
      </c>
      <c r="IM18" s="84"/>
      <c r="IN18" s="84">
        <v>25466640</v>
      </c>
      <c r="IO18" s="84"/>
      <c r="IP18" s="84"/>
      <c r="IQ18" s="84"/>
      <c r="IR18" s="84"/>
      <c r="IS18" s="84">
        <v>670911</v>
      </c>
      <c r="IT18" s="84">
        <v>14750000</v>
      </c>
      <c r="IU18" s="84"/>
      <c r="IV18" s="84"/>
      <c r="IW18" s="84">
        <v>1543638</v>
      </c>
      <c r="IX18" s="84">
        <v>29818183</v>
      </c>
      <c r="IY18" s="68"/>
      <c r="IZ18" s="68">
        <v>-14000000</v>
      </c>
      <c r="JA18" s="68">
        <v>65273455</v>
      </c>
      <c r="JB18" s="68">
        <v>2977334</v>
      </c>
      <c r="JC18" s="68"/>
      <c r="JD18" s="68"/>
      <c r="JE18" s="68"/>
      <c r="JF18" s="68"/>
      <c r="JG18" s="68"/>
      <c r="JH18" s="68"/>
      <c r="JI18" s="68"/>
      <c r="JJ18" s="68"/>
      <c r="JK18" s="68"/>
      <c r="JL18" s="68"/>
      <c r="JM18" s="68"/>
      <c r="JN18" s="68">
        <v>1160000</v>
      </c>
      <c r="JO18" s="68"/>
      <c r="JP18" s="68">
        <v>4000</v>
      </c>
      <c r="JQ18" s="68" t="s">
        <v>4</v>
      </c>
      <c r="JR18" s="68"/>
      <c r="JS18" s="68"/>
      <c r="JT18" s="68"/>
      <c r="JU18" s="68">
        <v>23851334</v>
      </c>
      <c r="JV18" s="68"/>
      <c r="JW18" s="68"/>
      <c r="JX18" s="68"/>
      <c r="JY18" s="68"/>
      <c r="JZ18" s="68"/>
      <c r="KA18" s="68"/>
      <c r="KB18" s="68"/>
      <c r="KC18" s="68"/>
      <c r="KD18" s="68"/>
      <c r="KE18" s="68"/>
      <c r="KF18" s="68"/>
      <c r="KG18" s="68"/>
      <c r="KH18" s="68">
        <v>50000000</v>
      </c>
      <c r="KI18" s="68"/>
      <c r="KJ18" s="68"/>
      <c r="KK18" s="68"/>
      <c r="KL18" s="68"/>
      <c r="KM18" s="68"/>
      <c r="KN18" s="68"/>
      <c r="KO18" s="68"/>
      <c r="KP18" s="68"/>
      <c r="KQ18" s="68"/>
      <c r="KR18" s="68">
        <v>-26550005</v>
      </c>
      <c r="KS18" s="68">
        <v>62000</v>
      </c>
      <c r="KT18" s="68"/>
      <c r="KU18" s="68"/>
      <c r="KV18" s="68"/>
      <c r="KW18" s="68"/>
      <c r="KX18" s="68"/>
      <c r="KY18" s="68"/>
      <c r="KZ18" s="68"/>
      <c r="LA18" s="68"/>
      <c r="LB18" s="68"/>
      <c r="LC18" s="102"/>
      <c r="LD18" s="102"/>
      <c r="LE18" s="102"/>
      <c r="LF18" s="102"/>
      <c r="LG18" s="102"/>
      <c r="LH18" s="102" t="s">
        <v>187</v>
      </c>
      <c r="LI18" s="102"/>
      <c r="LJ18" s="102" t="s">
        <v>187</v>
      </c>
      <c r="LK18" s="102"/>
      <c r="LL18" s="102" t="s">
        <v>187</v>
      </c>
    </row>
    <row r="19" spans="1:324" ht="17.55" customHeight="1">
      <c r="A19" s="67" t="s">
        <v>184</v>
      </c>
      <c r="B19" s="88" t="s">
        <v>74</v>
      </c>
      <c r="C19" s="84"/>
      <c r="D19" s="84"/>
      <c r="E19" s="84"/>
      <c r="F19" s="85"/>
      <c r="G19" s="84" t="s">
        <v>130</v>
      </c>
      <c r="H19" s="84"/>
      <c r="I19" s="84">
        <v>6907000</v>
      </c>
      <c r="J19" s="84" t="s">
        <v>4</v>
      </c>
      <c r="K19" s="84">
        <v>1000</v>
      </c>
      <c r="L19" s="84" t="s">
        <v>96</v>
      </c>
      <c r="M19" s="84" t="s">
        <v>96</v>
      </c>
      <c r="N19" s="84"/>
      <c r="O19" s="84"/>
      <c r="P19" s="84"/>
      <c r="Q19" s="84">
        <v>1000</v>
      </c>
      <c r="R19" s="84" t="s">
        <v>130</v>
      </c>
      <c r="S19" s="84">
        <v>119236522</v>
      </c>
      <c r="T19" s="84" t="s">
        <v>96</v>
      </c>
      <c r="U19" s="84" t="s">
        <v>96</v>
      </c>
      <c r="V19" s="84" t="s">
        <v>4</v>
      </c>
      <c r="W19" s="84">
        <v>5702513</v>
      </c>
      <c r="X19" s="84"/>
      <c r="Y19" s="84"/>
      <c r="Z19" s="84"/>
      <c r="AA19" s="84">
        <v>464183</v>
      </c>
      <c r="AB19" s="84"/>
      <c r="AC19" s="84">
        <v>440240</v>
      </c>
      <c r="AD19" s="84">
        <v>1394399</v>
      </c>
      <c r="AE19" s="84">
        <v>1000</v>
      </c>
      <c r="AF19" s="84" t="s">
        <v>96</v>
      </c>
      <c r="AG19" s="84">
        <v>3297240</v>
      </c>
      <c r="AH19" s="84" t="s">
        <v>130</v>
      </c>
      <c r="AI19" s="84">
        <v>12514580</v>
      </c>
      <c r="AJ19" s="84"/>
      <c r="AK19" s="84"/>
      <c r="AL19" s="84"/>
      <c r="AM19" s="84" t="s">
        <v>4</v>
      </c>
      <c r="AN19" s="84">
        <v>505760</v>
      </c>
      <c r="AO19" s="84">
        <v>11662601</v>
      </c>
      <c r="AP19" s="84"/>
      <c r="AQ19" s="84" t="s">
        <v>4</v>
      </c>
      <c r="AR19" s="84">
        <v>2000</v>
      </c>
      <c r="AS19" s="84">
        <v>4000</v>
      </c>
      <c r="AT19" s="84" t="s">
        <v>96</v>
      </c>
      <c r="AU19" s="84"/>
      <c r="AV19" s="84"/>
      <c r="AW19" s="84"/>
      <c r="AX19" s="84" t="s">
        <v>4</v>
      </c>
      <c r="AY19" s="84" t="s">
        <v>96</v>
      </c>
      <c r="AZ19" s="84">
        <v>5500001</v>
      </c>
      <c r="BA19" s="84" t="s">
        <v>130</v>
      </c>
      <c r="BB19" s="84"/>
      <c r="BC19" s="84" t="s">
        <v>4</v>
      </c>
      <c r="BD19" s="84" t="s">
        <v>96</v>
      </c>
      <c r="BE19" s="84">
        <v>6632617</v>
      </c>
      <c r="BF19" s="84" t="s">
        <v>96</v>
      </c>
      <c r="BG19" s="84">
        <v>1164047</v>
      </c>
      <c r="BH19" s="84"/>
      <c r="BI19" s="84">
        <v>2000</v>
      </c>
      <c r="BJ19" s="84"/>
      <c r="BK19" s="84">
        <v>71085400</v>
      </c>
      <c r="BL19" s="84"/>
      <c r="BM19" s="84">
        <v>5896897</v>
      </c>
      <c r="BN19" s="84">
        <v>5732000</v>
      </c>
      <c r="BO19" s="84" t="s">
        <v>96</v>
      </c>
      <c r="BP19" s="84" t="s">
        <v>96</v>
      </c>
      <c r="BQ19" s="84" t="s">
        <v>4</v>
      </c>
      <c r="BR19" s="84">
        <v>3000</v>
      </c>
      <c r="BS19" s="84" t="s">
        <v>4</v>
      </c>
      <c r="BT19" s="84" t="s">
        <v>96</v>
      </c>
      <c r="BU19" s="84">
        <v>22284656</v>
      </c>
      <c r="BV19" s="84"/>
      <c r="BW19" s="84"/>
      <c r="BX19" s="84"/>
      <c r="BY19" s="84">
        <v>2868260</v>
      </c>
      <c r="BZ19" s="84">
        <v>2525058</v>
      </c>
      <c r="CA19" s="84">
        <v>556400</v>
      </c>
      <c r="CB19" s="84">
        <v>1000</v>
      </c>
      <c r="CC19" s="84"/>
      <c r="CD19" s="84"/>
      <c r="CE19" s="84" t="s">
        <v>96</v>
      </c>
      <c r="CF19" s="84" t="s">
        <v>96</v>
      </c>
      <c r="CG19" s="84"/>
      <c r="CH19" s="84"/>
      <c r="CI19" s="84" t="s">
        <v>96</v>
      </c>
      <c r="CJ19" s="84"/>
      <c r="CK19" s="84"/>
      <c r="CL19" s="84">
        <v>4397000</v>
      </c>
      <c r="CM19" s="84"/>
      <c r="CN19" s="84"/>
      <c r="CO19" s="84"/>
      <c r="CP19" s="84" t="s">
        <v>96</v>
      </c>
      <c r="CQ19" s="84" t="s">
        <v>96</v>
      </c>
      <c r="CR19" s="84"/>
      <c r="CS19" s="84" t="s">
        <v>96</v>
      </c>
      <c r="CT19" s="84">
        <v>769294</v>
      </c>
      <c r="CU19" s="84"/>
      <c r="CV19" s="84"/>
      <c r="CW19" s="84" t="s">
        <v>96</v>
      </c>
      <c r="CX19" s="84">
        <v>5241242</v>
      </c>
      <c r="CY19" s="84" t="s">
        <v>96</v>
      </c>
      <c r="CZ19" s="84"/>
      <c r="DA19" s="84" t="s">
        <v>96</v>
      </c>
      <c r="DB19" s="84"/>
      <c r="DC19" s="84"/>
      <c r="DD19" s="84" t="s">
        <v>96</v>
      </c>
      <c r="DE19" s="84"/>
      <c r="DF19" s="84"/>
      <c r="DG19" s="84"/>
      <c r="DH19" s="84">
        <v>1082860</v>
      </c>
      <c r="DI19" s="84">
        <v>9816720</v>
      </c>
      <c r="DJ19" s="84">
        <v>1045408</v>
      </c>
      <c r="DK19" s="84" t="s">
        <v>96</v>
      </c>
      <c r="DL19" s="84"/>
      <c r="DM19" s="84"/>
      <c r="DN19" s="84">
        <v>48334</v>
      </c>
      <c r="DO19" s="84">
        <v>312000</v>
      </c>
      <c r="DP19" s="86">
        <v>1040701</v>
      </c>
      <c r="DQ19" s="84"/>
      <c r="DR19" s="84">
        <v>14449264</v>
      </c>
      <c r="DS19" s="84"/>
      <c r="DT19" s="84">
        <v>306688</v>
      </c>
      <c r="DU19" s="84"/>
      <c r="DV19" s="84"/>
      <c r="DW19" s="84">
        <v>11278547</v>
      </c>
      <c r="DX19" s="84"/>
      <c r="DY19" s="84"/>
      <c r="DZ19" s="84"/>
      <c r="EA19" s="84"/>
      <c r="EB19" s="84">
        <v>193200</v>
      </c>
      <c r="EC19" s="84">
        <v>3021111</v>
      </c>
      <c r="ED19" s="84"/>
      <c r="EE19" s="84"/>
      <c r="EF19" s="84">
        <v>51000</v>
      </c>
      <c r="EG19" s="96">
        <v>130695482</v>
      </c>
      <c r="EH19" s="99"/>
      <c r="EI19" s="97">
        <v>2783664</v>
      </c>
      <c r="EJ19" s="84"/>
      <c r="EK19" s="84"/>
      <c r="EL19" s="84"/>
      <c r="EM19" s="84"/>
      <c r="EN19" s="84"/>
      <c r="EO19" s="84"/>
      <c r="EP19" s="84"/>
      <c r="EQ19" s="84"/>
      <c r="ER19" s="84"/>
      <c r="ES19" s="84">
        <v>11698</v>
      </c>
      <c r="ET19" s="84">
        <v>18839535</v>
      </c>
      <c r="EU19" s="84"/>
      <c r="EV19" s="84"/>
      <c r="EW19" s="84">
        <v>23048320</v>
      </c>
      <c r="EX19" s="84"/>
      <c r="EY19" s="84"/>
      <c r="EZ19" s="84"/>
      <c r="FA19" s="84">
        <v>400000</v>
      </c>
      <c r="FB19" s="86">
        <v>1229470</v>
      </c>
      <c r="FC19" s="84"/>
      <c r="FD19" s="84"/>
      <c r="FE19" s="84"/>
      <c r="FF19" s="84"/>
      <c r="FG19" s="84" t="s">
        <v>96</v>
      </c>
      <c r="FH19" s="84">
        <v>13650000</v>
      </c>
      <c r="FI19" s="84" t="s">
        <v>96</v>
      </c>
      <c r="FJ19" s="84"/>
      <c r="FK19" s="84"/>
      <c r="FL19" s="84">
        <v>9450904</v>
      </c>
      <c r="FM19" s="84" t="s">
        <v>130</v>
      </c>
      <c r="FN19" s="84">
        <v>24608021</v>
      </c>
      <c r="FO19" s="84" t="s">
        <v>96</v>
      </c>
      <c r="FP19" s="84" t="s">
        <v>96</v>
      </c>
      <c r="FQ19" s="84">
        <v>14795600</v>
      </c>
      <c r="FR19" s="84">
        <v>5261959</v>
      </c>
      <c r="FS19" s="84">
        <v>3164240</v>
      </c>
      <c r="FT19" s="84">
        <v>9863478</v>
      </c>
      <c r="FU19" s="84"/>
      <c r="FV19" s="84" t="s">
        <v>96</v>
      </c>
      <c r="FW19" s="84"/>
      <c r="FX19" s="84"/>
      <c r="FY19" s="84" t="s">
        <v>96</v>
      </c>
      <c r="FZ19" s="84" t="s">
        <v>4</v>
      </c>
      <c r="GA19" s="84">
        <v>7618701</v>
      </c>
      <c r="GB19" s="84">
        <v>900630</v>
      </c>
      <c r="GC19" s="84">
        <v>479340</v>
      </c>
      <c r="GD19" s="84" t="s">
        <v>96</v>
      </c>
      <c r="GE19" s="84" t="s">
        <v>4</v>
      </c>
      <c r="GF19" s="84">
        <v>9939013</v>
      </c>
      <c r="GG19" s="84">
        <v>14401593</v>
      </c>
      <c r="GH19" s="84" t="s">
        <v>4</v>
      </c>
      <c r="GI19" s="84">
        <v>1280541</v>
      </c>
      <c r="GJ19" s="84" t="s">
        <v>96</v>
      </c>
      <c r="GK19" s="84">
        <v>9994926</v>
      </c>
      <c r="GL19" s="84" t="s">
        <v>96</v>
      </c>
      <c r="GM19" s="84"/>
      <c r="GN19" s="84"/>
      <c r="GO19" s="84" t="s">
        <v>96</v>
      </c>
      <c r="GP19" s="84">
        <v>4290000</v>
      </c>
      <c r="GQ19" s="84">
        <v>40144296</v>
      </c>
      <c r="GR19" s="84">
        <v>1287000</v>
      </c>
      <c r="GS19" s="84"/>
      <c r="GT19" s="84" t="s">
        <v>130</v>
      </c>
      <c r="GU19" s="84"/>
      <c r="GV19" s="84">
        <v>5000</v>
      </c>
      <c r="GW19" s="84">
        <v>16886266</v>
      </c>
      <c r="GX19" s="84"/>
      <c r="GY19" s="84">
        <v>9571664</v>
      </c>
      <c r="GZ19" s="84">
        <v>2528358</v>
      </c>
      <c r="HA19" s="84" t="s">
        <v>96</v>
      </c>
      <c r="HB19" s="84"/>
      <c r="HC19" s="84" t="s">
        <v>130</v>
      </c>
      <c r="HD19" s="84">
        <v>236500</v>
      </c>
      <c r="HE19" s="84" t="s">
        <v>96</v>
      </c>
      <c r="HF19" s="84"/>
      <c r="HG19" s="84">
        <v>735143</v>
      </c>
      <c r="HH19" s="84" t="s">
        <v>96</v>
      </c>
      <c r="HI19" s="84">
        <v>9989993</v>
      </c>
      <c r="HJ19" s="84" t="s">
        <v>96</v>
      </c>
      <c r="HK19" s="84">
        <v>24310510</v>
      </c>
      <c r="HL19" s="84"/>
      <c r="HM19" s="84"/>
      <c r="HN19" s="84"/>
      <c r="HO19" s="84"/>
      <c r="HP19" s="84"/>
      <c r="HQ19" s="84"/>
      <c r="HR19" s="84"/>
      <c r="HS19" s="84">
        <v>6886509</v>
      </c>
      <c r="HT19" s="84"/>
      <c r="HU19" s="84" t="s">
        <v>130</v>
      </c>
      <c r="HV19" s="84">
        <v>1152240</v>
      </c>
      <c r="HW19" s="84" t="s">
        <v>96</v>
      </c>
      <c r="HX19" s="84">
        <v>535593498</v>
      </c>
      <c r="HY19" s="84" t="s">
        <v>114</v>
      </c>
      <c r="HZ19" s="84"/>
      <c r="IA19" s="84"/>
      <c r="IB19" s="84">
        <v>5022100</v>
      </c>
      <c r="IC19" s="84">
        <v>642600</v>
      </c>
      <c r="ID19" s="84"/>
      <c r="IE19" s="84" t="s">
        <v>96</v>
      </c>
      <c r="IF19" s="84"/>
      <c r="IG19" s="84">
        <v>1666137</v>
      </c>
      <c r="IH19" s="84">
        <v>65226294</v>
      </c>
      <c r="II19" s="84">
        <v>4588830</v>
      </c>
      <c r="IJ19" s="84"/>
      <c r="IK19" s="84"/>
      <c r="IL19" s="84">
        <v>10197132</v>
      </c>
      <c r="IM19" s="84"/>
      <c r="IN19" s="84"/>
      <c r="IO19" s="84"/>
      <c r="IP19" s="84"/>
      <c r="IQ19" s="84"/>
      <c r="IR19" s="84"/>
      <c r="IS19" s="84">
        <v>970682</v>
      </c>
      <c r="IT19" s="84">
        <v>2368904</v>
      </c>
      <c r="IU19" s="84"/>
      <c r="IV19" s="84"/>
      <c r="IW19" s="84">
        <v>31719938</v>
      </c>
      <c r="IX19" s="84">
        <v>211779</v>
      </c>
      <c r="IY19" s="68">
        <v>161569320</v>
      </c>
      <c r="IZ19" s="68">
        <v>1817850</v>
      </c>
      <c r="JA19" s="68">
        <v>11412492</v>
      </c>
      <c r="JB19" s="68"/>
      <c r="JC19" s="68"/>
      <c r="JD19" s="68">
        <v>3053334</v>
      </c>
      <c r="JE19" s="68">
        <v>682833</v>
      </c>
      <c r="JF19" s="68">
        <v>3252265</v>
      </c>
      <c r="JG19" s="68"/>
      <c r="JH19" s="68"/>
      <c r="JI19" s="68"/>
      <c r="JJ19" s="68"/>
      <c r="JK19" s="68">
        <v>856480</v>
      </c>
      <c r="JL19" s="68"/>
      <c r="JM19" s="68"/>
      <c r="JN19" s="68">
        <v>405556320</v>
      </c>
      <c r="JO19" s="68"/>
      <c r="JP19" s="68"/>
      <c r="JQ19" s="68" t="s">
        <v>4</v>
      </c>
      <c r="JR19" s="68">
        <v>1225234</v>
      </c>
      <c r="JS19" s="68"/>
      <c r="JT19" s="68"/>
      <c r="JU19" s="68"/>
      <c r="JV19" s="68"/>
      <c r="JW19" s="68"/>
      <c r="JX19" s="68"/>
      <c r="JY19" s="68"/>
      <c r="JZ19" s="68"/>
      <c r="KA19" s="68"/>
      <c r="KB19" s="68">
        <v>11533133</v>
      </c>
      <c r="KC19" s="68">
        <v>120000</v>
      </c>
      <c r="KD19" s="68"/>
      <c r="KE19" s="68"/>
      <c r="KF19" s="68">
        <v>4187997</v>
      </c>
      <c r="KG19" s="68">
        <v>17659796</v>
      </c>
      <c r="KH19" s="68">
        <v>72707132</v>
      </c>
      <c r="KI19" s="68"/>
      <c r="KJ19" s="68"/>
      <c r="KK19" s="68">
        <v>6082011</v>
      </c>
      <c r="KL19" s="68"/>
      <c r="KM19" s="68">
        <v>2216043</v>
      </c>
      <c r="KN19" s="68">
        <v>10312828</v>
      </c>
      <c r="KO19" s="68">
        <v>11941379</v>
      </c>
      <c r="KP19" s="68"/>
      <c r="KQ19" s="68"/>
      <c r="KR19" s="68">
        <v>2400000</v>
      </c>
      <c r="KS19" s="68">
        <v>3297667</v>
      </c>
      <c r="KT19" s="68">
        <v>300000</v>
      </c>
      <c r="KU19" s="68">
        <v>299725000</v>
      </c>
      <c r="KV19" s="68"/>
      <c r="KW19" s="68">
        <v>723668</v>
      </c>
      <c r="KX19" s="68">
        <v>2690910</v>
      </c>
      <c r="KY19" s="68">
        <v>497640</v>
      </c>
      <c r="KZ19" s="68">
        <v>20768920</v>
      </c>
      <c r="LA19" s="68"/>
      <c r="LB19" s="68">
        <v>6403757</v>
      </c>
      <c r="LC19" s="102"/>
      <c r="LD19" s="102"/>
      <c r="LE19" s="102">
        <v>1421756</v>
      </c>
      <c r="LF19" s="102"/>
      <c r="LG19" s="102"/>
      <c r="LH19" s="102" t="s">
        <v>187</v>
      </c>
      <c r="LI19" s="102">
        <v>0</v>
      </c>
      <c r="LJ19" s="102" t="s">
        <v>187</v>
      </c>
      <c r="LK19" s="102"/>
      <c r="LL19" s="102" t="s">
        <v>187</v>
      </c>
    </row>
    <row r="20" spans="1:324" ht="17.55" customHeight="1">
      <c r="A20" s="67" t="s">
        <v>184</v>
      </c>
      <c r="B20" s="88" t="s">
        <v>137</v>
      </c>
      <c r="C20" s="84"/>
      <c r="D20" s="84"/>
      <c r="E20" s="84"/>
      <c r="F20" s="85">
        <v>35040240</v>
      </c>
      <c r="G20" s="84" t="s">
        <v>130</v>
      </c>
      <c r="H20" s="84"/>
      <c r="I20" s="84"/>
      <c r="J20" s="84" t="s">
        <v>4</v>
      </c>
      <c r="K20" s="84"/>
      <c r="L20" s="84" t="s">
        <v>96</v>
      </c>
      <c r="M20" s="84" t="s">
        <v>96</v>
      </c>
      <c r="N20" s="84"/>
      <c r="O20" s="84">
        <v>3868812</v>
      </c>
      <c r="P20" s="84"/>
      <c r="Q20" s="84">
        <v>1000</v>
      </c>
      <c r="R20" s="84" t="s">
        <v>130</v>
      </c>
      <c r="S20" s="84">
        <v>24108128</v>
      </c>
      <c r="T20" s="84" t="s">
        <v>96</v>
      </c>
      <c r="U20" s="84" t="s">
        <v>96</v>
      </c>
      <c r="V20" s="84" t="s">
        <v>4</v>
      </c>
      <c r="W20" s="84">
        <v>124462894</v>
      </c>
      <c r="X20" s="84">
        <v>309348500</v>
      </c>
      <c r="Y20" s="84">
        <v>181930344</v>
      </c>
      <c r="Z20" s="84">
        <v>510235267</v>
      </c>
      <c r="AA20" s="84"/>
      <c r="AB20" s="84"/>
      <c r="AC20" s="84"/>
      <c r="AD20" s="84"/>
      <c r="AE20" s="84">
        <v>153163126</v>
      </c>
      <c r="AF20" s="84" t="s">
        <v>96</v>
      </c>
      <c r="AG20" s="84">
        <v>88650000</v>
      </c>
      <c r="AH20" s="84" t="s">
        <v>130</v>
      </c>
      <c r="AI20" s="84">
        <v>106353220</v>
      </c>
      <c r="AJ20" s="84">
        <v>139320740</v>
      </c>
      <c r="AK20" s="84"/>
      <c r="AL20" s="84">
        <v>188516000</v>
      </c>
      <c r="AM20" s="84" t="s">
        <v>4</v>
      </c>
      <c r="AN20" s="84">
        <v>7000</v>
      </c>
      <c r="AO20" s="84">
        <v>227972287</v>
      </c>
      <c r="AP20" s="84"/>
      <c r="AQ20" s="84" t="s">
        <v>4</v>
      </c>
      <c r="AR20" s="84"/>
      <c r="AS20" s="84"/>
      <c r="AT20" s="84" t="s">
        <v>96</v>
      </c>
      <c r="AU20" s="84"/>
      <c r="AV20" s="84"/>
      <c r="AW20" s="84"/>
      <c r="AX20" s="84" t="s">
        <v>4</v>
      </c>
      <c r="AY20" s="84" t="s">
        <v>96</v>
      </c>
      <c r="AZ20" s="84"/>
      <c r="BA20" s="84" t="s">
        <v>130</v>
      </c>
      <c r="BB20" s="84"/>
      <c r="BC20" s="84" t="s">
        <v>4</v>
      </c>
      <c r="BD20" s="84" t="s">
        <v>96</v>
      </c>
      <c r="BE20" s="84">
        <v>1048623774</v>
      </c>
      <c r="BF20" s="84" t="s">
        <v>96</v>
      </c>
      <c r="BG20" s="84"/>
      <c r="BH20" s="84">
        <v>1000</v>
      </c>
      <c r="BI20" s="84">
        <v>341417</v>
      </c>
      <c r="BJ20" s="84">
        <v>9487503</v>
      </c>
      <c r="BK20" s="84">
        <v>84030640</v>
      </c>
      <c r="BL20" s="84"/>
      <c r="BM20" s="84"/>
      <c r="BN20" s="84">
        <v>3000</v>
      </c>
      <c r="BO20" s="84" t="s">
        <v>96</v>
      </c>
      <c r="BP20" s="84" t="s">
        <v>96</v>
      </c>
      <c r="BQ20" s="84" t="s">
        <v>4</v>
      </c>
      <c r="BR20" s="84"/>
      <c r="BS20" s="84" t="s">
        <v>4</v>
      </c>
      <c r="BT20" s="84" t="s">
        <v>96</v>
      </c>
      <c r="BU20" s="84">
        <v>592475177</v>
      </c>
      <c r="BV20" s="84"/>
      <c r="BW20" s="84"/>
      <c r="BX20" s="84"/>
      <c r="BY20" s="84">
        <v>213121258</v>
      </c>
      <c r="BZ20" s="84"/>
      <c r="CA20" s="84"/>
      <c r="CB20" s="84">
        <v>18000</v>
      </c>
      <c r="CC20" s="84"/>
      <c r="CD20" s="84"/>
      <c r="CE20" s="84" t="s">
        <v>96</v>
      </c>
      <c r="CF20" s="84" t="s">
        <v>96</v>
      </c>
      <c r="CG20" s="84"/>
      <c r="CH20" s="84"/>
      <c r="CI20" s="84" t="s">
        <v>96</v>
      </c>
      <c r="CJ20" s="84">
        <v>38400800</v>
      </c>
      <c r="CK20" s="84"/>
      <c r="CL20" s="84">
        <v>25990910</v>
      </c>
      <c r="CM20" s="84"/>
      <c r="CN20" s="84"/>
      <c r="CO20" s="84"/>
      <c r="CP20" s="84" t="s">
        <v>96</v>
      </c>
      <c r="CQ20" s="84" t="s">
        <v>96</v>
      </c>
      <c r="CR20" s="84"/>
      <c r="CS20" s="84" t="s">
        <v>96</v>
      </c>
      <c r="CT20" s="84"/>
      <c r="CU20" s="84"/>
      <c r="CV20" s="84"/>
      <c r="CW20" s="84" t="s">
        <v>96</v>
      </c>
      <c r="CX20" s="84"/>
      <c r="CY20" s="84" t="s">
        <v>96</v>
      </c>
      <c r="CZ20" s="84">
        <v>26543267</v>
      </c>
      <c r="DA20" s="84" t="s">
        <v>96</v>
      </c>
      <c r="DB20" s="84"/>
      <c r="DC20" s="84"/>
      <c r="DD20" s="84" t="s">
        <v>96</v>
      </c>
      <c r="DE20" s="84"/>
      <c r="DF20" s="84"/>
      <c r="DG20" s="84">
        <v>107397122</v>
      </c>
      <c r="DH20" s="84">
        <v>548504081</v>
      </c>
      <c r="DI20" s="84">
        <v>94678848</v>
      </c>
      <c r="DJ20" s="84">
        <v>18969400</v>
      </c>
      <c r="DK20" s="84" t="s">
        <v>96</v>
      </c>
      <c r="DL20" s="84">
        <v>89468757</v>
      </c>
      <c r="DM20" s="84"/>
      <c r="DN20" s="84">
        <v>185643570</v>
      </c>
      <c r="DO20" s="84"/>
      <c r="DP20" s="86"/>
      <c r="DQ20" s="84"/>
      <c r="DR20" s="84">
        <v>35140000</v>
      </c>
      <c r="DS20" s="84"/>
      <c r="DT20" s="84">
        <v>25982899</v>
      </c>
      <c r="DU20" s="84">
        <v>4000</v>
      </c>
      <c r="DV20" s="84"/>
      <c r="DW20" s="84"/>
      <c r="DX20" s="84"/>
      <c r="DY20" s="84">
        <v>66435253</v>
      </c>
      <c r="DZ20" s="84"/>
      <c r="EA20" s="84"/>
      <c r="EB20" s="84"/>
      <c r="EC20" s="84">
        <v>40022667</v>
      </c>
      <c r="ED20" s="84"/>
      <c r="EE20" s="84"/>
      <c r="EF20" s="84">
        <v>3000</v>
      </c>
      <c r="EG20" s="96"/>
      <c r="EH20" s="99"/>
      <c r="EI20" s="97"/>
      <c r="EJ20" s="84"/>
      <c r="EK20" s="84"/>
      <c r="EL20" s="84"/>
      <c r="EM20" s="84"/>
      <c r="EN20" s="84">
        <v>5502000</v>
      </c>
      <c r="EO20" s="84"/>
      <c r="EP20" s="84"/>
      <c r="EQ20" s="84"/>
      <c r="ER20" s="84">
        <v>5188600</v>
      </c>
      <c r="ES20" s="84"/>
      <c r="ET20" s="84">
        <v>1536553388</v>
      </c>
      <c r="EU20" s="84"/>
      <c r="EV20" s="84"/>
      <c r="EW20" s="84"/>
      <c r="EX20" s="84">
        <v>10403000</v>
      </c>
      <c r="EY20" s="84"/>
      <c r="EZ20" s="84"/>
      <c r="FA20" s="84">
        <v>2250000</v>
      </c>
      <c r="FB20" s="86">
        <v>1600000</v>
      </c>
      <c r="FC20" s="84">
        <v>40900000</v>
      </c>
      <c r="FD20" s="84"/>
      <c r="FE20" s="84"/>
      <c r="FF20" s="84"/>
      <c r="FG20" s="84" t="s">
        <v>96</v>
      </c>
      <c r="FH20" s="84"/>
      <c r="FI20" s="84" t="s">
        <v>96</v>
      </c>
      <c r="FJ20" s="84"/>
      <c r="FK20" s="84"/>
      <c r="FL20" s="84"/>
      <c r="FM20" s="84" t="s">
        <v>130</v>
      </c>
      <c r="FN20" s="84">
        <v>815325900</v>
      </c>
      <c r="FO20" s="84" t="s">
        <v>96</v>
      </c>
      <c r="FP20" s="84" t="s">
        <v>96</v>
      </c>
      <c r="FQ20" s="84"/>
      <c r="FR20" s="84">
        <v>150803141</v>
      </c>
      <c r="FS20" s="84">
        <v>190381815</v>
      </c>
      <c r="FT20" s="84"/>
      <c r="FU20" s="84"/>
      <c r="FV20" s="84" t="s">
        <v>96</v>
      </c>
      <c r="FW20" s="84">
        <v>7200000</v>
      </c>
      <c r="FX20" s="84">
        <v>92009200</v>
      </c>
      <c r="FY20" s="84" t="s">
        <v>96</v>
      </c>
      <c r="FZ20" s="84" t="s">
        <v>4</v>
      </c>
      <c r="GA20" s="84">
        <v>7366667</v>
      </c>
      <c r="GB20" s="84">
        <v>186880148</v>
      </c>
      <c r="GC20" s="84">
        <v>33002640</v>
      </c>
      <c r="GD20" s="84" t="s">
        <v>96</v>
      </c>
      <c r="GE20" s="84" t="s">
        <v>4</v>
      </c>
      <c r="GF20" s="84">
        <v>56822623</v>
      </c>
      <c r="GG20" s="84"/>
      <c r="GH20" s="84" t="s">
        <v>4</v>
      </c>
      <c r="GI20" s="84">
        <v>9350000</v>
      </c>
      <c r="GJ20" s="84" t="s">
        <v>96</v>
      </c>
      <c r="GK20" s="84">
        <v>153509195</v>
      </c>
      <c r="GL20" s="84" t="s">
        <v>96</v>
      </c>
      <c r="GM20" s="84"/>
      <c r="GN20" s="84"/>
      <c r="GO20" s="84" t="s">
        <v>96</v>
      </c>
      <c r="GP20" s="84"/>
      <c r="GQ20" s="84"/>
      <c r="GR20" s="84">
        <v>1106089939</v>
      </c>
      <c r="GS20" s="84"/>
      <c r="GT20" s="84" t="s">
        <v>130</v>
      </c>
      <c r="GU20" s="84"/>
      <c r="GV20" s="84"/>
      <c r="GW20" s="84"/>
      <c r="GX20" s="84">
        <v>425949395</v>
      </c>
      <c r="GY20" s="84"/>
      <c r="GZ20" s="84">
        <v>6636001</v>
      </c>
      <c r="HA20" s="84" t="s">
        <v>96</v>
      </c>
      <c r="HB20" s="84"/>
      <c r="HC20" s="84" t="s">
        <v>130</v>
      </c>
      <c r="HD20" s="84">
        <v>631680</v>
      </c>
      <c r="HE20" s="84" t="s">
        <v>96</v>
      </c>
      <c r="HF20" s="84"/>
      <c r="HG20" s="84">
        <v>1200000</v>
      </c>
      <c r="HH20" s="84" t="s">
        <v>96</v>
      </c>
      <c r="HI20" s="84">
        <v>210658334</v>
      </c>
      <c r="HJ20" s="84" t="s">
        <v>96</v>
      </c>
      <c r="HK20" s="84"/>
      <c r="HL20" s="84"/>
      <c r="HM20" s="84"/>
      <c r="HN20" s="84">
        <v>26002500</v>
      </c>
      <c r="HO20" s="84"/>
      <c r="HP20" s="84"/>
      <c r="HQ20" s="84"/>
      <c r="HR20" s="84"/>
      <c r="HS20" s="84">
        <v>194649445</v>
      </c>
      <c r="HT20" s="84"/>
      <c r="HU20" s="84" t="s">
        <v>130</v>
      </c>
      <c r="HV20" s="84"/>
      <c r="HW20" s="84" t="s">
        <v>96</v>
      </c>
      <c r="HX20" s="84">
        <v>401677891</v>
      </c>
      <c r="HY20" s="84" t="s">
        <v>114</v>
      </c>
      <c r="HZ20" s="84"/>
      <c r="IA20" s="84"/>
      <c r="IB20" s="84">
        <v>32821249</v>
      </c>
      <c r="IC20" s="84">
        <v>55761664</v>
      </c>
      <c r="ID20" s="84"/>
      <c r="IE20" s="84" t="s">
        <v>96</v>
      </c>
      <c r="IF20" s="84"/>
      <c r="IG20" s="84"/>
      <c r="IH20" s="84">
        <v>13613929</v>
      </c>
      <c r="II20" s="84">
        <v>168690742</v>
      </c>
      <c r="IJ20" s="84"/>
      <c r="IK20" s="84"/>
      <c r="IL20" s="84">
        <v>-5122677</v>
      </c>
      <c r="IM20" s="84">
        <v>3600002</v>
      </c>
      <c r="IN20" s="84"/>
      <c r="IO20" s="84"/>
      <c r="IP20" s="84">
        <v>1000</v>
      </c>
      <c r="IQ20" s="84"/>
      <c r="IR20" s="84"/>
      <c r="IS20" s="84"/>
      <c r="IT20" s="84"/>
      <c r="IU20" s="84"/>
      <c r="IV20" s="84"/>
      <c r="IW20" s="84"/>
      <c r="IX20" s="84"/>
      <c r="IY20" s="68">
        <v>206636363</v>
      </c>
      <c r="IZ20" s="68">
        <v>244224090</v>
      </c>
      <c r="JA20" s="68"/>
      <c r="JB20" s="68"/>
      <c r="JC20" s="68"/>
      <c r="JD20" s="68"/>
      <c r="JE20" s="68">
        <v>3621213</v>
      </c>
      <c r="JF20" s="68">
        <v>936948986</v>
      </c>
      <c r="JG20" s="68">
        <v>3640000</v>
      </c>
      <c r="JH20" s="68"/>
      <c r="JI20" s="68"/>
      <c r="JJ20" s="68"/>
      <c r="JK20" s="68"/>
      <c r="JL20" s="68"/>
      <c r="JM20" s="68"/>
      <c r="JN20" s="68">
        <v>89373325</v>
      </c>
      <c r="JO20" s="68">
        <v>2640000</v>
      </c>
      <c r="JP20" s="68"/>
      <c r="JQ20" s="68" t="s">
        <v>4</v>
      </c>
      <c r="JR20" s="68">
        <v>518316308</v>
      </c>
      <c r="JS20" s="68"/>
      <c r="JT20" s="68">
        <v>4026000</v>
      </c>
      <c r="JU20" s="68">
        <v>10445834</v>
      </c>
      <c r="JV20" s="68"/>
      <c r="JW20" s="68"/>
      <c r="JX20" s="68"/>
      <c r="JY20" s="68"/>
      <c r="JZ20" s="68">
        <v>4300200</v>
      </c>
      <c r="KA20" s="68"/>
      <c r="KB20" s="68">
        <v>57783014</v>
      </c>
      <c r="KC20" s="68"/>
      <c r="KD20" s="68"/>
      <c r="KE20" s="68"/>
      <c r="KF20" s="68">
        <v>3842427</v>
      </c>
      <c r="KG20" s="68"/>
      <c r="KH20" s="68">
        <v>817349416</v>
      </c>
      <c r="KI20" s="68"/>
      <c r="KJ20" s="68"/>
      <c r="KK20" s="68"/>
      <c r="KL20" s="68"/>
      <c r="KM20" s="68"/>
      <c r="KN20" s="68">
        <v>3259600</v>
      </c>
      <c r="KO20" s="68">
        <v>38772718</v>
      </c>
      <c r="KP20" s="68"/>
      <c r="KQ20" s="68"/>
      <c r="KR20" s="68">
        <v>145197728</v>
      </c>
      <c r="KS20" s="68"/>
      <c r="KT20" s="68">
        <v>8226819</v>
      </c>
      <c r="KU20" s="68">
        <v>1336485936</v>
      </c>
      <c r="KV20" s="68">
        <v>216667</v>
      </c>
      <c r="KW20" s="68">
        <v>111842760</v>
      </c>
      <c r="KX20" s="68"/>
      <c r="KY20" s="68"/>
      <c r="KZ20" s="68"/>
      <c r="LA20" s="68"/>
      <c r="LB20" s="68"/>
      <c r="LC20" s="102"/>
      <c r="LD20" s="102"/>
      <c r="LE20" s="102"/>
      <c r="LF20" s="102"/>
      <c r="LG20" s="102"/>
      <c r="LH20" s="102" t="s">
        <v>187</v>
      </c>
      <c r="LI20" s="102"/>
      <c r="LJ20" s="102" t="s">
        <v>187</v>
      </c>
      <c r="LK20" s="102"/>
      <c r="LL20" s="102" t="s">
        <v>187</v>
      </c>
    </row>
    <row r="21" spans="1:324" ht="17.55" customHeight="1">
      <c r="A21" s="67" t="s">
        <v>184</v>
      </c>
      <c r="B21" s="88" t="s">
        <v>39</v>
      </c>
      <c r="C21" s="84"/>
      <c r="D21" s="84"/>
      <c r="E21" s="84"/>
      <c r="F21" s="85"/>
      <c r="G21" s="84" t="s">
        <v>130</v>
      </c>
      <c r="H21" s="84"/>
      <c r="I21" s="84"/>
      <c r="J21" s="84" t="s">
        <v>4</v>
      </c>
      <c r="K21" s="84"/>
      <c r="L21" s="84" t="s">
        <v>96</v>
      </c>
      <c r="M21" s="84" t="s">
        <v>96</v>
      </c>
      <c r="N21" s="84"/>
      <c r="O21" s="84"/>
      <c r="P21" s="84">
        <v>1000</v>
      </c>
      <c r="Q21" s="84"/>
      <c r="R21" s="84" t="s">
        <v>130</v>
      </c>
      <c r="S21" s="84">
        <v>6673259</v>
      </c>
      <c r="T21" s="84" t="s">
        <v>96</v>
      </c>
      <c r="U21" s="84" t="s">
        <v>96</v>
      </c>
      <c r="V21" s="84" t="s">
        <v>4</v>
      </c>
      <c r="W21" s="84"/>
      <c r="X21" s="84"/>
      <c r="Y21" s="84"/>
      <c r="Z21" s="84"/>
      <c r="AA21" s="84"/>
      <c r="AB21" s="84"/>
      <c r="AC21" s="84"/>
      <c r="AD21" s="84"/>
      <c r="AE21" s="84"/>
      <c r="AF21" s="84" t="s">
        <v>96</v>
      </c>
      <c r="AG21" s="84">
        <v>50000000</v>
      </c>
      <c r="AH21" s="84" t="s">
        <v>130</v>
      </c>
      <c r="AI21" s="84"/>
      <c r="AJ21" s="84"/>
      <c r="AK21" s="84"/>
      <c r="AL21" s="84"/>
      <c r="AM21" s="84" t="s">
        <v>4</v>
      </c>
      <c r="AN21" s="84"/>
      <c r="AO21" s="84"/>
      <c r="AP21" s="84"/>
      <c r="AQ21" s="84" t="s">
        <v>4</v>
      </c>
      <c r="AR21" s="84">
        <v>106000</v>
      </c>
      <c r="AS21" s="84"/>
      <c r="AT21" s="84" t="s">
        <v>96</v>
      </c>
      <c r="AU21" s="84"/>
      <c r="AV21" s="84"/>
      <c r="AW21" s="84"/>
      <c r="AX21" s="84" t="s">
        <v>4</v>
      </c>
      <c r="AY21" s="84" t="s">
        <v>96</v>
      </c>
      <c r="AZ21" s="84"/>
      <c r="BA21" s="84" t="s">
        <v>130</v>
      </c>
      <c r="BB21" s="84">
        <v>10715156</v>
      </c>
      <c r="BC21" s="84" t="s">
        <v>4</v>
      </c>
      <c r="BD21" s="84" t="s">
        <v>96</v>
      </c>
      <c r="BE21" s="84"/>
      <c r="BF21" s="84" t="s">
        <v>96</v>
      </c>
      <c r="BG21" s="84">
        <v>5466667</v>
      </c>
      <c r="BH21" s="84"/>
      <c r="BI21" s="84"/>
      <c r="BJ21" s="84"/>
      <c r="BK21" s="84"/>
      <c r="BL21" s="84">
        <v>2012500</v>
      </c>
      <c r="BM21" s="84"/>
      <c r="BN21" s="84">
        <v>-5724000</v>
      </c>
      <c r="BO21" s="84" t="s">
        <v>96</v>
      </c>
      <c r="BP21" s="84" t="s">
        <v>96</v>
      </c>
      <c r="BQ21" s="84" t="s">
        <v>4</v>
      </c>
      <c r="BR21" s="84">
        <v>2666667</v>
      </c>
      <c r="BS21" s="84" t="s">
        <v>4</v>
      </c>
      <c r="BT21" s="84" t="s">
        <v>96</v>
      </c>
      <c r="BU21" s="84"/>
      <c r="BV21" s="84"/>
      <c r="BW21" s="84"/>
      <c r="BX21" s="84">
        <v>11250000</v>
      </c>
      <c r="BY21" s="84">
        <v>1000</v>
      </c>
      <c r="BZ21" s="84"/>
      <c r="CA21" s="84"/>
      <c r="CB21" s="84">
        <v>0</v>
      </c>
      <c r="CC21" s="84"/>
      <c r="CD21" s="84"/>
      <c r="CE21" s="84" t="s">
        <v>96</v>
      </c>
      <c r="CF21" s="84" t="s">
        <v>96</v>
      </c>
      <c r="CG21" s="84"/>
      <c r="CH21" s="84">
        <v>5133587</v>
      </c>
      <c r="CI21" s="84" t="s">
        <v>96</v>
      </c>
      <c r="CJ21" s="84"/>
      <c r="CK21" s="84"/>
      <c r="CL21" s="84"/>
      <c r="CM21" s="84">
        <v>-6729934</v>
      </c>
      <c r="CN21" s="84">
        <v>5000</v>
      </c>
      <c r="CO21" s="84"/>
      <c r="CP21" s="84" t="s">
        <v>96</v>
      </c>
      <c r="CQ21" s="84" t="s">
        <v>96</v>
      </c>
      <c r="CR21" s="84"/>
      <c r="CS21" s="84" t="s">
        <v>96</v>
      </c>
      <c r="CT21" s="84"/>
      <c r="CU21" s="84"/>
      <c r="CV21" s="84"/>
      <c r="CW21" s="84" t="s">
        <v>96</v>
      </c>
      <c r="CX21" s="84"/>
      <c r="CY21" s="84" t="s">
        <v>96</v>
      </c>
      <c r="CZ21" s="84"/>
      <c r="DA21" s="84" t="s">
        <v>96</v>
      </c>
      <c r="DB21" s="84"/>
      <c r="DC21" s="84"/>
      <c r="DD21" s="84" t="s">
        <v>96</v>
      </c>
      <c r="DE21" s="84"/>
      <c r="DF21" s="84"/>
      <c r="DG21" s="84"/>
      <c r="DH21" s="84"/>
      <c r="DI21" s="84"/>
      <c r="DJ21" s="84"/>
      <c r="DK21" s="84" t="s">
        <v>96</v>
      </c>
      <c r="DL21" s="84"/>
      <c r="DM21" s="84"/>
      <c r="DN21" s="84"/>
      <c r="DO21" s="84"/>
      <c r="DP21" s="86"/>
      <c r="DQ21" s="84"/>
      <c r="DR21" s="84"/>
      <c r="DS21" s="84"/>
      <c r="DT21" s="84"/>
      <c r="DU21" s="84"/>
      <c r="DV21" s="84"/>
      <c r="DW21" s="84"/>
      <c r="DX21" s="84"/>
      <c r="DY21" s="84"/>
      <c r="DZ21" s="84"/>
      <c r="EA21" s="84"/>
      <c r="EB21" s="84"/>
      <c r="EC21" s="84"/>
      <c r="ED21" s="84"/>
      <c r="EE21" s="84"/>
      <c r="EF21" s="84"/>
      <c r="EG21" s="96"/>
      <c r="EH21" s="99"/>
      <c r="EI21" s="97">
        <v>9566667</v>
      </c>
      <c r="EJ21" s="84"/>
      <c r="EK21" s="84"/>
      <c r="EL21" s="84"/>
      <c r="EM21" s="84"/>
      <c r="EN21" s="84"/>
      <c r="EO21" s="84">
        <v>1000</v>
      </c>
      <c r="EP21" s="84"/>
      <c r="EQ21" s="84"/>
      <c r="ER21" s="84"/>
      <c r="ES21" s="84">
        <v>1000</v>
      </c>
      <c r="ET21" s="84" t="s">
        <v>118</v>
      </c>
      <c r="EU21" s="84"/>
      <c r="EV21" s="84"/>
      <c r="EW21" s="84"/>
      <c r="EX21" s="84">
        <v>10000000</v>
      </c>
      <c r="EY21" s="84"/>
      <c r="EZ21" s="84">
        <v>18477935</v>
      </c>
      <c r="FA21" s="84">
        <v>20000000</v>
      </c>
      <c r="FB21" s="86">
        <v>2000000</v>
      </c>
      <c r="FC21" s="84"/>
      <c r="FD21" s="84"/>
      <c r="FE21" s="84">
        <v>167866897</v>
      </c>
      <c r="FF21" s="84"/>
      <c r="FG21" s="84" t="s">
        <v>96</v>
      </c>
      <c r="FH21" s="84"/>
      <c r="FI21" s="84" t="s">
        <v>96</v>
      </c>
      <c r="FJ21" s="84"/>
      <c r="FK21" s="84"/>
      <c r="FL21" s="84">
        <v>72407882</v>
      </c>
      <c r="FM21" s="84" t="s">
        <v>130</v>
      </c>
      <c r="FN21" s="84"/>
      <c r="FO21" s="84" t="s">
        <v>96</v>
      </c>
      <c r="FP21" s="84" t="s">
        <v>96</v>
      </c>
      <c r="FQ21" s="84"/>
      <c r="FR21" s="84"/>
      <c r="FS21" s="84"/>
      <c r="FT21" s="84"/>
      <c r="FU21" s="84"/>
      <c r="FV21" s="84" t="s">
        <v>96</v>
      </c>
      <c r="FW21" s="84"/>
      <c r="FX21" s="84"/>
      <c r="FY21" s="84" t="s">
        <v>96</v>
      </c>
      <c r="FZ21" s="84" t="s">
        <v>4</v>
      </c>
      <c r="GA21" s="84"/>
      <c r="GB21" s="84"/>
      <c r="GC21" s="84"/>
      <c r="GD21" s="84" t="s">
        <v>96</v>
      </c>
      <c r="GE21" s="84" t="s">
        <v>4</v>
      </c>
      <c r="GF21" s="84">
        <v>4833334</v>
      </c>
      <c r="GG21" s="84"/>
      <c r="GH21" s="84" t="s">
        <v>4</v>
      </c>
      <c r="GI21" s="84"/>
      <c r="GJ21" s="84" t="s">
        <v>96</v>
      </c>
      <c r="GK21" s="84"/>
      <c r="GL21" s="84" t="s">
        <v>96</v>
      </c>
      <c r="GM21" s="84"/>
      <c r="GN21" s="84"/>
      <c r="GO21" s="84" t="s">
        <v>96</v>
      </c>
      <c r="GP21" s="84"/>
      <c r="GQ21" s="84"/>
      <c r="GR21" s="84">
        <v>20000000</v>
      </c>
      <c r="GS21" s="84">
        <v>9362218</v>
      </c>
      <c r="GT21" s="84" t="s">
        <v>130</v>
      </c>
      <c r="GU21" s="84"/>
      <c r="GV21" s="84"/>
      <c r="GW21" s="84">
        <v>186873373</v>
      </c>
      <c r="GX21" s="84"/>
      <c r="GY21" s="84"/>
      <c r="GZ21" s="84"/>
      <c r="HA21" s="84" t="s">
        <v>96</v>
      </c>
      <c r="HB21" s="84"/>
      <c r="HC21" s="84" t="s">
        <v>130</v>
      </c>
      <c r="HD21" s="84"/>
      <c r="HE21" s="84" t="s">
        <v>96</v>
      </c>
      <c r="HF21" s="84"/>
      <c r="HG21" s="84"/>
      <c r="HH21" s="84" t="s">
        <v>96</v>
      </c>
      <c r="HI21" s="84"/>
      <c r="HJ21" s="84" t="s">
        <v>96</v>
      </c>
      <c r="HK21" s="84"/>
      <c r="HL21" s="84"/>
      <c r="HM21" s="84"/>
      <c r="HN21" s="84"/>
      <c r="HO21" s="84"/>
      <c r="HP21" s="84"/>
      <c r="HQ21" s="84"/>
      <c r="HR21" s="84">
        <v>1000</v>
      </c>
      <c r="HS21" s="84"/>
      <c r="HT21" s="84"/>
      <c r="HU21" s="84" t="s">
        <v>130</v>
      </c>
      <c r="HV21" s="84"/>
      <c r="HW21" s="84" t="s">
        <v>96</v>
      </c>
      <c r="HX21" s="84"/>
      <c r="HY21" s="84" t="s">
        <v>114</v>
      </c>
      <c r="HZ21" s="84"/>
      <c r="IA21" s="84"/>
      <c r="IB21" s="84"/>
      <c r="IC21" s="84"/>
      <c r="ID21" s="84"/>
      <c r="IE21" s="84" t="s">
        <v>96</v>
      </c>
      <c r="IF21" s="84"/>
      <c r="IG21" s="84"/>
      <c r="IH21" s="84"/>
      <c r="II21" s="84"/>
      <c r="IJ21" s="84"/>
      <c r="IK21" s="84"/>
      <c r="IL21" s="84">
        <v>12421900</v>
      </c>
      <c r="IM21" s="84"/>
      <c r="IN21" s="84"/>
      <c r="IO21" s="84"/>
      <c r="IP21" s="84"/>
      <c r="IQ21" s="84"/>
      <c r="IR21" s="84"/>
      <c r="IS21" s="84"/>
      <c r="IT21" s="84"/>
      <c r="IU21" s="84"/>
      <c r="IV21" s="84"/>
      <c r="IW21" s="84"/>
      <c r="IX21" s="84"/>
      <c r="IY21" s="68"/>
      <c r="IZ21" s="68"/>
      <c r="JA21" s="68"/>
      <c r="JB21" s="68"/>
      <c r="JC21" s="68"/>
      <c r="JD21" s="68"/>
      <c r="JE21" s="68"/>
      <c r="JF21" s="68"/>
      <c r="JG21" s="68"/>
      <c r="JH21" s="68"/>
      <c r="JI21" s="68"/>
      <c r="JJ21" s="68"/>
      <c r="JK21" s="68"/>
      <c r="JL21" s="68"/>
      <c r="JM21" s="68"/>
      <c r="JN21" s="68">
        <v>1323600</v>
      </c>
      <c r="JO21" s="68"/>
      <c r="JP21" s="68"/>
      <c r="JQ21" s="68" t="s">
        <v>4</v>
      </c>
      <c r="JR21" s="68"/>
      <c r="JS21" s="68"/>
      <c r="JT21" s="68"/>
      <c r="JU21" s="68"/>
      <c r="JV21" s="68"/>
      <c r="JW21" s="68"/>
      <c r="JX21" s="68"/>
      <c r="JY21" s="68"/>
      <c r="JZ21" s="68"/>
      <c r="KA21" s="68"/>
      <c r="KB21" s="68"/>
      <c r="KC21" s="68"/>
      <c r="KD21" s="68"/>
      <c r="KE21" s="68"/>
      <c r="KF21" s="68"/>
      <c r="KG21" s="68"/>
      <c r="KH21" s="68"/>
      <c r="KI21" s="68"/>
      <c r="KJ21" s="68">
        <v>8500000</v>
      </c>
      <c r="KK21" s="68"/>
      <c r="KL21" s="68"/>
      <c r="KM21" s="68"/>
      <c r="KN21" s="68"/>
      <c r="KO21" s="68"/>
      <c r="KP21" s="68"/>
      <c r="KQ21" s="68"/>
      <c r="KR21" s="68"/>
      <c r="KS21" s="68"/>
      <c r="KT21" s="68"/>
      <c r="KU21" s="68"/>
      <c r="KV21" s="68"/>
      <c r="KW21" s="68"/>
      <c r="KX21" s="68"/>
      <c r="KY21" s="68">
        <v>3833334</v>
      </c>
      <c r="KZ21" s="68"/>
      <c r="LA21" s="68"/>
      <c r="LB21" s="68"/>
      <c r="LC21" s="102"/>
      <c r="LD21" s="102"/>
      <c r="LE21" s="102"/>
      <c r="LF21" s="102"/>
      <c r="LG21" s="102"/>
      <c r="LH21" s="102" t="s">
        <v>187</v>
      </c>
      <c r="LI21" s="102"/>
      <c r="LJ21" s="102" t="s">
        <v>187</v>
      </c>
      <c r="LK21" s="102"/>
      <c r="LL21" s="102" t="s">
        <v>187</v>
      </c>
    </row>
    <row r="22" spans="1:324" ht="17.55" customHeight="1">
      <c r="A22" s="67" t="s">
        <v>184</v>
      </c>
      <c r="B22" s="87" t="s">
        <v>68</v>
      </c>
      <c r="C22" s="84">
        <v>65300000</v>
      </c>
      <c r="D22" s="84">
        <v>0</v>
      </c>
      <c r="E22" s="84">
        <v>20000000</v>
      </c>
      <c r="F22" s="85">
        <v>29600000</v>
      </c>
      <c r="G22" s="84" t="s">
        <v>130</v>
      </c>
      <c r="H22" s="84">
        <v>271908000</v>
      </c>
      <c r="I22" s="84">
        <v>510687600</v>
      </c>
      <c r="J22" s="84" t="s">
        <v>4</v>
      </c>
      <c r="K22" s="84">
        <v>56061000</v>
      </c>
      <c r="L22" s="84" t="s">
        <v>96</v>
      </c>
      <c r="M22" s="84" t="s">
        <v>96</v>
      </c>
      <c r="N22" s="84">
        <v>37380000</v>
      </c>
      <c r="O22" s="84">
        <v>174672120</v>
      </c>
      <c r="P22" s="84">
        <v>144700000</v>
      </c>
      <c r="Q22" s="84">
        <v>16000000</v>
      </c>
      <c r="R22" s="84" t="s">
        <v>130</v>
      </c>
      <c r="S22" s="84">
        <v>56655000</v>
      </c>
      <c r="T22" s="84" t="s">
        <v>96</v>
      </c>
      <c r="U22" s="84" t="s">
        <v>96</v>
      </c>
      <c r="V22" s="84" t="s">
        <v>4</v>
      </c>
      <c r="W22" s="84">
        <v>20330000</v>
      </c>
      <c r="X22" s="84">
        <v>35000000</v>
      </c>
      <c r="Y22" s="84">
        <v>22038460</v>
      </c>
      <c r="Z22" s="84">
        <v>770000000</v>
      </c>
      <c r="AA22" s="84">
        <v>525000000</v>
      </c>
      <c r="AB22" s="84">
        <v>50665000</v>
      </c>
      <c r="AC22" s="84">
        <v>15105000</v>
      </c>
      <c r="AD22" s="84">
        <v>76419000</v>
      </c>
      <c r="AE22" s="84">
        <v>58317000</v>
      </c>
      <c r="AF22" s="84" t="s">
        <v>96</v>
      </c>
      <c r="AG22" s="84">
        <v>17189000</v>
      </c>
      <c r="AH22" s="84" t="s">
        <v>130</v>
      </c>
      <c r="AI22" s="84">
        <v>32162000</v>
      </c>
      <c r="AJ22" s="84">
        <v>47200000</v>
      </c>
      <c r="AK22" s="84">
        <v>34162400</v>
      </c>
      <c r="AL22" s="84">
        <v>50335883</v>
      </c>
      <c r="AM22" s="84" t="s">
        <v>4</v>
      </c>
      <c r="AN22" s="84">
        <v>102264000</v>
      </c>
      <c r="AO22" s="84">
        <v>22581000</v>
      </c>
      <c r="AP22" s="84">
        <v>0</v>
      </c>
      <c r="AQ22" s="84" t="s">
        <v>4</v>
      </c>
      <c r="AR22" s="84">
        <v>500140000</v>
      </c>
      <c r="AS22" s="84">
        <v>995180000</v>
      </c>
      <c r="AT22" s="84" t="s">
        <v>96</v>
      </c>
      <c r="AU22" s="84">
        <v>331659400</v>
      </c>
      <c r="AV22" s="84">
        <v>151298000</v>
      </c>
      <c r="AW22" s="84">
        <v>1000000</v>
      </c>
      <c r="AX22" s="84" t="s">
        <v>4</v>
      </c>
      <c r="AY22" s="84" t="s">
        <v>96</v>
      </c>
      <c r="AZ22" s="84">
        <v>430000000</v>
      </c>
      <c r="BA22" s="84" t="s">
        <v>130</v>
      </c>
      <c r="BB22" s="84">
        <v>0</v>
      </c>
      <c r="BC22" s="84" t="s">
        <v>4</v>
      </c>
      <c r="BD22" s="84" t="s">
        <v>96</v>
      </c>
      <c r="BE22" s="84">
        <v>99548000</v>
      </c>
      <c r="BF22" s="84" t="s">
        <v>96</v>
      </c>
      <c r="BG22" s="84">
        <v>64367017</v>
      </c>
      <c r="BH22" s="84"/>
      <c r="BI22" s="84">
        <v>55300000</v>
      </c>
      <c r="BJ22" s="84">
        <v>115484834</v>
      </c>
      <c r="BK22" s="84">
        <v>194200000</v>
      </c>
      <c r="BL22" s="84">
        <v>40000000</v>
      </c>
      <c r="BM22" s="84">
        <v>89109330</v>
      </c>
      <c r="BN22" s="84">
        <v>50000000</v>
      </c>
      <c r="BO22" s="84" t="s">
        <v>96</v>
      </c>
      <c r="BP22" s="84" t="s">
        <v>96</v>
      </c>
      <c r="BQ22" s="84" t="s">
        <v>4</v>
      </c>
      <c r="BR22" s="84">
        <v>184486000</v>
      </c>
      <c r="BS22" s="84" t="s">
        <v>4</v>
      </c>
      <c r="BT22" s="84" t="s">
        <v>96</v>
      </c>
      <c r="BU22" s="84">
        <v>41005000</v>
      </c>
      <c r="BV22" s="84">
        <v>0</v>
      </c>
      <c r="BW22" s="84">
        <v>500000</v>
      </c>
      <c r="BX22" s="84"/>
      <c r="BY22" s="84">
        <v>183160000</v>
      </c>
      <c r="BZ22" s="84">
        <v>10000000</v>
      </c>
      <c r="CA22" s="84">
        <v>328735700</v>
      </c>
      <c r="CB22" s="84">
        <v>0</v>
      </c>
      <c r="CC22" s="84">
        <v>7500000</v>
      </c>
      <c r="CD22" s="84">
        <v>0</v>
      </c>
      <c r="CE22" s="84" t="s">
        <v>96</v>
      </c>
      <c r="CF22" s="84" t="s">
        <v>96</v>
      </c>
      <c r="CG22" s="84">
        <v>10000000</v>
      </c>
      <c r="CH22" s="84">
        <v>80100000</v>
      </c>
      <c r="CI22" s="84" t="s">
        <v>96</v>
      </c>
      <c r="CJ22" s="84">
        <v>13000000</v>
      </c>
      <c r="CK22" s="84">
        <v>1395000</v>
      </c>
      <c r="CL22" s="84">
        <v>500000</v>
      </c>
      <c r="CM22" s="84">
        <v>446920000</v>
      </c>
      <c r="CN22" s="84">
        <v>7602400</v>
      </c>
      <c r="CO22" s="84">
        <v>0</v>
      </c>
      <c r="CP22" s="84" t="s">
        <v>96</v>
      </c>
      <c r="CQ22" s="84" t="s">
        <v>96</v>
      </c>
      <c r="CR22" s="84">
        <v>139927230</v>
      </c>
      <c r="CS22" s="84" t="s">
        <v>96</v>
      </c>
      <c r="CT22" s="84">
        <v>330746000</v>
      </c>
      <c r="CU22" s="84">
        <v>34250550</v>
      </c>
      <c r="CV22" s="84"/>
      <c r="CW22" s="84" t="s">
        <v>96</v>
      </c>
      <c r="CX22" s="84">
        <v>226742000</v>
      </c>
      <c r="CY22" s="84" t="s">
        <v>96</v>
      </c>
      <c r="CZ22" s="84">
        <v>36204000</v>
      </c>
      <c r="DA22" s="84" t="s">
        <v>96</v>
      </c>
      <c r="DB22" s="84">
        <v>930000</v>
      </c>
      <c r="DC22" s="84"/>
      <c r="DD22" s="84" t="s">
        <v>96</v>
      </c>
      <c r="DE22" s="84">
        <v>34880600</v>
      </c>
      <c r="DF22" s="84">
        <v>0</v>
      </c>
      <c r="DG22" s="84">
        <v>300000</v>
      </c>
      <c r="DH22" s="84">
        <v>0</v>
      </c>
      <c r="DI22" s="84">
        <v>300000</v>
      </c>
      <c r="DJ22" s="84">
        <v>0</v>
      </c>
      <c r="DK22" s="84" t="s">
        <v>96</v>
      </c>
      <c r="DL22" s="84">
        <v>7364000</v>
      </c>
      <c r="DM22" s="84">
        <v>552130272</v>
      </c>
      <c r="DN22" s="84">
        <v>31151000</v>
      </c>
      <c r="DO22" s="84">
        <v>70000000</v>
      </c>
      <c r="DP22" s="86">
        <v>208465000</v>
      </c>
      <c r="DQ22" s="84">
        <v>20000000</v>
      </c>
      <c r="DR22" s="84">
        <v>69727000</v>
      </c>
      <c r="DS22" s="84"/>
      <c r="DT22" s="84">
        <v>100137216</v>
      </c>
      <c r="DU22" s="84">
        <v>40000000</v>
      </c>
      <c r="DV22" s="84">
        <v>98840000</v>
      </c>
      <c r="DW22" s="84">
        <v>383995000</v>
      </c>
      <c r="DX22" s="84">
        <v>736639450</v>
      </c>
      <c r="DY22" s="84">
        <v>0</v>
      </c>
      <c r="DZ22" s="84">
        <v>36076395</v>
      </c>
      <c r="EA22" s="84">
        <v>10000000</v>
      </c>
      <c r="EB22" s="84">
        <v>0</v>
      </c>
      <c r="EC22" s="84">
        <v>0</v>
      </c>
      <c r="ED22" s="84">
        <v>0</v>
      </c>
      <c r="EE22" s="84">
        <v>100000000</v>
      </c>
      <c r="EF22" s="84">
        <v>5000000</v>
      </c>
      <c r="EG22" s="96">
        <v>178277800</v>
      </c>
      <c r="EH22" s="99"/>
      <c r="EI22" s="97">
        <v>1415934000</v>
      </c>
      <c r="EJ22" s="84">
        <v>10150000</v>
      </c>
      <c r="EK22" s="84"/>
      <c r="EL22" s="84">
        <v>148760000</v>
      </c>
      <c r="EM22" s="84">
        <v>310000000</v>
      </c>
      <c r="EN22" s="84">
        <v>500000000</v>
      </c>
      <c r="EO22" s="84">
        <v>55442000</v>
      </c>
      <c r="EP22" s="84">
        <v>0</v>
      </c>
      <c r="EQ22" s="84"/>
      <c r="ER22" s="84">
        <v>84640000</v>
      </c>
      <c r="ES22" s="84">
        <v>300467000</v>
      </c>
      <c r="ET22" s="84">
        <v>844734000</v>
      </c>
      <c r="EU22" s="84">
        <v>353876700</v>
      </c>
      <c r="EV22" s="84">
        <v>300000</v>
      </c>
      <c r="EW22" s="84">
        <v>3500000</v>
      </c>
      <c r="EX22" s="84">
        <v>315000000</v>
      </c>
      <c r="EY22" s="84">
        <v>125486000</v>
      </c>
      <c r="EZ22" s="84">
        <v>116350000</v>
      </c>
      <c r="FA22" s="84">
        <v>200000</v>
      </c>
      <c r="FB22" s="86">
        <v>2780000</v>
      </c>
      <c r="FC22" s="84">
        <v>56884980</v>
      </c>
      <c r="FD22" s="84">
        <v>0</v>
      </c>
      <c r="FE22" s="84">
        <v>617733500</v>
      </c>
      <c r="FF22" s="84">
        <v>0</v>
      </c>
      <c r="FG22" s="84" t="s">
        <v>96</v>
      </c>
      <c r="FH22" s="84">
        <v>103488000</v>
      </c>
      <c r="FI22" s="84" t="s">
        <v>96</v>
      </c>
      <c r="FJ22" s="84">
        <v>60590000</v>
      </c>
      <c r="FK22" s="84">
        <v>1326773179</v>
      </c>
      <c r="FL22" s="84">
        <v>38276000</v>
      </c>
      <c r="FM22" s="84" t="s">
        <v>130</v>
      </c>
      <c r="FN22" s="84">
        <v>411251000</v>
      </c>
      <c r="FO22" s="84" t="s">
        <v>96</v>
      </c>
      <c r="FP22" s="84" t="s">
        <v>96</v>
      </c>
      <c r="FQ22" s="84">
        <v>10059800</v>
      </c>
      <c r="FR22" s="84">
        <v>118430577</v>
      </c>
      <c r="FS22" s="84">
        <v>200000</v>
      </c>
      <c r="FT22" s="84">
        <v>153575500</v>
      </c>
      <c r="FU22" s="84">
        <v>0</v>
      </c>
      <c r="FV22" s="84" t="s">
        <v>96</v>
      </c>
      <c r="FW22" s="84">
        <v>0</v>
      </c>
      <c r="FX22" s="84">
        <v>0</v>
      </c>
      <c r="FY22" s="84" t="s">
        <v>96</v>
      </c>
      <c r="FZ22" s="84" t="s">
        <v>4</v>
      </c>
      <c r="GA22" s="84">
        <v>416741400</v>
      </c>
      <c r="GB22" s="84">
        <v>16516500</v>
      </c>
      <c r="GC22" s="84">
        <v>200000</v>
      </c>
      <c r="GD22" s="84" t="s">
        <v>96</v>
      </c>
      <c r="GE22" s="84" t="s">
        <v>4</v>
      </c>
      <c r="GF22" s="84">
        <v>175000000</v>
      </c>
      <c r="GG22" s="84">
        <v>74610000</v>
      </c>
      <c r="GH22" s="84" t="s">
        <v>4</v>
      </c>
      <c r="GI22" s="84">
        <v>20000000</v>
      </c>
      <c r="GJ22" s="84" t="s">
        <v>96</v>
      </c>
      <c r="GK22" s="84">
        <v>100200000</v>
      </c>
      <c r="GL22" s="84" t="s">
        <v>96</v>
      </c>
      <c r="GM22" s="84">
        <v>27200000</v>
      </c>
      <c r="GN22" s="84">
        <v>0</v>
      </c>
      <c r="GO22" s="84" t="s">
        <v>96</v>
      </c>
      <c r="GP22" s="84">
        <v>66393000</v>
      </c>
      <c r="GQ22" s="84">
        <v>25000000</v>
      </c>
      <c r="GR22" s="84">
        <v>139150000</v>
      </c>
      <c r="GS22" s="84">
        <v>255983052</v>
      </c>
      <c r="GT22" s="84" t="s">
        <v>130</v>
      </c>
      <c r="GU22" s="84">
        <v>30000000</v>
      </c>
      <c r="GV22" s="84"/>
      <c r="GW22" s="84">
        <v>1399315608</v>
      </c>
      <c r="GX22" s="84">
        <v>4268000</v>
      </c>
      <c r="GY22" s="84">
        <v>0</v>
      </c>
      <c r="GZ22" s="84">
        <v>11808000</v>
      </c>
      <c r="HA22" s="84" t="s">
        <v>96</v>
      </c>
      <c r="HB22" s="84">
        <v>12975000</v>
      </c>
      <c r="HC22" s="84" t="s">
        <v>130</v>
      </c>
      <c r="HD22" s="84">
        <v>20000000</v>
      </c>
      <c r="HE22" s="84" t="s">
        <v>96</v>
      </c>
      <c r="HF22" s="84">
        <v>35190000</v>
      </c>
      <c r="HG22" s="84">
        <v>300000</v>
      </c>
      <c r="HH22" s="84" t="s">
        <v>96</v>
      </c>
      <c r="HI22" s="84">
        <v>168840000</v>
      </c>
      <c r="HJ22" s="84" t="s">
        <v>96</v>
      </c>
      <c r="HK22" s="84">
        <v>438121027</v>
      </c>
      <c r="HL22" s="84">
        <v>50384000</v>
      </c>
      <c r="HM22" s="84">
        <v>117128000</v>
      </c>
      <c r="HN22" s="84">
        <v>5000000</v>
      </c>
      <c r="HO22" s="84">
        <v>0</v>
      </c>
      <c r="HP22" s="84">
        <v>320000000</v>
      </c>
      <c r="HQ22" s="84">
        <v>31139000</v>
      </c>
      <c r="HR22" s="84">
        <v>111811700</v>
      </c>
      <c r="HS22" s="84">
        <v>35000000</v>
      </c>
      <c r="HT22" s="84">
        <v>19532580</v>
      </c>
      <c r="HU22" s="84" t="s">
        <v>130</v>
      </c>
      <c r="HV22" s="84">
        <v>10030000</v>
      </c>
      <c r="HW22" s="84" t="s">
        <v>96</v>
      </c>
      <c r="HX22" s="84">
        <v>24000000</v>
      </c>
      <c r="HY22" s="84" t="s">
        <v>114</v>
      </c>
      <c r="HZ22" s="84">
        <v>380616000</v>
      </c>
      <c r="IA22" s="84"/>
      <c r="IB22" s="84">
        <v>40260630</v>
      </c>
      <c r="IC22" s="84">
        <v>25793900</v>
      </c>
      <c r="ID22" s="84">
        <v>200000</v>
      </c>
      <c r="IE22" s="84" t="s">
        <v>96</v>
      </c>
      <c r="IF22" s="84">
        <v>0</v>
      </c>
      <c r="IG22" s="84">
        <v>10000000</v>
      </c>
      <c r="IH22" s="84">
        <v>150000000</v>
      </c>
      <c r="II22" s="84">
        <v>43362000</v>
      </c>
      <c r="IJ22" s="84">
        <v>3757180</v>
      </c>
      <c r="IK22" s="84">
        <v>10080000</v>
      </c>
      <c r="IL22" s="84">
        <v>21065550</v>
      </c>
      <c r="IM22" s="84">
        <v>59732427</v>
      </c>
      <c r="IN22" s="84">
        <v>270460000</v>
      </c>
      <c r="IO22" s="84">
        <v>71053400</v>
      </c>
      <c r="IP22" s="84">
        <v>67807000</v>
      </c>
      <c r="IQ22" s="84">
        <v>10300000</v>
      </c>
      <c r="IR22" s="84">
        <v>47000000</v>
      </c>
      <c r="IS22" s="84">
        <v>0</v>
      </c>
      <c r="IT22" s="84">
        <v>5000000</v>
      </c>
      <c r="IU22" s="84">
        <v>30000000</v>
      </c>
      <c r="IV22" s="84">
        <v>115000000</v>
      </c>
      <c r="IW22" s="84">
        <v>31269953</v>
      </c>
      <c r="IX22" s="84">
        <v>33141000</v>
      </c>
      <c r="IY22" s="68">
        <v>90008800</v>
      </c>
      <c r="IZ22" s="68">
        <v>0</v>
      </c>
      <c r="JA22" s="68">
        <v>64088800</v>
      </c>
      <c r="JB22" s="68">
        <v>50200000</v>
      </c>
      <c r="JC22" s="68">
        <v>4877400</v>
      </c>
      <c r="JD22" s="68">
        <v>53724530</v>
      </c>
      <c r="JE22" s="68">
        <v>10000000</v>
      </c>
      <c r="JF22" s="68">
        <v>20034000</v>
      </c>
      <c r="JG22" s="68"/>
      <c r="JH22" s="68">
        <v>16920000</v>
      </c>
      <c r="JI22" s="68">
        <v>55000000</v>
      </c>
      <c r="JJ22" s="68">
        <v>20750000</v>
      </c>
      <c r="JK22" s="68">
        <v>40000000</v>
      </c>
      <c r="JL22" s="68">
        <v>120000000</v>
      </c>
      <c r="JM22" s="68">
        <v>0</v>
      </c>
      <c r="JN22" s="68">
        <v>335432856</v>
      </c>
      <c r="JO22" s="68">
        <v>40000000</v>
      </c>
      <c r="JP22" s="68">
        <v>30000000</v>
      </c>
      <c r="JQ22" s="68" t="s">
        <v>4</v>
      </c>
      <c r="JR22" s="68">
        <v>26057520</v>
      </c>
      <c r="JS22" s="68">
        <v>0</v>
      </c>
      <c r="JT22" s="68">
        <v>5524500</v>
      </c>
      <c r="JU22" s="68">
        <v>43216500</v>
      </c>
      <c r="JV22" s="68">
        <v>45000000</v>
      </c>
      <c r="JW22" s="68">
        <v>90000000</v>
      </c>
      <c r="JX22" s="68">
        <v>230000000</v>
      </c>
      <c r="JY22" s="68">
        <v>254059900</v>
      </c>
      <c r="JZ22" s="68">
        <v>14500000</v>
      </c>
      <c r="KA22" s="68">
        <v>5000000</v>
      </c>
      <c r="KB22" s="68">
        <v>293835070</v>
      </c>
      <c r="KC22" s="68">
        <v>3630000</v>
      </c>
      <c r="KD22" s="68">
        <v>34719280</v>
      </c>
      <c r="KE22" s="68">
        <v>30000000</v>
      </c>
      <c r="KF22" s="68">
        <v>45909001</v>
      </c>
      <c r="KG22" s="68">
        <v>15000000</v>
      </c>
      <c r="KH22" s="68">
        <v>11009400</v>
      </c>
      <c r="KI22" s="68">
        <v>0</v>
      </c>
      <c r="KJ22" s="68">
        <v>44000000</v>
      </c>
      <c r="KK22" s="68">
        <v>57080000</v>
      </c>
      <c r="KL22" s="68">
        <v>603396186</v>
      </c>
      <c r="KM22" s="68">
        <v>80000000</v>
      </c>
      <c r="KN22" s="68">
        <v>209800735</v>
      </c>
      <c r="KO22" s="68">
        <v>80254000</v>
      </c>
      <c r="KP22" s="68">
        <v>50000000</v>
      </c>
      <c r="KQ22" s="68">
        <v>46000000</v>
      </c>
      <c r="KR22" s="68">
        <v>21590000</v>
      </c>
      <c r="KS22" s="68">
        <v>24841000</v>
      </c>
      <c r="KT22" s="68">
        <v>1350000</v>
      </c>
      <c r="KU22" s="68">
        <v>39199520</v>
      </c>
      <c r="KV22" s="68">
        <v>3670000</v>
      </c>
      <c r="KW22" s="68">
        <v>5000000</v>
      </c>
      <c r="KX22" s="68">
        <v>25000000</v>
      </c>
      <c r="KY22" s="68">
        <v>122549300</v>
      </c>
      <c r="KZ22" s="68">
        <v>10000000</v>
      </c>
      <c r="LA22" s="68">
        <v>22700000</v>
      </c>
      <c r="LB22" s="68">
        <v>26856000</v>
      </c>
      <c r="LC22" s="102">
        <v>0</v>
      </c>
      <c r="LD22" s="102">
        <v>98700000</v>
      </c>
      <c r="LE22" s="102">
        <v>132277994</v>
      </c>
      <c r="LF22" s="102">
        <v>0</v>
      </c>
      <c r="LG22" s="102">
        <v>70000000</v>
      </c>
      <c r="LH22" s="102" t="s">
        <v>187</v>
      </c>
      <c r="LI22" s="102">
        <v>30000000</v>
      </c>
      <c r="LJ22" s="102" t="s">
        <v>187</v>
      </c>
      <c r="LK22" s="102">
        <v>20000000</v>
      </c>
      <c r="LL22" s="102" t="s">
        <v>187</v>
      </c>
    </row>
    <row r="23" spans="1:324" ht="17.55" customHeight="1">
      <c r="A23" s="67" t="s">
        <v>184</v>
      </c>
      <c r="B23" s="91" t="s">
        <v>109</v>
      </c>
      <c r="C23" s="84">
        <v>159165396</v>
      </c>
      <c r="D23" s="84">
        <v>941948707</v>
      </c>
      <c r="E23" s="84">
        <v>515658108</v>
      </c>
      <c r="F23" s="85">
        <v>634231505</v>
      </c>
      <c r="G23" s="84" t="s">
        <v>130</v>
      </c>
      <c r="H23" s="84">
        <v>3400886846</v>
      </c>
      <c r="I23" s="84">
        <v>5768240749</v>
      </c>
      <c r="J23" s="84" t="s">
        <v>4</v>
      </c>
      <c r="K23" s="84">
        <v>171282535</v>
      </c>
      <c r="L23" s="84" t="s">
        <v>96</v>
      </c>
      <c r="M23" s="84" t="s">
        <v>96</v>
      </c>
      <c r="N23" s="84">
        <v>362210576</v>
      </c>
      <c r="O23" s="84">
        <v>6135531720</v>
      </c>
      <c r="P23" s="84">
        <v>5429224328</v>
      </c>
      <c r="Q23" s="84">
        <v>117021884</v>
      </c>
      <c r="R23" s="84" t="s">
        <v>130</v>
      </c>
      <c r="S23" s="84">
        <v>13163475957</v>
      </c>
      <c r="T23" s="84" t="s">
        <v>96</v>
      </c>
      <c r="U23" s="84" t="s">
        <v>96</v>
      </c>
      <c r="V23" s="84" t="s">
        <v>4</v>
      </c>
      <c r="W23" s="84">
        <v>1336196198</v>
      </c>
      <c r="X23" s="84">
        <v>3840457872</v>
      </c>
      <c r="Y23" s="84">
        <v>335017457</v>
      </c>
      <c r="Z23" s="84">
        <v>6525311067</v>
      </c>
      <c r="AA23" s="84">
        <v>3220995041</v>
      </c>
      <c r="AB23" s="84">
        <v>21916880</v>
      </c>
      <c r="AC23" s="84">
        <v>393107152</v>
      </c>
      <c r="AD23" s="84">
        <v>2287913728</v>
      </c>
      <c r="AE23" s="84">
        <v>5250686665</v>
      </c>
      <c r="AF23" s="84" t="s">
        <v>96</v>
      </c>
      <c r="AG23" s="84">
        <v>2208977032</v>
      </c>
      <c r="AH23" s="84" t="s">
        <v>130</v>
      </c>
      <c r="AI23" s="84">
        <v>996323152</v>
      </c>
      <c r="AJ23" s="84">
        <v>461483577</v>
      </c>
      <c r="AK23" s="84">
        <v>716649702</v>
      </c>
      <c r="AL23" s="84">
        <v>665852582</v>
      </c>
      <c r="AM23" s="84" t="s">
        <v>4</v>
      </c>
      <c r="AN23" s="84">
        <v>1690169734</v>
      </c>
      <c r="AO23" s="84">
        <v>811140118</v>
      </c>
      <c r="AP23" s="84">
        <v>258006602</v>
      </c>
      <c r="AQ23" s="84" t="s">
        <v>4</v>
      </c>
      <c r="AR23" s="84">
        <v>476465710</v>
      </c>
      <c r="AS23" s="84">
        <v>1476671454</v>
      </c>
      <c r="AT23" s="84" t="s">
        <v>96</v>
      </c>
      <c r="AU23" s="84">
        <v>6543736937</v>
      </c>
      <c r="AV23" s="84">
        <v>46392747</v>
      </c>
      <c r="AW23" s="84">
        <v>468150883</v>
      </c>
      <c r="AX23" s="84" t="s">
        <v>4</v>
      </c>
      <c r="AY23" s="84" t="s">
        <v>96</v>
      </c>
      <c r="AZ23" s="84">
        <v>422845990</v>
      </c>
      <c r="BA23" s="84" t="s">
        <v>130</v>
      </c>
      <c r="BB23" s="84">
        <v>56436365</v>
      </c>
      <c r="BC23" s="84" t="s">
        <v>4</v>
      </c>
      <c r="BD23" s="84" t="s">
        <v>96</v>
      </c>
      <c r="BE23" s="84">
        <v>2755538628</v>
      </c>
      <c r="BF23" s="84" t="s">
        <v>96</v>
      </c>
      <c r="BG23" s="84">
        <v>986737583</v>
      </c>
      <c r="BH23" s="84">
        <v>835832675</v>
      </c>
      <c r="BI23" s="84">
        <v>71044000</v>
      </c>
      <c r="BJ23" s="84">
        <v>783470250</v>
      </c>
      <c r="BK23" s="84">
        <v>3102310449</v>
      </c>
      <c r="BL23" s="84">
        <v>116141736</v>
      </c>
      <c r="BM23" s="84">
        <v>1499534992</v>
      </c>
      <c r="BN23" s="84">
        <v>104856919</v>
      </c>
      <c r="BO23" s="84" t="s">
        <v>96</v>
      </c>
      <c r="BP23" s="84" t="s">
        <v>96</v>
      </c>
      <c r="BQ23" s="84" t="s">
        <v>4</v>
      </c>
      <c r="BR23" s="84">
        <v>6187039081</v>
      </c>
      <c r="BS23" s="84" t="s">
        <v>4</v>
      </c>
      <c r="BT23" s="84" t="s">
        <v>96</v>
      </c>
      <c r="BU23" s="84">
        <v>1505597291</v>
      </c>
      <c r="BV23" s="84">
        <v>477868361</v>
      </c>
      <c r="BW23" s="84">
        <v>5937398</v>
      </c>
      <c r="BX23" s="84">
        <v>207287082</v>
      </c>
      <c r="BY23" s="84">
        <v>1750266086</v>
      </c>
      <c r="BZ23" s="84">
        <v>145602901</v>
      </c>
      <c r="CA23" s="84">
        <v>2385885572</v>
      </c>
      <c r="CB23" s="84">
        <v>1526774180</v>
      </c>
      <c r="CC23" s="84">
        <v>137654842</v>
      </c>
      <c r="CD23" s="84">
        <v>835301670</v>
      </c>
      <c r="CE23" s="84" t="s">
        <v>96</v>
      </c>
      <c r="CF23" s="84" t="s">
        <v>96</v>
      </c>
      <c r="CG23" s="84">
        <v>8299332</v>
      </c>
      <c r="CH23" s="84">
        <v>58886201</v>
      </c>
      <c r="CI23" s="84" t="s">
        <v>96</v>
      </c>
      <c r="CJ23" s="84">
        <v>473735282</v>
      </c>
      <c r="CK23" s="84">
        <v>7819399546</v>
      </c>
      <c r="CL23" s="84">
        <v>832031746</v>
      </c>
      <c r="CM23" s="84">
        <v>2992533231</v>
      </c>
      <c r="CN23" s="84">
        <v>113514984</v>
      </c>
      <c r="CO23" s="84">
        <v>3724870</v>
      </c>
      <c r="CP23" s="84" t="s">
        <v>96</v>
      </c>
      <c r="CQ23" s="84" t="s">
        <v>96</v>
      </c>
      <c r="CR23" s="84">
        <v>51869339</v>
      </c>
      <c r="CS23" s="84" t="s">
        <v>96</v>
      </c>
      <c r="CT23" s="84">
        <v>6864718997</v>
      </c>
      <c r="CU23" s="84">
        <v>242126905</v>
      </c>
      <c r="CV23" s="84">
        <v>303904872</v>
      </c>
      <c r="CW23" s="84" t="s">
        <v>96</v>
      </c>
      <c r="CX23" s="84">
        <v>3847300087</v>
      </c>
      <c r="CY23" s="84" t="s">
        <v>96</v>
      </c>
      <c r="CZ23" s="84">
        <v>4295358508</v>
      </c>
      <c r="DA23" s="84" t="s">
        <v>96</v>
      </c>
      <c r="DB23" s="84">
        <v>50644743</v>
      </c>
      <c r="DC23" s="84">
        <v>67537969</v>
      </c>
      <c r="DD23" s="84" t="s">
        <v>96</v>
      </c>
      <c r="DE23" s="84">
        <v>0</v>
      </c>
      <c r="DF23" s="84">
        <v>41204360</v>
      </c>
      <c r="DG23" s="84">
        <v>877121374</v>
      </c>
      <c r="DH23" s="84">
        <v>587254668</v>
      </c>
      <c r="DI23" s="84">
        <v>5682570784</v>
      </c>
      <c r="DJ23" s="84">
        <v>22891564</v>
      </c>
      <c r="DK23" s="84" t="s">
        <v>96</v>
      </c>
      <c r="DL23" s="84">
        <v>328034392</v>
      </c>
      <c r="DM23" s="84">
        <v>1171236913</v>
      </c>
      <c r="DN23" s="84">
        <v>1323837288</v>
      </c>
      <c r="DO23" s="84">
        <v>129056346</v>
      </c>
      <c r="DP23" s="86">
        <v>2478797433</v>
      </c>
      <c r="DQ23" s="84">
        <v>367459707</v>
      </c>
      <c r="DR23" s="84">
        <v>5363792982</v>
      </c>
      <c r="DS23" s="84">
        <v>142387880</v>
      </c>
      <c r="DT23" s="84">
        <v>2735253745</v>
      </c>
      <c r="DU23" s="84">
        <v>78525095</v>
      </c>
      <c r="DV23" s="84">
        <v>945727459</v>
      </c>
      <c r="DW23" s="84">
        <v>438123111</v>
      </c>
      <c r="DX23" s="84">
        <v>3013387222</v>
      </c>
      <c r="DY23" s="84">
        <v>918656303</v>
      </c>
      <c r="DZ23" s="84">
        <v>233535187</v>
      </c>
      <c r="EA23" s="84">
        <v>31701127</v>
      </c>
      <c r="EB23" s="84">
        <v>5218682239</v>
      </c>
      <c r="EC23" s="84">
        <v>576942734</v>
      </c>
      <c r="ED23" s="84">
        <v>81175755</v>
      </c>
      <c r="EE23" s="84">
        <v>68067849</v>
      </c>
      <c r="EF23" s="84">
        <v>3042946282</v>
      </c>
      <c r="EG23" s="96">
        <v>2572478057</v>
      </c>
      <c r="EH23" s="99">
        <v>3107034607</v>
      </c>
      <c r="EI23" s="97">
        <v>5719338016</v>
      </c>
      <c r="EJ23" s="84">
        <v>192009376</v>
      </c>
      <c r="EK23" s="84">
        <v>125785041</v>
      </c>
      <c r="EL23" s="84">
        <v>234969367</v>
      </c>
      <c r="EM23" s="84">
        <v>57308493</v>
      </c>
      <c r="EN23" s="84">
        <v>3330076462</v>
      </c>
      <c r="EO23" s="84">
        <v>197776857</v>
      </c>
      <c r="EP23" s="84">
        <v>16182853</v>
      </c>
      <c r="EQ23" s="84">
        <v>715680563</v>
      </c>
      <c r="ER23" s="84">
        <v>2060951766</v>
      </c>
      <c r="ES23" s="84">
        <v>323279789</v>
      </c>
      <c r="ET23" s="84">
        <v>772402434</v>
      </c>
      <c r="EU23" s="84">
        <v>2069355737</v>
      </c>
      <c r="EV23" s="84">
        <v>282334092</v>
      </c>
      <c r="EW23" s="84">
        <v>1192047742</v>
      </c>
      <c r="EX23" s="84">
        <v>2098970220</v>
      </c>
      <c r="EY23" s="84">
        <v>2289638929</v>
      </c>
      <c r="EZ23" s="84">
        <v>353268550</v>
      </c>
      <c r="FA23" s="84">
        <v>2551587370</v>
      </c>
      <c r="FB23" s="86">
        <v>136867730</v>
      </c>
      <c r="FC23" s="84">
        <v>740709072</v>
      </c>
      <c r="FD23" s="84">
        <v>1619558276</v>
      </c>
      <c r="FE23" s="84">
        <v>6012625816</v>
      </c>
      <c r="FF23" s="84">
        <v>13355383</v>
      </c>
      <c r="FG23" s="84" t="s">
        <v>96</v>
      </c>
      <c r="FH23" s="84">
        <v>1352054937</v>
      </c>
      <c r="FI23" s="84" t="s">
        <v>96</v>
      </c>
      <c r="FJ23" s="84">
        <v>46129677</v>
      </c>
      <c r="FK23" s="84">
        <v>2380093768</v>
      </c>
      <c r="FL23" s="84">
        <v>399958846</v>
      </c>
      <c r="FM23" s="84" t="s">
        <v>130</v>
      </c>
      <c r="FN23" s="84">
        <v>12636104453</v>
      </c>
      <c r="FO23" s="84" t="s">
        <v>96</v>
      </c>
      <c r="FP23" s="84" t="s">
        <v>96</v>
      </c>
      <c r="FQ23" s="84">
        <v>213798143</v>
      </c>
      <c r="FR23" s="84">
        <v>233988073</v>
      </c>
      <c r="FS23" s="84">
        <v>1336274068</v>
      </c>
      <c r="FT23" s="84">
        <v>3327011377</v>
      </c>
      <c r="FU23" s="84">
        <v>150311610</v>
      </c>
      <c r="FV23" s="84" t="s">
        <v>96</v>
      </c>
      <c r="FW23" s="84">
        <v>217045637</v>
      </c>
      <c r="FX23" s="84">
        <v>564068900</v>
      </c>
      <c r="FY23" s="84" t="s">
        <v>96</v>
      </c>
      <c r="FZ23" s="84" t="s">
        <v>4</v>
      </c>
      <c r="GA23" s="84">
        <v>613311683</v>
      </c>
      <c r="GB23" s="84">
        <v>425323027</v>
      </c>
      <c r="GC23" s="84">
        <v>25212442</v>
      </c>
      <c r="GD23" s="84" t="s">
        <v>96</v>
      </c>
      <c r="GE23" s="84" t="s">
        <v>4</v>
      </c>
      <c r="GF23" s="84">
        <v>1331074403</v>
      </c>
      <c r="GG23" s="84">
        <v>3467739529</v>
      </c>
      <c r="GH23" s="84" t="s">
        <v>4</v>
      </c>
      <c r="GI23" s="84">
        <v>224813630</v>
      </c>
      <c r="GJ23" s="84" t="s">
        <v>96</v>
      </c>
      <c r="GK23" s="84">
        <v>346640328</v>
      </c>
      <c r="GL23" s="84" t="s">
        <v>96</v>
      </c>
      <c r="GM23" s="84">
        <v>422616194</v>
      </c>
      <c r="GN23" s="84">
        <v>507100929</v>
      </c>
      <c r="GO23" s="84" t="s">
        <v>96</v>
      </c>
      <c r="GP23" s="84">
        <v>5930485318</v>
      </c>
      <c r="GQ23" s="84">
        <v>76347808</v>
      </c>
      <c r="GR23" s="84">
        <v>1836758194</v>
      </c>
      <c r="GS23" s="84">
        <v>404961942</v>
      </c>
      <c r="GT23" s="84" t="s">
        <v>130</v>
      </c>
      <c r="GU23" s="84">
        <v>276830</v>
      </c>
      <c r="GV23" s="84">
        <v>2525763786</v>
      </c>
      <c r="GW23" s="84">
        <v>24928855206</v>
      </c>
      <c r="GX23" s="84">
        <v>2545468490</v>
      </c>
      <c r="GY23" s="84">
        <v>1601021082</v>
      </c>
      <c r="GZ23" s="84">
        <v>4073134438</v>
      </c>
      <c r="HA23" s="84" t="s">
        <v>96</v>
      </c>
      <c r="HB23" s="84">
        <v>147372001</v>
      </c>
      <c r="HC23" s="84" t="s">
        <v>130</v>
      </c>
      <c r="HD23" s="84">
        <v>39029082</v>
      </c>
      <c r="HE23" s="84" t="s">
        <v>96</v>
      </c>
      <c r="HF23" s="84">
        <v>1129952471</v>
      </c>
      <c r="HG23" s="84">
        <v>185801433</v>
      </c>
      <c r="HH23" s="84" t="s">
        <v>96</v>
      </c>
      <c r="HI23" s="84">
        <v>1075022841</v>
      </c>
      <c r="HJ23" s="84" t="s">
        <v>96</v>
      </c>
      <c r="HK23" s="84">
        <v>927584988</v>
      </c>
      <c r="HL23" s="84">
        <v>23451803</v>
      </c>
      <c r="HM23" s="84">
        <v>805107604</v>
      </c>
      <c r="HN23" s="84">
        <v>34891798</v>
      </c>
      <c r="HO23" s="84">
        <v>639701106</v>
      </c>
      <c r="HP23" s="84">
        <v>507505634</v>
      </c>
      <c r="HQ23" s="84">
        <v>262058387</v>
      </c>
      <c r="HR23" s="84">
        <v>266494915</v>
      </c>
      <c r="HS23" s="84">
        <v>591322722</v>
      </c>
      <c r="HT23" s="84">
        <v>537238691</v>
      </c>
      <c r="HU23" s="84" t="s">
        <v>130</v>
      </c>
      <c r="HV23" s="84">
        <v>215037685</v>
      </c>
      <c r="HW23" s="84" t="s">
        <v>96</v>
      </c>
      <c r="HX23" s="84">
        <v>4354978695</v>
      </c>
      <c r="HY23" s="84" t="s">
        <v>114</v>
      </c>
      <c r="HZ23" s="84">
        <v>6416764155</v>
      </c>
      <c r="IA23" s="84">
        <v>359944176</v>
      </c>
      <c r="IB23" s="84">
        <v>4683878957</v>
      </c>
      <c r="IC23" s="84">
        <v>2326591060</v>
      </c>
      <c r="ID23" s="84">
        <v>32719271</v>
      </c>
      <c r="IE23" s="84" t="s">
        <v>96</v>
      </c>
      <c r="IF23" s="84">
        <v>3000000</v>
      </c>
      <c r="IG23" s="84">
        <v>50367037</v>
      </c>
      <c r="IH23" s="84">
        <v>696670441</v>
      </c>
      <c r="II23" s="84">
        <v>284970957</v>
      </c>
      <c r="IJ23" s="84">
        <v>326529967</v>
      </c>
      <c r="IK23" s="84">
        <v>520295251</v>
      </c>
      <c r="IL23" s="84">
        <v>2287323037</v>
      </c>
      <c r="IM23" s="84">
        <v>1135121959</v>
      </c>
      <c r="IN23" s="84">
        <v>1441130937</v>
      </c>
      <c r="IO23" s="84">
        <v>1331488092</v>
      </c>
      <c r="IP23" s="84">
        <v>370577016</v>
      </c>
      <c r="IQ23" s="84">
        <v>573557025</v>
      </c>
      <c r="IR23" s="84">
        <v>382386085</v>
      </c>
      <c r="IS23" s="84">
        <v>3905595267</v>
      </c>
      <c r="IT23" s="84">
        <v>981747502</v>
      </c>
      <c r="IU23" s="84">
        <v>1104678657</v>
      </c>
      <c r="IV23" s="84">
        <v>332190515</v>
      </c>
      <c r="IW23" s="84">
        <v>562824380</v>
      </c>
      <c r="IX23" s="84">
        <v>1351125123</v>
      </c>
      <c r="IY23" s="68">
        <v>2774538448</v>
      </c>
      <c r="IZ23" s="68">
        <v>604170749</v>
      </c>
      <c r="JA23" s="68">
        <v>472049413</v>
      </c>
      <c r="JB23" s="68">
        <v>808667068</v>
      </c>
      <c r="JC23" s="68">
        <v>2585501859</v>
      </c>
      <c r="JD23" s="68">
        <v>49038681</v>
      </c>
      <c r="JE23" s="68">
        <v>41768262</v>
      </c>
      <c r="JF23" s="68">
        <v>1145250978</v>
      </c>
      <c r="JG23" s="68">
        <v>54959443</v>
      </c>
      <c r="JH23" s="68">
        <v>114525997</v>
      </c>
      <c r="JI23" s="68">
        <v>138629065</v>
      </c>
      <c r="JJ23" s="68">
        <v>102409825</v>
      </c>
      <c r="JK23" s="68">
        <v>446698978</v>
      </c>
      <c r="JL23" s="68">
        <v>1944163106</v>
      </c>
      <c r="JM23" s="68">
        <v>601396883</v>
      </c>
      <c r="JN23" s="68">
        <v>4739218344</v>
      </c>
      <c r="JO23" s="68">
        <v>168736361</v>
      </c>
      <c r="JP23" s="68">
        <v>22220854</v>
      </c>
      <c r="JQ23" s="68" t="s">
        <v>4</v>
      </c>
      <c r="JR23" s="68">
        <v>923296425</v>
      </c>
      <c r="JS23" s="68">
        <v>327623418</v>
      </c>
      <c r="JT23" s="68">
        <v>350181357</v>
      </c>
      <c r="JU23" s="68">
        <v>369754069</v>
      </c>
      <c r="JV23" s="68">
        <v>544488032</v>
      </c>
      <c r="JW23" s="68">
        <v>82605856</v>
      </c>
      <c r="JX23" s="68">
        <v>550179472</v>
      </c>
      <c r="JY23" s="68">
        <v>551148811</v>
      </c>
      <c r="JZ23" s="68">
        <v>120312759</v>
      </c>
      <c r="KA23" s="68">
        <v>351192359</v>
      </c>
      <c r="KB23" s="68">
        <v>6473669196</v>
      </c>
      <c r="KC23" s="68">
        <v>183215733</v>
      </c>
      <c r="KD23" s="68">
        <v>545255260</v>
      </c>
      <c r="KE23" s="68">
        <v>168109670</v>
      </c>
      <c r="KF23" s="68">
        <v>1555787365</v>
      </c>
      <c r="KG23" s="68">
        <v>796255506</v>
      </c>
      <c r="KH23" s="68">
        <v>624988773</v>
      </c>
      <c r="KI23" s="68">
        <v>41075623</v>
      </c>
      <c r="KJ23" s="68">
        <v>1299209174</v>
      </c>
      <c r="KK23" s="68">
        <v>5210260241</v>
      </c>
      <c r="KL23" s="68">
        <v>12587912581</v>
      </c>
      <c r="KM23" s="68">
        <v>609166008</v>
      </c>
      <c r="KN23" s="68">
        <v>597493739</v>
      </c>
      <c r="KO23" s="68">
        <v>4853176649</v>
      </c>
      <c r="KP23" s="68">
        <v>385934717</v>
      </c>
      <c r="KQ23" s="68">
        <v>115686852</v>
      </c>
      <c r="KR23" s="68">
        <v>419784642</v>
      </c>
      <c r="KS23" s="68">
        <v>1443280865</v>
      </c>
      <c r="KT23" s="68">
        <v>986241919</v>
      </c>
      <c r="KU23" s="68">
        <v>5821812478</v>
      </c>
      <c r="KV23" s="68">
        <v>68350456</v>
      </c>
      <c r="KW23" s="68">
        <v>321977228</v>
      </c>
      <c r="KX23" s="68">
        <v>279868944</v>
      </c>
      <c r="KY23" s="68">
        <v>1677175904</v>
      </c>
      <c r="KZ23" s="68">
        <v>1141151289</v>
      </c>
      <c r="LA23" s="68">
        <v>273107246</v>
      </c>
      <c r="LB23" s="68">
        <v>74148864</v>
      </c>
      <c r="LC23" s="103">
        <v>271983796</v>
      </c>
      <c r="LD23" s="103">
        <v>610844931</v>
      </c>
      <c r="LE23" s="103">
        <v>126455744</v>
      </c>
      <c r="LF23" s="103">
        <v>407500000</v>
      </c>
      <c r="LG23" s="103">
        <v>479393311</v>
      </c>
      <c r="LH23" s="102" t="s">
        <v>187</v>
      </c>
      <c r="LI23" s="103">
        <v>367576652</v>
      </c>
      <c r="LJ23" s="102" t="s">
        <v>187</v>
      </c>
      <c r="LK23" s="103">
        <v>659334290</v>
      </c>
      <c r="LL23" s="102" t="s">
        <v>187</v>
      </c>
    </row>
    <row r="24" spans="1:324" ht="17.55" customHeight="1">
      <c r="A24" s="67" t="s">
        <v>184</v>
      </c>
      <c r="B24" s="91" t="s">
        <v>99</v>
      </c>
      <c r="C24" s="84">
        <v>159165396</v>
      </c>
      <c r="D24" s="84">
        <v>812319756</v>
      </c>
      <c r="E24" s="84">
        <v>228657303</v>
      </c>
      <c r="F24" s="85">
        <v>22281505</v>
      </c>
      <c r="G24" s="84" t="s">
        <v>130</v>
      </c>
      <c r="H24" s="84"/>
      <c r="I24" s="84">
        <v>3520305272</v>
      </c>
      <c r="J24" s="84" t="s">
        <v>4</v>
      </c>
      <c r="K24" s="84">
        <v>166132350</v>
      </c>
      <c r="L24" s="84" t="s">
        <v>96</v>
      </c>
      <c r="M24" s="84" t="s">
        <v>96</v>
      </c>
      <c r="N24" s="84">
        <v>100956207</v>
      </c>
      <c r="O24" s="84">
        <v>1278958267</v>
      </c>
      <c r="P24" s="84">
        <v>463073316</v>
      </c>
      <c r="Q24" s="84">
        <v>17021884</v>
      </c>
      <c r="R24" s="84" t="s">
        <v>130</v>
      </c>
      <c r="S24" s="84">
        <v>4470499805</v>
      </c>
      <c r="T24" s="84" t="s">
        <v>96</v>
      </c>
      <c r="U24" s="84" t="s">
        <v>96</v>
      </c>
      <c r="V24" s="84" t="s">
        <v>4</v>
      </c>
      <c r="W24" s="84">
        <v>351817011</v>
      </c>
      <c r="X24" s="84">
        <v>345457872</v>
      </c>
      <c r="Y24" s="84">
        <v>235245957</v>
      </c>
      <c r="Z24" s="84">
        <v>143671571</v>
      </c>
      <c r="AA24" s="84">
        <v>388605041</v>
      </c>
      <c r="AB24" s="84">
        <v>21916880</v>
      </c>
      <c r="AC24" s="84">
        <v>236363848</v>
      </c>
      <c r="AD24" s="84">
        <v>223114777</v>
      </c>
      <c r="AE24" s="84">
        <v>239157555</v>
      </c>
      <c r="AF24" s="84" t="s">
        <v>96</v>
      </c>
      <c r="AG24" s="84">
        <v>985353725</v>
      </c>
      <c r="AH24" s="84" t="s">
        <v>130</v>
      </c>
      <c r="AI24" s="84">
        <v>339946824</v>
      </c>
      <c r="AJ24" s="84">
        <v>87998516</v>
      </c>
      <c r="AK24" s="84">
        <v>716649702</v>
      </c>
      <c r="AL24" s="84">
        <v>247312495</v>
      </c>
      <c r="AM24" s="84" t="s">
        <v>4</v>
      </c>
      <c r="AN24" s="84">
        <v>183559734</v>
      </c>
      <c r="AO24" s="84">
        <v>677860118</v>
      </c>
      <c r="AP24" s="84">
        <v>98778988</v>
      </c>
      <c r="AQ24" s="84" t="s">
        <v>4</v>
      </c>
      <c r="AR24" s="84">
        <v>298416603</v>
      </c>
      <c r="AS24" s="84">
        <v>581634887</v>
      </c>
      <c r="AT24" s="84" t="s">
        <v>96</v>
      </c>
      <c r="AU24" s="84">
        <v>2130115011</v>
      </c>
      <c r="AV24" s="84">
        <v>46392747</v>
      </c>
      <c r="AW24" s="84">
        <v>468150883</v>
      </c>
      <c r="AX24" s="84" t="s">
        <v>4</v>
      </c>
      <c r="AY24" s="84" t="s">
        <v>96</v>
      </c>
      <c r="AZ24" s="84">
        <v>72845990</v>
      </c>
      <c r="BA24" s="84" t="s">
        <v>130</v>
      </c>
      <c r="BB24" s="84">
        <v>36436365</v>
      </c>
      <c r="BC24" s="84" t="s">
        <v>4</v>
      </c>
      <c r="BD24" s="84" t="s">
        <v>96</v>
      </c>
      <c r="BE24" s="84">
        <v>409297788</v>
      </c>
      <c r="BF24" s="84" t="s">
        <v>96</v>
      </c>
      <c r="BG24" s="84">
        <v>762049144</v>
      </c>
      <c r="BH24" s="84">
        <v>64121409</v>
      </c>
      <c r="BI24" s="84">
        <v>71044000</v>
      </c>
      <c r="BJ24" s="84">
        <v>320440724</v>
      </c>
      <c r="BK24" s="84">
        <v>756668913</v>
      </c>
      <c r="BL24" s="84">
        <v>116141736</v>
      </c>
      <c r="BM24" s="84">
        <v>421784992</v>
      </c>
      <c r="BN24" s="84">
        <v>104856919</v>
      </c>
      <c r="BO24" s="84" t="s">
        <v>96</v>
      </c>
      <c r="BP24" s="84" t="s">
        <v>96</v>
      </c>
      <c r="BQ24" s="84" t="s">
        <v>4</v>
      </c>
      <c r="BR24" s="84">
        <v>5018339081</v>
      </c>
      <c r="BS24" s="84" t="s">
        <v>4</v>
      </c>
      <c r="BT24" s="84" t="s">
        <v>96</v>
      </c>
      <c r="BU24" s="84">
        <v>807318858</v>
      </c>
      <c r="BV24" s="84">
        <v>277868361</v>
      </c>
      <c r="BW24" s="84">
        <v>5937398</v>
      </c>
      <c r="BX24" s="84">
        <v>207287082</v>
      </c>
      <c r="BY24" s="84">
        <v>813998760</v>
      </c>
      <c r="BZ24" s="84">
        <v>145602901</v>
      </c>
      <c r="CA24" s="84">
        <v>2245503534</v>
      </c>
      <c r="CB24" s="84">
        <v>159537409</v>
      </c>
      <c r="CC24" s="84">
        <v>137654842</v>
      </c>
      <c r="CD24" s="84">
        <v>835301670</v>
      </c>
      <c r="CE24" s="84" t="s">
        <v>96</v>
      </c>
      <c r="CF24" s="84" t="s">
        <v>96</v>
      </c>
      <c r="CG24" s="84">
        <v>8299332</v>
      </c>
      <c r="CH24" s="84">
        <v>58084519</v>
      </c>
      <c r="CI24" s="84" t="s">
        <v>96</v>
      </c>
      <c r="CJ24" s="84">
        <v>320535282</v>
      </c>
      <c r="CK24" s="84">
        <v>1527959031</v>
      </c>
      <c r="CL24" s="84">
        <v>101790276</v>
      </c>
      <c r="CM24" s="84">
        <v>810780482</v>
      </c>
      <c r="CN24" s="84">
        <v>74414984</v>
      </c>
      <c r="CO24" s="84">
        <v>3724870</v>
      </c>
      <c r="CP24" s="84" t="s">
        <v>96</v>
      </c>
      <c r="CQ24" s="84" t="s">
        <v>96</v>
      </c>
      <c r="CR24" s="84">
        <v>51869339</v>
      </c>
      <c r="CS24" s="84" t="s">
        <v>96</v>
      </c>
      <c r="CT24" s="84">
        <v>5922147794</v>
      </c>
      <c r="CU24" s="84">
        <v>142470769</v>
      </c>
      <c r="CV24" s="84">
        <v>208321123</v>
      </c>
      <c r="CW24" s="84" t="s">
        <v>96</v>
      </c>
      <c r="CX24" s="84">
        <v>3625392644</v>
      </c>
      <c r="CY24" s="84" t="s">
        <v>96</v>
      </c>
      <c r="CZ24" s="84">
        <v>49797943</v>
      </c>
      <c r="DA24" s="84" t="s">
        <v>96</v>
      </c>
      <c r="DB24" s="84">
        <v>50644743</v>
      </c>
      <c r="DC24" s="84">
        <v>55537969</v>
      </c>
      <c r="DD24" s="84" t="s">
        <v>96</v>
      </c>
      <c r="DE24" s="84">
        <v>0</v>
      </c>
      <c r="DF24" s="84">
        <v>41204360</v>
      </c>
      <c r="DG24" s="84">
        <v>295102051</v>
      </c>
      <c r="DH24" s="84">
        <v>143914948</v>
      </c>
      <c r="DI24" s="84">
        <v>233270784</v>
      </c>
      <c r="DJ24" s="84">
        <v>22891564</v>
      </c>
      <c r="DK24" s="84" t="s">
        <v>96</v>
      </c>
      <c r="DL24" s="84">
        <v>34585297</v>
      </c>
      <c r="DM24" s="84">
        <v>1171236913</v>
      </c>
      <c r="DN24" s="84">
        <v>351163203</v>
      </c>
      <c r="DO24" s="84">
        <v>79607622</v>
      </c>
      <c r="DP24" s="86">
        <v>1667227433</v>
      </c>
      <c r="DQ24" s="84">
        <v>102459707</v>
      </c>
      <c r="DR24" s="84">
        <v>68385477</v>
      </c>
      <c r="DS24" s="84">
        <v>142387880</v>
      </c>
      <c r="DT24" s="84">
        <v>318091745</v>
      </c>
      <c r="DU24" s="84">
        <v>78525095</v>
      </c>
      <c r="DV24" s="84">
        <v>45830139</v>
      </c>
      <c r="DW24" s="84">
        <v>122203111</v>
      </c>
      <c r="DX24" s="84">
        <v>2352437222</v>
      </c>
      <c r="DY24" s="84">
        <v>72890317</v>
      </c>
      <c r="DZ24" s="84">
        <v>62515187</v>
      </c>
      <c r="EA24" s="84">
        <v>2724397</v>
      </c>
      <c r="EB24" s="84">
        <v>2068281712</v>
      </c>
      <c r="EC24" s="84">
        <v>154539866</v>
      </c>
      <c r="ED24" s="84">
        <v>81175755</v>
      </c>
      <c r="EE24" s="84">
        <v>68067849</v>
      </c>
      <c r="EF24" s="84">
        <v>165446282</v>
      </c>
      <c r="EG24" s="96">
        <v>1660792936</v>
      </c>
      <c r="EH24" s="99">
        <v>99826923</v>
      </c>
      <c r="EI24" s="97">
        <v>5719338016</v>
      </c>
      <c r="EJ24" s="84">
        <v>64879820</v>
      </c>
      <c r="EK24" s="84">
        <v>98782541</v>
      </c>
      <c r="EL24" s="84">
        <v>234969367</v>
      </c>
      <c r="EM24" s="84">
        <v>57308493</v>
      </c>
      <c r="EN24" s="84">
        <v>2830076462</v>
      </c>
      <c r="EO24" s="84">
        <v>97776857</v>
      </c>
      <c r="EP24" s="84">
        <v>16182853</v>
      </c>
      <c r="EQ24" s="84">
        <v>715680563</v>
      </c>
      <c r="ER24" s="84">
        <v>1127064544</v>
      </c>
      <c r="ES24" s="84">
        <v>14243090</v>
      </c>
      <c r="ET24" s="84">
        <v>369558863</v>
      </c>
      <c r="EU24" s="84">
        <v>2049115805</v>
      </c>
      <c r="EV24" s="84">
        <v>88091837</v>
      </c>
      <c r="EW24" s="84">
        <v>244759656</v>
      </c>
      <c r="EX24" s="84">
        <v>139338960</v>
      </c>
      <c r="EY24" s="84">
        <v>2219638929</v>
      </c>
      <c r="EZ24" s="84">
        <v>138889690</v>
      </c>
      <c r="FA24" s="84">
        <v>1271587370</v>
      </c>
      <c r="FB24" s="86">
        <v>95467730</v>
      </c>
      <c r="FC24" s="84">
        <v>214785492</v>
      </c>
      <c r="FD24" s="84">
        <v>509889153</v>
      </c>
      <c r="FE24" s="84">
        <v>6045074334</v>
      </c>
      <c r="FF24" s="84">
        <v>13355383</v>
      </c>
      <c r="FG24" s="84" t="s">
        <v>96</v>
      </c>
      <c r="FH24" s="84">
        <v>201814937</v>
      </c>
      <c r="FI24" s="84" t="s">
        <v>96</v>
      </c>
      <c r="FJ24" s="84">
        <v>46129677</v>
      </c>
      <c r="FK24" s="84">
        <v>999056589</v>
      </c>
      <c r="FL24" s="84">
        <v>12649152</v>
      </c>
      <c r="FM24" s="84" t="s">
        <v>130</v>
      </c>
      <c r="FN24" s="84">
        <v>9189259644</v>
      </c>
      <c r="FO24" s="84" t="s">
        <v>96</v>
      </c>
      <c r="FP24" s="84" t="s">
        <v>96</v>
      </c>
      <c r="FQ24" s="84">
        <v>2758143</v>
      </c>
      <c r="FR24" s="84">
        <v>233988073</v>
      </c>
      <c r="FS24" s="84">
        <v>736201310</v>
      </c>
      <c r="FT24" s="84">
        <v>944167663</v>
      </c>
      <c r="FU24" s="84">
        <v>150311610</v>
      </c>
      <c r="FV24" s="84" t="s">
        <v>96</v>
      </c>
      <c r="FW24" s="84">
        <v>20305696</v>
      </c>
      <c r="FX24" s="84">
        <v>564068900</v>
      </c>
      <c r="FY24" s="84" t="s">
        <v>96</v>
      </c>
      <c r="FZ24" s="84" t="s">
        <v>4</v>
      </c>
      <c r="GA24" s="84">
        <v>102805526</v>
      </c>
      <c r="GB24" s="84">
        <v>25323027</v>
      </c>
      <c r="GC24" s="84">
        <v>25212442</v>
      </c>
      <c r="GD24" s="84" t="s">
        <v>96</v>
      </c>
      <c r="GE24" s="84" t="s">
        <v>4</v>
      </c>
      <c r="GF24" s="84">
        <v>187473142</v>
      </c>
      <c r="GG24" s="84">
        <v>2029770349</v>
      </c>
      <c r="GH24" s="84" t="s">
        <v>4</v>
      </c>
      <c r="GI24" s="84">
        <v>52713630</v>
      </c>
      <c r="GJ24" s="84" t="s">
        <v>96</v>
      </c>
      <c r="GK24" s="84">
        <v>276640328</v>
      </c>
      <c r="GL24" s="84" t="s">
        <v>96</v>
      </c>
      <c r="GM24" s="84">
        <v>385879134</v>
      </c>
      <c r="GN24" s="84">
        <v>507100929</v>
      </c>
      <c r="GO24" s="84" t="s">
        <v>96</v>
      </c>
      <c r="GP24" s="84">
        <v>929978761</v>
      </c>
      <c r="GQ24" s="84">
        <v>76347808</v>
      </c>
      <c r="GR24" s="84">
        <v>132620175</v>
      </c>
      <c r="GS24" s="84">
        <v>278783162</v>
      </c>
      <c r="GT24" s="84" t="s">
        <v>130</v>
      </c>
      <c r="GU24" s="84">
        <v>276830</v>
      </c>
      <c r="GV24" s="84">
        <v>642430406</v>
      </c>
      <c r="GW24" s="84">
        <v>20950800495</v>
      </c>
      <c r="GX24" s="84">
        <v>225418490</v>
      </c>
      <c r="GY24" s="84">
        <v>75453691</v>
      </c>
      <c r="GZ24" s="84">
        <v>592875998</v>
      </c>
      <c r="HA24" s="84" t="s">
        <v>96</v>
      </c>
      <c r="HB24" s="84">
        <v>147372001</v>
      </c>
      <c r="HC24" s="84" t="s">
        <v>130</v>
      </c>
      <c r="HD24" s="84">
        <v>39029082</v>
      </c>
      <c r="HE24" s="84" t="s">
        <v>96</v>
      </c>
      <c r="HF24" s="84">
        <v>534952471</v>
      </c>
      <c r="HG24" s="84">
        <v>143544348</v>
      </c>
      <c r="HH24" s="84" t="s">
        <v>96</v>
      </c>
      <c r="HI24" s="84">
        <v>850339780</v>
      </c>
      <c r="HJ24" s="84" t="s">
        <v>96</v>
      </c>
      <c r="HK24" s="84">
        <v>927584988</v>
      </c>
      <c r="HL24" s="84">
        <v>23451803</v>
      </c>
      <c r="HM24" s="84">
        <v>121590503</v>
      </c>
      <c r="HN24" s="84">
        <v>34891798</v>
      </c>
      <c r="HO24" s="84">
        <v>139701106</v>
      </c>
      <c r="HP24" s="84">
        <v>123395634</v>
      </c>
      <c r="HQ24" s="84">
        <v>262058387</v>
      </c>
      <c r="HR24" s="84">
        <v>151118118</v>
      </c>
      <c r="HS24" s="84">
        <v>233042722</v>
      </c>
      <c r="HT24" s="84">
        <v>355476578</v>
      </c>
      <c r="HU24" s="84" t="s">
        <v>130</v>
      </c>
      <c r="HV24" s="84">
        <v>142737685</v>
      </c>
      <c r="HW24" s="84" t="s">
        <v>96</v>
      </c>
      <c r="HX24" s="84">
        <v>646068695</v>
      </c>
      <c r="HY24" s="84" t="s">
        <v>114</v>
      </c>
      <c r="HZ24" s="84">
        <v>2066567721</v>
      </c>
      <c r="IA24" s="84">
        <v>3721962</v>
      </c>
      <c r="IB24" s="84">
        <v>1628803482</v>
      </c>
      <c r="IC24" s="84">
        <v>352491963</v>
      </c>
      <c r="ID24" s="84">
        <v>32719271</v>
      </c>
      <c r="IE24" s="84" t="s">
        <v>96</v>
      </c>
      <c r="IF24" s="84">
        <v>0</v>
      </c>
      <c r="IG24" s="84">
        <v>23976377</v>
      </c>
      <c r="IH24" s="84">
        <v>495171844</v>
      </c>
      <c r="II24" s="84">
        <v>149263505</v>
      </c>
      <c r="IJ24" s="84">
        <v>126529967</v>
      </c>
      <c r="IK24" s="84">
        <v>37195251</v>
      </c>
      <c r="IL24" s="84">
        <v>672580597</v>
      </c>
      <c r="IM24" s="84">
        <v>935121959</v>
      </c>
      <c r="IN24" s="84">
        <v>341130937</v>
      </c>
      <c r="IO24" s="84">
        <v>80007104</v>
      </c>
      <c r="IP24" s="84">
        <v>370577016</v>
      </c>
      <c r="IQ24" s="84">
        <v>375790305</v>
      </c>
      <c r="IR24" s="84">
        <v>147386085</v>
      </c>
      <c r="IS24" s="84">
        <v>135958467</v>
      </c>
      <c r="IT24" s="84">
        <v>111027502</v>
      </c>
      <c r="IU24" s="84">
        <v>784978657</v>
      </c>
      <c r="IV24" s="84">
        <v>132190515</v>
      </c>
      <c r="IW24" s="84">
        <v>109298700</v>
      </c>
      <c r="IX24" s="84">
        <v>165608970</v>
      </c>
      <c r="IY24" s="68">
        <v>754538448</v>
      </c>
      <c r="IZ24" s="68">
        <v>313188977</v>
      </c>
      <c r="JA24" s="68">
        <v>279818844</v>
      </c>
      <c r="JB24" s="68">
        <v>608667068</v>
      </c>
      <c r="JC24" s="68">
        <v>76788772</v>
      </c>
      <c r="JD24" s="68">
        <v>49038681</v>
      </c>
      <c r="JE24" s="68">
        <v>41768262</v>
      </c>
      <c r="JF24" s="68">
        <v>369100501</v>
      </c>
      <c r="JG24" s="68">
        <v>15509443</v>
      </c>
      <c r="JH24" s="68">
        <v>105877453</v>
      </c>
      <c r="JI24" s="68">
        <v>138629065</v>
      </c>
      <c r="JJ24" s="68">
        <v>15549021</v>
      </c>
      <c r="JK24" s="68">
        <v>211998978</v>
      </c>
      <c r="JL24" s="68">
        <v>384163106</v>
      </c>
      <c r="JM24" s="68">
        <v>139262513</v>
      </c>
      <c r="JN24" s="68">
        <v>2170316120</v>
      </c>
      <c r="JO24" s="68">
        <v>96948931</v>
      </c>
      <c r="JP24" s="68">
        <v>22220854</v>
      </c>
      <c r="JQ24" s="68" t="s">
        <v>4</v>
      </c>
      <c r="JR24" s="68">
        <v>273296425</v>
      </c>
      <c r="JS24" s="68">
        <v>229292404</v>
      </c>
      <c r="JT24" s="68">
        <v>325903437</v>
      </c>
      <c r="JU24" s="68">
        <v>154728422</v>
      </c>
      <c r="JV24" s="68">
        <v>368258032</v>
      </c>
      <c r="JW24" s="68">
        <v>82605856</v>
      </c>
      <c r="JX24" s="68">
        <v>550179472</v>
      </c>
      <c r="JY24" s="68">
        <v>545483609</v>
      </c>
      <c r="JZ24" s="68">
        <v>120312759</v>
      </c>
      <c r="KA24" s="68">
        <v>351192359</v>
      </c>
      <c r="KB24" s="68">
        <v>347311513</v>
      </c>
      <c r="KC24" s="68">
        <v>83215733</v>
      </c>
      <c r="KD24" s="68">
        <v>545255260</v>
      </c>
      <c r="KE24" s="68">
        <v>168109670</v>
      </c>
      <c r="KF24" s="68">
        <v>736476122</v>
      </c>
      <c r="KG24" s="68">
        <v>696255506</v>
      </c>
      <c r="KH24" s="68">
        <v>36145143</v>
      </c>
      <c r="KI24" s="68">
        <v>41075623</v>
      </c>
      <c r="KJ24" s="68">
        <v>85144174</v>
      </c>
      <c r="KK24" s="68">
        <v>432787177</v>
      </c>
      <c r="KL24" s="68">
        <v>4153764127</v>
      </c>
      <c r="KM24" s="68">
        <v>48809032</v>
      </c>
      <c r="KN24" s="68">
        <v>160306806</v>
      </c>
      <c r="KO24" s="68">
        <v>4696730293</v>
      </c>
      <c r="KP24" s="68">
        <v>294637996</v>
      </c>
      <c r="KQ24" s="68">
        <v>115686852</v>
      </c>
      <c r="KR24" s="68">
        <v>213117986</v>
      </c>
      <c r="KS24" s="68">
        <v>742740865</v>
      </c>
      <c r="KT24" s="68">
        <v>94181165</v>
      </c>
      <c r="KU24" s="68">
        <v>615772478</v>
      </c>
      <c r="KV24" s="68">
        <v>38350456</v>
      </c>
      <c r="KW24" s="68">
        <v>321977228</v>
      </c>
      <c r="KX24" s="68">
        <v>71756944</v>
      </c>
      <c r="KY24" s="68">
        <v>907175904</v>
      </c>
      <c r="KZ24" s="68">
        <v>732527028</v>
      </c>
      <c r="LA24" s="68">
        <v>132107246</v>
      </c>
      <c r="LB24" s="68">
        <v>70474604</v>
      </c>
      <c r="LC24" s="103">
        <v>271983796</v>
      </c>
      <c r="LD24" s="103">
        <v>409625481</v>
      </c>
      <c r="LE24" s="103">
        <v>44072136</v>
      </c>
      <c r="LF24" s="103">
        <v>407500000</v>
      </c>
      <c r="LG24" s="103">
        <v>389393311</v>
      </c>
      <c r="LH24" s="102" t="s">
        <v>187</v>
      </c>
      <c r="LI24" s="103">
        <v>99104457</v>
      </c>
      <c r="LJ24" s="102" t="s">
        <v>187</v>
      </c>
      <c r="LK24" s="103">
        <v>159334290</v>
      </c>
      <c r="LL24" s="102" t="s">
        <v>187</v>
      </c>
    </row>
    <row r="25" spans="1:324" ht="17.55" customHeight="1">
      <c r="A25" s="67" t="s">
        <v>184</v>
      </c>
      <c r="B25" s="87" t="s">
        <v>21</v>
      </c>
      <c r="C25" s="84">
        <v>140800</v>
      </c>
      <c r="D25" s="84">
        <v>699767541</v>
      </c>
      <c r="E25" s="84">
        <v>135469756</v>
      </c>
      <c r="F25" s="85"/>
      <c r="G25" s="84" t="s">
        <v>130</v>
      </c>
      <c r="H25" s="84"/>
      <c r="I25" s="84"/>
      <c r="J25" s="84" t="s">
        <v>4</v>
      </c>
      <c r="K25" s="84">
        <v>123556117</v>
      </c>
      <c r="L25" s="84" t="s">
        <v>96</v>
      </c>
      <c r="M25" s="84" t="s">
        <v>96</v>
      </c>
      <c r="N25" s="84"/>
      <c r="O25" s="84">
        <v>81360837</v>
      </c>
      <c r="P25" s="84">
        <v>278070057</v>
      </c>
      <c r="Q25" s="84">
        <v>374000</v>
      </c>
      <c r="R25" s="84" t="s">
        <v>130</v>
      </c>
      <c r="S25" s="84">
        <v>1887383122</v>
      </c>
      <c r="T25" s="84" t="s">
        <v>96</v>
      </c>
      <c r="U25" s="84" t="s">
        <v>96</v>
      </c>
      <c r="V25" s="84" t="s">
        <v>4</v>
      </c>
      <c r="W25" s="84">
        <v>7137220</v>
      </c>
      <c r="X25" s="84"/>
      <c r="Y25" s="84"/>
      <c r="Z25" s="84"/>
      <c r="AA25" s="84">
        <v>215999018</v>
      </c>
      <c r="AB25" s="84"/>
      <c r="AC25" s="84">
        <v>69712691</v>
      </c>
      <c r="AD25" s="84">
        <v>61731458</v>
      </c>
      <c r="AE25" s="84">
        <v>40196485</v>
      </c>
      <c r="AF25" s="84" t="s">
        <v>96</v>
      </c>
      <c r="AG25" s="84"/>
      <c r="AH25" s="84" t="s">
        <v>130</v>
      </c>
      <c r="AI25" s="84">
        <v>20746600</v>
      </c>
      <c r="AJ25" s="84">
        <v>16514620</v>
      </c>
      <c r="AK25" s="84">
        <v>138828015</v>
      </c>
      <c r="AL25" s="84">
        <v>1330000</v>
      </c>
      <c r="AM25" s="84" t="s">
        <v>4</v>
      </c>
      <c r="AN25" s="84"/>
      <c r="AO25" s="84"/>
      <c r="AP25" s="84"/>
      <c r="AQ25" s="84" t="s">
        <v>4</v>
      </c>
      <c r="AR25" s="84">
        <v>2117500</v>
      </c>
      <c r="AS25" s="84"/>
      <c r="AT25" s="84" t="s">
        <v>96</v>
      </c>
      <c r="AU25" s="84"/>
      <c r="AV25" s="84"/>
      <c r="AW25" s="84"/>
      <c r="AX25" s="84" t="s">
        <v>4</v>
      </c>
      <c r="AY25" s="84" t="s">
        <v>96</v>
      </c>
      <c r="AZ25" s="84">
        <v>2210882</v>
      </c>
      <c r="BA25" s="84" t="s">
        <v>130</v>
      </c>
      <c r="BB25" s="84"/>
      <c r="BC25" s="84" t="s">
        <v>4</v>
      </c>
      <c r="BD25" s="84" t="s">
        <v>96</v>
      </c>
      <c r="BE25" s="84">
        <v>52523458</v>
      </c>
      <c r="BF25" s="84" t="s">
        <v>96</v>
      </c>
      <c r="BG25" s="84">
        <v>86368388</v>
      </c>
      <c r="BH25" s="84">
        <v>28862800</v>
      </c>
      <c r="BI25" s="84">
        <v>13860000</v>
      </c>
      <c r="BJ25" s="84">
        <v>13024714</v>
      </c>
      <c r="BK25" s="84">
        <v>2000000</v>
      </c>
      <c r="BL25" s="84">
        <v>1544400</v>
      </c>
      <c r="BM25" s="84">
        <v>37920050</v>
      </c>
      <c r="BN25" s="84">
        <v>0</v>
      </c>
      <c r="BO25" s="84" t="s">
        <v>96</v>
      </c>
      <c r="BP25" s="84" t="s">
        <v>96</v>
      </c>
      <c r="BQ25" s="84" t="s">
        <v>4</v>
      </c>
      <c r="BR25" s="84">
        <v>250692607</v>
      </c>
      <c r="BS25" s="84" t="s">
        <v>4</v>
      </c>
      <c r="BT25" s="84" t="s">
        <v>96</v>
      </c>
      <c r="BU25" s="84"/>
      <c r="BV25" s="84"/>
      <c r="BW25" s="84">
        <v>0</v>
      </c>
      <c r="BX25" s="84"/>
      <c r="BY25" s="84">
        <v>543851714</v>
      </c>
      <c r="BZ25" s="84">
        <v>95607597</v>
      </c>
      <c r="CA25" s="84"/>
      <c r="CB25" s="84">
        <v>2772000</v>
      </c>
      <c r="CC25" s="84"/>
      <c r="CD25" s="84"/>
      <c r="CE25" s="84" t="s">
        <v>96</v>
      </c>
      <c r="CF25" s="84" t="s">
        <v>96</v>
      </c>
      <c r="CG25" s="84"/>
      <c r="CH25" s="84"/>
      <c r="CI25" s="84" t="s">
        <v>96</v>
      </c>
      <c r="CJ25" s="84">
        <v>98166868</v>
      </c>
      <c r="CK25" s="84"/>
      <c r="CL25" s="84">
        <v>58435274</v>
      </c>
      <c r="CM25" s="84">
        <v>123200</v>
      </c>
      <c r="CN25" s="84">
        <v>10833316</v>
      </c>
      <c r="CO25" s="84">
        <v>2721280</v>
      </c>
      <c r="CP25" s="84" t="s">
        <v>96</v>
      </c>
      <c r="CQ25" s="84" t="s">
        <v>96</v>
      </c>
      <c r="CR25" s="84">
        <v>12056000</v>
      </c>
      <c r="CS25" s="84" t="s">
        <v>96</v>
      </c>
      <c r="CT25" s="84"/>
      <c r="CU25" s="84"/>
      <c r="CV25" s="84"/>
      <c r="CW25" s="84" t="s">
        <v>96</v>
      </c>
      <c r="CX25" s="84"/>
      <c r="CY25" s="84" t="s">
        <v>96</v>
      </c>
      <c r="CZ25" s="84"/>
      <c r="DA25" s="84" t="s">
        <v>96</v>
      </c>
      <c r="DB25" s="84"/>
      <c r="DC25" s="84"/>
      <c r="DD25" s="84" t="s">
        <v>96</v>
      </c>
      <c r="DE25" s="84"/>
      <c r="DF25" s="84">
        <v>702790</v>
      </c>
      <c r="DG25" s="84"/>
      <c r="DH25" s="84"/>
      <c r="DI25" s="84">
        <v>106003310</v>
      </c>
      <c r="DJ25" s="84"/>
      <c r="DK25" s="84" t="s">
        <v>96</v>
      </c>
      <c r="DL25" s="84"/>
      <c r="DM25" s="84">
        <v>21797430</v>
      </c>
      <c r="DN25" s="84">
        <v>160424626</v>
      </c>
      <c r="DO25" s="84"/>
      <c r="DP25" s="86">
        <v>37101918</v>
      </c>
      <c r="DQ25" s="84">
        <v>55489259</v>
      </c>
      <c r="DR25" s="84"/>
      <c r="DS25" s="84">
        <v>4218902</v>
      </c>
      <c r="DT25" s="84">
        <v>218621967</v>
      </c>
      <c r="DU25" s="84"/>
      <c r="DV25" s="84"/>
      <c r="DW25" s="84">
        <v>71252147</v>
      </c>
      <c r="DX25" s="84"/>
      <c r="DY25" s="84">
        <v>6806091</v>
      </c>
      <c r="DZ25" s="84">
        <v>15706730</v>
      </c>
      <c r="EA25" s="84"/>
      <c r="EB25" s="84">
        <v>0</v>
      </c>
      <c r="EC25" s="84">
        <v>84824800</v>
      </c>
      <c r="ED25" s="84">
        <v>583631</v>
      </c>
      <c r="EE25" s="84"/>
      <c r="EF25" s="84">
        <v>6657200</v>
      </c>
      <c r="EG25" s="96">
        <v>375538858</v>
      </c>
      <c r="EH25" s="99"/>
      <c r="EI25" s="97"/>
      <c r="EJ25" s="84">
        <v>53900</v>
      </c>
      <c r="EK25" s="84"/>
      <c r="EL25" s="84">
        <v>66295745</v>
      </c>
      <c r="EM25" s="84">
        <v>1145760</v>
      </c>
      <c r="EN25" s="84">
        <v>801440</v>
      </c>
      <c r="EO25" s="84"/>
      <c r="EP25" s="84"/>
      <c r="EQ25" s="84"/>
      <c r="ER25" s="84"/>
      <c r="ES25" s="84">
        <v>8464500</v>
      </c>
      <c r="ET25" s="84"/>
      <c r="EU25" s="84"/>
      <c r="EV25" s="84"/>
      <c r="EW25" s="84">
        <v>67633613</v>
      </c>
      <c r="EX25" s="84"/>
      <c r="EY25" s="84"/>
      <c r="EZ25" s="84">
        <v>6501897</v>
      </c>
      <c r="FA25" s="84">
        <v>4901388</v>
      </c>
      <c r="FB25" s="86">
        <v>5116200</v>
      </c>
      <c r="FC25" s="84">
        <v>20715700</v>
      </c>
      <c r="FD25" s="84">
        <v>0</v>
      </c>
      <c r="FE25" s="84">
        <v>2476428977</v>
      </c>
      <c r="FF25" s="84"/>
      <c r="FG25" s="84" t="s">
        <v>96</v>
      </c>
      <c r="FH25" s="84">
        <v>7655924</v>
      </c>
      <c r="FI25" s="84" t="s">
        <v>96</v>
      </c>
      <c r="FJ25" s="84">
        <v>291000</v>
      </c>
      <c r="FK25" s="84">
        <v>65094473</v>
      </c>
      <c r="FL25" s="84"/>
      <c r="FM25" s="84" t="s">
        <v>130</v>
      </c>
      <c r="FN25" s="84"/>
      <c r="FO25" s="84" t="s">
        <v>96</v>
      </c>
      <c r="FP25" s="84" t="s">
        <v>96</v>
      </c>
      <c r="FQ25" s="84">
        <v>5240</v>
      </c>
      <c r="FR25" s="84">
        <v>9164095</v>
      </c>
      <c r="FS25" s="84">
        <v>40926415</v>
      </c>
      <c r="FT25" s="84">
        <v>11555240</v>
      </c>
      <c r="FU25" s="84"/>
      <c r="FV25" s="84" t="s">
        <v>96</v>
      </c>
      <c r="FW25" s="84">
        <v>16841559</v>
      </c>
      <c r="FX25" s="84"/>
      <c r="FY25" s="84" t="s">
        <v>96</v>
      </c>
      <c r="FZ25" s="84" t="s">
        <v>4</v>
      </c>
      <c r="GA25" s="84">
        <v>2015000</v>
      </c>
      <c r="GB25" s="84">
        <v>8074580</v>
      </c>
      <c r="GC25" s="84"/>
      <c r="GD25" s="84" t="s">
        <v>96</v>
      </c>
      <c r="GE25" s="84" t="s">
        <v>4</v>
      </c>
      <c r="GF25" s="84">
        <v>30126706</v>
      </c>
      <c r="GG25" s="84"/>
      <c r="GH25" s="84" t="s">
        <v>4</v>
      </c>
      <c r="GI25" s="84"/>
      <c r="GJ25" s="84" t="s">
        <v>96</v>
      </c>
      <c r="GK25" s="84">
        <v>4914192</v>
      </c>
      <c r="GL25" s="84" t="s">
        <v>96</v>
      </c>
      <c r="GM25" s="84">
        <v>1347700</v>
      </c>
      <c r="GN25" s="84"/>
      <c r="GO25" s="84" t="s">
        <v>96</v>
      </c>
      <c r="GP25" s="84">
        <v>597562193</v>
      </c>
      <c r="GQ25" s="84">
        <v>445500</v>
      </c>
      <c r="GR25" s="84">
        <v>44873577</v>
      </c>
      <c r="GS25" s="84"/>
      <c r="GT25" s="84" t="s">
        <v>130</v>
      </c>
      <c r="GU25" s="84"/>
      <c r="GV25" s="84"/>
      <c r="GW25" s="84">
        <v>295597759</v>
      </c>
      <c r="GX25" s="84">
        <v>42417185</v>
      </c>
      <c r="GY25" s="84"/>
      <c r="GZ25" s="84">
        <v>5598851</v>
      </c>
      <c r="HA25" s="84" t="s">
        <v>96</v>
      </c>
      <c r="HB25" s="84"/>
      <c r="HC25" s="84" t="s">
        <v>130</v>
      </c>
      <c r="HD25" s="84">
        <v>18077503</v>
      </c>
      <c r="HE25" s="84" t="s">
        <v>96</v>
      </c>
      <c r="HF25" s="84"/>
      <c r="HG25" s="84"/>
      <c r="HH25" s="84" t="s">
        <v>96</v>
      </c>
      <c r="HI25" s="84"/>
      <c r="HJ25" s="84" t="s">
        <v>96</v>
      </c>
      <c r="HK25" s="84">
        <v>29890606</v>
      </c>
      <c r="HL25" s="84"/>
      <c r="HM25" s="84">
        <v>8938248</v>
      </c>
      <c r="HN25" s="84"/>
      <c r="HO25" s="84">
        <v>70147683</v>
      </c>
      <c r="HP25" s="84"/>
      <c r="HQ25" s="84"/>
      <c r="HR25" s="84"/>
      <c r="HS25" s="84">
        <v>102069944</v>
      </c>
      <c r="HT25" s="84">
        <v>20431764</v>
      </c>
      <c r="HU25" s="84" t="s">
        <v>130</v>
      </c>
      <c r="HV25" s="84"/>
      <c r="HW25" s="84" t="s">
        <v>96</v>
      </c>
      <c r="HX25" s="84">
        <v>36369501</v>
      </c>
      <c r="HY25" s="84" t="s">
        <v>114</v>
      </c>
      <c r="HZ25" s="84">
        <v>5279999</v>
      </c>
      <c r="IA25" s="84"/>
      <c r="IB25" s="84">
        <v>7400000</v>
      </c>
      <c r="IC25" s="84"/>
      <c r="ID25" s="84">
        <v>1044455</v>
      </c>
      <c r="IE25" s="84" t="s">
        <v>96</v>
      </c>
      <c r="IF25" s="84"/>
      <c r="IG25" s="84"/>
      <c r="IH25" s="84">
        <v>64298470</v>
      </c>
      <c r="II25" s="84">
        <v>219000</v>
      </c>
      <c r="IJ25" s="84">
        <v>11175290</v>
      </c>
      <c r="IK25" s="84">
        <v>16596405</v>
      </c>
      <c r="IL25" s="84">
        <v>49910368</v>
      </c>
      <c r="IM25" s="84"/>
      <c r="IN25" s="84"/>
      <c r="IO25" s="84">
        <v>63176137</v>
      </c>
      <c r="IP25" s="84">
        <v>103815827</v>
      </c>
      <c r="IQ25" s="84"/>
      <c r="IR25" s="84"/>
      <c r="IS25" s="84"/>
      <c r="IT25" s="84"/>
      <c r="IU25" s="84"/>
      <c r="IV25" s="84"/>
      <c r="IW25" s="84"/>
      <c r="IX25" s="84">
        <v>24318632</v>
      </c>
      <c r="IY25" s="68">
        <v>216171782</v>
      </c>
      <c r="IZ25" s="68">
        <v>22838870</v>
      </c>
      <c r="JA25" s="68">
        <v>208878744</v>
      </c>
      <c r="JB25" s="68"/>
      <c r="JC25" s="68"/>
      <c r="JD25" s="68"/>
      <c r="JE25" s="68"/>
      <c r="JF25" s="68">
        <v>48980795</v>
      </c>
      <c r="JG25" s="68"/>
      <c r="JH25" s="68">
        <v>0</v>
      </c>
      <c r="JI25" s="68">
        <v>818310</v>
      </c>
      <c r="JJ25" s="68"/>
      <c r="JK25" s="68">
        <v>47598344</v>
      </c>
      <c r="JL25" s="68">
        <v>171530</v>
      </c>
      <c r="JM25" s="68">
        <v>90806622</v>
      </c>
      <c r="JN25" s="68">
        <v>1343768259</v>
      </c>
      <c r="JO25" s="68">
        <v>596960</v>
      </c>
      <c r="JP25" s="68"/>
      <c r="JQ25" s="68" t="s">
        <v>4</v>
      </c>
      <c r="JR25" s="68"/>
      <c r="JS25" s="68">
        <v>4761560</v>
      </c>
      <c r="JT25" s="68">
        <v>2620380</v>
      </c>
      <c r="JU25" s="68">
        <v>4331570</v>
      </c>
      <c r="JV25" s="68">
        <v>602300</v>
      </c>
      <c r="JW25" s="68"/>
      <c r="JX25" s="68"/>
      <c r="JY25" s="68">
        <v>30884867</v>
      </c>
      <c r="JZ25" s="68"/>
      <c r="KA25" s="68">
        <v>0</v>
      </c>
      <c r="KB25" s="68">
        <v>11815483</v>
      </c>
      <c r="KC25" s="68">
        <v>13253816</v>
      </c>
      <c r="KD25" s="68"/>
      <c r="KE25" s="68">
        <v>490000</v>
      </c>
      <c r="KF25" s="68">
        <v>68937652</v>
      </c>
      <c r="KG25" s="68">
        <v>249251393</v>
      </c>
      <c r="KH25" s="68">
        <v>6568749</v>
      </c>
      <c r="KI25" s="68"/>
      <c r="KJ25" s="68">
        <v>11108300</v>
      </c>
      <c r="KK25" s="68"/>
      <c r="KL25" s="68">
        <v>75081336</v>
      </c>
      <c r="KM25" s="68">
        <v>94637</v>
      </c>
      <c r="KN25" s="68"/>
      <c r="KO25" s="68">
        <v>35453120</v>
      </c>
      <c r="KP25" s="68">
        <v>699630</v>
      </c>
      <c r="KQ25" s="68"/>
      <c r="KR25" s="68">
        <v>24115065</v>
      </c>
      <c r="KS25" s="68">
        <v>64390860</v>
      </c>
      <c r="KT25" s="68">
        <v>5783600</v>
      </c>
      <c r="KU25" s="68">
        <v>111836990</v>
      </c>
      <c r="KV25" s="68">
        <v>16381214</v>
      </c>
      <c r="KW25" s="68">
        <v>131591500</v>
      </c>
      <c r="KX25" s="68"/>
      <c r="KY25" s="68">
        <v>183072696</v>
      </c>
      <c r="KZ25" s="68">
        <v>37099612</v>
      </c>
      <c r="LA25" s="68">
        <v>7593423</v>
      </c>
      <c r="LB25" s="68">
        <v>944600</v>
      </c>
      <c r="LC25" s="103"/>
      <c r="LD25" s="103"/>
      <c r="LE25" s="103">
        <v>1864300</v>
      </c>
      <c r="LF25" s="103"/>
      <c r="LG25" s="103"/>
      <c r="LH25" s="102" t="s">
        <v>187</v>
      </c>
      <c r="LI25" s="103">
        <v>22701885</v>
      </c>
      <c r="LJ25" s="102" t="s">
        <v>187</v>
      </c>
      <c r="LK25" s="103"/>
      <c r="LL25" s="102" t="s">
        <v>187</v>
      </c>
    </row>
    <row r="26" spans="1:324" ht="17.55" customHeight="1">
      <c r="A26" s="67" t="s">
        <v>184</v>
      </c>
      <c r="B26" s="87" t="s">
        <v>6</v>
      </c>
      <c r="C26" s="84">
        <v>6382616</v>
      </c>
      <c r="D26" s="84"/>
      <c r="E26" s="84"/>
      <c r="F26" s="85"/>
      <c r="G26" s="84" t="s">
        <v>130</v>
      </c>
      <c r="H26" s="84"/>
      <c r="I26" s="84">
        <v>441045636</v>
      </c>
      <c r="J26" s="84" t="s">
        <v>4</v>
      </c>
      <c r="K26" s="84"/>
      <c r="L26" s="84" t="s">
        <v>96</v>
      </c>
      <c r="M26" s="84" t="s">
        <v>96</v>
      </c>
      <c r="N26" s="84">
        <v>17000000</v>
      </c>
      <c r="O26" s="84">
        <v>367912210</v>
      </c>
      <c r="P26" s="84"/>
      <c r="Q26" s="84"/>
      <c r="R26" s="84" t="s">
        <v>130</v>
      </c>
      <c r="S26" s="84">
        <v>882000000</v>
      </c>
      <c r="T26" s="84" t="s">
        <v>96</v>
      </c>
      <c r="U26" s="84" t="s">
        <v>96</v>
      </c>
      <c r="V26" s="84" t="s">
        <v>4</v>
      </c>
      <c r="W26" s="84"/>
      <c r="X26" s="84"/>
      <c r="Y26" s="84">
        <v>138302450</v>
      </c>
      <c r="Z26" s="84"/>
      <c r="AA26" s="84">
        <v>0</v>
      </c>
      <c r="AB26" s="84"/>
      <c r="AC26" s="84"/>
      <c r="AD26" s="84"/>
      <c r="AE26" s="84">
        <v>158250000</v>
      </c>
      <c r="AF26" s="84" t="s">
        <v>96</v>
      </c>
      <c r="AG26" s="84">
        <v>359554245</v>
      </c>
      <c r="AH26" s="84" t="s">
        <v>130</v>
      </c>
      <c r="AI26" s="84">
        <v>308854920</v>
      </c>
      <c r="AJ26" s="84">
        <v>46618047</v>
      </c>
      <c r="AK26" s="84">
        <v>441000000</v>
      </c>
      <c r="AL26" s="84"/>
      <c r="AM26" s="84" t="s">
        <v>4</v>
      </c>
      <c r="AN26" s="84"/>
      <c r="AO26" s="84">
        <v>443748641</v>
      </c>
      <c r="AP26" s="84"/>
      <c r="AQ26" s="84" t="s">
        <v>4</v>
      </c>
      <c r="AR26" s="84"/>
      <c r="AS26" s="84">
        <v>516883670</v>
      </c>
      <c r="AT26" s="84" t="s">
        <v>96</v>
      </c>
      <c r="AU26" s="84">
        <v>223279294</v>
      </c>
      <c r="AV26" s="84"/>
      <c r="AW26" s="84">
        <v>300000000</v>
      </c>
      <c r="AX26" s="84" t="s">
        <v>4</v>
      </c>
      <c r="AY26" s="84" t="s">
        <v>96</v>
      </c>
      <c r="AZ26" s="84"/>
      <c r="BA26" s="84" t="s">
        <v>130</v>
      </c>
      <c r="BB26" s="84">
        <v>19246350</v>
      </c>
      <c r="BC26" s="84" t="s">
        <v>4</v>
      </c>
      <c r="BD26" s="84" t="s">
        <v>96</v>
      </c>
      <c r="BE26" s="84">
        <v>120396590</v>
      </c>
      <c r="BF26" s="84" t="s">
        <v>96</v>
      </c>
      <c r="BG26" s="84">
        <v>139000000</v>
      </c>
      <c r="BH26" s="84"/>
      <c r="BI26" s="84"/>
      <c r="BJ26" s="84">
        <v>161379261</v>
      </c>
      <c r="BK26" s="84">
        <v>450000000</v>
      </c>
      <c r="BL26" s="84"/>
      <c r="BM26" s="84"/>
      <c r="BN26" s="84">
        <v>80522329</v>
      </c>
      <c r="BO26" s="84" t="s">
        <v>96</v>
      </c>
      <c r="BP26" s="84" t="s">
        <v>96</v>
      </c>
      <c r="BQ26" s="84" t="s">
        <v>4</v>
      </c>
      <c r="BR26" s="84">
        <v>3798900000</v>
      </c>
      <c r="BS26" s="84" t="s">
        <v>4</v>
      </c>
      <c r="BT26" s="84" t="s">
        <v>96</v>
      </c>
      <c r="BU26" s="84">
        <v>200000000</v>
      </c>
      <c r="BV26" s="84">
        <v>175129696</v>
      </c>
      <c r="BW26" s="84">
        <v>3000000</v>
      </c>
      <c r="BX26" s="84">
        <v>188984540</v>
      </c>
      <c r="BY26" s="84"/>
      <c r="BZ26" s="84"/>
      <c r="CA26" s="84">
        <v>980482169</v>
      </c>
      <c r="CB26" s="84"/>
      <c r="CC26" s="84"/>
      <c r="CD26" s="84"/>
      <c r="CE26" s="84" t="s">
        <v>96</v>
      </c>
      <c r="CF26" s="84" t="s">
        <v>96</v>
      </c>
      <c r="CG26" s="84"/>
      <c r="CH26" s="84"/>
      <c r="CI26" s="84" t="s">
        <v>96</v>
      </c>
      <c r="CJ26" s="84">
        <v>103536755</v>
      </c>
      <c r="CK26" s="84">
        <v>471510230</v>
      </c>
      <c r="CL26" s="84">
        <v>0</v>
      </c>
      <c r="CM26" s="84"/>
      <c r="CN26" s="84"/>
      <c r="CO26" s="84"/>
      <c r="CP26" s="84" t="s">
        <v>96</v>
      </c>
      <c r="CQ26" s="84" t="s">
        <v>96</v>
      </c>
      <c r="CR26" s="84"/>
      <c r="CS26" s="84" t="s">
        <v>96</v>
      </c>
      <c r="CT26" s="84">
        <v>5000000000</v>
      </c>
      <c r="CU26" s="84">
        <v>6877785</v>
      </c>
      <c r="CV26" s="84"/>
      <c r="CW26" s="84" t="s">
        <v>96</v>
      </c>
      <c r="CX26" s="84">
        <v>300000000</v>
      </c>
      <c r="CY26" s="84" t="s">
        <v>96</v>
      </c>
      <c r="CZ26" s="84"/>
      <c r="DA26" s="84" t="s">
        <v>96</v>
      </c>
      <c r="DB26" s="84"/>
      <c r="DC26" s="84"/>
      <c r="DD26" s="84" t="s">
        <v>96</v>
      </c>
      <c r="DE26" s="84"/>
      <c r="DF26" s="84">
        <v>7500241</v>
      </c>
      <c r="DG26" s="84">
        <v>69252954</v>
      </c>
      <c r="DH26" s="84">
        <v>18998228</v>
      </c>
      <c r="DI26" s="84"/>
      <c r="DJ26" s="84"/>
      <c r="DK26" s="84" t="s">
        <v>96</v>
      </c>
      <c r="DL26" s="84"/>
      <c r="DM26" s="84">
        <v>1133261376</v>
      </c>
      <c r="DN26" s="84">
        <v>66000000</v>
      </c>
      <c r="DO26" s="84">
        <v>60779527</v>
      </c>
      <c r="DP26" s="86">
        <v>930000000</v>
      </c>
      <c r="DQ26" s="84"/>
      <c r="DR26" s="84"/>
      <c r="DS26" s="84">
        <v>60000000</v>
      </c>
      <c r="DT26" s="84">
        <v>302561</v>
      </c>
      <c r="DU26" s="84">
        <v>74093893</v>
      </c>
      <c r="DV26" s="84"/>
      <c r="DW26" s="84"/>
      <c r="DX26" s="84">
        <v>590000000</v>
      </c>
      <c r="DY26" s="84"/>
      <c r="DZ26" s="84"/>
      <c r="EA26" s="84"/>
      <c r="EB26" s="84">
        <v>500000000</v>
      </c>
      <c r="EC26" s="84">
        <v>21932946</v>
      </c>
      <c r="ED26" s="84"/>
      <c r="EE26" s="84"/>
      <c r="EF26" s="84">
        <v>100238799</v>
      </c>
      <c r="EG26" s="96">
        <v>100000000</v>
      </c>
      <c r="EH26" s="99">
        <v>5490227</v>
      </c>
      <c r="EI26" s="97">
        <v>2000000000</v>
      </c>
      <c r="EJ26" s="84"/>
      <c r="EK26" s="84"/>
      <c r="EL26" s="84"/>
      <c r="EM26" s="84"/>
      <c r="EN26" s="84">
        <v>2324000000</v>
      </c>
      <c r="EO26" s="84">
        <v>50000000</v>
      </c>
      <c r="EP26" s="84"/>
      <c r="EQ26" s="84"/>
      <c r="ER26" s="84"/>
      <c r="ES26" s="84"/>
      <c r="ET26" s="84"/>
      <c r="EU26" s="84"/>
      <c r="EV26" s="84">
        <v>69007974</v>
      </c>
      <c r="EW26" s="84">
        <v>97500000</v>
      </c>
      <c r="EX26" s="84"/>
      <c r="EY26" s="84">
        <v>1604900000</v>
      </c>
      <c r="EZ26" s="84">
        <v>15000000</v>
      </c>
      <c r="FA26" s="84">
        <v>1120169115</v>
      </c>
      <c r="FB26" s="86">
        <v>60000000</v>
      </c>
      <c r="FC26" s="84"/>
      <c r="FD26" s="84">
        <v>52000000</v>
      </c>
      <c r="FE26" s="84">
        <v>2060500000</v>
      </c>
      <c r="FF26" s="84"/>
      <c r="FG26" s="84" t="s">
        <v>96</v>
      </c>
      <c r="FH26" s="84"/>
      <c r="FI26" s="84" t="s">
        <v>96</v>
      </c>
      <c r="FJ26" s="84"/>
      <c r="FK26" s="84">
        <v>134287154</v>
      </c>
      <c r="FL26" s="84"/>
      <c r="FM26" s="84" t="s">
        <v>130</v>
      </c>
      <c r="FN26" s="84">
        <v>5150000000</v>
      </c>
      <c r="FO26" s="84" t="s">
        <v>96</v>
      </c>
      <c r="FP26" s="84" t="s">
        <v>96</v>
      </c>
      <c r="FQ26" s="84"/>
      <c r="FR26" s="84">
        <v>150000000</v>
      </c>
      <c r="FS26" s="84"/>
      <c r="FT26" s="84">
        <v>400000000</v>
      </c>
      <c r="FU26" s="84">
        <v>62070000</v>
      </c>
      <c r="FV26" s="84" t="s">
        <v>96</v>
      </c>
      <c r="FW26" s="84"/>
      <c r="FX26" s="84">
        <v>325849774</v>
      </c>
      <c r="FY26" s="84" t="s">
        <v>96</v>
      </c>
      <c r="FZ26" s="84" t="s">
        <v>4</v>
      </c>
      <c r="GA26" s="84"/>
      <c r="GB26" s="84">
        <v>1550122</v>
      </c>
      <c r="GC26" s="84"/>
      <c r="GD26" s="84" t="s">
        <v>96</v>
      </c>
      <c r="GE26" s="84" t="s">
        <v>4</v>
      </c>
      <c r="GF26" s="84"/>
      <c r="GG26" s="84">
        <v>300000000</v>
      </c>
      <c r="GH26" s="84" t="s">
        <v>4</v>
      </c>
      <c r="GI26" s="84">
        <v>6187500</v>
      </c>
      <c r="GJ26" s="84" t="s">
        <v>96</v>
      </c>
      <c r="GK26" s="84">
        <v>242276025</v>
      </c>
      <c r="GL26" s="84" t="s">
        <v>96</v>
      </c>
      <c r="GM26" s="84">
        <v>89400000</v>
      </c>
      <c r="GN26" s="84">
        <v>437375364</v>
      </c>
      <c r="GO26" s="84" t="s">
        <v>96</v>
      </c>
      <c r="GP26" s="84"/>
      <c r="GQ26" s="84">
        <v>45099222</v>
      </c>
      <c r="GR26" s="84">
        <v>19584133</v>
      </c>
      <c r="GS26" s="84">
        <v>211567620</v>
      </c>
      <c r="GT26" s="84" t="s">
        <v>130</v>
      </c>
      <c r="GU26" s="84"/>
      <c r="GV26" s="84">
        <v>52447459</v>
      </c>
      <c r="GW26" s="84">
        <v>16300000000</v>
      </c>
      <c r="GX26" s="84">
        <v>150000000</v>
      </c>
      <c r="GY26" s="84">
        <v>5000000</v>
      </c>
      <c r="GZ26" s="84">
        <v>483760777</v>
      </c>
      <c r="HA26" s="84" t="s">
        <v>96</v>
      </c>
      <c r="HB26" s="84"/>
      <c r="HC26" s="84" t="s">
        <v>130</v>
      </c>
      <c r="HD26" s="84"/>
      <c r="HE26" s="84" t="s">
        <v>96</v>
      </c>
      <c r="HF26" s="84">
        <v>14069539</v>
      </c>
      <c r="HG26" s="84">
        <v>84175024</v>
      </c>
      <c r="HH26" s="84" t="s">
        <v>96</v>
      </c>
      <c r="HI26" s="84">
        <v>630000000</v>
      </c>
      <c r="HJ26" s="84" t="s">
        <v>96</v>
      </c>
      <c r="HK26" s="84">
        <v>670000000</v>
      </c>
      <c r="HL26" s="84"/>
      <c r="HM26" s="84">
        <v>48535221</v>
      </c>
      <c r="HN26" s="84">
        <v>20000000</v>
      </c>
      <c r="HO26" s="84"/>
      <c r="HP26" s="84"/>
      <c r="HQ26" s="84"/>
      <c r="HR26" s="84"/>
      <c r="HS26" s="84">
        <v>70136245</v>
      </c>
      <c r="HT26" s="84">
        <v>170138722</v>
      </c>
      <c r="HU26" s="84" t="s">
        <v>130</v>
      </c>
      <c r="HV26" s="84"/>
      <c r="HW26" s="84" t="s">
        <v>96</v>
      </c>
      <c r="HX26" s="84">
        <v>500000000</v>
      </c>
      <c r="HY26" s="84" t="s">
        <v>114</v>
      </c>
      <c r="HZ26" s="84">
        <v>1606170000</v>
      </c>
      <c r="IA26" s="84"/>
      <c r="IB26" s="84">
        <v>1184000000</v>
      </c>
      <c r="IC26" s="84"/>
      <c r="ID26" s="84">
        <v>18605523</v>
      </c>
      <c r="IE26" s="84" t="s">
        <v>96</v>
      </c>
      <c r="IF26" s="84"/>
      <c r="IG26" s="84">
        <v>7590000</v>
      </c>
      <c r="IH26" s="84">
        <v>381513659</v>
      </c>
      <c r="II26" s="84">
        <v>3000000</v>
      </c>
      <c r="IJ26" s="84"/>
      <c r="IK26" s="84"/>
      <c r="IL26" s="84">
        <v>501910000</v>
      </c>
      <c r="IM26" s="84">
        <v>630000000</v>
      </c>
      <c r="IN26" s="84">
        <v>62525077</v>
      </c>
      <c r="IO26" s="84"/>
      <c r="IP26" s="84">
        <v>250292209</v>
      </c>
      <c r="IQ26" s="84"/>
      <c r="IR26" s="84"/>
      <c r="IS26" s="84">
        <v>4000000</v>
      </c>
      <c r="IT26" s="84">
        <v>70000000</v>
      </c>
      <c r="IU26" s="84"/>
      <c r="IV26" s="84">
        <v>0</v>
      </c>
      <c r="IW26" s="84"/>
      <c r="IX26" s="84"/>
      <c r="IY26" s="68">
        <v>440000000</v>
      </c>
      <c r="IZ26" s="68">
        <v>121983023</v>
      </c>
      <c r="JA26" s="68"/>
      <c r="JB26" s="68">
        <v>448009059</v>
      </c>
      <c r="JC26" s="68">
        <v>34000000</v>
      </c>
      <c r="JD26" s="68"/>
      <c r="JE26" s="68"/>
      <c r="JF26" s="68">
        <v>25404268</v>
      </c>
      <c r="JG26" s="68">
        <v>14021360</v>
      </c>
      <c r="JH26" s="68">
        <v>29160000</v>
      </c>
      <c r="JI26" s="68">
        <v>91284766</v>
      </c>
      <c r="JJ26" s="68"/>
      <c r="JK26" s="68">
        <v>80900000</v>
      </c>
      <c r="JL26" s="68"/>
      <c r="JM26" s="68">
        <v>15479077</v>
      </c>
      <c r="JN26" s="68">
        <v>330000000</v>
      </c>
      <c r="JO26" s="68"/>
      <c r="JP26" s="68"/>
      <c r="JQ26" s="68" t="s">
        <v>4</v>
      </c>
      <c r="JR26" s="68"/>
      <c r="JS26" s="68">
        <v>195461523</v>
      </c>
      <c r="JT26" s="68">
        <v>247169502</v>
      </c>
      <c r="JU26" s="68">
        <v>73410300</v>
      </c>
      <c r="JV26" s="68">
        <v>23060000</v>
      </c>
      <c r="JW26" s="68">
        <v>82605856</v>
      </c>
      <c r="JX26" s="68"/>
      <c r="JY26" s="68"/>
      <c r="JZ26" s="68">
        <v>84660000</v>
      </c>
      <c r="KA26" s="68">
        <v>18370460</v>
      </c>
      <c r="KB26" s="68"/>
      <c r="KC26" s="68">
        <v>57108507</v>
      </c>
      <c r="KD26" s="68"/>
      <c r="KE26" s="68">
        <v>153009318</v>
      </c>
      <c r="KF26" s="68">
        <v>647251730</v>
      </c>
      <c r="KG26" s="68">
        <v>433370045</v>
      </c>
      <c r="KH26" s="68"/>
      <c r="KI26" s="68"/>
      <c r="KJ26" s="68"/>
      <c r="KK26" s="68">
        <v>200000000</v>
      </c>
      <c r="KL26" s="68">
        <v>1944000000</v>
      </c>
      <c r="KM26" s="68"/>
      <c r="KN26" s="68"/>
      <c r="KO26" s="68">
        <v>3927247388</v>
      </c>
      <c r="KP26" s="68"/>
      <c r="KQ26" s="68">
        <v>105021247</v>
      </c>
      <c r="KR26" s="68">
        <v>100000000</v>
      </c>
      <c r="KS26" s="68">
        <v>487077040</v>
      </c>
      <c r="KT26" s="68">
        <v>10887540</v>
      </c>
      <c r="KU26" s="68"/>
      <c r="KV26" s="68">
        <v>15195638</v>
      </c>
      <c r="KW26" s="68">
        <v>94980000</v>
      </c>
      <c r="KX26" s="68"/>
      <c r="KY26" s="68">
        <v>31940000</v>
      </c>
      <c r="KZ26" s="68">
        <v>555641600</v>
      </c>
      <c r="LA26" s="68">
        <v>58675467</v>
      </c>
      <c r="LB26" s="68"/>
      <c r="LC26" s="103"/>
      <c r="LD26" s="103">
        <v>155500000</v>
      </c>
      <c r="LE26" s="103"/>
      <c r="LF26" s="103">
        <v>407500000</v>
      </c>
      <c r="LG26" s="103"/>
      <c r="LH26" s="102" t="s">
        <v>187</v>
      </c>
      <c r="LI26" s="103"/>
      <c r="LJ26" s="102" t="s">
        <v>187</v>
      </c>
      <c r="LK26" s="103"/>
      <c r="LL26" s="102" t="s">
        <v>187</v>
      </c>
    </row>
    <row r="27" spans="1:324" ht="17.55" customHeight="1">
      <c r="A27" s="67" t="s">
        <v>184</v>
      </c>
      <c r="B27" s="87" t="s">
        <v>147</v>
      </c>
      <c r="C27" s="84">
        <v>146899740</v>
      </c>
      <c r="D27" s="84">
        <v>100349965</v>
      </c>
      <c r="E27" s="84">
        <v>84809003</v>
      </c>
      <c r="F27" s="85">
        <v>5033500</v>
      </c>
      <c r="G27" s="84" t="s">
        <v>130</v>
      </c>
      <c r="H27" s="84"/>
      <c r="I27" s="84">
        <v>564006286</v>
      </c>
      <c r="J27" s="84" t="s">
        <v>4</v>
      </c>
      <c r="K27" s="84">
        <v>6346000</v>
      </c>
      <c r="L27" s="84" t="s">
        <v>96</v>
      </c>
      <c r="M27" s="84" t="s">
        <v>96</v>
      </c>
      <c r="N27" s="84">
        <v>78180147</v>
      </c>
      <c r="O27" s="84">
        <v>716067106</v>
      </c>
      <c r="P27" s="84">
        <v>84438920</v>
      </c>
      <c r="Q27" s="84">
        <v>15312694</v>
      </c>
      <c r="R27" s="84" t="s">
        <v>130</v>
      </c>
      <c r="S27" s="84">
        <v>229568097</v>
      </c>
      <c r="T27" s="84" t="s">
        <v>96</v>
      </c>
      <c r="U27" s="84" t="s">
        <v>96</v>
      </c>
      <c r="V27" s="84" t="s">
        <v>4</v>
      </c>
      <c r="W27" s="84">
        <v>144169620</v>
      </c>
      <c r="X27" s="84">
        <v>189185082</v>
      </c>
      <c r="Y27" s="84">
        <v>20150627</v>
      </c>
      <c r="Z27" s="84">
        <v>85701992</v>
      </c>
      <c r="AA27" s="84">
        <v>86357283</v>
      </c>
      <c r="AB27" s="84">
        <v>16382130</v>
      </c>
      <c r="AC27" s="84">
        <v>42229260</v>
      </c>
      <c r="AD27" s="84">
        <v>149512249</v>
      </c>
      <c r="AE27" s="84">
        <v>31346352</v>
      </c>
      <c r="AF27" s="84" t="s">
        <v>96</v>
      </c>
      <c r="AG27" s="84">
        <v>93314983</v>
      </c>
      <c r="AH27" s="84" t="s">
        <v>130</v>
      </c>
      <c r="AI27" s="84">
        <v>9789614</v>
      </c>
      <c r="AJ27" s="84">
        <v>15487468</v>
      </c>
      <c r="AK27" s="84">
        <v>127224909</v>
      </c>
      <c r="AL27" s="84">
        <v>96788829</v>
      </c>
      <c r="AM27" s="84" t="s">
        <v>4</v>
      </c>
      <c r="AN27" s="84">
        <v>87914754</v>
      </c>
      <c r="AO27" s="84">
        <v>98095713</v>
      </c>
      <c r="AP27" s="84">
        <v>41610236</v>
      </c>
      <c r="AQ27" s="84" t="s">
        <v>4</v>
      </c>
      <c r="AR27" s="84">
        <v>244279515</v>
      </c>
      <c r="AS27" s="84">
        <v>61411583</v>
      </c>
      <c r="AT27" s="84" t="s">
        <v>96</v>
      </c>
      <c r="AU27" s="84">
        <v>1215577642</v>
      </c>
      <c r="AV27" s="84">
        <v>34409997</v>
      </c>
      <c r="AW27" s="84">
        <v>16904525</v>
      </c>
      <c r="AX27" s="84" t="s">
        <v>4</v>
      </c>
      <c r="AY27" s="84" t="s">
        <v>96</v>
      </c>
      <c r="AZ27" s="84">
        <v>57356542</v>
      </c>
      <c r="BA27" s="84" t="s">
        <v>130</v>
      </c>
      <c r="BB27" s="84">
        <v>12815460</v>
      </c>
      <c r="BC27" s="84" t="s">
        <v>4</v>
      </c>
      <c r="BD27" s="84" t="s">
        <v>96</v>
      </c>
      <c r="BE27" s="84">
        <v>225494073</v>
      </c>
      <c r="BF27" s="84" t="s">
        <v>96</v>
      </c>
      <c r="BG27" s="84">
        <v>137882138</v>
      </c>
      <c r="BH27" s="84">
        <v>28206109</v>
      </c>
      <c r="BI27" s="84">
        <v>46958050</v>
      </c>
      <c r="BJ27" s="84">
        <v>126782833</v>
      </c>
      <c r="BK27" s="84">
        <v>98716071</v>
      </c>
      <c r="BL27" s="84">
        <v>22466858</v>
      </c>
      <c r="BM27" s="84">
        <v>284855599</v>
      </c>
      <c r="BN27" s="84">
        <v>7074290</v>
      </c>
      <c r="BO27" s="84" t="s">
        <v>96</v>
      </c>
      <c r="BP27" s="84" t="s">
        <v>96</v>
      </c>
      <c r="BQ27" s="84" t="s">
        <v>4</v>
      </c>
      <c r="BR27" s="84">
        <v>814570094</v>
      </c>
      <c r="BS27" s="84" t="s">
        <v>4</v>
      </c>
      <c r="BT27" s="84" t="s">
        <v>96</v>
      </c>
      <c r="BU27" s="84">
        <v>136892161</v>
      </c>
      <c r="BV27" s="84">
        <v>43447720</v>
      </c>
      <c r="BW27" s="84">
        <v>281788</v>
      </c>
      <c r="BX27" s="84">
        <v>16088422</v>
      </c>
      <c r="BY27" s="84">
        <v>115178383</v>
      </c>
      <c r="BZ27" s="84">
        <v>38610714</v>
      </c>
      <c r="CA27" s="84">
        <v>518389684</v>
      </c>
      <c r="CB27" s="84">
        <v>24375873</v>
      </c>
      <c r="CC27" s="84">
        <v>77429107</v>
      </c>
      <c r="CD27" s="84">
        <v>835301670</v>
      </c>
      <c r="CE27" s="84" t="s">
        <v>96</v>
      </c>
      <c r="CF27" s="84" t="s">
        <v>96</v>
      </c>
      <c r="CG27" s="84">
        <v>532730</v>
      </c>
      <c r="CH27" s="84">
        <v>1036300</v>
      </c>
      <c r="CI27" s="84" t="s">
        <v>96</v>
      </c>
      <c r="CJ27" s="84">
        <v>67152202</v>
      </c>
      <c r="CK27" s="84">
        <v>350513981</v>
      </c>
      <c r="CL27" s="84">
        <v>36275090</v>
      </c>
      <c r="CM27" s="84">
        <v>688947662</v>
      </c>
      <c r="CN27" s="84">
        <v>62431698</v>
      </c>
      <c r="CO27" s="84"/>
      <c r="CP27" s="84" t="s">
        <v>96</v>
      </c>
      <c r="CQ27" s="84" t="s">
        <v>96</v>
      </c>
      <c r="CR27" s="84">
        <v>30229272</v>
      </c>
      <c r="CS27" s="84" t="s">
        <v>96</v>
      </c>
      <c r="CT27" s="84">
        <v>594141651</v>
      </c>
      <c r="CU27" s="84">
        <v>1330000</v>
      </c>
      <c r="CV27" s="84">
        <v>117591603</v>
      </c>
      <c r="CW27" s="84" t="s">
        <v>96</v>
      </c>
      <c r="CX27" s="84">
        <v>455909834</v>
      </c>
      <c r="CY27" s="84" t="s">
        <v>96</v>
      </c>
      <c r="CZ27" s="84">
        <v>37145653</v>
      </c>
      <c r="DA27" s="84" t="s">
        <v>96</v>
      </c>
      <c r="DB27" s="84">
        <v>34612213</v>
      </c>
      <c r="DC27" s="84">
        <v>2065794</v>
      </c>
      <c r="DD27" s="84" t="s">
        <v>96</v>
      </c>
      <c r="DE27" s="84"/>
      <c r="DF27" s="84">
        <v>32817049</v>
      </c>
      <c r="DG27" s="84">
        <v>151366910</v>
      </c>
      <c r="DH27" s="84">
        <v>74538860</v>
      </c>
      <c r="DI27" s="84">
        <v>51244333</v>
      </c>
      <c r="DJ27" s="84">
        <v>13697234</v>
      </c>
      <c r="DK27" s="84" t="s">
        <v>96</v>
      </c>
      <c r="DL27" s="84">
        <v>19049714</v>
      </c>
      <c r="DM27" s="84">
        <v>15187757</v>
      </c>
      <c r="DN27" s="84">
        <v>52200302</v>
      </c>
      <c r="DO27" s="84">
        <v>15528095</v>
      </c>
      <c r="DP27" s="86">
        <v>599340510</v>
      </c>
      <c r="DQ27" s="84">
        <v>46196339</v>
      </c>
      <c r="DR27" s="84">
        <v>44466076</v>
      </c>
      <c r="DS27" s="84">
        <v>47400200</v>
      </c>
      <c r="DT27" s="84">
        <v>70191162</v>
      </c>
      <c r="DU27" s="84"/>
      <c r="DV27" s="84">
        <v>4891413</v>
      </c>
      <c r="DW27" s="84">
        <v>33207234</v>
      </c>
      <c r="DX27" s="84">
        <v>1364987899</v>
      </c>
      <c r="DY27" s="84">
        <v>61713635</v>
      </c>
      <c r="DZ27" s="84">
        <v>22201720</v>
      </c>
      <c r="EA27" s="84">
        <v>143000</v>
      </c>
      <c r="EB27" s="84">
        <v>1043367400</v>
      </c>
      <c r="EC27" s="84">
        <v>45262260</v>
      </c>
      <c r="ED27" s="84">
        <v>23401014</v>
      </c>
      <c r="EE27" s="84">
        <v>27911902</v>
      </c>
      <c r="EF27" s="84">
        <v>33051343</v>
      </c>
      <c r="EG27" s="96">
        <v>1075846641</v>
      </c>
      <c r="EH27" s="99">
        <v>40258973</v>
      </c>
      <c r="EI27" s="97">
        <v>3290927589</v>
      </c>
      <c r="EJ27" s="84">
        <v>22923150</v>
      </c>
      <c r="EK27" s="84">
        <v>46988505</v>
      </c>
      <c r="EL27" s="84">
        <v>104880869</v>
      </c>
      <c r="EM27" s="84">
        <v>39202028</v>
      </c>
      <c r="EN27" s="84">
        <v>458073352</v>
      </c>
      <c r="EO27" s="84">
        <v>47240217</v>
      </c>
      <c r="EP27" s="84"/>
      <c r="EQ27" s="84">
        <v>715680563</v>
      </c>
      <c r="ER27" s="84">
        <v>958177054</v>
      </c>
      <c r="ES27" s="84"/>
      <c r="ET27" s="84">
        <v>314956853</v>
      </c>
      <c r="EU27" s="84">
        <v>218702719</v>
      </c>
      <c r="EV27" s="84">
        <v>17767853</v>
      </c>
      <c r="EW27" s="84">
        <v>44382304</v>
      </c>
      <c r="EX27" s="84">
        <v>65337910</v>
      </c>
      <c r="EY27" s="84">
        <v>607611519</v>
      </c>
      <c r="EZ27" s="84">
        <v>68794548</v>
      </c>
      <c r="FA27" s="84">
        <v>62281772</v>
      </c>
      <c r="FB27" s="86">
        <v>2764530</v>
      </c>
      <c r="FC27" s="84">
        <v>33839122</v>
      </c>
      <c r="FD27" s="84">
        <v>280031151</v>
      </c>
      <c r="FE27" s="84">
        <v>1489712831</v>
      </c>
      <c r="FF27" s="84">
        <v>2320060</v>
      </c>
      <c r="FG27" s="84" t="s">
        <v>96</v>
      </c>
      <c r="FH27" s="84">
        <v>28151250</v>
      </c>
      <c r="FI27" s="84" t="s">
        <v>96</v>
      </c>
      <c r="FJ27" s="84">
        <v>28658377</v>
      </c>
      <c r="FK27" s="84">
        <v>214335002</v>
      </c>
      <c r="FL27" s="84">
        <v>7645112</v>
      </c>
      <c r="FM27" s="84" t="s">
        <v>130</v>
      </c>
      <c r="FN27" s="84">
        <v>3410530704</v>
      </c>
      <c r="FO27" s="84" t="s">
        <v>96</v>
      </c>
      <c r="FP27" s="84" t="s">
        <v>96</v>
      </c>
      <c r="FQ27" s="84"/>
      <c r="FR27" s="84">
        <v>56756618</v>
      </c>
      <c r="FS27" s="84">
        <v>409321227</v>
      </c>
      <c r="FT27" s="84">
        <v>509664398</v>
      </c>
      <c r="FU27" s="84">
        <v>9081850</v>
      </c>
      <c r="FV27" s="84" t="s">
        <v>96</v>
      </c>
      <c r="FW27" s="84">
        <v>2322256</v>
      </c>
      <c r="FX27" s="84">
        <v>91292677</v>
      </c>
      <c r="FY27" s="84" t="s">
        <v>96</v>
      </c>
      <c r="FZ27" s="84" t="s">
        <v>4</v>
      </c>
      <c r="GA27" s="84">
        <v>84795636</v>
      </c>
      <c r="GB27" s="84">
        <v>9430945</v>
      </c>
      <c r="GC27" s="84">
        <v>9355902</v>
      </c>
      <c r="GD27" s="84" t="s">
        <v>96</v>
      </c>
      <c r="GE27" s="84" t="s">
        <v>4</v>
      </c>
      <c r="GF27" s="84">
        <v>93125008</v>
      </c>
      <c r="GG27" s="84">
        <v>218978473</v>
      </c>
      <c r="GH27" s="84" t="s">
        <v>4</v>
      </c>
      <c r="GI27" s="84">
        <v>5137572</v>
      </c>
      <c r="GJ27" s="84" t="s">
        <v>96</v>
      </c>
      <c r="GK27" s="84">
        <v>25735041</v>
      </c>
      <c r="GL27" s="84" t="s">
        <v>96</v>
      </c>
      <c r="GM27" s="84">
        <v>243138606</v>
      </c>
      <c r="GN27" s="84">
        <v>47681976</v>
      </c>
      <c r="GO27" s="84" t="s">
        <v>96</v>
      </c>
      <c r="GP27" s="84">
        <v>328070843</v>
      </c>
      <c r="GQ27" s="84">
        <v>25798946</v>
      </c>
      <c r="GR27" s="84">
        <v>58680261</v>
      </c>
      <c r="GS27" s="84">
        <v>31326832</v>
      </c>
      <c r="GT27" s="84" t="s">
        <v>130</v>
      </c>
      <c r="GU27" s="84">
        <v>0</v>
      </c>
      <c r="GV27" s="84">
        <v>507746203</v>
      </c>
      <c r="GW27" s="84">
        <v>934568552</v>
      </c>
      <c r="GX27" s="84">
        <v>25688011</v>
      </c>
      <c r="GY27" s="84">
        <v>53893141</v>
      </c>
      <c r="GZ27" s="84">
        <v>51856840</v>
      </c>
      <c r="HA27" s="84" t="s">
        <v>96</v>
      </c>
      <c r="HB27" s="84">
        <v>117347231</v>
      </c>
      <c r="HC27" s="84" t="s">
        <v>130</v>
      </c>
      <c r="HD27" s="84">
        <v>3825610</v>
      </c>
      <c r="HE27" s="84" t="s">
        <v>96</v>
      </c>
      <c r="HF27" s="84">
        <v>468300617</v>
      </c>
      <c r="HG27" s="84">
        <v>55282224</v>
      </c>
      <c r="HH27" s="84" t="s">
        <v>96</v>
      </c>
      <c r="HI27" s="84">
        <v>198525564</v>
      </c>
      <c r="HJ27" s="84" t="s">
        <v>96</v>
      </c>
      <c r="HK27" s="84">
        <v>178138742</v>
      </c>
      <c r="HL27" s="84">
        <v>16784187</v>
      </c>
      <c r="HM27" s="84">
        <v>57175516</v>
      </c>
      <c r="HN27" s="84">
        <v>5067520</v>
      </c>
      <c r="HO27" s="84">
        <v>13458593</v>
      </c>
      <c r="HP27" s="84">
        <v>98249184</v>
      </c>
      <c r="HQ27" s="84">
        <v>247428166</v>
      </c>
      <c r="HR27" s="84">
        <v>142853758</v>
      </c>
      <c r="HS27" s="84">
        <v>16351371</v>
      </c>
      <c r="HT27" s="84">
        <v>156565385</v>
      </c>
      <c r="HU27" s="84" t="s">
        <v>130</v>
      </c>
      <c r="HV27" s="84">
        <v>102522192</v>
      </c>
      <c r="HW27" s="84" t="s">
        <v>96</v>
      </c>
      <c r="HX27" s="84">
        <v>99110739</v>
      </c>
      <c r="HY27" s="84" t="s">
        <v>114</v>
      </c>
      <c r="HZ27" s="84">
        <v>437842560</v>
      </c>
      <c r="IA27" s="84">
        <v>2144442</v>
      </c>
      <c r="IB27" s="84">
        <v>430622326</v>
      </c>
      <c r="IC27" s="84">
        <v>158623281</v>
      </c>
      <c r="ID27" s="84">
        <v>11091763</v>
      </c>
      <c r="IE27" s="84" t="s">
        <v>96</v>
      </c>
      <c r="IF27" s="84"/>
      <c r="IG27" s="84">
        <v>14994237</v>
      </c>
      <c r="IH27" s="84">
        <v>32609961</v>
      </c>
      <c r="II27" s="84">
        <v>38191042</v>
      </c>
      <c r="IJ27" s="84">
        <v>106658935</v>
      </c>
      <c r="IK27" s="84">
        <v>16874056</v>
      </c>
      <c r="IL27" s="84">
        <v>23697417</v>
      </c>
      <c r="IM27" s="84">
        <v>278307442</v>
      </c>
      <c r="IN27" s="84">
        <v>264565956</v>
      </c>
      <c r="IO27" s="84">
        <v>15086509</v>
      </c>
      <c r="IP27" s="84">
        <v>5203729</v>
      </c>
      <c r="IQ27" s="84">
        <v>1340944</v>
      </c>
      <c r="IR27" s="84">
        <v>112918334</v>
      </c>
      <c r="IS27" s="84">
        <v>80007817</v>
      </c>
      <c r="IT27" s="84">
        <v>31723841</v>
      </c>
      <c r="IU27" s="84">
        <v>716681255</v>
      </c>
      <c r="IV27" s="84">
        <v>124388805</v>
      </c>
      <c r="IW27" s="84">
        <v>78679910</v>
      </c>
      <c r="IX27" s="84">
        <v>88766521</v>
      </c>
      <c r="IY27" s="68">
        <v>41599676</v>
      </c>
      <c r="IZ27" s="68">
        <v>106204844</v>
      </c>
      <c r="JA27" s="68">
        <v>58024420</v>
      </c>
      <c r="JB27" s="68">
        <v>148551988</v>
      </c>
      <c r="JC27" s="68">
        <v>18374088</v>
      </c>
      <c r="JD27" s="68">
        <v>29147870</v>
      </c>
      <c r="JE27" s="68">
        <v>40809472</v>
      </c>
      <c r="JF27" s="68">
        <v>228159280</v>
      </c>
      <c r="JG27" s="68">
        <v>1260812</v>
      </c>
      <c r="JH27" s="68">
        <v>26042933</v>
      </c>
      <c r="JI27" s="68">
        <v>22842909</v>
      </c>
      <c r="JJ27" s="68">
        <v>9724138</v>
      </c>
      <c r="JK27" s="68">
        <v>51640292</v>
      </c>
      <c r="JL27" s="68">
        <v>329926900</v>
      </c>
      <c r="JM27" s="68"/>
      <c r="JN27" s="68">
        <v>123598724</v>
      </c>
      <c r="JO27" s="68">
        <v>26699245</v>
      </c>
      <c r="JP27" s="68">
        <v>10668859</v>
      </c>
      <c r="JQ27" s="68" t="s">
        <v>4</v>
      </c>
      <c r="JR27" s="68">
        <v>269474565</v>
      </c>
      <c r="JS27" s="68">
        <v>23038031</v>
      </c>
      <c r="JT27" s="68">
        <v>74811265</v>
      </c>
      <c r="JU27" s="68">
        <v>46563901</v>
      </c>
      <c r="JV27" s="68">
        <v>296205318</v>
      </c>
      <c r="JW27" s="68">
        <v>0</v>
      </c>
      <c r="JX27" s="68">
        <v>499261337</v>
      </c>
      <c r="JY27" s="68">
        <v>418803745</v>
      </c>
      <c r="JZ27" s="68">
        <v>9663141</v>
      </c>
      <c r="KA27" s="68">
        <v>228941858</v>
      </c>
      <c r="KB27" s="68">
        <v>170119137</v>
      </c>
      <c r="KC27" s="68">
        <v>10551590</v>
      </c>
      <c r="KD27" s="68">
        <v>385172537</v>
      </c>
      <c r="KE27" s="68">
        <v>14096672</v>
      </c>
      <c r="KF27" s="68">
        <v>14594781</v>
      </c>
      <c r="KG27" s="68">
        <v>11243528</v>
      </c>
      <c r="KH27" s="68">
        <v>25354984</v>
      </c>
      <c r="KI27" s="68">
        <v>37361673</v>
      </c>
      <c r="KJ27" s="68">
        <v>57508223</v>
      </c>
      <c r="KK27" s="68">
        <v>218124124</v>
      </c>
      <c r="KL27" s="68"/>
      <c r="KM27" s="68">
        <v>41861144</v>
      </c>
      <c r="KN27" s="68">
        <v>129416156</v>
      </c>
      <c r="KO27" s="68">
        <v>483674387</v>
      </c>
      <c r="KP27" s="68">
        <v>268567193</v>
      </c>
      <c r="KQ27" s="68">
        <v>5529136</v>
      </c>
      <c r="KR27" s="68">
        <v>69757948</v>
      </c>
      <c r="KS27" s="68">
        <v>13182354</v>
      </c>
      <c r="KT27" s="68">
        <v>21925911</v>
      </c>
      <c r="KU27" s="68">
        <v>57484021</v>
      </c>
      <c r="KV27" s="68">
        <v>4632664</v>
      </c>
      <c r="KW27" s="68">
        <v>52740181</v>
      </c>
      <c r="KX27" s="68">
        <v>1678939</v>
      </c>
      <c r="KY27" s="68">
        <v>248473746</v>
      </c>
      <c r="KZ27" s="68">
        <v>129931626</v>
      </c>
      <c r="LA27" s="68">
        <v>25193304</v>
      </c>
      <c r="LB27" s="68">
        <v>41602065</v>
      </c>
      <c r="LC27" s="103">
        <v>271983796</v>
      </c>
      <c r="LD27" s="103">
        <v>246258751</v>
      </c>
      <c r="LE27" s="103">
        <v>10798676</v>
      </c>
      <c r="LF27" s="103"/>
      <c r="LG27" s="103">
        <v>329832981</v>
      </c>
      <c r="LH27" s="102" t="s">
        <v>187</v>
      </c>
      <c r="LI27" s="103">
        <v>65580982</v>
      </c>
      <c r="LJ27" s="102" t="s">
        <v>187</v>
      </c>
      <c r="LK27" s="103">
        <v>114508239</v>
      </c>
      <c r="LL27" s="102" t="s">
        <v>187</v>
      </c>
    </row>
    <row r="28" spans="1:324" ht="17.55" customHeight="1">
      <c r="A28" s="67" t="s">
        <v>184</v>
      </c>
      <c r="B28" s="87" t="s">
        <v>150</v>
      </c>
      <c r="C28" s="84">
        <v>5742240</v>
      </c>
      <c r="D28" s="84">
        <v>12202250</v>
      </c>
      <c r="E28" s="84">
        <v>7180450</v>
      </c>
      <c r="F28" s="85">
        <v>17248005</v>
      </c>
      <c r="G28" s="84" t="s">
        <v>130</v>
      </c>
      <c r="H28" s="84"/>
      <c r="I28" s="84">
        <v>73355719</v>
      </c>
      <c r="J28" s="84" t="s">
        <v>4</v>
      </c>
      <c r="K28" s="84">
        <v>36230233</v>
      </c>
      <c r="L28" s="84" t="s">
        <v>96</v>
      </c>
      <c r="M28" s="84" t="s">
        <v>96</v>
      </c>
      <c r="N28" s="84">
        <v>5658460</v>
      </c>
      <c r="O28" s="84">
        <v>113618114</v>
      </c>
      <c r="P28" s="84">
        <v>98961419</v>
      </c>
      <c r="Q28" s="84">
        <v>1335190</v>
      </c>
      <c r="R28" s="84" t="s">
        <v>130</v>
      </c>
      <c r="S28" s="84">
        <v>18485193</v>
      </c>
      <c r="T28" s="84" t="s">
        <v>96</v>
      </c>
      <c r="U28" s="84" t="s">
        <v>96</v>
      </c>
      <c r="V28" s="84" t="s">
        <v>4</v>
      </c>
      <c r="W28" s="84">
        <v>8426340</v>
      </c>
      <c r="X28" s="84">
        <v>156272790</v>
      </c>
      <c r="Y28" s="84">
        <v>3052880</v>
      </c>
      <c r="Z28" s="84">
        <v>57969579</v>
      </c>
      <c r="AA28" s="84">
        <v>56248740</v>
      </c>
      <c r="AB28" s="84">
        <v>5534750</v>
      </c>
      <c r="AC28" s="84">
        <v>108280397</v>
      </c>
      <c r="AD28" s="84">
        <v>10671670</v>
      </c>
      <c r="AE28" s="84">
        <v>9364718</v>
      </c>
      <c r="AF28" s="84" t="s">
        <v>96</v>
      </c>
      <c r="AG28" s="84">
        <v>532484497</v>
      </c>
      <c r="AH28" s="84" t="s">
        <v>130</v>
      </c>
      <c r="AI28" s="84">
        <v>555690</v>
      </c>
      <c r="AJ28" s="84">
        <v>7378381</v>
      </c>
      <c r="AK28" s="84">
        <v>8626848</v>
      </c>
      <c r="AL28" s="84">
        <v>15954700</v>
      </c>
      <c r="AM28" s="84" t="s">
        <v>4</v>
      </c>
      <c r="AN28" s="84">
        <v>8994980</v>
      </c>
      <c r="AO28" s="84">
        <v>16147939</v>
      </c>
      <c r="AP28" s="84">
        <v>23194372</v>
      </c>
      <c r="AQ28" s="84" t="s">
        <v>4</v>
      </c>
      <c r="AR28" s="84">
        <v>27963396</v>
      </c>
      <c r="AS28" s="84">
        <v>3285634</v>
      </c>
      <c r="AT28" s="84" t="s">
        <v>96</v>
      </c>
      <c r="AU28" s="84"/>
      <c r="AV28" s="84">
        <v>437750</v>
      </c>
      <c r="AW28" s="84">
        <v>6545900</v>
      </c>
      <c r="AX28" s="84" t="s">
        <v>4</v>
      </c>
      <c r="AY28" s="84" t="s">
        <v>96</v>
      </c>
      <c r="AZ28" s="84">
        <v>12486566</v>
      </c>
      <c r="BA28" s="84" t="s">
        <v>130</v>
      </c>
      <c r="BB28" s="84">
        <v>374555</v>
      </c>
      <c r="BC28" s="84" t="s">
        <v>4</v>
      </c>
      <c r="BD28" s="84" t="s">
        <v>96</v>
      </c>
      <c r="BE28" s="84">
        <v>8062717</v>
      </c>
      <c r="BF28" s="84" t="s">
        <v>96</v>
      </c>
      <c r="BG28" s="84">
        <v>46982650</v>
      </c>
      <c r="BH28" s="84">
        <v>7052500</v>
      </c>
      <c r="BI28" s="84">
        <v>8257950</v>
      </c>
      <c r="BJ28" s="84">
        <v>19253916</v>
      </c>
      <c r="BK28" s="84">
        <v>1112842</v>
      </c>
      <c r="BL28" s="84">
        <v>2911780</v>
      </c>
      <c r="BM28" s="84">
        <v>83388593</v>
      </c>
      <c r="BN28" s="84">
        <v>17260300</v>
      </c>
      <c r="BO28" s="84" t="s">
        <v>96</v>
      </c>
      <c r="BP28" s="84" t="s">
        <v>96</v>
      </c>
      <c r="BQ28" s="84" t="s">
        <v>4</v>
      </c>
      <c r="BR28" s="84">
        <v>56642450</v>
      </c>
      <c r="BS28" s="84" t="s">
        <v>4</v>
      </c>
      <c r="BT28" s="84" t="s">
        <v>96</v>
      </c>
      <c r="BU28" s="84">
        <v>2378213</v>
      </c>
      <c r="BV28" s="84">
        <v>189670</v>
      </c>
      <c r="BW28" s="84">
        <v>2655610</v>
      </c>
      <c r="BX28" s="84">
        <v>2115120</v>
      </c>
      <c r="BY28" s="84">
        <v>127706490</v>
      </c>
      <c r="BZ28" s="84">
        <v>11384590</v>
      </c>
      <c r="CA28" s="84">
        <v>37681723</v>
      </c>
      <c r="CB28" s="84">
        <v>1033860</v>
      </c>
      <c r="CC28" s="84">
        <v>2775930</v>
      </c>
      <c r="CD28" s="84">
        <v>0</v>
      </c>
      <c r="CE28" s="84" t="s">
        <v>96</v>
      </c>
      <c r="CF28" s="84" t="s">
        <v>96</v>
      </c>
      <c r="CG28" s="84">
        <v>5034030</v>
      </c>
      <c r="CH28" s="84">
        <v>5511044</v>
      </c>
      <c r="CI28" s="84" t="s">
        <v>96</v>
      </c>
      <c r="CJ28" s="84">
        <v>14994457</v>
      </c>
      <c r="CK28" s="84">
        <v>198061376</v>
      </c>
      <c r="CL28" s="84">
        <v>7079912</v>
      </c>
      <c r="CM28" s="84">
        <v>79709620</v>
      </c>
      <c r="CN28" s="84">
        <v>1149970</v>
      </c>
      <c r="CO28" s="84">
        <v>1003590</v>
      </c>
      <c r="CP28" s="84" t="s">
        <v>96</v>
      </c>
      <c r="CQ28" s="84" t="s">
        <v>96</v>
      </c>
      <c r="CR28" s="84">
        <v>9584067</v>
      </c>
      <c r="CS28" s="84" t="s">
        <v>96</v>
      </c>
      <c r="CT28" s="84">
        <v>182899926</v>
      </c>
      <c r="CU28" s="84">
        <v>15682536</v>
      </c>
      <c r="CV28" s="84">
        <v>90729520</v>
      </c>
      <c r="CW28" s="84" t="s">
        <v>96</v>
      </c>
      <c r="CX28" s="84">
        <v>2830451646</v>
      </c>
      <c r="CY28" s="84" t="s">
        <v>96</v>
      </c>
      <c r="CZ28" s="84">
        <v>2066290</v>
      </c>
      <c r="DA28" s="84" t="s">
        <v>96</v>
      </c>
      <c r="DB28" s="84">
        <v>14530580</v>
      </c>
      <c r="DC28" s="84"/>
      <c r="DD28" s="84" t="s">
        <v>96</v>
      </c>
      <c r="DE28" s="84"/>
      <c r="DF28" s="84">
        <v>184280</v>
      </c>
      <c r="DG28" s="84">
        <v>6052887</v>
      </c>
      <c r="DH28" s="84">
        <v>7642060</v>
      </c>
      <c r="DI28" s="84">
        <v>63739841</v>
      </c>
      <c r="DJ28" s="84">
        <v>9194330</v>
      </c>
      <c r="DK28" s="84" t="s">
        <v>96</v>
      </c>
      <c r="DL28" s="84">
        <v>7502570</v>
      </c>
      <c r="DM28" s="84">
        <v>990350</v>
      </c>
      <c r="DN28" s="84">
        <v>40140141</v>
      </c>
      <c r="DO28" s="84"/>
      <c r="DP28" s="86">
        <v>70126086</v>
      </c>
      <c r="DQ28" s="84">
        <v>774109</v>
      </c>
      <c r="DR28" s="84">
        <v>18183401</v>
      </c>
      <c r="DS28" s="84">
        <v>5768778</v>
      </c>
      <c r="DT28" s="84">
        <v>7936757</v>
      </c>
      <c r="DU28" s="84">
        <v>4431202</v>
      </c>
      <c r="DV28" s="84">
        <v>15733450</v>
      </c>
      <c r="DW28" s="84">
        <v>17553730</v>
      </c>
      <c r="DX28" s="84">
        <v>100616173</v>
      </c>
      <c r="DY28" s="84">
        <v>4370591</v>
      </c>
      <c r="DZ28" s="84">
        <v>18006737</v>
      </c>
      <c r="EA28" s="84">
        <v>691397</v>
      </c>
      <c r="EB28" s="84">
        <v>79678740</v>
      </c>
      <c r="EC28" s="84">
        <v>2519860</v>
      </c>
      <c r="ED28" s="84">
        <v>7191110</v>
      </c>
      <c r="EE28" s="84">
        <v>40155947</v>
      </c>
      <c r="EF28" s="84">
        <v>14792740</v>
      </c>
      <c r="EG28" s="96">
        <v>39173714</v>
      </c>
      <c r="EH28" s="99">
        <v>20000510</v>
      </c>
      <c r="EI28" s="97">
        <v>103029550</v>
      </c>
      <c r="EJ28" s="84">
        <v>2995170</v>
      </c>
      <c r="EK28" s="84">
        <v>25397000</v>
      </c>
      <c r="EL28" s="84">
        <v>61987153</v>
      </c>
      <c r="EM28" s="84">
        <v>16960705</v>
      </c>
      <c r="EN28" s="84">
        <v>42234670</v>
      </c>
      <c r="EO28" s="84">
        <v>536640</v>
      </c>
      <c r="EP28" s="84">
        <v>16182853</v>
      </c>
      <c r="EQ28" s="84"/>
      <c r="ER28" s="84">
        <v>154546939</v>
      </c>
      <c r="ES28" s="84">
        <v>5778590</v>
      </c>
      <c r="ET28" s="84">
        <v>53402010</v>
      </c>
      <c r="EU28" s="84">
        <v>70202243</v>
      </c>
      <c r="EV28" s="84">
        <v>1072510</v>
      </c>
      <c r="EW28" s="84">
        <v>10743739</v>
      </c>
      <c r="EX28" s="84">
        <v>73016658</v>
      </c>
      <c r="EY28" s="84">
        <v>7127410</v>
      </c>
      <c r="EZ28" s="84">
        <v>11599670</v>
      </c>
      <c r="FA28" s="84">
        <v>5507900</v>
      </c>
      <c r="FB28" s="86">
        <v>5372000</v>
      </c>
      <c r="FC28" s="84">
        <v>28970670</v>
      </c>
      <c r="FD28" s="84">
        <v>11943650</v>
      </c>
      <c r="FE28" s="84">
        <v>13617629</v>
      </c>
      <c r="FF28" s="84">
        <v>11035323</v>
      </c>
      <c r="FG28" s="84" t="s">
        <v>96</v>
      </c>
      <c r="FH28" s="84">
        <v>10107763</v>
      </c>
      <c r="FI28" s="84" t="s">
        <v>96</v>
      </c>
      <c r="FJ28" s="84">
        <v>16180300</v>
      </c>
      <c r="FK28" s="84">
        <v>85339960</v>
      </c>
      <c r="FL28" s="84">
        <v>5004040</v>
      </c>
      <c r="FM28" s="84" t="s">
        <v>130</v>
      </c>
      <c r="FN28" s="84">
        <v>30939340</v>
      </c>
      <c r="FO28" s="84" t="s">
        <v>96</v>
      </c>
      <c r="FP28" s="84" t="s">
        <v>96</v>
      </c>
      <c r="FQ28" s="84">
        <v>2752903</v>
      </c>
      <c r="FR28" s="84">
        <v>15120935</v>
      </c>
      <c r="FS28" s="84">
        <v>3566530</v>
      </c>
      <c r="FT28" s="84">
        <v>22948025</v>
      </c>
      <c r="FU28" s="84">
        <v>2874060</v>
      </c>
      <c r="FV28" s="84" t="s">
        <v>96</v>
      </c>
      <c r="FW28" s="84">
        <v>89260</v>
      </c>
      <c r="FX28" s="84">
        <v>0</v>
      </c>
      <c r="FY28" s="84" t="s">
        <v>96</v>
      </c>
      <c r="FZ28" s="84" t="s">
        <v>4</v>
      </c>
      <c r="GA28" s="84">
        <v>15994890</v>
      </c>
      <c r="GB28" s="84">
        <v>5167380</v>
      </c>
      <c r="GC28" s="84">
        <v>5856540</v>
      </c>
      <c r="GD28" s="84" t="s">
        <v>96</v>
      </c>
      <c r="GE28" s="84" t="s">
        <v>4</v>
      </c>
      <c r="GF28" s="84">
        <v>27965578</v>
      </c>
      <c r="GG28" s="84">
        <v>6192010</v>
      </c>
      <c r="GH28" s="84" t="s">
        <v>4</v>
      </c>
      <c r="GI28" s="84">
        <v>1727963</v>
      </c>
      <c r="GJ28" s="84" t="s">
        <v>96</v>
      </c>
      <c r="GK28" s="84">
        <v>112570</v>
      </c>
      <c r="GL28" s="84" t="s">
        <v>96</v>
      </c>
      <c r="GM28" s="84">
        <v>27455650</v>
      </c>
      <c r="GN28" s="84">
        <v>22043589</v>
      </c>
      <c r="GO28" s="84" t="s">
        <v>96</v>
      </c>
      <c r="GP28" s="84">
        <v>632220</v>
      </c>
      <c r="GQ28" s="84">
        <v>5004140</v>
      </c>
      <c r="GR28" s="84">
        <v>6565715</v>
      </c>
      <c r="GS28" s="84">
        <v>9008710</v>
      </c>
      <c r="GT28" s="84" t="s">
        <v>130</v>
      </c>
      <c r="GU28" s="84">
        <v>216830</v>
      </c>
      <c r="GV28" s="84">
        <v>56326310</v>
      </c>
      <c r="GW28" s="84">
        <v>78541980</v>
      </c>
      <c r="GX28" s="84">
        <v>7313294</v>
      </c>
      <c r="GY28" s="84">
        <v>16560550</v>
      </c>
      <c r="GZ28" s="84">
        <v>4226940</v>
      </c>
      <c r="HA28" s="84" t="s">
        <v>96</v>
      </c>
      <c r="HB28" s="84">
        <v>22226750</v>
      </c>
      <c r="HC28" s="84" t="s">
        <v>130</v>
      </c>
      <c r="HD28" s="84">
        <v>11249613</v>
      </c>
      <c r="HE28" s="84" t="s">
        <v>96</v>
      </c>
      <c r="HF28" s="84">
        <v>52582315</v>
      </c>
      <c r="HG28" s="84">
        <v>4087100</v>
      </c>
      <c r="HH28" s="84" t="s">
        <v>96</v>
      </c>
      <c r="HI28" s="84">
        <v>21814216</v>
      </c>
      <c r="HJ28" s="84" t="s">
        <v>96</v>
      </c>
      <c r="HK28" s="84">
        <v>44857090</v>
      </c>
      <c r="HL28" s="84">
        <v>6170616</v>
      </c>
      <c r="HM28" s="84">
        <v>6941518</v>
      </c>
      <c r="HN28" s="84">
        <v>9824278</v>
      </c>
      <c r="HO28" s="84">
        <v>56094830</v>
      </c>
      <c r="HP28" s="84">
        <v>14241450</v>
      </c>
      <c r="HQ28" s="84">
        <v>14630221</v>
      </c>
      <c r="HR28" s="84">
        <v>324360</v>
      </c>
      <c r="HS28" s="84">
        <v>44485162</v>
      </c>
      <c r="HT28" s="84">
        <v>6071220</v>
      </c>
      <c r="HU28" s="84" t="s">
        <v>130</v>
      </c>
      <c r="HV28" s="84">
        <v>12375493</v>
      </c>
      <c r="HW28" s="84" t="s">
        <v>96</v>
      </c>
      <c r="HX28" s="84">
        <v>9091080</v>
      </c>
      <c r="HY28" s="84" t="s">
        <v>114</v>
      </c>
      <c r="HZ28" s="84">
        <v>16367294</v>
      </c>
      <c r="IA28" s="84">
        <v>1577520</v>
      </c>
      <c r="IB28" s="84">
        <v>6781156</v>
      </c>
      <c r="IC28" s="84">
        <v>193868682</v>
      </c>
      <c r="ID28" s="84">
        <v>1977530</v>
      </c>
      <c r="IE28" s="84" t="s">
        <v>96</v>
      </c>
      <c r="IF28" s="84"/>
      <c r="IG28" s="84">
        <v>1392140</v>
      </c>
      <c r="IH28" s="84">
        <v>10334654</v>
      </c>
      <c r="II28" s="84">
        <v>651830</v>
      </c>
      <c r="IJ28" s="84">
        <v>8017857</v>
      </c>
      <c r="IK28" s="84">
        <v>2372190</v>
      </c>
      <c r="IL28" s="84">
        <v>3449695</v>
      </c>
      <c r="IM28" s="84">
        <v>26103061</v>
      </c>
      <c r="IN28" s="84">
        <v>14039904</v>
      </c>
      <c r="IO28" s="84">
        <v>1744458</v>
      </c>
      <c r="IP28" s="84">
        <v>11265251</v>
      </c>
      <c r="IQ28" s="84">
        <v>8800050</v>
      </c>
      <c r="IR28" s="84">
        <v>34467751</v>
      </c>
      <c r="IS28" s="84">
        <v>47885650</v>
      </c>
      <c r="IT28" s="84">
        <v>9193661</v>
      </c>
      <c r="IU28" s="84">
        <v>68297402</v>
      </c>
      <c r="IV28" s="84">
        <v>7801710</v>
      </c>
      <c r="IW28" s="84">
        <v>29324640</v>
      </c>
      <c r="IX28" s="84">
        <v>38577784</v>
      </c>
      <c r="IY28" s="68">
        <v>9386990</v>
      </c>
      <c r="IZ28" s="68">
        <v>5404240</v>
      </c>
      <c r="JA28" s="68">
        <v>11338650</v>
      </c>
      <c r="JB28" s="68">
        <v>9062895</v>
      </c>
      <c r="JC28" s="68">
        <v>2207834</v>
      </c>
      <c r="JD28" s="68">
        <v>19885811</v>
      </c>
      <c r="JE28" s="68">
        <v>958790</v>
      </c>
      <c r="JF28" s="68">
        <v>66556158</v>
      </c>
      <c r="JG28" s="68">
        <v>147271</v>
      </c>
      <c r="JH28" s="68">
        <v>1571610</v>
      </c>
      <c r="JI28" s="68">
        <v>8683080</v>
      </c>
      <c r="JJ28" s="68">
        <v>2324883</v>
      </c>
      <c r="JK28" s="68">
        <v>13773099</v>
      </c>
      <c r="JL28" s="68">
        <v>54064676</v>
      </c>
      <c r="JM28" s="68">
        <v>32976814</v>
      </c>
      <c r="JN28" s="68">
        <v>4678230</v>
      </c>
      <c r="JO28" s="68">
        <v>2834830</v>
      </c>
      <c r="JP28" s="68">
        <v>2191995</v>
      </c>
      <c r="JQ28" s="68" t="s">
        <v>4</v>
      </c>
      <c r="JR28" s="68">
        <v>3821860</v>
      </c>
      <c r="JS28" s="68">
        <v>2787290</v>
      </c>
      <c r="JT28" s="68">
        <v>922290</v>
      </c>
      <c r="JU28" s="68">
        <v>30422651</v>
      </c>
      <c r="JV28" s="68">
        <v>39927024</v>
      </c>
      <c r="JW28" s="68">
        <v>0</v>
      </c>
      <c r="JX28" s="68">
        <v>50918135</v>
      </c>
      <c r="JY28" s="68">
        <v>48579942</v>
      </c>
      <c r="JZ28" s="68">
        <v>245540</v>
      </c>
      <c r="KA28" s="68">
        <v>10051710</v>
      </c>
      <c r="KB28" s="68">
        <v>165325193</v>
      </c>
      <c r="KC28" s="68">
        <v>2301820</v>
      </c>
      <c r="KD28" s="68">
        <v>160082723</v>
      </c>
      <c r="KE28" s="68">
        <v>513680</v>
      </c>
      <c r="KF28" s="68">
        <v>5691959</v>
      </c>
      <c r="KG28" s="68">
        <v>2390540</v>
      </c>
      <c r="KH28" s="68">
        <v>4221410</v>
      </c>
      <c r="KI28" s="68">
        <v>2413950</v>
      </c>
      <c r="KJ28" s="68">
        <v>10527720</v>
      </c>
      <c r="KK28" s="68">
        <v>14663053</v>
      </c>
      <c r="KL28" s="68"/>
      <c r="KM28" s="68">
        <v>6853251</v>
      </c>
      <c r="KN28" s="68">
        <v>30890650</v>
      </c>
      <c r="KO28" s="68">
        <v>60463270</v>
      </c>
      <c r="KP28" s="68">
        <v>25371173</v>
      </c>
      <c r="KQ28" s="68">
        <v>5136469</v>
      </c>
      <c r="KR28" s="68">
        <v>14923936</v>
      </c>
      <c r="KS28" s="68">
        <v>23090611</v>
      </c>
      <c r="KT28" s="68">
        <v>2077854</v>
      </c>
      <c r="KU28" s="68">
        <v>446451467</v>
      </c>
      <c r="KV28" s="68">
        <v>1145940</v>
      </c>
      <c r="KW28" s="68">
        <v>3081920</v>
      </c>
      <c r="KX28" s="68">
        <v>1017810</v>
      </c>
      <c r="KY28" s="68">
        <v>5620310</v>
      </c>
      <c r="KZ28" s="68">
        <v>2154190</v>
      </c>
      <c r="LA28" s="68">
        <v>2365954</v>
      </c>
      <c r="LB28" s="68">
        <v>2557340</v>
      </c>
      <c r="LC28" s="103"/>
      <c r="LD28" s="103">
        <v>3866730</v>
      </c>
      <c r="LE28" s="103">
        <v>31409160</v>
      </c>
      <c r="LF28" s="103"/>
      <c r="LG28" s="103">
        <v>1716260</v>
      </c>
      <c r="LH28" s="102" t="s">
        <v>187</v>
      </c>
      <c r="LI28" s="103">
        <v>4033390</v>
      </c>
      <c r="LJ28" s="102" t="s">
        <v>187</v>
      </c>
      <c r="LK28" s="103">
        <v>41259651</v>
      </c>
      <c r="LL28" s="102" t="s">
        <v>187</v>
      </c>
    </row>
    <row r="29" spans="1:324" ht="17.55" customHeight="1">
      <c r="A29" s="67" t="s">
        <v>184</v>
      </c>
      <c r="B29" s="87" t="s">
        <v>13</v>
      </c>
      <c r="C29" s="84"/>
      <c r="D29" s="84"/>
      <c r="E29" s="84"/>
      <c r="F29" s="85"/>
      <c r="G29" s="84" t="s">
        <v>130</v>
      </c>
      <c r="H29" s="84"/>
      <c r="I29" s="84"/>
      <c r="J29" s="84" t="s">
        <v>4</v>
      </c>
      <c r="K29" s="84"/>
      <c r="L29" s="84" t="s">
        <v>96</v>
      </c>
      <c r="M29" s="84" t="s">
        <v>96</v>
      </c>
      <c r="N29" s="84"/>
      <c r="O29" s="84"/>
      <c r="P29" s="84"/>
      <c r="Q29" s="84"/>
      <c r="R29" s="84" t="s">
        <v>130</v>
      </c>
      <c r="S29" s="84"/>
      <c r="T29" s="84" t="s">
        <v>96</v>
      </c>
      <c r="U29" s="84" t="s">
        <v>96</v>
      </c>
      <c r="V29" s="84" t="s">
        <v>4</v>
      </c>
      <c r="W29" s="84">
        <v>192083831</v>
      </c>
      <c r="X29" s="84"/>
      <c r="Y29" s="84"/>
      <c r="Z29" s="84"/>
      <c r="AA29" s="84"/>
      <c r="AB29" s="84"/>
      <c r="AC29" s="84"/>
      <c r="AD29" s="84"/>
      <c r="AE29" s="84"/>
      <c r="AF29" s="84" t="s">
        <v>96</v>
      </c>
      <c r="AG29" s="84"/>
      <c r="AH29" s="84" t="s">
        <v>130</v>
      </c>
      <c r="AI29" s="84"/>
      <c r="AJ29" s="84"/>
      <c r="AK29" s="84"/>
      <c r="AL29" s="84"/>
      <c r="AM29" s="84" t="s">
        <v>4</v>
      </c>
      <c r="AN29" s="84">
        <v>85600000</v>
      </c>
      <c r="AO29" s="84"/>
      <c r="AP29" s="84"/>
      <c r="AQ29" s="84" t="s">
        <v>4</v>
      </c>
      <c r="AR29" s="84"/>
      <c r="AS29" s="84"/>
      <c r="AT29" s="84" t="s">
        <v>96</v>
      </c>
      <c r="AU29" s="84"/>
      <c r="AV29" s="84"/>
      <c r="AW29" s="84">
        <v>130709462</v>
      </c>
      <c r="AX29" s="84" t="s">
        <v>4</v>
      </c>
      <c r="AY29" s="84" t="s">
        <v>96</v>
      </c>
      <c r="AZ29" s="84"/>
      <c r="BA29" s="84" t="s">
        <v>130</v>
      </c>
      <c r="BB29" s="84">
        <v>4000000</v>
      </c>
      <c r="BC29" s="84" t="s">
        <v>4</v>
      </c>
      <c r="BD29" s="84" t="s">
        <v>96</v>
      </c>
      <c r="BE29" s="84"/>
      <c r="BF29" s="84" t="s">
        <v>96</v>
      </c>
      <c r="BG29" s="84"/>
      <c r="BH29" s="84"/>
      <c r="BI29" s="84"/>
      <c r="BJ29" s="84"/>
      <c r="BK29" s="84"/>
      <c r="BL29" s="84">
        <v>89218698</v>
      </c>
      <c r="BM29" s="84"/>
      <c r="BN29" s="84"/>
      <c r="BO29" s="84" t="s">
        <v>96</v>
      </c>
      <c r="BP29" s="84" t="s">
        <v>96</v>
      </c>
      <c r="BQ29" s="84" t="s">
        <v>4</v>
      </c>
      <c r="BR29" s="84"/>
      <c r="BS29" s="84" t="s">
        <v>4</v>
      </c>
      <c r="BT29" s="84" t="s">
        <v>96</v>
      </c>
      <c r="BU29" s="84">
        <v>468048484</v>
      </c>
      <c r="BV29" s="84"/>
      <c r="BW29" s="84"/>
      <c r="BX29" s="84"/>
      <c r="BY29" s="84"/>
      <c r="BZ29" s="84"/>
      <c r="CA29" s="84"/>
      <c r="CB29" s="84"/>
      <c r="CC29" s="84">
        <v>0</v>
      </c>
      <c r="CD29" s="84"/>
      <c r="CE29" s="84" t="s">
        <v>96</v>
      </c>
      <c r="CF29" s="84" t="s">
        <v>96</v>
      </c>
      <c r="CG29" s="84"/>
      <c r="CH29" s="84">
        <v>47245474</v>
      </c>
      <c r="CI29" s="84" t="s">
        <v>96</v>
      </c>
      <c r="CJ29" s="84"/>
      <c r="CK29" s="84"/>
      <c r="CL29" s="84"/>
      <c r="CM29" s="84"/>
      <c r="CN29" s="84"/>
      <c r="CO29" s="84"/>
      <c r="CP29" s="84" t="s">
        <v>96</v>
      </c>
      <c r="CQ29" s="84" t="s">
        <v>96</v>
      </c>
      <c r="CR29" s="84"/>
      <c r="CS29" s="84" t="s">
        <v>96</v>
      </c>
      <c r="CT29" s="84"/>
      <c r="CU29" s="84"/>
      <c r="CV29" s="84"/>
      <c r="CW29" s="84" t="s">
        <v>96</v>
      </c>
      <c r="CX29" s="84"/>
      <c r="CY29" s="84" t="s">
        <v>96</v>
      </c>
      <c r="CZ29" s="84">
        <v>7300000</v>
      </c>
      <c r="DA29" s="84" t="s">
        <v>96</v>
      </c>
      <c r="DB29" s="84"/>
      <c r="DC29" s="84"/>
      <c r="DD29" s="84" t="s">
        <v>96</v>
      </c>
      <c r="DE29" s="84"/>
      <c r="DF29" s="84"/>
      <c r="DG29" s="84"/>
      <c r="DH29" s="84">
        <v>25000000</v>
      </c>
      <c r="DI29" s="84">
        <v>3200000</v>
      </c>
      <c r="DJ29" s="84"/>
      <c r="DK29" s="84" t="s">
        <v>96</v>
      </c>
      <c r="DL29" s="84"/>
      <c r="DM29" s="84"/>
      <c r="DN29" s="84">
        <v>22468987</v>
      </c>
      <c r="DO29" s="84"/>
      <c r="DP29" s="86">
        <v>9089865</v>
      </c>
      <c r="DQ29" s="84"/>
      <c r="DR29" s="84"/>
      <c r="DS29" s="84"/>
      <c r="DT29" s="84"/>
      <c r="DU29" s="84"/>
      <c r="DV29" s="84"/>
      <c r="DW29" s="84"/>
      <c r="DX29" s="84"/>
      <c r="DY29" s="84"/>
      <c r="DZ29" s="84"/>
      <c r="EA29" s="84"/>
      <c r="EB29" s="84"/>
      <c r="EC29" s="84"/>
      <c r="ED29" s="84">
        <v>50000000</v>
      </c>
      <c r="EE29" s="84"/>
      <c r="EF29" s="84"/>
      <c r="EG29" s="96"/>
      <c r="EH29" s="99"/>
      <c r="EI29" s="97"/>
      <c r="EJ29" s="84"/>
      <c r="EK29" s="84"/>
      <c r="EL29" s="84"/>
      <c r="EM29" s="84"/>
      <c r="EN29" s="84"/>
      <c r="EO29" s="84"/>
      <c r="EP29" s="84"/>
      <c r="EQ29" s="84"/>
      <c r="ER29" s="84"/>
      <c r="ES29" s="84"/>
      <c r="ET29" s="84"/>
      <c r="EU29" s="84"/>
      <c r="EV29" s="84"/>
      <c r="EW29" s="84">
        <v>17000000</v>
      </c>
      <c r="EX29" s="84">
        <v>984392</v>
      </c>
      <c r="EY29" s="84"/>
      <c r="EZ29" s="84">
        <v>36993575</v>
      </c>
      <c r="FA29" s="84">
        <v>45500000</v>
      </c>
      <c r="FB29" s="86"/>
      <c r="FC29" s="84"/>
      <c r="FD29" s="84">
        <v>163098152</v>
      </c>
      <c r="FE29" s="84">
        <v>61000</v>
      </c>
      <c r="FF29" s="84"/>
      <c r="FG29" s="84" t="s">
        <v>96</v>
      </c>
      <c r="FH29" s="84">
        <v>155900000</v>
      </c>
      <c r="FI29" s="84" t="s">
        <v>96</v>
      </c>
      <c r="FJ29" s="84">
        <v>0</v>
      </c>
      <c r="FK29" s="84"/>
      <c r="FL29" s="84"/>
      <c r="FM29" s="84" t="s">
        <v>130</v>
      </c>
      <c r="FN29" s="84"/>
      <c r="FO29" s="84" t="s">
        <v>96</v>
      </c>
      <c r="FP29" s="84" t="s">
        <v>96</v>
      </c>
      <c r="FQ29" s="84"/>
      <c r="FR29" s="84">
        <v>2946425</v>
      </c>
      <c r="FS29" s="84"/>
      <c r="FT29" s="84"/>
      <c r="FU29" s="84"/>
      <c r="FV29" s="84" t="s">
        <v>96</v>
      </c>
      <c r="FW29" s="84"/>
      <c r="FX29" s="84"/>
      <c r="FY29" s="84" t="s">
        <v>96</v>
      </c>
      <c r="FZ29" s="84" t="s">
        <v>4</v>
      </c>
      <c r="GA29" s="84"/>
      <c r="GB29" s="84"/>
      <c r="GC29" s="84"/>
      <c r="GD29" s="84" t="s">
        <v>96</v>
      </c>
      <c r="GE29" s="84" t="s">
        <v>4</v>
      </c>
      <c r="GF29" s="84">
        <v>13715869</v>
      </c>
      <c r="GG29" s="84"/>
      <c r="GH29" s="84" t="s">
        <v>4</v>
      </c>
      <c r="GI29" s="84">
        <v>35231151</v>
      </c>
      <c r="GJ29" s="84" t="s">
        <v>96</v>
      </c>
      <c r="GK29" s="84"/>
      <c r="GL29" s="84" t="s">
        <v>96</v>
      </c>
      <c r="GM29" s="84">
        <v>24537178</v>
      </c>
      <c r="GN29" s="84"/>
      <c r="GO29" s="84" t="s">
        <v>96</v>
      </c>
      <c r="GP29" s="84"/>
      <c r="GQ29" s="84"/>
      <c r="GR29" s="84"/>
      <c r="GS29" s="84"/>
      <c r="GT29" s="84" t="s">
        <v>130</v>
      </c>
      <c r="GU29" s="84"/>
      <c r="GV29" s="84"/>
      <c r="GW29" s="84"/>
      <c r="GX29" s="84"/>
      <c r="GY29" s="84"/>
      <c r="GZ29" s="84"/>
      <c r="HA29" s="84" t="s">
        <v>96</v>
      </c>
      <c r="HB29" s="84"/>
      <c r="HC29" s="84" t="s">
        <v>130</v>
      </c>
      <c r="HD29" s="84">
        <v>4138356</v>
      </c>
      <c r="HE29" s="84" t="s">
        <v>96</v>
      </c>
      <c r="HF29" s="84"/>
      <c r="HG29" s="84"/>
      <c r="HH29" s="84" t="s">
        <v>96</v>
      </c>
      <c r="HI29" s="84"/>
      <c r="HJ29" s="84" t="s">
        <v>96</v>
      </c>
      <c r="HK29" s="84"/>
      <c r="HL29" s="84"/>
      <c r="HM29" s="84"/>
      <c r="HN29" s="84"/>
      <c r="HO29" s="84"/>
      <c r="HP29" s="84"/>
      <c r="HQ29" s="84"/>
      <c r="HR29" s="84"/>
      <c r="HS29" s="84"/>
      <c r="HT29" s="84"/>
      <c r="HU29" s="84" t="s">
        <v>130</v>
      </c>
      <c r="HV29" s="84">
        <v>14000000</v>
      </c>
      <c r="HW29" s="84" t="s">
        <v>96</v>
      </c>
      <c r="HX29" s="84"/>
      <c r="HY29" s="84" t="s">
        <v>114</v>
      </c>
      <c r="HZ29" s="84"/>
      <c r="IA29" s="84"/>
      <c r="IB29" s="84"/>
      <c r="IC29" s="84"/>
      <c r="ID29" s="84"/>
      <c r="IE29" s="84" t="s">
        <v>96</v>
      </c>
      <c r="IF29" s="84"/>
      <c r="IG29" s="84"/>
      <c r="IH29" s="84"/>
      <c r="II29" s="84">
        <v>105094833</v>
      </c>
      <c r="IJ29" s="84"/>
      <c r="IK29" s="84"/>
      <c r="IL29" s="84"/>
      <c r="IM29" s="84"/>
      <c r="IN29" s="84"/>
      <c r="IO29" s="84"/>
      <c r="IP29" s="84"/>
      <c r="IQ29" s="84"/>
      <c r="IR29" s="84"/>
      <c r="IS29" s="84"/>
      <c r="IT29" s="84"/>
      <c r="IU29" s="84"/>
      <c r="IV29" s="84"/>
      <c r="IW29" s="84"/>
      <c r="IX29" s="84"/>
      <c r="IY29" s="68"/>
      <c r="IZ29" s="68">
        <v>0</v>
      </c>
      <c r="JA29" s="68"/>
      <c r="JB29" s="68"/>
      <c r="JC29" s="68"/>
      <c r="JD29" s="68">
        <v>5000</v>
      </c>
      <c r="JE29" s="68"/>
      <c r="JF29" s="68"/>
      <c r="JG29" s="68"/>
      <c r="JH29" s="68">
        <v>48596910</v>
      </c>
      <c r="JI29" s="68"/>
      <c r="JJ29" s="68"/>
      <c r="JK29" s="68">
        <v>0</v>
      </c>
      <c r="JL29" s="68"/>
      <c r="JM29" s="68"/>
      <c r="JN29" s="68"/>
      <c r="JO29" s="68">
        <v>60819396</v>
      </c>
      <c r="JP29" s="68"/>
      <c r="JQ29" s="68" t="s">
        <v>4</v>
      </c>
      <c r="JR29" s="68"/>
      <c r="JS29" s="68"/>
      <c r="JT29" s="68"/>
      <c r="JU29" s="68"/>
      <c r="JV29" s="68"/>
      <c r="JW29" s="68"/>
      <c r="JX29" s="68"/>
      <c r="JY29" s="68">
        <v>39472299</v>
      </c>
      <c r="JZ29" s="68">
        <v>25744078</v>
      </c>
      <c r="KA29" s="68"/>
      <c r="KB29" s="68"/>
      <c r="KC29" s="68"/>
      <c r="KD29" s="68"/>
      <c r="KE29" s="68"/>
      <c r="KF29" s="68"/>
      <c r="KG29" s="68"/>
      <c r="KH29" s="68"/>
      <c r="KI29" s="68">
        <v>1300000</v>
      </c>
      <c r="KJ29" s="68">
        <v>5999931</v>
      </c>
      <c r="KK29" s="68"/>
      <c r="KL29" s="68"/>
      <c r="KM29" s="68"/>
      <c r="KN29" s="68"/>
      <c r="KO29" s="68"/>
      <c r="KP29" s="68"/>
      <c r="KQ29" s="68"/>
      <c r="KR29" s="68"/>
      <c r="KS29" s="68"/>
      <c r="KT29" s="68">
        <v>48812070</v>
      </c>
      <c r="KU29" s="68"/>
      <c r="KV29" s="68"/>
      <c r="KW29" s="68">
        <v>39583627</v>
      </c>
      <c r="KX29" s="68">
        <v>68783445</v>
      </c>
      <c r="KY29" s="68">
        <v>240069152</v>
      </c>
      <c r="KZ29" s="68"/>
      <c r="LA29" s="68"/>
      <c r="LB29" s="68">
        <v>15717562</v>
      </c>
      <c r="LC29" s="103"/>
      <c r="LD29" s="103">
        <v>4000000</v>
      </c>
      <c r="LE29" s="103"/>
      <c r="LF29" s="103"/>
      <c r="LG29" s="103">
        <v>56712720</v>
      </c>
      <c r="LH29" s="102" t="s">
        <v>187</v>
      </c>
      <c r="LI29" s="103"/>
      <c r="LJ29" s="102" t="s">
        <v>187</v>
      </c>
      <c r="LK29" s="103"/>
      <c r="LL29" s="102" t="s">
        <v>187</v>
      </c>
    </row>
    <row r="30" spans="1:324" ht="17.55" customHeight="1">
      <c r="A30" s="67" t="s">
        <v>184</v>
      </c>
      <c r="B30" s="87" t="s">
        <v>59</v>
      </c>
      <c r="C30" s="84"/>
      <c r="D30" s="84"/>
      <c r="E30" s="84">
        <v>1198094</v>
      </c>
      <c r="F30" s="85"/>
      <c r="G30" s="84" t="s">
        <v>130</v>
      </c>
      <c r="H30" s="84"/>
      <c r="I30" s="84">
        <v>2441897631</v>
      </c>
      <c r="J30" s="84" t="s">
        <v>4</v>
      </c>
      <c r="K30" s="84"/>
      <c r="L30" s="84" t="s">
        <v>96</v>
      </c>
      <c r="M30" s="84" t="s">
        <v>96</v>
      </c>
      <c r="N30" s="84">
        <v>117600</v>
      </c>
      <c r="O30" s="84"/>
      <c r="P30" s="84">
        <v>1602920</v>
      </c>
      <c r="Q30" s="84"/>
      <c r="R30" s="84" t="s">
        <v>130</v>
      </c>
      <c r="S30" s="84">
        <v>1453063393</v>
      </c>
      <c r="T30" s="84" t="s">
        <v>96</v>
      </c>
      <c r="U30" s="84" t="s">
        <v>96</v>
      </c>
      <c r="V30" s="84" t="s">
        <v>4</v>
      </c>
      <c r="W30" s="84"/>
      <c r="X30" s="84"/>
      <c r="Y30" s="84">
        <v>73740000</v>
      </c>
      <c r="Z30" s="84"/>
      <c r="AA30" s="84">
        <v>30000000</v>
      </c>
      <c r="AB30" s="84"/>
      <c r="AC30" s="84">
        <v>16141500</v>
      </c>
      <c r="AD30" s="84">
        <v>1199400</v>
      </c>
      <c r="AE30" s="84"/>
      <c r="AF30" s="84" t="s">
        <v>96</v>
      </c>
      <c r="AG30" s="84"/>
      <c r="AH30" s="84" t="s">
        <v>130</v>
      </c>
      <c r="AI30" s="84"/>
      <c r="AJ30" s="84">
        <v>2000000</v>
      </c>
      <c r="AK30" s="84">
        <v>969930</v>
      </c>
      <c r="AL30" s="84">
        <v>133238966</v>
      </c>
      <c r="AM30" s="84" t="s">
        <v>4</v>
      </c>
      <c r="AN30" s="84">
        <v>1050000</v>
      </c>
      <c r="AO30" s="84">
        <v>119867825</v>
      </c>
      <c r="AP30" s="84">
        <v>33974380</v>
      </c>
      <c r="AQ30" s="84" t="s">
        <v>4</v>
      </c>
      <c r="AR30" s="84">
        <v>24056192</v>
      </c>
      <c r="AS30" s="84">
        <v>54000</v>
      </c>
      <c r="AT30" s="84" t="s">
        <v>96</v>
      </c>
      <c r="AU30" s="84">
        <v>691258075</v>
      </c>
      <c r="AV30" s="84">
        <v>11545000</v>
      </c>
      <c r="AW30" s="84">
        <v>13990996</v>
      </c>
      <c r="AX30" s="84" t="s">
        <v>4</v>
      </c>
      <c r="AY30" s="84" t="s">
        <v>96</v>
      </c>
      <c r="AZ30" s="84">
        <v>792000</v>
      </c>
      <c r="BA30" s="84" t="s">
        <v>130</v>
      </c>
      <c r="BB30" s="84"/>
      <c r="BC30" s="84" t="s">
        <v>4</v>
      </c>
      <c r="BD30" s="84" t="s">
        <v>96</v>
      </c>
      <c r="BE30" s="84">
        <v>2820950</v>
      </c>
      <c r="BF30" s="84" t="s">
        <v>96</v>
      </c>
      <c r="BG30" s="84">
        <v>351815968</v>
      </c>
      <c r="BH30" s="84"/>
      <c r="BI30" s="84">
        <v>1968000</v>
      </c>
      <c r="BJ30" s="84"/>
      <c r="BK30" s="84">
        <v>204840000</v>
      </c>
      <c r="BL30" s="84"/>
      <c r="BM30" s="84">
        <v>15620750</v>
      </c>
      <c r="BN30" s="84"/>
      <c r="BO30" s="84" t="s">
        <v>96</v>
      </c>
      <c r="BP30" s="84" t="s">
        <v>96</v>
      </c>
      <c r="BQ30" s="84" t="s">
        <v>4</v>
      </c>
      <c r="BR30" s="84">
        <v>97533930</v>
      </c>
      <c r="BS30" s="84" t="s">
        <v>4</v>
      </c>
      <c r="BT30" s="84" t="s">
        <v>96</v>
      </c>
      <c r="BU30" s="84"/>
      <c r="BV30" s="84">
        <v>59101275</v>
      </c>
      <c r="BW30" s="84"/>
      <c r="BX30" s="84">
        <v>99000</v>
      </c>
      <c r="BY30" s="84">
        <v>27262173</v>
      </c>
      <c r="BZ30" s="84"/>
      <c r="CA30" s="84">
        <v>708949958</v>
      </c>
      <c r="CB30" s="84">
        <v>131355676</v>
      </c>
      <c r="CC30" s="84">
        <v>57449805</v>
      </c>
      <c r="CD30" s="84"/>
      <c r="CE30" s="84" t="s">
        <v>96</v>
      </c>
      <c r="CF30" s="84" t="s">
        <v>96</v>
      </c>
      <c r="CG30" s="84">
        <v>2732572</v>
      </c>
      <c r="CH30" s="84">
        <v>4291701</v>
      </c>
      <c r="CI30" s="84" t="s">
        <v>96</v>
      </c>
      <c r="CJ30" s="84">
        <v>36685000</v>
      </c>
      <c r="CK30" s="84">
        <v>507873444</v>
      </c>
      <c r="CL30" s="84"/>
      <c r="CM30" s="84">
        <v>42000000</v>
      </c>
      <c r="CN30" s="84"/>
      <c r="CO30" s="84"/>
      <c r="CP30" s="84" t="s">
        <v>96</v>
      </c>
      <c r="CQ30" s="84" t="s">
        <v>96</v>
      </c>
      <c r="CR30" s="84"/>
      <c r="CS30" s="84" t="s">
        <v>96</v>
      </c>
      <c r="CT30" s="84">
        <v>145106217</v>
      </c>
      <c r="CU30" s="84">
        <v>118580448</v>
      </c>
      <c r="CV30" s="84"/>
      <c r="CW30" s="84" t="s">
        <v>96</v>
      </c>
      <c r="CX30" s="84">
        <v>39031164</v>
      </c>
      <c r="CY30" s="84" t="s">
        <v>96</v>
      </c>
      <c r="CZ30" s="84">
        <v>3286000</v>
      </c>
      <c r="DA30" s="84" t="s">
        <v>96</v>
      </c>
      <c r="DB30" s="84">
        <v>1501950</v>
      </c>
      <c r="DC30" s="84">
        <v>53472175</v>
      </c>
      <c r="DD30" s="84" t="s">
        <v>96</v>
      </c>
      <c r="DE30" s="84"/>
      <c r="DF30" s="84"/>
      <c r="DG30" s="84">
        <v>68429300</v>
      </c>
      <c r="DH30" s="84">
        <v>17735800</v>
      </c>
      <c r="DI30" s="84">
        <v>9083300</v>
      </c>
      <c r="DJ30" s="84">
        <v>0</v>
      </c>
      <c r="DK30" s="84" t="s">
        <v>96</v>
      </c>
      <c r="DL30" s="84">
        <v>8033013</v>
      </c>
      <c r="DM30" s="84"/>
      <c r="DN30" s="84">
        <v>9929147</v>
      </c>
      <c r="DO30" s="84">
        <v>3300000</v>
      </c>
      <c r="DP30" s="86">
        <v>21569054</v>
      </c>
      <c r="DQ30" s="84"/>
      <c r="DR30" s="84">
        <v>5736000</v>
      </c>
      <c r="DS30" s="84">
        <v>25000000</v>
      </c>
      <c r="DT30" s="84">
        <v>21039298</v>
      </c>
      <c r="DU30" s="84"/>
      <c r="DV30" s="84">
        <v>25205276</v>
      </c>
      <c r="DW30" s="84">
        <v>190000</v>
      </c>
      <c r="DX30" s="84">
        <v>296833150</v>
      </c>
      <c r="DY30" s="84"/>
      <c r="DZ30" s="84">
        <v>6600000</v>
      </c>
      <c r="EA30" s="84">
        <v>1890000</v>
      </c>
      <c r="EB30" s="84">
        <v>445235572</v>
      </c>
      <c r="EC30" s="84">
        <v>0</v>
      </c>
      <c r="ED30" s="84"/>
      <c r="EE30" s="84"/>
      <c r="EF30" s="84">
        <v>10706200</v>
      </c>
      <c r="EG30" s="96">
        <v>70233723</v>
      </c>
      <c r="EH30" s="99">
        <v>34077213</v>
      </c>
      <c r="EI30" s="97">
        <v>325380877</v>
      </c>
      <c r="EJ30" s="84">
        <v>38907600</v>
      </c>
      <c r="EK30" s="84">
        <v>26397036</v>
      </c>
      <c r="EL30" s="84">
        <v>1805600</v>
      </c>
      <c r="EM30" s="84"/>
      <c r="EN30" s="84">
        <v>4967000</v>
      </c>
      <c r="EO30" s="84"/>
      <c r="EP30" s="84"/>
      <c r="EQ30" s="84"/>
      <c r="ER30" s="84">
        <v>14340551</v>
      </c>
      <c r="ES30" s="84"/>
      <c r="ET30" s="84">
        <v>1200000</v>
      </c>
      <c r="EU30" s="84">
        <v>1760210843</v>
      </c>
      <c r="EV30" s="84">
        <v>243500</v>
      </c>
      <c r="EW30" s="84">
        <v>7500000</v>
      </c>
      <c r="EX30" s="84"/>
      <c r="EY30" s="84"/>
      <c r="EZ30" s="84"/>
      <c r="FA30" s="84">
        <v>33227195</v>
      </c>
      <c r="FB30" s="86">
        <v>22215000</v>
      </c>
      <c r="FC30" s="84">
        <v>131260000</v>
      </c>
      <c r="FD30" s="84">
        <v>2816200</v>
      </c>
      <c r="FE30" s="84">
        <v>4753897</v>
      </c>
      <c r="FF30" s="84"/>
      <c r="FG30" s="84" t="s">
        <v>96</v>
      </c>
      <c r="FH30" s="84"/>
      <c r="FI30" s="84" t="s">
        <v>96</v>
      </c>
      <c r="FJ30" s="84">
        <v>1000000</v>
      </c>
      <c r="FK30" s="84">
        <v>500000000</v>
      </c>
      <c r="FL30" s="84"/>
      <c r="FM30" s="84" t="s">
        <v>130</v>
      </c>
      <c r="FN30" s="84">
        <v>597789600</v>
      </c>
      <c r="FO30" s="84" t="s">
        <v>96</v>
      </c>
      <c r="FP30" s="84" t="s">
        <v>96</v>
      </c>
      <c r="FQ30" s="84"/>
      <c r="FR30" s="84">
        <v>0</v>
      </c>
      <c r="FS30" s="84">
        <v>282387138</v>
      </c>
      <c r="FT30" s="84"/>
      <c r="FU30" s="84">
        <v>76285700</v>
      </c>
      <c r="FV30" s="84" t="s">
        <v>96</v>
      </c>
      <c r="FW30" s="84">
        <v>1052621</v>
      </c>
      <c r="FX30" s="84">
        <v>146926449</v>
      </c>
      <c r="FY30" s="84" t="s">
        <v>96</v>
      </c>
      <c r="FZ30" s="84" t="s">
        <v>4</v>
      </c>
      <c r="GA30" s="84"/>
      <c r="GB30" s="84">
        <v>1100000</v>
      </c>
      <c r="GC30" s="84">
        <v>10000000</v>
      </c>
      <c r="GD30" s="84" t="s">
        <v>96</v>
      </c>
      <c r="GE30" s="84" t="s">
        <v>4</v>
      </c>
      <c r="GF30" s="84">
        <v>22539981</v>
      </c>
      <c r="GG30" s="84">
        <v>1504599866</v>
      </c>
      <c r="GH30" s="84" t="s">
        <v>4</v>
      </c>
      <c r="GI30" s="84">
        <v>4429444</v>
      </c>
      <c r="GJ30" s="84" t="s">
        <v>96</v>
      </c>
      <c r="GK30" s="84">
        <v>3602500</v>
      </c>
      <c r="GL30" s="84" t="s">
        <v>96</v>
      </c>
      <c r="GM30" s="84"/>
      <c r="GN30" s="84"/>
      <c r="GO30" s="84" t="s">
        <v>96</v>
      </c>
      <c r="GP30" s="84">
        <v>3713505</v>
      </c>
      <c r="GQ30" s="84"/>
      <c r="GR30" s="84">
        <v>2916489</v>
      </c>
      <c r="GS30" s="84">
        <v>26880000</v>
      </c>
      <c r="GT30" s="84" t="s">
        <v>130</v>
      </c>
      <c r="GU30" s="84">
        <v>60000</v>
      </c>
      <c r="GV30" s="84">
        <v>25910434</v>
      </c>
      <c r="GW30" s="84">
        <v>3342092204</v>
      </c>
      <c r="GX30" s="84">
        <v>0</v>
      </c>
      <c r="GY30" s="84"/>
      <c r="GZ30" s="84">
        <v>47432590</v>
      </c>
      <c r="HA30" s="84" t="s">
        <v>96</v>
      </c>
      <c r="HB30" s="84">
        <v>7798020</v>
      </c>
      <c r="HC30" s="84" t="s">
        <v>130</v>
      </c>
      <c r="HD30" s="84">
        <v>1738000</v>
      </c>
      <c r="HE30" s="84" t="s">
        <v>96</v>
      </c>
      <c r="HF30" s="84"/>
      <c r="HG30" s="84"/>
      <c r="HH30" s="84" t="s">
        <v>96</v>
      </c>
      <c r="HI30" s="84"/>
      <c r="HJ30" s="84" t="s">
        <v>96</v>
      </c>
      <c r="HK30" s="84">
        <v>4698550</v>
      </c>
      <c r="HL30" s="84">
        <v>497000</v>
      </c>
      <c r="HM30" s="84"/>
      <c r="HN30" s="84"/>
      <c r="HO30" s="84"/>
      <c r="HP30" s="84">
        <v>10905000</v>
      </c>
      <c r="HQ30" s="84"/>
      <c r="HR30" s="84">
        <v>7940000</v>
      </c>
      <c r="HS30" s="84"/>
      <c r="HT30" s="84">
        <v>2269487</v>
      </c>
      <c r="HU30" s="84" t="s">
        <v>130</v>
      </c>
      <c r="HV30" s="84">
        <v>13840000</v>
      </c>
      <c r="HW30" s="84" t="s">
        <v>96</v>
      </c>
      <c r="HX30" s="84">
        <v>1497375</v>
      </c>
      <c r="HY30" s="84" t="s">
        <v>114</v>
      </c>
      <c r="HZ30" s="84">
        <v>907868</v>
      </c>
      <c r="IA30" s="84"/>
      <c r="IB30" s="84"/>
      <c r="IC30" s="84"/>
      <c r="ID30" s="84"/>
      <c r="IE30" s="84" t="s">
        <v>96</v>
      </c>
      <c r="IF30" s="84"/>
      <c r="IG30" s="84"/>
      <c r="IH30" s="84">
        <v>6415100</v>
      </c>
      <c r="II30" s="84">
        <v>2106800</v>
      </c>
      <c r="IJ30" s="84">
        <v>677885</v>
      </c>
      <c r="IK30" s="84">
        <v>1352600</v>
      </c>
      <c r="IL30" s="84">
        <v>93613117</v>
      </c>
      <c r="IM30" s="84">
        <v>711456</v>
      </c>
      <c r="IN30" s="84"/>
      <c r="IO30" s="84"/>
      <c r="IP30" s="84"/>
      <c r="IQ30" s="84">
        <v>365649311</v>
      </c>
      <c r="IR30" s="84"/>
      <c r="IS30" s="84">
        <v>4065000</v>
      </c>
      <c r="IT30" s="84">
        <v>110000</v>
      </c>
      <c r="IU30" s="84"/>
      <c r="IV30" s="84"/>
      <c r="IW30" s="84">
        <v>1294150</v>
      </c>
      <c r="IX30" s="84">
        <v>13946033</v>
      </c>
      <c r="IY30" s="68">
        <v>47380000</v>
      </c>
      <c r="IZ30" s="68">
        <v>56758000</v>
      </c>
      <c r="JA30" s="68">
        <v>1577030</v>
      </c>
      <c r="JB30" s="68">
        <v>3043126</v>
      </c>
      <c r="JC30" s="68">
        <v>22206850</v>
      </c>
      <c r="JD30" s="68"/>
      <c r="JE30" s="68"/>
      <c r="JF30" s="68"/>
      <c r="JG30" s="68">
        <v>80000</v>
      </c>
      <c r="JH30" s="68">
        <v>506000</v>
      </c>
      <c r="JI30" s="68">
        <v>15000000</v>
      </c>
      <c r="JJ30" s="68">
        <v>3500000</v>
      </c>
      <c r="JK30" s="68">
        <v>18087243</v>
      </c>
      <c r="JL30" s="68">
        <v>0</v>
      </c>
      <c r="JM30" s="68"/>
      <c r="JN30" s="68">
        <v>368270907</v>
      </c>
      <c r="JO30" s="68">
        <v>5998500</v>
      </c>
      <c r="JP30" s="68">
        <v>9360000</v>
      </c>
      <c r="JQ30" s="68" t="s">
        <v>4</v>
      </c>
      <c r="JR30" s="68"/>
      <c r="JS30" s="68">
        <v>3244000</v>
      </c>
      <c r="JT30" s="68">
        <v>380000</v>
      </c>
      <c r="JU30" s="68"/>
      <c r="JV30" s="68">
        <v>8463390</v>
      </c>
      <c r="JW30" s="68"/>
      <c r="JX30" s="68">
        <v>0</v>
      </c>
      <c r="JY30" s="68">
        <v>7742756</v>
      </c>
      <c r="JZ30" s="68"/>
      <c r="KA30" s="68">
        <v>93828331</v>
      </c>
      <c r="KB30" s="68">
        <v>51700</v>
      </c>
      <c r="KC30" s="68"/>
      <c r="KD30" s="68"/>
      <c r="KE30" s="68"/>
      <c r="KF30" s="68"/>
      <c r="KG30" s="68"/>
      <c r="KH30" s="68"/>
      <c r="KI30" s="68"/>
      <c r="KJ30" s="68"/>
      <c r="KK30" s="68"/>
      <c r="KL30" s="68">
        <v>2134682791</v>
      </c>
      <c r="KM30" s="68"/>
      <c r="KN30" s="68"/>
      <c r="KO30" s="68">
        <v>189892128</v>
      </c>
      <c r="KP30" s="68"/>
      <c r="KQ30" s="68"/>
      <c r="KR30" s="68">
        <v>4321037</v>
      </c>
      <c r="KS30" s="68">
        <v>155000000</v>
      </c>
      <c r="KT30" s="68">
        <v>4694190</v>
      </c>
      <c r="KU30" s="68"/>
      <c r="KV30" s="68">
        <v>995000</v>
      </c>
      <c r="KW30" s="68"/>
      <c r="KX30" s="68">
        <v>276750</v>
      </c>
      <c r="KY30" s="68">
        <v>198000000</v>
      </c>
      <c r="KZ30" s="68">
        <v>7700000</v>
      </c>
      <c r="LA30" s="68">
        <v>38279098</v>
      </c>
      <c r="LB30" s="68">
        <v>9653037</v>
      </c>
      <c r="LC30" s="103"/>
      <c r="LD30" s="103"/>
      <c r="LE30" s="103"/>
      <c r="LF30" s="103"/>
      <c r="LG30" s="103">
        <v>1131350</v>
      </c>
      <c r="LH30" s="102" t="s">
        <v>187</v>
      </c>
      <c r="LI30" s="103">
        <v>6788200</v>
      </c>
      <c r="LJ30" s="102" t="s">
        <v>187</v>
      </c>
      <c r="LK30" s="103">
        <v>3566400</v>
      </c>
      <c r="LL30" s="102" t="s">
        <v>187</v>
      </c>
    </row>
    <row r="31" spans="1:324" ht="17.55" customHeight="1">
      <c r="A31" s="67" t="s">
        <v>184</v>
      </c>
      <c r="B31" s="91" t="s">
        <v>18</v>
      </c>
      <c r="C31" s="84">
        <v>0</v>
      </c>
      <c r="D31" s="84">
        <v>129628951</v>
      </c>
      <c r="E31" s="84">
        <v>287000805</v>
      </c>
      <c r="F31" s="85">
        <v>611950000</v>
      </c>
      <c r="G31" s="84" t="s">
        <v>130</v>
      </c>
      <c r="H31" s="84"/>
      <c r="I31" s="84">
        <v>2247935477</v>
      </c>
      <c r="J31" s="84" t="s">
        <v>4</v>
      </c>
      <c r="K31" s="84">
        <v>5150185</v>
      </c>
      <c r="L31" s="84" t="s">
        <v>96</v>
      </c>
      <c r="M31" s="84" t="s">
        <v>96</v>
      </c>
      <c r="N31" s="84">
        <v>261254369</v>
      </c>
      <c r="O31" s="84">
        <v>4856573453</v>
      </c>
      <c r="P31" s="84">
        <v>4966151012</v>
      </c>
      <c r="Q31" s="84">
        <v>100000000</v>
      </c>
      <c r="R31" s="84" t="s">
        <v>130</v>
      </c>
      <c r="S31" s="84">
        <v>8692976152</v>
      </c>
      <c r="T31" s="84" t="s">
        <v>96</v>
      </c>
      <c r="U31" s="84" t="s">
        <v>96</v>
      </c>
      <c r="V31" s="84" t="s">
        <v>4</v>
      </c>
      <c r="W31" s="84">
        <v>984379187</v>
      </c>
      <c r="X31" s="84">
        <v>3495000000</v>
      </c>
      <c r="Y31" s="84">
        <v>99771500</v>
      </c>
      <c r="Z31" s="84">
        <v>6381639496</v>
      </c>
      <c r="AA31" s="84">
        <v>2832390000</v>
      </c>
      <c r="AB31" s="84">
        <v>0</v>
      </c>
      <c r="AC31" s="84">
        <v>156743304</v>
      </c>
      <c r="AD31" s="84">
        <v>2064798951</v>
      </c>
      <c r="AE31" s="84">
        <v>5011529110</v>
      </c>
      <c r="AF31" s="84" t="s">
        <v>96</v>
      </c>
      <c r="AG31" s="84">
        <v>1223623307</v>
      </c>
      <c r="AH31" s="84" t="s">
        <v>130</v>
      </c>
      <c r="AI31" s="84">
        <v>656376328</v>
      </c>
      <c r="AJ31" s="84">
        <v>373485061</v>
      </c>
      <c r="AK31" s="84">
        <v>0</v>
      </c>
      <c r="AL31" s="84">
        <v>418540087</v>
      </c>
      <c r="AM31" s="84" t="s">
        <v>4</v>
      </c>
      <c r="AN31" s="84">
        <v>1506610000</v>
      </c>
      <c r="AO31" s="84">
        <v>133280000</v>
      </c>
      <c r="AP31" s="84">
        <v>159227614</v>
      </c>
      <c r="AQ31" s="84" t="s">
        <v>4</v>
      </c>
      <c r="AR31" s="84">
        <v>178049107</v>
      </c>
      <c r="AS31" s="84">
        <v>895036567</v>
      </c>
      <c r="AT31" s="84" t="s">
        <v>96</v>
      </c>
      <c r="AU31" s="84">
        <v>4413621926</v>
      </c>
      <c r="AV31" s="84">
        <v>0</v>
      </c>
      <c r="AW31" s="84">
        <v>0</v>
      </c>
      <c r="AX31" s="84" t="s">
        <v>4</v>
      </c>
      <c r="AY31" s="84" t="s">
        <v>96</v>
      </c>
      <c r="AZ31" s="84">
        <v>350000000</v>
      </c>
      <c r="BA31" s="84" t="s">
        <v>130</v>
      </c>
      <c r="BB31" s="84">
        <v>20000000</v>
      </c>
      <c r="BC31" s="84" t="s">
        <v>4</v>
      </c>
      <c r="BD31" s="84" t="s">
        <v>96</v>
      </c>
      <c r="BE31" s="84">
        <v>2346240840</v>
      </c>
      <c r="BF31" s="84" t="s">
        <v>96</v>
      </c>
      <c r="BG31" s="84">
        <v>224688439</v>
      </c>
      <c r="BH31" s="84">
        <v>771711266</v>
      </c>
      <c r="BI31" s="84">
        <v>0</v>
      </c>
      <c r="BJ31" s="84">
        <v>463029526</v>
      </c>
      <c r="BK31" s="84">
        <v>2345641536</v>
      </c>
      <c r="BL31" s="84">
        <v>0</v>
      </c>
      <c r="BM31" s="84">
        <v>1077750000</v>
      </c>
      <c r="BN31" s="84">
        <v>0</v>
      </c>
      <c r="BO31" s="84" t="s">
        <v>96</v>
      </c>
      <c r="BP31" s="84" t="s">
        <v>96</v>
      </c>
      <c r="BQ31" s="84" t="s">
        <v>4</v>
      </c>
      <c r="BR31" s="84">
        <v>1168700000</v>
      </c>
      <c r="BS31" s="84" t="s">
        <v>4</v>
      </c>
      <c r="BT31" s="84" t="s">
        <v>96</v>
      </c>
      <c r="BU31" s="84">
        <v>698278433</v>
      </c>
      <c r="BV31" s="84">
        <v>200000000</v>
      </c>
      <c r="BW31" s="84">
        <v>0</v>
      </c>
      <c r="BX31" s="84">
        <v>0</v>
      </c>
      <c r="BY31" s="84">
        <v>936267326</v>
      </c>
      <c r="BZ31" s="84">
        <v>0</v>
      </c>
      <c r="CA31" s="84">
        <v>140382038</v>
      </c>
      <c r="CB31" s="84">
        <v>1367236771</v>
      </c>
      <c r="CC31" s="84">
        <v>0</v>
      </c>
      <c r="CD31" s="84">
        <v>0</v>
      </c>
      <c r="CE31" s="84" t="s">
        <v>96</v>
      </c>
      <c r="CF31" s="84" t="s">
        <v>96</v>
      </c>
      <c r="CG31" s="84">
        <v>0</v>
      </c>
      <c r="CH31" s="84">
        <v>801682</v>
      </c>
      <c r="CI31" s="84" t="s">
        <v>96</v>
      </c>
      <c r="CJ31" s="84">
        <v>153200000</v>
      </c>
      <c r="CK31" s="84">
        <v>6291440515</v>
      </c>
      <c r="CL31" s="84">
        <v>730241470</v>
      </c>
      <c r="CM31" s="84">
        <v>2181752749</v>
      </c>
      <c r="CN31" s="84">
        <v>39100000</v>
      </c>
      <c r="CO31" s="84">
        <v>0</v>
      </c>
      <c r="CP31" s="84" t="s">
        <v>96</v>
      </c>
      <c r="CQ31" s="84" t="s">
        <v>96</v>
      </c>
      <c r="CR31" s="84">
        <v>0</v>
      </c>
      <c r="CS31" s="84" t="s">
        <v>96</v>
      </c>
      <c r="CT31" s="84">
        <v>942571203</v>
      </c>
      <c r="CU31" s="84">
        <v>99656136</v>
      </c>
      <c r="CV31" s="84">
        <v>95583749</v>
      </c>
      <c r="CW31" s="84" t="s">
        <v>96</v>
      </c>
      <c r="CX31" s="84">
        <v>221907443</v>
      </c>
      <c r="CY31" s="84" t="s">
        <v>96</v>
      </c>
      <c r="CZ31" s="84">
        <v>4245560565</v>
      </c>
      <c r="DA31" s="84" t="s">
        <v>96</v>
      </c>
      <c r="DB31" s="84">
        <v>0</v>
      </c>
      <c r="DC31" s="84">
        <v>12000000</v>
      </c>
      <c r="DD31" s="84" t="s">
        <v>96</v>
      </c>
      <c r="DE31" s="84">
        <v>0</v>
      </c>
      <c r="DF31" s="84">
        <v>0</v>
      </c>
      <c r="DG31" s="84">
        <v>582019323</v>
      </c>
      <c r="DH31" s="84">
        <v>443339720</v>
      </c>
      <c r="DI31" s="84">
        <v>5449300000</v>
      </c>
      <c r="DJ31" s="84">
        <v>0</v>
      </c>
      <c r="DK31" s="84" t="s">
        <v>96</v>
      </c>
      <c r="DL31" s="84">
        <v>293449095</v>
      </c>
      <c r="DM31" s="84">
        <v>0</v>
      </c>
      <c r="DN31" s="84">
        <v>972674085</v>
      </c>
      <c r="DO31" s="84">
        <v>49448724</v>
      </c>
      <c r="DP31" s="86">
        <v>811570000</v>
      </c>
      <c r="DQ31" s="84">
        <v>265000000</v>
      </c>
      <c r="DR31" s="84">
        <v>5295407505</v>
      </c>
      <c r="DS31" s="84"/>
      <c r="DT31" s="84">
        <v>2417162000</v>
      </c>
      <c r="DU31" s="84"/>
      <c r="DV31" s="84">
        <v>899897320</v>
      </c>
      <c r="DW31" s="84">
        <v>315920000</v>
      </c>
      <c r="DX31" s="84">
        <v>660950000</v>
      </c>
      <c r="DY31" s="84">
        <v>845765986</v>
      </c>
      <c r="DZ31" s="84">
        <v>171020000</v>
      </c>
      <c r="EA31" s="84">
        <v>28976730</v>
      </c>
      <c r="EB31" s="84">
        <v>3150400527</v>
      </c>
      <c r="EC31" s="84">
        <v>422402868</v>
      </c>
      <c r="ED31" s="84">
        <v>0</v>
      </c>
      <c r="EE31" s="84">
        <v>0</v>
      </c>
      <c r="EF31" s="84">
        <v>2877500000</v>
      </c>
      <c r="EG31" s="96">
        <v>911685121</v>
      </c>
      <c r="EH31" s="99">
        <v>3007207684</v>
      </c>
      <c r="EI31" s="97"/>
      <c r="EJ31" s="84">
        <v>127129556</v>
      </c>
      <c r="EK31" s="84">
        <v>27002500</v>
      </c>
      <c r="EL31" s="84">
        <v>0</v>
      </c>
      <c r="EM31" s="84">
        <v>0</v>
      </c>
      <c r="EN31" s="84">
        <v>500000000</v>
      </c>
      <c r="EO31" s="84">
        <v>100000000</v>
      </c>
      <c r="EP31" s="84">
        <v>0</v>
      </c>
      <c r="EQ31" s="84"/>
      <c r="ER31" s="84">
        <v>933887222</v>
      </c>
      <c r="ES31" s="84">
        <v>309036699</v>
      </c>
      <c r="ET31" s="84">
        <v>402843571</v>
      </c>
      <c r="EU31" s="84">
        <v>20239932</v>
      </c>
      <c r="EV31" s="84">
        <v>194242255</v>
      </c>
      <c r="EW31" s="84">
        <v>947288086</v>
      </c>
      <c r="EX31" s="84">
        <v>1959631260</v>
      </c>
      <c r="EY31" s="84">
        <v>70000000</v>
      </c>
      <c r="EZ31" s="84">
        <v>214378860</v>
      </c>
      <c r="FA31" s="84">
        <v>1280000000</v>
      </c>
      <c r="FB31" s="86">
        <v>41400000</v>
      </c>
      <c r="FC31" s="84">
        <v>525923580</v>
      </c>
      <c r="FD31" s="84">
        <v>1109669123</v>
      </c>
      <c r="FE31" s="84">
        <v>-32448518</v>
      </c>
      <c r="FF31" s="84">
        <v>0</v>
      </c>
      <c r="FG31" s="84" t="s">
        <v>96</v>
      </c>
      <c r="FH31" s="84">
        <v>1150240000</v>
      </c>
      <c r="FI31" s="84" t="s">
        <v>96</v>
      </c>
      <c r="FJ31" s="84">
        <v>0</v>
      </c>
      <c r="FK31" s="84">
        <v>1381037179</v>
      </c>
      <c r="FL31" s="84">
        <v>387309694</v>
      </c>
      <c r="FM31" s="84" t="s">
        <v>130</v>
      </c>
      <c r="FN31" s="84">
        <v>3446844809</v>
      </c>
      <c r="FO31" s="84" t="s">
        <v>96</v>
      </c>
      <c r="FP31" s="84" t="s">
        <v>96</v>
      </c>
      <c r="FQ31" s="84">
        <v>211040000</v>
      </c>
      <c r="FR31" s="84">
        <v>0</v>
      </c>
      <c r="FS31" s="84">
        <v>600072758</v>
      </c>
      <c r="FT31" s="84">
        <v>2382843714</v>
      </c>
      <c r="FU31" s="84">
        <v>0</v>
      </c>
      <c r="FV31" s="84" t="s">
        <v>96</v>
      </c>
      <c r="FW31" s="84">
        <v>196739941</v>
      </c>
      <c r="FX31" s="84">
        <v>0</v>
      </c>
      <c r="FY31" s="84" t="s">
        <v>96</v>
      </c>
      <c r="FZ31" s="84" t="s">
        <v>4</v>
      </c>
      <c r="GA31" s="84">
        <v>510506157</v>
      </c>
      <c r="GB31" s="84">
        <v>400000000</v>
      </c>
      <c r="GC31" s="84">
        <v>0</v>
      </c>
      <c r="GD31" s="84" t="s">
        <v>96</v>
      </c>
      <c r="GE31" s="84" t="s">
        <v>4</v>
      </c>
      <c r="GF31" s="84">
        <v>1143601261</v>
      </c>
      <c r="GG31" s="84">
        <v>1437969180</v>
      </c>
      <c r="GH31" s="84" t="s">
        <v>4</v>
      </c>
      <c r="GI31" s="84">
        <v>172100000</v>
      </c>
      <c r="GJ31" s="84" t="s">
        <v>96</v>
      </c>
      <c r="GK31" s="84">
        <v>70000000</v>
      </c>
      <c r="GL31" s="84" t="s">
        <v>96</v>
      </c>
      <c r="GM31" s="84">
        <v>36737060</v>
      </c>
      <c r="GN31" s="84">
        <v>0</v>
      </c>
      <c r="GO31" s="84" t="s">
        <v>96</v>
      </c>
      <c r="GP31" s="84">
        <v>5000506557</v>
      </c>
      <c r="GQ31" s="84">
        <v>0</v>
      </c>
      <c r="GR31" s="84">
        <v>1704138019</v>
      </c>
      <c r="GS31" s="84">
        <v>126178780</v>
      </c>
      <c r="GT31" s="84" t="s">
        <v>130</v>
      </c>
      <c r="GU31" s="84">
        <v>0</v>
      </c>
      <c r="GV31" s="84">
        <v>1883333380</v>
      </c>
      <c r="GW31" s="84">
        <v>3978054711</v>
      </c>
      <c r="GX31" s="84">
        <v>2320050000</v>
      </c>
      <c r="GY31" s="84">
        <v>1525567391</v>
      </c>
      <c r="GZ31" s="84">
        <v>3480258440</v>
      </c>
      <c r="HA31" s="84" t="s">
        <v>96</v>
      </c>
      <c r="HB31" s="84"/>
      <c r="HC31" s="84" t="s">
        <v>130</v>
      </c>
      <c r="HD31" s="84">
        <v>0</v>
      </c>
      <c r="HE31" s="84" t="s">
        <v>96</v>
      </c>
      <c r="HF31" s="84">
        <v>595000000</v>
      </c>
      <c r="HG31" s="84">
        <v>42257085</v>
      </c>
      <c r="HH31" s="84" t="s">
        <v>96</v>
      </c>
      <c r="HI31" s="84">
        <v>224683061</v>
      </c>
      <c r="HJ31" s="84" t="s">
        <v>96</v>
      </c>
      <c r="HK31" s="84">
        <v>0</v>
      </c>
      <c r="HL31" s="84">
        <v>0</v>
      </c>
      <c r="HM31" s="84">
        <v>683517101</v>
      </c>
      <c r="HN31" s="84">
        <v>0</v>
      </c>
      <c r="HO31" s="84">
        <v>500000000</v>
      </c>
      <c r="HP31" s="84">
        <v>384110000</v>
      </c>
      <c r="HQ31" s="84">
        <v>0</v>
      </c>
      <c r="HR31" s="84">
        <v>115376797</v>
      </c>
      <c r="HS31" s="84">
        <v>358280000</v>
      </c>
      <c r="HT31" s="84">
        <v>181762113</v>
      </c>
      <c r="HU31" s="84" t="s">
        <v>130</v>
      </c>
      <c r="HV31" s="84">
        <v>72300000</v>
      </c>
      <c r="HW31" s="84" t="s">
        <v>96</v>
      </c>
      <c r="HX31" s="84">
        <v>3708910000</v>
      </c>
      <c r="HY31" s="84" t="s">
        <v>114</v>
      </c>
      <c r="HZ31" s="84">
        <v>4350196434</v>
      </c>
      <c r="IA31" s="84">
        <v>356222214</v>
      </c>
      <c r="IB31" s="84">
        <v>3055075475</v>
      </c>
      <c r="IC31" s="84">
        <v>1974099097</v>
      </c>
      <c r="ID31" s="84">
        <v>0</v>
      </c>
      <c r="IE31" s="84" t="s">
        <v>96</v>
      </c>
      <c r="IF31" s="84">
        <v>3000000</v>
      </c>
      <c r="IG31" s="84">
        <v>26390660</v>
      </c>
      <c r="IH31" s="84">
        <v>201498597</v>
      </c>
      <c r="II31" s="84">
        <v>135707452</v>
      </c>
      <c r="IJ31" s="84">
        <v>200000000</v>
      </c>
      <c r="IK31" s="84">
        <v>483100000</v>
      </c>
      <c r="IL31" s="84">
        <v>1614742440</v>
      </c>
      <c r="IM31" s="84">
        <v>200000000</v>
      </c>
      <c r="IN31" s="84">
        <v>1100000000</v>
      </c>
      <c r="IO31" s="84">
        <v>1251480988</v>
      </c>
      <c r="IP31" s="84">
        <v>0</v>
      </c>
      <c r="IQ31" s="84">
        <v>197766720</v>
      </c>
      <c r="IR31" s="84">
        <v>235000000</v>
      </c>
      <c r="IS31" s="84">
        <v>3769636800</v>
      </c>
      <c r="IT31" s="84">
        <v>870720000</v>
      </c>
      <c r="IU31" s="84">
        <v>319700000</v>
      </c>
      <c r="IV31" s="84">
        <v>200000000</v>
      </c>
      <c r="IW31" s="84">
        <v>453525680</v>
      </c>
      <c r="IX31" s="84">
        <v>1185516153</v>
      </c>
      <c r="IY31" s="68">
        <v>2020000000</v>
      </c>
      <c r="IZ31" s="68">
        <v>290981772</v>
      </c>
      <c r="JA31" s="68">
        <v>192230569</v>
      </c>
      <c r="JB31" s="68">
        <v>200000000</v>
      </c>
      <c r="JC31" s="68">
        <v>2508713087</v>
      </c>
      <c r="JD31" s="68">
        <v>0</v>
      </c>
      <c r="JE31" s="68"/>
      <c r="JF31" s="68">
        <v>776150477</v>
      </c>
      <c r="JG31" s="68">
        <v>39450000</v>
      </c>
      <c r="JH31" s="68">
        <v>8648544</v>
      </c>
      <c r="JI31" s="68">
        <v>0</v>
      </c>
      <c r="JJ31" s="68">
        <v>86860804</v>
      </c>
      <c r="JK31" s="68">
        <v>234700000</v>
      </c>
      <c r="JL31" s="68">
        <v>1560000000</v>
      </c>
      <c r="JM31" s="68">
        <v>462134370</v>
      </c>
      <c r="JN31" s="68">
        <v>2568902224</v>
      </c>
      <c r="JO31" s="68">
        <v>71787430</v>
      </c>
      <c r="JP31" s="68">
        <v>0</v>
      </c>
      <c r="JQ31" s="68" t="s">
        <v>4</v>
      </c>
      <c r="JR31" s="68">
        <v>650000000</v>
      </c>
      <c r="JS31" s="68">
        <v>98331014</v>
      </c>
      <c r="JT31" s="68">
        <v>24277920</v>
      </c>
      <c r="JU31" s="68">
        <v>215025647</v>
      </c>
      <c r="JV31" s="68">
        <v>176230000</v>
      </c>
      <c r="JW31" s="68">
        <v>0</v>
      </c>
      <c r="JX31" s="68">
        <v>0</v>
      </c>
      <c r="JY31" s="68">
        <v>5665202</v>
      </c>
      <c r="JZ31" s="68"/>
      <c r="KA31" s="68">
        <v>0</v>
      </c>
      <c r="KB31" s="68">
        <v>6126357683</v>
      </c>
      <c r="KC31" s="68">
        <v>100000000</v>
      </c>
      <c r="KD31" s="68">
        <v>0</v>
      </c>
      <c r="KE31" s="68">
        <v>0</v>
      </c>
      <c r="KF31" s="68">
        <v>819311243</v>
      </c>
      <c r="KG31" s="68">
        <v>100000000</v>
      </c>
      <c r="KH31" s="68">
        <v>588843630</v>
      </c>
      <c r="KI31" s="68">
        <v>0</v>
      </c>
      <c r="KJ31" s="68">
        <v>1214065000</v>
      </c>
      <c r="KK31" s="68">
        <v>4777473064</v>
      </c>
      <c r="KL31" s="68">
        <v>8434148454</v>
      </c>
      <c r="KM31" s="68">
        <v>560356976</v>
      </c>
      <c r="KN31" s="68">
        <v>437186933</v>
      </c>
      <c r="KO31" s="68">
        <v>156446356</v>
      </c>
      <c r="KP31" s="68">
        <v>91296721</v>
      </c>
      <c r="KQ31" s="68">
        <v>0</v>
      </c>
      <c r="KR31" s="68">
        <v>206666656</v>
      </c>
      <c r="KS31" s="68">
        <v>700540000</v>
      </c>
      <c r="KT31" s="68">
        <v>892060754</v>
      </c>
      <c r="KU31" s="68">
        <v>5206040000</v>
      </c>
      <c r="KV31" s="68">
        <v>30000000</v>
      </c>
      <c r="KW31" s="68">
        <v>0</v>
      </c>
      <c r="KX31" s="68">
        <v>208112000</v>
      </c>
      <c r="KY31" s="68">
        <v>770000000</v>
      </c>
      <c r="KZ31" s="68">
        <v>408624261</v>
      </c>
      <c r="LA31" s="68">
        <v>141000000</v>
      </c>
      <c r="LB31" s="68">
        <v>3674260</v>
      </c>
      <c r="LC31" s="103">
        <v>0</v>
      </c>
      <c r="LD31" s="103">
        <v>201219450</v>
      </c>
      <c r="LE31" s="103">
        <v>82383608</v>
      </c>
      <c r="LF31" s="103">
        <v>0</v>
      </c>
      <c r="LG31" s="103">
        <v>90000000</v>
      </c>
      <c r="LH31" s="102" t="s">
        <v>187</v>
      </c>
      <c r="LI31" s="103">
        <v>268472195</v>
      </c>
      <c r="LJ31" s="102" t="s">
        <v>187</v>
      </c>
      <c r="LK31" s="103">
        <v>500000000</v>
      </c>
      <c r="LL31" s="102" t="s">
        <v>187</v>
      </c>
    </row>
    <row r="32" spans="1:324" ht="17.55" customHeight="1">
      <c r="A32" s="67" t="s">
        <v>184</v>
      </c>
      <c r="B32" s="87" t="s">
        <v>15</v>
      </c>
      <c r="C32" s="84"/>
      <c r="D32" s="84">
        <v>129628951</v>
      </c>
      <c r="E32" s="84">
        <v>262000805</v>
      </c>
      <c r="F32" s="85">
        <v>510950000</v>
      </c>
      <c r="G32" s="84" t="s">
        <v>130</v>
      </c>
      <c r="H32" s="84"/>
      <c r="I32" s="84">
        <v>1225437265</v>
      </c>
      <c r="J32" s="84" t="s">
        <v>4</v>
      </c>
      <c r="K32" s="84">
        <v>5150185</v>
      </c>
      <c r="L32" s="84" t="s">
        <v>96</v>
      </c>
      <c r="M32" s="84" t="s">
        <v>96</v>
      </c>
      <c r="N32" s="84">
        <v>34974260</v>
      </c>
      <c r="O32" s="84">
        <v>4695239039</v>
      </c>
      <c r="P32" s="84">
        <v>3381143832</v>
      </c>
      <c r="Q32" s="84">
        <v>100000000</v>
      </c>
      <c r="R32" s="84" t="s">
        <v>130</v>
      </c>
      <c r="S32" s="84">
        <v>6615220000</v>
      </c>
      <c r="T32" s="84" t="s">
        <v>96</v>
      </c>
      <c r="U32" s="84" t="s">
        <v>96</v>
      </c>
      <c r="V32" s="84" t="s">
        <v>4</v>
      </c>
      <c r="W32" s="84">
        <v>704379187</v>
      </c>
      <c r="X32" s="84">
        <v>3275000000</v>
      </c>
      <c r="Y32" s="84">
        <v>44242255</v>
      </c>
      <c r="Z32" s="84">
        <v>5125939496</v>
      </c>
      <c r="AA32" s="84">
        <v>2832390000</v>
      </c>
      <c r="AB32" s="84"/>
      <c r="AC32" s="84"/>
      <c r="AD32" s="84">
        <v>2064798951</v>
      </c>
      <c r="AE32" s="84">
        <v>4101529110</v>
      </c>
      <c r="AF32" s="84" t="s">
        <v>96</v>
      </c>
      <c r="AG32" s="84">
        <v>1073623307</v>
      </c>
      <c r="AH32" s="84" t="s">
        <v>130</v>
      </c>
      <c r="AI32" s="84">
        <v>330000000</v>
      </c>
      <c r="AJ32" s="84">
        <v>373485061</v>
      </c>
      <c r="AK32" s="84"/>
      <c r="AL32" s="84">
        <v>418540087</v>
      </c>
      <c r="AM32" s="84" t="s">
        <v>4</v>
      </c>
      <c r="AN32" s="84">
        <v>1506610000</v>
      </c>
      <c r="AO32" s="84">
        <v>133280000</v>
      </c>
      <c r="AP32" s="84"/>
      <c r="AQ32" s="84" t="s">
        <v>4</v>
      </c>
      <c r="AR32" s="84">
        <v>3125000</v>
      </c>
      <c r="AS32" s="84">
        <v>895036567</v>
      </c>
      <c r="AT32" s="84" t="s">
        <v>96</v>
      </c>
      <c r="AU32" s="84">
        <v>3233840000</v>
      </c>
      <c r="AV32" s="84"/>
      <c r="AW32" s="84"/>
      <c r="AX32" s="84" t="s">
        <v>4</v>
      </c>
      <c r="AY32" s="84" t="s">
        <v>96</v>
      </c>
      <c r="AZ32" s="84">
        <v>350000000</v>
      </c>
      <c r="BA32" s="84" t="s">
        <v>130</v>
      </c>
      <c r="BB32" s="84">
        <v>20000000</v>
      </c>
      <c r="BC32" s="84" t="s">
        <v>4</v>
      </c>
      <c r="BD32" s="84" t="s">
        <v>96</v>
      </c>
      <c r="BE32" s="84">
        <v>2346240840</v>
      </c>
      <c r="BF32" s="84" t="s">
        <v>96</v>
      </c>
      <c r="BG32" s="84">
        <v>209743786</v>
      </c>
      <c r="BH32" s="84">
        <v>770000000</v>
      </c>
      <c r="BI32" s="84"/>
      <c r="BJ32" s="84">
        <v>360915634</v>
      </c>
      <c r="BK32" s="84">
        <v>833320000</v>
      </c>
      <c r="BL32" s="84"/>
      <c r="BM32" s="84">
        <v>1077750000</v>
      </c>
      <c r="BN32" s="84"/>
      <c r="BO32" s="84" t="s">
        <v>96</v>
      </c>
      <c r="BP32" s="84" t="s">
        <v>96</v>
      </c>
      <c r="BQ32" s="84" t="s">
        <v>4</v>
      </c>
      <c r="BR32" s="84">
        <v>1168700000</v>
      </c>
      <c r="BS32" s="84" t="s">
        <v>4</v>
      </c>
      <c r="BT32" s="84" t="s">
        <v>96</v>
      </c>
      <c r="BU32" s="84">
        <v>18278433</v>
      </c>
      <c r="BV32" s="84">
        <v>200000000</v>
      </c>
      <c r="BW32" s="84"/>
      <c r="BX32" s="84"/>
      <c r="BY32" s="84">
        <v>928144614</v>
      </c>
      <c r="BZ32" s="84"/>
      <c r="CA32" s="84">
        <v>139382038</v>
      </c>
      <c r="CB32" s="84">
        <v>1302236771</v>
      </c>
      <c r="CC32" s="84"/>
      <c r="CD32" s="84"/>
      <c r="CE32" s="84" t="s">
        <v>96</v>
      </c>
      <c r="CF32" s="84" t="s">
        <v>96</v>
      </c>
      <c r="CG32" s="84">
        <v>0</v>
      </c>
      <c r="CH32" s="84">
        <v>801682</v>
      </c>
      <c r="CI32" s="84" t="s">
        <v>96</v>
      </c>
      <c r="CJ32" s="84">
        <v>153200000</v>
      </c>
      <c r="CK32" s="84">
        <v>6171440515</v>
      </c>
      <c r="CL32" s="84">
        <v>472170000</v>
      </c>
      <c r="CM32" s="84">
        <v>2181752749</v>
      </c>
      <c r="CN32" s="84">
        <v>39100000</v>
      </c>
      <c r="CO32" s="84"/>
      <c r="CP32" s="84" t="s">
        <v>96</v>
      </c>
      <c r="CQ32" s="84" t="s">
        <v>96</v>
      </c>
      <c r="CR32" s="84"/>
      <c r="CS32" s="84" t="s">
        <v>96</v>
      </c>
      <c r="CT32" s="84"/>
      <c r="CU32" s="84"/>
      <c r="CV32" s="84">
        <v>75000000</v>
      </c>
      <c r="CW32" s="84" t="s">
        <v>96</v>
      </c>
      <c r="CX32" s="84"/>
      <c r="CY32" s="84" t="s">
        <v>96</v>
      </c>
      <c r="CZ32" s="84">
        <v>4075560565</v>
      </c>
      <c r="DA32" s="84" t="s">
        <v>96</v>
      </c>
      <c r="DB32" s="84"/>
      <c r="DC32" s="84">
        <v>10000000</v>
      </c>
      <c r="DD32" s="84" t="s">
        <v>96</v>
      </c>
      <c r="DE32" s="84"/>
      <c r="DF32" s="84"/>
      <c r="DG32" s="84">
        <v>472019323</v>
      </c>
      <c r="DH32" s="84">
        <v>443339720</v>
      </c>
      <c r="DI32" s="84">
        <v>5337300000</v>
      </c>
      <c r="DJ32" s="84"/>
      <c r="DK32" s="84" t="s">
        <v>96</v>
      </c>
      <c r="DL32" s="84">
        <v>293449095</v>
      </c>
      <c r="DM32" s="84"/>
      <c r="DN32" s="84">
        <v>952674085</v>
      </c>
      <c r="DO32" s="84">
        <v>49448724</v>
      </c>
      <c r="DP32" s="86">
        <v>811570000</v>
      </c>
      <c r="DQ32" s="84">
        <v>265000000</v>
      </c>
      <c r="DR32" s="84">
        <v>4429627505</v>
      </c>
      <c r="DS32" s="84"/>
      <c r="DT32" s="84">
        <v>2417162000</v>
      </c>
      <c r="DU32" s="84"/>
      <c r="DV32" s="84">
        <v>845030468</v>
      </c>
      <c r="DW32" s="84">
        <v>315920000</v>
      </c>
      <c r="DX32" s="84">
        <v>660950000</v>
      </c>
      <c r="DY32" s="84">
        <v>845765986</v>
      </c>
      <c r="DZ32" s="84">
        <v>171020000</v>
      </c>
      <c r="EA32" s="84">
        <v>28976730</v>
      </c>
      <c r="EB32" s="84">
        <v>2785464561</v>
      </c>
      <c r="EC32" s="84">
        <v>422402868</v>
      </c>
      <c r="ED32" s="84">
        <v>0</v>
      </c>
      <c r="EE32" s="84"/>
      <c r="EF32" s="84">
        <v>2827500000</v>
      </c>
      <c r="EG32" s="96"/>
      <c r="EH32" s="99">
        <v>2972207684</v>
      </c>
      <c r="EI32" s="97"/>
      <c r="EJ32" s="84"/>
      <c r="EK32" s="84"/>
      <c r="EL32" s="84"/>
      <c r="EM32" s="84"/>
      <c r="EN32" s="84">
        <v>500000000</v>
      </c>
      <c r="EO32" s="84">
        <v>100000000</v>
      </c>
      <c r="EP32" s="84"/>
      <c r="EQ32" s="84"/>
      <c r="ER32" s="84">
        <v>933887222</v>
      </c>
      <c r="ES32" s="84">
        <v>309036699</v>
      </c>
      <c r="ET32" s="84">
        <v>18837621</v>
      </c>
      <c r="EU32" s="84"/>
      <c r="EV32" s="84">
        <v>194242255</v>
      </c>
      <c r="EW32" s="84">
        <v>947288086</v>
      </c>
      <c r="EX32" s="84">
        <v>1959631260</v>
      </c>
      <c r="EY32" s="84"/>
      <c r="EZ32" s="84">
        <v>71760000</v>
      </c>
      <c r="FA32" s="84">
        <v>50000000</v>
      </c>
      <c r="FB32" s="86">
        <v>41400000</v>
      </c>
      <c r="FC32" s="84">
        <v>381923580</v>
      </c>
      <c r="FD32" s="84">
        <v>1109669123</v>
      </c>
      <c r="FE32" s="84">
        <v>126459172</v>
      </c>
      <c r="FF32" s="84"/>
      <c r="FG32" s="84" t="s">
        <v>96</v>
      </c>
      <c r="FH32" s="84">
        <v>1150240000</v>
      </c>
      <c r="FI32" s="84" t="s">
        <v>96</v>
      </c>
      <c r="FJ32" s="84"/>
      <c r="FK32" s="84">
        <v>111850000</v>
      </c>
      <c r="FL32" s="84">
        <v>280000000</v>
      </c>
      <c r="FM32" s="84" t="s">
        <v>130</v>
      </c>
      <c r="FN32" s="84">
        <v>3228140000</v>
      </c>
      <c r="FO32" s="84" t="s">
        <v>96</v>
      </c>
      <c r="FP32" s="84" t="s">
        <v>96</v>
      </c>
      <c r="FQ32" s="84">
        <v>211040000</v>
      </c>
      <c r="FR32" s="84"/>
      <c r="FS32" s="84">
        <v>600072758</v>
      </c>
      <c r="FT32" s="84">
        <v>2280000000</v>
      </c>
      <c r="FU32" s="84"/>
      <c r="FV32" s="84" t="s">
        <v>96</v>
      </c>
      <c r="FW32" s="84">
        <v>196739941</v>
      </c>
      <c r="FX32" s="84"/>
      <c r="FY32" s="84" t="s">
        <v>96</v>
      </c>
      <c r="FZ32" s="84" t="s">
        <v>4</v>
      </c>
      <c r="GA32" s="84">
        <v>500000000</v>
      </c>
      <c r="GB32" s="84">
        <v>400000000</v>
      </c>
      <c r="GC32" s="84"/>
      <c r="GD32" s="84" t="s">
        <v>96</v>
      </c>
      <c r="GE32" s="84" t="s">
        <v>4</v>
      </c>
      <c r="GF32" s="84">
        <v>1143601261</v>
      </c>
      <c r="GG32" s="84">
        <v>1437969180</v>
      </c>
      <c r="GH32" s="84" t="s">
        <v>4</v>
      </c>
      <c r="GI32" s="84">
        <v>172100000</v>
      </c>
      <c r="GJ32" s="84" t="s">
        <v>96</v>
      </c>
      <c r="GK32" s="84">
        <v>70000000</v>
      </c>
      <c r="GL32" s="84" t="s">
        <v>96</v>
      </c>
      <c r="GM32" s="84"/>
      <c r="GN32" s="84"/>
      <c r="GO32" s="84" t="s">
        <v>96</v>
      </c>
      <c r="GP32" s="84">
        <v>5000506557</v>
      </c>
      <c r="GQ32" s="84"/>
      <c r="GR32" s="84">
        <v>1704138019</v>
      </c>
      <c r="GS32" s="84">
        <v>46700000</v>
      </c>
      <c r="GT32" s="84" t="s">
        <v>130</v>
      </c>
      <c r="GU32" s="84"/>
      <c r="GV32" s="84">
        <v>1883333380</v>
      </c>
      <c r="GW32" s="84">
        <v>2500000000</v>
      </c>
      <c r="GX32" s="84">
        <v>2320050000</v>
      </c>
      <c r="GY32" s="84">
        <v>1443120000</v>
      </c>
      <c r="GZ32" s="84">
        <v>3322258440</v>
      </c>
      <c r="HA32" s="84" t="s">
        <v>96</v>
      </c>
      <c r="HB32" s="84"/>
      <c r="HC32" s="84" t="s">
        <v>130</v>
      </c>
      <c r="HD32" s="84"/>
      <c r="HE32" s="84" t="s">
        <v>96</v>
      </c>
      <c r="HF32" s="84">
        <v>565000000</v>
      </c>
      <c r="HG32" s="84"/>
      <c r="HH32" s="84" t="s">
        <v>96</v>
      </c>
      <c r="HI32" s="84"/>
      <c r="HJ32" s="84" t="s">
        <v>96</v>
      </c>
      <c r="HK32" s="84"/>
      <c r="HL32" s="84"/>
      <c r="HM32" s="84">
        <v>675517101</v>
      </c>
      <c r="HN32" s="84"/>
      <c r="HO32" s="84">
        <v>500000000</v>
      </c>
      <c r="HP32" s="84">
        <v>384110000</v>
      </c>
      <c r="HQ32" s="84"/>
      <c r="HR32" s="84">
        <v>115376797</v>
      </c>
      <c r="HS32" s="84">
        <v>358280000</v>
      </c>
      <c r="HT32" s="84">
        <v>181762113</v>
      </c>
      <c r="HU32" s="84" t="s">
        <v>130</v>
      </c>
      <c r="HV32" s="84">
        <v>72300000</v>
      </c>
      <c r="HW32" s="84" t="s">
        <v>96</v>
      </c>
      <c r="HX32" s="84">
        <v>3673910000</v>
      </c>
      <c r="HY32" s="84" t="s">
        <v>114</v>
      </c>
      <c r="HZ32" s="84">
        <v>4247196434</v>
      </c>
      <c r="IA32" s="84">
        <v>350000000</v>
      </c>
      <c r="IB32" s="84">
        <v>1869837853</v>
      </c>
      <c r="IC32" s="84">
        <v>1974099097</v>
      </c>
      <c r="ID32" s="84"/>
      <c r="IE32" s="84" t="s">
        <v>96</v>
      </c>
      <c r="IF32" s="84">
        <v>3000000</v>
      </c>
      <c r="IG32" s="84">
        <v>26390660</v>
      </c>
      <c r="IH32" s="84">
        <v>201498597</v>
      </c>
      <c r="II32" s="84">
        <v>135707452</v>
      </c>
      <c r="IJ32" s="84">
        <v>200000000</v>
      </c>
      <c r="IK32" s="84">
        <v>483100000</v>
      </c>
      <c r="IL32" s="84">
        <v>1614742440</v>
      </c>
      <c r="IM32" s="84">
        <v>200000000</v>
      </c>
      <c r="IN32" s="84">
        <v>1100000000</v>
      </c>
      <c r="IO32" s="84">
        <v>1251480988</v>
      </c>
      <c r="IP32" s="84"/>
      <c r="IQ32" s="84">
        <v>46666720</v>
      </c>
      <c r="IR32" s="84">
        <v>235000000</v>
      </c>
      <c r="IS32" s="84">
        <v>3769636800</v>
      </c>
      <c r="IT32" s="84">
        <v>870720000</v>
      </c>
      <c r="IU32" s="84"/>
      <c r="IV32" s="84">
        <v>200000000</v>
      </c>
      <c r="IW32" s="84">
        <v>303525680</v>
      </c>
      <c r="IX32" s="84">
        <v>1145516153</v>
      </c>
      <c r="IY32" s="68">
        <v>2020000000</v>
      </c>
      <c r="IZ32" s="68">
        <v>290981772</v>
      </c>
      <c r="JA32" s="68"/>
      <c r="JB32" s="68">
        <v>200000000</v>
      </c>
      <c r="JC32" s="68">
        <v>2508713087</v>
      </c>
      <c r="JD32" s="68"/>
      <c r="JE32" s="68"/>
      <c r="JF32" s="68">
        <v>776150477</v>
      </c>
      <c r="JG32" s="68">
        <v>39450000</v>
      </c>
      <c r="JH32" s="68">
        <v>8648544</v>
      </c>
      <c r="JI32" s="68"/>
      <c r="JJ32" s="68">
        <v>86860804</v>
      </c>
      <c r="JK32" s="68">
        <v>234700000</v>
      </c>
      <c r="JL32" s="68">
        <v>1500000000</v>
      </c>
      <c r="JM32" s="68">
        <v>462134370</v>
      </c>
      <c r="JN32" s="68">
        <v>2568902224</v>
      </c>
      <c r="JO32" s="68">
        <v>71787430</v>
      </c>
      <c r="JP32" s="68"/>
      <c r="JQ32" s="68" t="s">
        <v>4</v>
      </c>
      <c r="JR32" s="68">
        <v>650000000</v>
      </c>
      <c r="JS32" s="68">
        <v>98331014</v>
      </c>
      <c r="JT32" s="68">
        <v>24277920</v>
      </c>
      <c r="JU32" s="68">
        <v>215025647</v>
      </c>
      <c r="JV32" s="68">
        <v>176230000</v>
      </c>
      <c r="JW32" s="68"/>
      <c r="JX32" s="68"/>
      <c r="JY32" s="68">
        <v>5665202</v>
      </c>
      <c r="JZ32" s="68"/>
      <c r="KA32" s="68"/>
      <c r="KB32" s="68">
        <v>6126357683</v>
      </c>
      <c r="KC32" s="68">
        <v>100000000</v>
      </c>
      <c r="KD32" s="68"/>
      <c r="KE32" s="68"/>
      <c r="KF32" s="68">
        <v>305833450</v>
      </c>
      <c r="KG32" s="68">
        <v>100000000</v>
      </c>
      <c r="KH32" s="68">
        <v>588843630</v>
      </c>
      <c r="KI32" s="68"/>
      <c r="KJ32" s="68">
        <v>1214065000</v>
      </c>
      <c r="KK32" s="68">
        <v>4700000000</v>
      </c>
      <c r="KL32" s="68"/>
      <c r="KM32" s="68">
        <v>560356976</v>
      </c>
      <c r="KN32" s="68"/>
      <c r="KO32" s="68">
        <v>110850000</v>
      </c>
      <c r="KP32" s="68">
        <v>91296721</v>
      </c>
      <c r="KQ32" s="68"/>
      <c r="KR32" s="68">
        <v>206666656</v>
      </c>
      <c r="KS32" s="68">
        <v>700540000</v>
      </c>
      <c r="KT32" s="68">
        <v>892060754</v>
      </c>
      <c r="KU32" s="68">
        <v>5206040000</v>
      </c>
      <c r="KV32" s="68">
        <v>30000000</v>
      </c>
      <c r="KW32" s="68"/>
      <c r="KX32" s="68">
        <v>208112000</v>
      </c>
      <c r="KY32" s="68">
        <v>770000000</v>
      </c>
      <c r="KZ32" s="68">
        <v>408624261</v>
      </c>
      <c r="LA32" s="68">
        <v>141000000</v>
      </c>
      <c r="LB32" s="68"/>
      <c r="LC32" s="103"/>
      <c r="LD32" s="103">
        <v>201219450</v>
      </c>
      <c r="LE32" s="103">
        <v>0</v>
      </c>
      <c r="LF32" s="103"/>
      <c r="LG32" s="103">
        <v>90000000</v>
      </c>
      <c r="LH32" s="102" t="s">
        <v>187</v>
      </c>
      <c r="LI32" s="103">
        <v>268472195</v>
      </c>
      <c r="LJ32" s="102" t="s">
        <v>187</v>
      </c>
      <c r="LK32" s="103">
        <v>500000000</v>
      </c>
      <c r="LL32" s="102" t="s">
        <v>187</v>
      </c>
    </row>
    <row r="33" spans="1:324" ht="17.55" customHeight="1">
      <c r="A33" s="67" t="s">
        <v>184</v>
      </c>
      <c r="B33" s="87" t="s">
        <v>45</v>
      </c>
      <c r="C33" s="84"/>
      <c r="D33" s="84"/>
      <c r="E33" s="84">
        <v>25000000</v>
      </c>
      <c r="F33" s="85">
        <v>101000000</v>
      </c>
      <c r="G33" s="84" t="s">
        <v>130</v>
      </c>
      <c r="H33" s="84"/>
      <c r="I33" s="84">
        <v>1022498212</v>
      </c>
      <c r="J33" s="84" t="s">
        <v>4</v>
      </c>
      <c r="K33" s="84"/>
      <c r="L33" s="84" t="s">
        <v>96</v>
      </c>
      <c r="M33" s="84" t="s">
        <v>96</v>
      </c>
      <c r="N33" s="84">
        <v>226280109</v>
      </c>
      <c r="O33" s="84">
        <v>161334414</v>
      </c>
      <c r="P33" s="84">
        <v>1585007180</v>
      </c>
      <c r="Q33" s="84"/>
      <c r="R33" s="84" t="s">
        <v>130</v>
      </c>
      <c r="S33" s="84">
        <v>2077756152</v>
      </c>
      <c r="T33" s="84" t="s">
        <v>96</v>
      </c>
      <c r="U33" s="84" t="s">
        <v>96</v>
      </c>
      <c r="V33" s="84" t="s">
        <v>4</v>
      </c>
      <c r="W33" s="84">
        <v>280000000</v>
      </c>
      <c r="X33" s="84">
        <v>220000000</v>
      </c>
      <c r="Y33" s="84">
        <v>55529245</v>
      </c>
      <c r="Z33" s="84">
        <v>1255700000</v>
      </c>
      <c r="AA33" s="84"/>
      <c r="AB33" s="84"/>
      <c r="AC33" s="84">
        <v>156743304</v>
      </c>
      <c r="AD33" s="84"/>
      <c r="AE33" s="84">
        <v>910000000</v>
      </c>
      <c r="AF33" s="84" t="s">
        <v>96</v>
      </c>
      <c r="AG33" s="84">
        <v>150000000</v>
      </c>
      <c r="AH33" s="84" t="s">
        <v>130</v>
      </c>
      <c r="AI33" s="84">
        <v>326376328</v>
      </c>
      <c r="AJ33" s="84"/>
      <c r="AK33" s="84"/>
      <c r="AL33" s="84"/>
      <c r="AM33" s="84" t="s">
        <v>4</v>
      </c>
      <c r="AN33" s="84"/>
      <c r="AO33" s="84"/>
      <c r="AP33" s="84">
        <v>159227614</v>
      </c>
      <c r="AQ33" s="84" t="s">
        <v>4</v>
      </c>
      <c r="AR33" s="84">
        <v>174924107</v>
      </c>
      <c r="AS33" s="84"/>
      <c r="AT33" s="84" t="s">
        <v>96</v>
      </c>
      <c r="AU33" s="84">
        <v>1179781926</v>
      </c>
      <c r="AV33" s="84"/>
      <c r="AW33" s="84"/>
      <c r="AX33" s="84" t="s">
        <v>4</v>
      </c>
      <c r="AY33" s="84" t="s">
        <v>96</v>
      </c>
      <c r="AZ33" s="84"/>
      <c r="BA33" s="84" t="s">
        <v>130</v>
      </c>
      <c r="BB33" s="84"/>
      <c r="BC33" s="84" t="s">
        <v>4</v>
      </c>
      <c r="BD33" s="84" t="s">
        <v>96</v>
      </c>
      <c r="BE33" s="84"/>
      <c r="BF33" s="84" t="s">
        <v>96</v>
      </c>
      <c r="BG33" s="84">
        <v>14944653</v>
      </c>
      <c r="BH33" s="84">
        <v>1711266</v>
      </c>
      <c r="BI33" s="84"/>
      <c r="BJ33" s="84">
        <v>102113892</v>
      </c>
      <c r="BK33" s="84">
        <v>1512321536</v>
      </c>
      <c r="BL33" s="84"/>
      <c r="BM33" s="84"/>
      <c r="BN33" s="84"/>
      <c r="BO33" s="84" t="s">
        <v>96</v>
      </c>
      <c r="BP33" s="84" t="s">
        <v>96</v>
      </c>
      <c r="BQ33" s="84" t="s">
        <v>4</v>
      </c>
      <c r="BR33" s="84"/>
      <c r="BS33" s="84" t="s">
        <v>4</v>
      </c>
      <c r="BT33" s="84" t="s">
        <v>96</v>
      </c>
      <c r="BU33" s="84">
        <v>680000000</v>
      </c>
      <c r="BV33" s="84"/>
      <c r="BW33" s="84"/>
      <c r="BX33" s="84"/>
      <c r="BY33" s="84">
        <v>8122712</v>
      </c>
      <c r="BZ33" s="84"/>
      <c r="CA33" s="84">
        <v>1000000</v>
      </c>
      <c r="CB33" s="84">
        <v>65000000</v>
      </c>
      <c r="CC33" s="84"/>
      <c r="CD33" s="84"/>
      <c r="CE33" s="84" t="s">
        <v>96</v>
      </c>
      <c r="CF33" s="84" t="s">
        <v>96</v>
      </c>
      <c r="CG33" s="84">
        <v>0</v>
      </c>
      <c r="CH33" s="84">
        <v>0</v>
      </c>
      <c r="CI33" s="84" t="s">
        <v>96</v>
      </c>
      <c r="CJ33" s="84">
        <v>0</v>
      </c>
      <c r="CK33" s="84">
        <v>120000000</v>
      </c>
      <c r="CL33" s="84">
        <v>258071470</v>
      </c>
      <c r="CM33" s="84"/>
      <c r="CN33" s="84"/>
      <c r="CO33" s="84"/>
      <c r="CP33" s="84" t="s">
        <v>96</v>
      </c>
      <c r="CQ33" s="84" t="s">
        <v>96</v>
      </c>
      <c r="CR33" s="84"/>
      <c r="CS33" s="84" t="s">
        <v>96</v>
      </c>
      <c r="CT33" s="84">
        <v>942571203</v>
      </c>
      <c r="CU33" s="84">
        <v>99656136</v>
      </c>
      <c r="CV33" s="84">
        <v>20583749</v>
      </c>
      <c r="CW33" s="84" t="s">
        <v>96</v>
      </c>
      <c r="CX33" s="84">
        <v>221907443</v>
      </c>
      <c r="CY33" s="84" t="s">
        <v>96</v>
      </c>
      <c r="CZ33" s="84">
        <v>170000000</v>
      </c>
      <c r="DA33" s="84" t="s">
        <v>96</v>
      </c>
      <c r="DB33" s="84"/>
      <c r="DC33" s="84">
        <v>2000000</v>
      </c>
      <c r="DD33" s="84" t="s">
        <v>96</v>
      </c>
      <c r="DE33" s="84"/>
      <c r="DF33" s="84"/>
      <c r="DG33" s="84">
        <v>110000000</v>
      </c>
      <c r="DH33" s="84"/>
      <c r="DI33" s="84">
        <v>112000000</v>
      </c>
      <c r="DJ33" s="84"/>
      <c r="DK33" s="84" t="s">
        <v>96</v>
      </c>
      <c r="DL33" s="84"/>
      <c r="DM33" s="84"/>
      <c r="DN33" s="84">
        <v>20000000</v>
      </c>
      <c r="DO33" s="84"/>
      <c r="DP33" s="86"/>
      <c r="DQ33" s="84"/>
      <c r="DR33" s="84">
        <v>865780000</v>
      </c>
      <c r="DS33" s="84"/>
      <c r="DT33" s="84"/>
      <c r="DU33" s="84"/>
      <c r="DV33" s="84">
        <v>54866852</v>
      </c>
      <c r="DW33" s="84"/>
      <c r="DX33" s="84"/>
      <c r="DY33" s="84"/>
      <c r="DZ33" s="84"/>
      <c r="EA33" s="84"/>
      <c r="EB33" s="84">
        <v>364935966</v>
      </c>
      <c r="EC33" s="84"/>
      <c r="ED33" s="84"/>
      <c r="EE33" s="84"/>
      <c r="EF33" s="84">
        <v>50000000</v>
      </c>
      <c r="EG33" s="96">
        <v>911685121</v>
      </c>
      <c r="EH33" s="99">
        <v>35000000</v>
      </c>
      <c r="EI33" s="97"/>
      <c r="EJ33" s="84">
        <v>127129556</v>
      </c>
      <c r="EK33" s="84">
        <v>27002500</v>
      </c>
      <c r="EL33" s="84"/>
      <c r="EM33" s="84"/>
      <c r="EN33" s="84"/>
      <c r="EO33" s="84"/>
      <c r="EP33" s="84"/>
      <c r="EQ33" s="84"/>
      <c r="ER33" s="84"/>
      <c r="ES33" s="84"/>
      <c r="ET33" s="84">
        <v>384005950</v>
      </c>
      <c r="EU33" s="84">
        <v>20239932</v>
      </c>
      <c r="EV33" s="84"/>
      <c r="EW33" s="84"/>
      <c r="EX33" s="84"/>
      <c r="EY33" s="84">
        <v>70000000</v>
      </c>
      <c r="EZ33" s="84">
        <v>142618860</v>
      </c>
      <c r="FA33" s="84">
        <v>1230000000</v>
      </c>
      <c r="FB33" s="86"/>
      <c r="FC33" s="84">
        <v>144000000</v>
      </c>
      <c r="FD33" s="84">
        <v>0</v>
      </c>
      <c r="FE33" s="84">
        <v>-158907690</v>
      </c>
      <c r="FF33" s="84"/>
      <c r="FG33" s="84" t="s">
        <v>96</v>
      </c>
      <c r="FH33" s="84"/>
      <c r="FI33" s="84" t="s">
        <v>96</v>
      </c>
      <c r="FJ33" s="84"/>
      <c r="FK33" s="84">
        <v>1269187179</v>
      </c>
      <c r="FL33" s="84">
        <v>107309694</v>
      </c>
      <c r="FM33" s="84" t="s">
        <v>130</v>
      </c>
      <c r="FN33" s="84">
        <v>218704809</v>
      </c>
      <c r="FO33" s="84" t="s">
        <v>96</v>
      </c>
      <c r="FP33" s="84" t="s">
        <v>96</v>
      </c>
      <c r="FQ33" s="84"/>
      <c r="FR33" s="84"/>
      <c r="FS33" s="84"/>
      <c r="FT33" s="84">
        <v>102843714</v>
      </c>
      <c r="FU33" s="84"/>
      <c r="FV33" s="84" t="s">
        <v>96</v>
      </c>
      <c r="FW33" s="84"/>
      <c r="FX33" s="84"/>
      <c r="FY33" s="84" t="s">
        <v>96</v>
      </c>
      <c r="FZ33" s="84" t="s">
        <v>4</v>
      </c>
      <c r="GA33" s="84">
        <v>10506157</v>
      </c>
      <c r="GB33" s="84"/>
      <c r="GC33" s="84"/>
      <c r="GD33" s="84" t="s">
        <v>96</v>
      </c>
      <c r="GE33" s="84" t="s">
        <v>4</v>
      </c>
      <c r="GF33" s="84">
        <v>0</v>
      </c>
      <c r="GG33" s="84"/>
      <c r="GH33" s="84" t="s">
        <v>4</v>
      </c>
      <c r="GI33" s="84"/>
      <c r="GJ33" s="84" t="s">
        <v>96</v>
      </c>
      <c r="GK33" s="84"/>
      <c r="GL33" s="84" t="s">
        <v>96</v>
      </c>
      <c r="GM33" s="84">
        <v>36737060</v>
      </c>
      <c r="GN33" s="84"/>
      <c r="GO33" s="84" t="s">
        <v>96</v>
      </c>
      <c r="GP33" s="84">
        <v>0</v>
      </c>
      <c r="GQ33" s="84"/>
      <c r="GR33" s="84"/>
      <c r="GS33" s="84">
        <v>79478780</v>
      </c>
      <c r="GT33" s="84" t="s">
        <v>130</v>
      </c>
      <c r="GU33" s="84"/>
      <c r="GV33" s="84"/>
      <c r="GW33" s="84">
        <v>1478054711</v>
      </c>
      <c r="GX33" s="84"/>
      <c r="GY33" s="84">
        <v>82447391</v>
      </c>
      <c r="GZ33" s="84">
        <v>158000000</v>
      </c>
      <c r="HA33" s="84" t="s">
        <v>96</v>
      </c>
      <c r="HB33" s="84"/>
      <c r="HC33" s="84" t="s">
        <v>130</v>
      </c>
      <c r="HD33" s="84"/>
      <c r="HE33" s="84" t="s">
        <v>96</v>
      </c>
      <c r="HF33" s="84">
        <v>30000000</v>
      </c>
      <c r="HG33" s="84">
        <v>42257085</v>
      </c>
      <c r="HH33" s="84" t="s">
        <v>96</v>
      </c>
      <c r="HI33" s="84">
        <v>224683061</v>
      </c>
      <c r="HJ33" s="84" t="s">
        <v>96</v>
      </c>
      <c r="HK33" s="84"/>
      <c r="HL33" s="84"/>
      <c r="HM33" s="84">
        <v>8000000</v>
      </c>
      <c r="HN33" s="84"/>
      <c r="HO33" s="84"/>
      <c r="HP33" s="84"/>
      <c r="HQ33" s="84"/>
      <c r="HR33" s="84"/>
      <c r="HS33" s="84"/>
      <c r="HT33" s="84"/>
      <c r="HU33" s="84" t="s">
        <v>130</v>
      </c>
      <c r="HV33" s="84"/>
      <c r="HW33" s="84" t="s">
        <v>96</v>
      </c>
      <c r="HX33" s="84">
        <v>35000000</v>
      </c>
      <c r="HY33" s="84" t="s">
        <v>114</v>
      </c>
      <c r="HZ33" s="84">
        <v>103000000</v>
      </c>
      <c r="IA33" s="84">
        <v>6222214</v>
      </c>
      <c r="IB33" s="84">
        <v>1185237622</v>
      </c>
      <c r="IC33" s="84"/>
      <c r="ID33" s="84"/>
      <c r="IE33" s="84" t="s">
        <v>96</v>
      </c>
      <c r="IF33" s="84"/>
      <c r="IG33" s="84"/>
      <c r="IH33" s="84"/>
      <c r="II33" s="84"/>
      <c r="IJ33" s="84"/>
      <c r="IK33" s="84"/>
      <c r="IL33" s="84"/>
      <c r="IM33" s="84"/>
      <c r="IN33" s="84"/>
      <c r="IO33" s="84"/>
      <c r="IP33" s="84"/>
      <c r="IQ33" s="84">
        <v>151100000</v>
      </c>
      <c r="IR33" s="84"/>
      <c r="IS33" s="84"/>
      <c r="IT33" s="84"/>
      <c r="IU33" s="84">
        <v>319700000</v>
      </c>
      <c r="IV33" s="84"/>
      <c r="IW33" s="84">
        <v>150000000</v>
      </c>
      <c r="IX33" s="84">
        <v>40000000</v>
      </c>
      <c r="IY33" s="68">
        <v>0</v>
      </c>
      <c r="IZ33" s="68"/>
      <c r="JA33" s="68">
        <v>192230569</v>
      </c>
      <c r="JB33" s="68"/>
      <c r="JC33" s="68"/>
      <c r="JD33" s="68"/>
      <c r="JE33" s="68"/>
      <c r="JF33" s="68"/>
      <c r="JG33" s="68"/>
      <c r="JH33" s="68"/>
      <c r="JI33" s="68"/>
      <c r="JJ33" s="68"/>
      <c r="JK33" s="68"/>
      <c r="JL33" s="68">
        <v>60000000</v>
      </c>
      <c r="JM33" s="68"/>
      <c r="JN33" s="68"/>
      <c r="JO33" s="68"/>
      <c r="JP33" s="68"/>
      <c r="JQ33" s="68" t="s">
        <v>4</v>
      </c>
      <c r="JR33" s="68"/>
      <c r="JS33" s="68"/>
      <c r="JT33" s="68"/>
      <c r="JU33" s="68"/>
      <c r="JV33" s="68">
        <v>0</v>
      </c>
      <c r="JW33" s="68">
        <v>0</v>
      </c>
      <c r="JX33" s="68"/>
      <c r="JY33" s="68"/>
      <c r="JZ33" s="68"/>
      <c r="KA33" s="68"/>
      <c r="KB33" s="68"/>
      <c r="KC33" s="68"/>
      <c r="KD33" s="68"/>
      <c r="KE33" s="68"/>
      <c r="KF33" s="68">
        <v>513477793</v>
      </c>
      <c r="KG33" s="68"/>
      <c r="KH33" s="68"/>
      <c r="KI33" s="68"/>
      <c r="KJ33" s="68"/>
      <c r="KK33" s="68">
        <v>77473064</v>
      </c>
      <c r="KL33" s="68">
        <v>8434148454</v>
      </c>
      <c r="KM33" s="68"/>
      <c r="KN33" s="68">
        <v>437186933</v>
      </c>
      <c r="KO33" s="68">
        <v>45596356</v>
      </c>
      <c r="KP33" s="68"/>
      <c r="KQ33" s="68"/>
      <c r="KR33" s="68"/>
      <c r="KS33" s="68"/>
      <c r="KT33" s="68"/>
      <c r="KU33" s="68"/>
      <c r="KV33" s="68"/>
      <c r="KW33" s="68"/>
      <c r="KX33" s="68"/>
      <c r="KY33" s="68"/>
      <c r="KZ33" s="68"/>
      <c r="LA33" s="68"/>
      <c r="LB33" s="68">
        <v>3674260</v>
      </c>
      <c r="LC33" s="103"/>
      <c r="LD33" s="103"/>
      <c r="LE33" s="103">
        <v>82383608</v>
      </c>
      <c r="LF33" s="103"/>
      <c r="LG33" s="103"/>
      <c r="LH33" s="102" t="s">
        <v>187</v>
      </c>
      <c r="LI33" s="103"/>
      <c r="LJ33" s="102" t="s">
        <v>187</v>
      </c>
      <c r="LK33" s="103"/>
      <c r="LL33" s="102" t="s">
        <v>187</v>
      </c>
    </row>
    <row r="34" spans="1:324" ht="17.55" customHeight="1">
      <c r="A34" s="67" t="s">
        <v>184</v>
      </c>
      <c r="B34" s="91" t="s">
        <v>110</v>
      </c>
      <c r="C34" s="84">
        <v>347974900</v>
      </c>
      <c r="D34" s="84">
        <v>3806554587</v>
      </c>
      <c r="E34" s="84">
        <v>675650332</v>
      </c>
      <c r="F34" s="85">
        <v>1692131753</v>
      </c>
      <c r="G34" s="84" t="s">
        <v>130</v>
      </c>
      <c r="H34" s="84">
        <v>675351525</v>
      </c>
      <c r="I34" s="84">
        <v>-2606102257</v>
      </c>
      <c r="J34" s="84" t="s">
        <v>4</v>
      </c>
      <c r="K34" s="84">
        <v>858643723</v>
      </c>
      <c r="L34" s="84" t="s">
        <v>96</v>
      </c>
      <c r="M34" s="84" t="s">
        <v>96</v>
      </c>
      <c r="N34" s="84">
        <v>-132222192</v>
      </c>
      <c r="O34" s="84">
        <v>1649532426</v>
      </c>
      <c r="P34" s="84">
        <v>1281550932</v>
      </c>
      <c r="Q34" s="84">
        <v>68687732</v>
      </c>
      <c r="R34" s="84" t="s">
        <v>130</v>
      </c>
      <c r="S34" s="84">
        <v>3304024657</v>
      </c>
      <c r="T34" s="84" t="s">
        <v>96</v>
      </c>
      <c r="U34" s="84" t="s">
        <v>96</v>
      </c>
      <c r="V34" s="84" t="s">
        <v>4</v>
      </c>
      <c r="W34" s="84">
        <v>-531815648</v>
      </c>
      <c r="X34" s="84">
        <v>4408096475</v>
      </c>
      <c r="Y34" s="84">
        <v>10847267</v>
      </c>
      <c r="Z34" s="84">
        <v>534225237</v>
      </c>
      <c r="AA34" s="84">
        <v>2504960275</v>
      </c>
      <c r="AB34" s="84">
        <v>125602870</v>
      </c>
      <c r="AC34" s="84">
        <v>1713036174</v>
      </c>
      <c r="AD34" s="84">
        <v>1537704950</v>
      </c>
      <c r="AE34" s="84">
        <v>504179853</v>
      </c>
      <c r="AF34" s="84" t="s">
        <v>96</v>
      </c>
      <c r="AG34" s="84">
        <v>-1337454343</v>
      </c>
      <c r="AH34" s="84" t="s">
        <v>130</v>
      </c>
      <c r="AI34" s="84">
        <v>-579104891</v>
      </c>
      <c r="AJ34" s="84">
        <v>570061797</v>
      </c>
      <c r="AK34" s="84">
        <v>1449469849</v>
      </c>
      <c r="AL34" s="84">
        <v>145279345</v>
      </c>
      <c r="AM34" s="84" t="s">
        <v>4</v>
      </c>
      <c r="AN34" s="84">
        <v>514236190</v>
      </c>
      <c r="AO34" s="84">
        <v>-246830317</v>
      </c>
      <c r="AP34" s="84">
        <v>369908833</v>
      </c>
      <c r="AQ34" s="84" t="s">
        <v>4</v>
      </c>
      <c r="AR34" s="84">
        <v>919764819</v>
      </c>
      <c r="AS34" s="84">
        <v>414983687</v>
      </c>
      <c r="AT34" s="84" t="s">
        <v>96</v>
      </c>
      <c r="AU34" s="84">
        <v>1874945379</v>
      </c>
      <c r="AV34" s="84">
        <v>707567504</v>
      </c>
      <c r="AW34" s="84">
        <v>190699988</v>
      </c>
      <c r="AX34" s="84" t="s">
        <v>4</v>
      </c>
      <c r="AY34" s="84" t="s">
        <v>96</v>
      </c>
      <c r="AZ34" s="84">
        <v>512443126</v>
      </c>
      <c r="BA34" s="84" t="s">
        <v>130</v>
      </c>
      <c r="BB34" s="84">
        <v>-43756662</v>
      </c>
      <c r="BC34" s="84" t="s">
        <v>4</v>
      </c>
      <c r="BD34" s="84" t="s">
        <v>96</v>
      </c>
      <c r="BE34" s="84">
        <v>681896121</v>
      </c>
      <c r="BF34" s="84" t="s">
        <v>96</v>
      </c>
      <c r="BG34" s="84">
        <v>-28560434</v>
      </c>
      <c r="BH34" s="84">
        <v>100880801</v>
      </c>
      <c r="BI34" s="84">
        <v>623585353</v>
      </c>
      <c r="BJ34" s="84">
        <v>75434410</v>
      </c>
      <c r="BK34" s="84">
        <v>540938025</v>
      </c>
      <c r="BL34" s="84">
        <v>843526719</v>
      </c>
      <c r="BM34" s="84">
        <v>601198629</v>
      </c>
      <c r="BN34" s="84">
        <v>83331198</v>
      </c>
      <c r="BO34" s="84" t="s">
        <v>96</v>
      </c>
      <c r="BP34" s="84" t="s">
        <v>96</v>
      </c>
      <c r="BQ34" s="84" t="s">
        <v>4</v>
      </c>
      <c r="BR34" s="84">
        <v>5566058959</v>
      </c>
      <c r="BS34" s="84" t="s">
        <v>4</v>
      </c>
      <c r="BT34" s="84" t="s">
        <v>96</v>
      </c>
      <c r="BU34" s="84">
        <v>1500000</v>
      </c>
      <c r="BV34" s="84">
        <v>241026603</v>
      </c>
      <c r="BW34" s="84">
        <v>4042336</v>
      </c>
      <c r="BX34" s="84">
        <v>15048001</v>
      </c>
      <c r="BY34" s="84">
        <v>-23029233</v>
      </c>
      <c r="BZ34" s="84">
        <v>3253225403</v>
      </c>
      <c r="CA34" s="84">
        <v>1296891485</v>
      </c>
      <c r="CB34" s="84">
        <v>110314873</v>
      </c>
      <c r="CC34" s="84">
        <v>-39029279</v>
      </c>
      <c r="CD34" s="84">
        <v>544278269</v>
      </c>
      <c r="CE34" s="84" t="s">
        <v>96</v>
      </c>
      <c r="CF34" s="84" t="s">
        <v>96</v>
      </c>
      <c r="CG34" s="84">
        <v>198112506</v>
      </c>
      <c r="CH34" s="84">
        <v>469237728</v>
      </c>
      <c r="CI34" s="84" t="s">
        <v>96</v>
      </c>
      <c r="CJ34" s="84">
        <v>79465424</v>
      </c>
      <c r="CK34" s="84">
        <v>153855602</v>
      </c>
      <c r="CL34" s="84">
        <v>9654669</v>
      </c>
      <c r="CM34" s="84">
        <v>2187870260</v>
      </c>
      <c r="CN34" s="84">
        <v>-49174825</v>
      </c>
      <c r="CO34" s="84">
        <v>100392112</v>
      </c>
      <c r="CP34" s="84" t="s">
        <v>96</v>
      </c>
      <c r="CQ34" s="84" t="s">
        <v>96</v>
      </c>
      <c r="CR34" s="84">
        <v>659148443</v>
      </c>
      <c r="CS34" s="84" t="s">
        <v>96</v>
      </c>
      <c r="CT34" s="84">
        <v>2285042610</v>
      </c>
      <c r="CU34" s="84">
        <v>570688577</v>
      </c>
      <c r="CV34" s="84">
        <v>-279758254</v>
      </c>
      <c r="CW34" s="84" t="s">
        <v>96</v>
      </c>
      <c r="CX34" s="84">
        <v>185634733</v>
      </c>
      <c r="CY34" s="84" t="s">
        <v>96</v>
      </c>
      <c r="CZ34" s="84">
        <v>1925769444</v>
      </c>
      <c r="DA34" s="84" t="s">
        <v>96</v>
      </c>
      <c r="DB34" s="84">
        <v>580331722</v>
      </c>
      <c r="DC34" s="84">
        <v>-42588311</v>
      </c>
      <c r="DD34" s="84" t="s">
        <v>96</v>
      </c>
      <c r="DE34" s="84">
        <v>1089750639</v>
      </c>
      <c r="DF34" s="84">
        <v>-12805684</v>
      </c>
      <c r="DG34" s="84">
        <v>79452907</v>
      </c>
      <c r="DH34" s="84">
        <v>548685676</v>
      </c>
      <c r="DI34" s="84">
        <v>1520385979</v>
      </c>
      <c r="DJ34" s="84">
        <v>234934461</v>
      </c>
      <c r="DK34" s="84" t="s">
        <v>96</v>
      </c>
      <c r="DL34" s="84">
        <v>253200080</v>
      </c>
      <c r="DM34" s="84">
        <v>-97890164</v>
      </c>
      <c r="DN34" s="84">
        <v>-667925043</v>
      </c>
      <c r="DO34" s="84">
        <v>-465870</v>
      </c>
      <c r="DP34" s="86">
        <v>817302673</v>
      </c>
      <c r="DQ34" s="84">
        <v>119223609</v>
      </c>
      <c r="DR34" s="84">
        <v>532380439</v>
      </c>
      <c r="DS34" s="84">
        <v>7064346</v>
      </c>
      <c r="DT34" s="84">
        <v>1589244516</v>
      </c>
      <c r="DU34" s="84">
        <v>58757852</v>
      </c>
      <c r="DV34" s="84">
        <v>3127000877</v>
      </c>
      <c r="DW34" s="84">
        <v>1023699014</v>
      </c>
      <c r="DX34" s="84">
        <v>8713079204</v>
      </c>
      <c r="DY34" s="84">
        <v>341583623</v>
      </c>
      <c r="DZ34" s="84">
        <v>797738246</v>
      </c>
      <c r="EA34" s="84">
        <v>75117531</v>
      </c>
      <c r="EB34" s="84">
        <v>2430104597</v>
      </c>
      <c r="EC34" s="84">
        <v>5766978</v>
      </c>
      <c r="ED34" s="84">
        <v>272501123</v>
      </c>
      <c r="EE34" s="84">
        <v>1009155413</v>
      </c>
      <c r="EF34" s="84">
        <v>1742880123</v>
      </c>
      <c r="EG34" s="96">
        <v>12931615698</v>
      </c>
      <c r="EH34" s="99">
        <v>95724950</v>
      </c>
      <c r="EI34" s="97">
        <v>5202093465</v>
      </c>
      <c r="EJ34" s="84">
        <v>173774363</v>
      </c>
      <c r="EK34" s="84">
        <v>563824294</v>
      </c>
      <c r="EL34" s="84">
        <v>1764513974</v>
      </c>
      <c r="EM34" s="84">
        <v>936995815</v>
      </c>
      <c r="EN34" s="84">
        <v>3263951083</v>
      </c>
      <c r="EO34" s="84">
        <v>32905234</v>
      </c>
      <c r="EP34" s="84">
        <v>655581268</v>
      </c>
      <c r="EQ34" s="84">
        <v>2759026445</v>
      </c>
      <c r="ER34" s="84">
        <v>733929125</v>
      </c>
      <c r="ES34" s="84">
        <v>1124062179</v>
      </c>
      <c r="ET34" s="84">
        <v>14202391147</v>
      </c>
      <c r="EU34" s="84">
        <v>3566719353</v>
      </c>
      <c r="EV34" s="84">
        <v>87526963</v>
      </c>
      <c r="EW34" s="84">
        <v>57767991</v>
      </c>
      <c r="EX34" s="84">
        <v>1172172520</v>
      </c>
      <c r="EY34" s="84">
        <v>2331420905</v>
      </c>
      <c r="EZ34" s="84">
        <v>312501990</v>
      </c>
      <c r="FA34" s="84">
        <v>897550288</v>
      </c>
      <c r="FB34" s="86">
        <v>-16023311</v>
      </c>
      <c r="FC34" s="84">
        <v>223781078</v>
      </c>
      <c r="FD34" s="84">
        <v>-300440164</v>
      </c>
      <c r="FE34" s="84">
        <v>3329927178</v>
      </c>
      <c r="FF34" s="84">
        <v>71481524</v>
      </c>
      <c r="FG34" s="84" t="s">
        <v>96</v>
      </c>
      <c r="FH34" s="84">
        <v>867819576</v>
      </c>
      <c r="FI34" s="84" t="s">
        <v>96</v>
      </c>
      <c r="FJ34" s="84">
        <v>308967876</v>
      </c>
      <c r="FK34" s="84">
        <v>278379098</v>
      </c>
      <c r="FL34" s="84">
        <v>-163150252</v>
      </c>
      <c r="FM34" s="84" t="s">
        <v>130</v>
      </c>
      <c r="FN34" s="84">
        <v>24378409031</v>
      </c>
      <c r="FO34" s="84" t="s">
        <v>96</v>
      </c>
      <c r="FP34" s="84" t="s">
        <v>96</v>
      </c>
      <c r="FQ34" s="84">
        <v>-36849759</v>
      </c>
      <c r="FR34" s="84">
        <v>432940747</v>
      </c>
      <c r="FS34" s="84">
        <v>-976082894</v>
      </c>
      <c r="FT34" s="84">
        <v>11489661090</v>
      </c>
      <c r="FU34" s="84">
        <v>-24108374</v>
      </c>
      <c r="FV34" s="84" t="s">
        <v>96</v>
      </c>
      <c r="FW34" s="84">
        <v>-69051356</v>
      </c>
      <c r="FX34" s="84">
        <v>-410704871</v>
      </c>
      <c r="FY34" s="84" t="s">
        <v>96</v>
      </c>
      <c r="FZ34" s="84" t="s">
        <v>4</v>
      </c>
      <c r="GA34" s="84">
        <v>721631775</v>
      </c>
      <c r="GB34" s="84">
        <v>-13386668</v>
      </c>
      <c r="GC34" s="84">
        <v>237404910</v>
      </c>
      <c r="GD34" s="84" t="s">
        <v>96</v>
      </c>
      <c r="GE34" s="84" t="s">
        <v>4</v>
      </c>
      <c r="GF34" s="84">
        <v>18214735</v>
      </c>
      <c r="GG34" s="84">
        <v>1120387480</v>
      </c>
      <c r="GH34" s="84" t="s">
        <v>4</v>
      </c>
      <c r="GI34" s="84">
        <v>50565798</v>
      </c>
      <c r="GJ34" s="84" t="s">
        <v>96</v>
      </c>
      <c r="GK34" s="84">
        <v>109754004</v>
      </c>
      <c r="GL34" s="84" t="s">
        <v>96</v>
      </c>
      <c r="GM34" s="84">
        <v>102507196</v>
      </c>
      <c r="GN34" s="84">
        <v>-443810574</v>
      </c>
      <c r="GO34" s="84" t="s">
        <v>96</v>
      </c>
      <c r="GP34" s="84">
        <v>3512635287</v>
      </c>
      <c r="GQ34" s="84">
        <v>650793001</v>
      </c>
      <c r="GR34" s="84">
        <v>1739018927</v>
      </c>
      <c r="GS34" s="84">
        <v>170924120</v>
      </c>
      <c r="GT34" s="84" t="s">
        <v>130</v>
      </c>
      <c r="GU34" s="84">
        <v>72228657</v>
      </c>
      <c r="GV34" s="84">
        <v>2264077565</v>
      </c>
      <c r="GW34" s="84">
        <v>18580997581</v>
      </c>
      <c r="GX34" s="84">
        <v>457266794</v>
      </c>
      <c r="GY34" s="84">
        <v>179334172</v>
      </c>
      <c r="GZ34" s="84">
        <v>357269964</v>
      </c>
      <c r="HA34" s="84" t="s">
        <v>96</v>
      </c>
      <c r="HB34" s="84">
        <v>1292927648</v>
      </c>
      <c r="HC34" s="84" t="s">
        <v>130</v>
      </c>
      <c r="HD34" s="84">
        <v>607882874</v>
      </c>
      <c r="HE34" s="84" t="s">
        <v>96</v>
      </c>
      <c r="HF34" s="84">
        <v>1080844958</v>
      </c>
      <c r="HG34" s="84">
        <v>711291689</v>
      </c>
      <c r="HH34" s="84" t="s">
        <v>96</v>
      </c>
      <c r="HI34" s="84">
        <v>1707635825</v>
      </c>
      <c r="HJ34" s="84" t="s">
        <v>96</v>
      </c>
      <c r="HK34" s="84">
        <v>1408049299</v>
      </c>
      <c r="HL34" s="84">
        <v>2375947573</v>
      </c>
      <c r="HM34" s="84">
        <v>30419780</v>
      </c>
      <c r="HN34" s="84">
        <v>690858028</v>
      </c>
      <c r="HO34" s="84">
        <v>1047623043</v>
      </c>
      <c r="HP34" s="84">
        <v>614427809</v>
      </c>
      <c r="HQ34" s="84">
        <v>285037716</v>
      </c>
      <c r="HR34" s="84">
        <v>367580869</v>
      </c>
      <c r="HS34" s="84">
        <v>483968972</v>
      </c>
      <c r="HT34" s="84">
        <v>166022729</v>
      </c>
      <c r="HU34" s="84" t="s">
        <v>130</v>
      </c>
      <c r="HV34" s="84">
        <v>15173636</v>
      </c>
      <c r="HW34" s="84" t="s">
        <v>96</v>
      </c>
      <c r="HX34" s="84">
        <v>1713024742</v>
      </c>
      <c r="HY34" s="84" t="s">
        <v>114</v>
      </c>
      <c r="HZ34" s="84">
        <v>8373876227</v>
      </c>
      <c r="IA34" s="84">
        <v>725599235</v>
      </c>
      <c r="IB34" s="84">
        <v>2065167067</v>
      </c>
      <c r="IC34" s="84">
        <v>911578766</v>
      </c>
      <c r="ID34" s="84">
        <v>-14122685</v>
      </c>
      <c r="IE34" s="84" t="s">
        <v>96</v>
      </c>
      <c r="IF34" s="84">
        <v>5049395</v>
      </c>
      <c r="IG34" s="84">
        <v>37148863</v>
      </c>
      <c r="IH34" s="84">
        <v>506833616</v>
      </c>
      <c r="II34" s="84">
        <v>192016170</v>
      </c>
      <c r="IJ34" s="84">
        <v>152713508</v>
      </c>
      <c r="IK34" s="84">
        <v>136099307</v>
      </c>
      <c r="IL34" s="84">
        <v>248682705</v>
      </c>
      <c r="IM34" s="84">
        <v>458851306</v>
      </c>
      <c r="IN34" s="84">
        <v>1816081327</v>
      </c>
      <c r="IO34" s="84">
        <v>-466981009</v>
      </c>
      <c r="IP34" s="84">
        <v>182004216</v>
      </c>
      <c r="IQ34" s="84">
        <v>305303284</v>
      </c>
      <c r="IR34" s="84">
        <v>967420166</v>
      </c>
      <c r="IS34" s="84">
        <v>7443675457</v>
      </c>
      <c r="IT34" s="84">
        <v>468853827</v>
      </c>
      <c r="IU34" s="84">
        <v>1821485772</v>
      </c>
      <c r="IV34" s="84">
        <v>301398563</v>
      </c>
      <c r="IW34" s="84">
        <v>-200435789</v>
      </c>
      <c r="IX34" s="84">
        <v>169716966</v>
      </c>
      <c r="IY34" s="68">
        <v>2495433523</v>
      </c>
      <c r="IZ34" s="68">
        <v>239270360</v>
      </c>
      <c r="JA34" s="68">
        <v>1964339214</v>
      </c>
      <c r="JB34" s="68">
        <v>149186241</v>
      </c>
      <c r="JC34" s="68">
        <v>164853185</v>
      </c>
      <c r="JD34" s="68">
        <v>814806669</v>
      </c>
      <c r="JE34" s="68">
        <v>231661482</v>
      </c>
      <c r="JF34" s="68">
        <v>495729944</v>
      </c>
      <c r="JG34" s="68">
        <v>-37234361</v>
      </c>
      <c r="JH34" s="68">
        <v>10065672</v>
      </c>
      <c r="JI34" s="68">
        <v>43797827</v>
      </c>
      <c r="JJ34" s="68">
        <v>145961192</v>
      </c>
      <c r="JK34" s="68">
        <v>-18331810</v>
      </c>
      <c r="JL34" s="68">
        <v>1543741727</v>
      </c>
      <c r="JM34" s="68">
        <v>215635065</v>
      </c>
      <c r="JN34" s="68">
        <v>1974747203</v>
      </c>
      <c r="JO34" s="68">
        <v>-91827321</v>
      </c>
      <c r="JP34" s="68">
        <v>147775840</v>
      </c>
      <c r="JQ34" s="68" t="s">
        <v>4</v>
      </c>
      <c r="JR34" s="68">
        <v>457337046</v>
      </c>
      <c r="JS34" s="68">
        <v>-258679818</v>
      </c>
      <c r="JT34" s="68">
        <v>-290566670</v>
      </c>
      <c r="JU34" s="68">
        <v>199809535</v>
      </c>
      <c r="JV34" s="68">
        <v>330954710</v>
      </c>
      <c r="JW34" s="68">
        <v>213465030</v>
      </c>
      <c r="JX34" s="68">
        <v>2084797713</v>
      </c>
      <c r="JY34" s="68">
        <v>1018614713</v>
      </c>
      <c r="JZ34" s="68">
        <v>-31435153</v>
      </c>
      <c r="KA34" s="68">
        <v>390624123</v>
      </c>
      <c r="KB34" s="68">
        <v>3093207905</v>
      </c>
      <c r="KC34" s="68">
        <v>275108745</v>
      </c>
      <c r="KD34" s="68">
        <v>131796965</v>
      </c>
      <c r="KE34" s="68">
        <v>-66417479</v>
      </c>
      <c r="KF34" s="68">
        <v>-281978455</v>
      </c>
      <c r="KG34" s="68">
        <v>163453053</v>
      </c>
      <c r="KH34" s="68">
        <v>402746898</v>
      </c>
      <c r="KI34" s="68">
        <v>381944144</v>
      </c>
      <c r="KJ34" s="68">
        <v>666709567</v>
      </c>
      <c r="KK34" s="68">
        <v>3705046728</v>
      </c>
      <c r="KL34" s="68">
        <v>42988949230</v>
      </c>
      <c r="KM34" s="68">
        <v>-200236025</v>
      </c>
      <c r="KN34" s="68">
        <v>20950592876</v>
      </c>
      <c r="KO34" s="68">
        <v>-851477247</v>
      </c>
      <c r="KP34" s="68">
        <v>239001692</v>
      </c>
      <c r="KQ34" s="68">
        <v>8436330</v>
      </c>
      <c r="KR34" s="68">
        <v>49572648</v>
      </c>
      <c r="KS34" s="68">
        <v>306705532</v>
      </c>
      <c r="KT34" s="68">
        <v>-3892478</v>
      </c>
      <c r="KU34" s="68">
        <v>2329343485</v>
      </c>
      <c r="KV34" s="68">
        <v>63601833</v>
      </c>
      <c r="KW34" s="68">
        <v>373888031</v>
      </c>
      <c r="KX34" s="68">
        <v>84931440</v>
      </c>
      <c r="KY34" s="68">
        <v>443312911</v>
      </c>
      <c r="KZ34" s="68">
        <v>671416680</v>
      </c>
      <c r="LA34" s="68">
        <v>503360308</v>
      </c>
      <c r="LB34" s="68">
        <v>29114635</v>
      </c>
      <c r="LC34" s="104">
        <v>634959001</v>
      </c>
      <c r="LD34" s="104">
        <v>-34385629</v>
      </c>
      <c r="LE34" s="104">
        <v>1165131779</v>
      </c>
      <c r="LF34" s="104">
        <v>173711776</v>
      </c>
      <c r="LG34" s="104">
        <v>47050088</v>
      </c>
      <c r="LH34" s="102" t="s">
        <v>187</v>
      </c>
      <c r="LI34" s="104">
        <v>80662894</v>
      </c>
      <c r="LJ34" s="102" t="s">
        <v>187</v>
      </c>
      <c r="LK34" s="104">
        <v>811608482</v>
      </c>
      <c r="LL34" s="102" t="s">
        <v>187</v>
      </c>
    </row>
    <row r="35" spans="1:324" ht="17.55" customHeight="1">
      <c r="A35" s="67" t="s">
        <v>184</v>
      </c>
      <c r="B35" s="91" t="s">
        <v>81</v>
      </c>
      <c r="C35" s="84">
        <v>150000000</v>
      </c>
      <c r="D35" s="84">
        <v>688602600</v>
      </c>
      <c r="E35" s="84">
        <v>117000000</v>
      </c>
      <c r="F35" s="85">
        <v>200000000</v>
      </c>
      <c r="G35" s="84" t="s">
        <v>130</v>
      </c>
      <c r="H35" s="84">
        <v>433992363</v>
      </c>
      <c r="I35" s="84">
        <v>745970000</v>
      </c>
      <c r="J35" s="84" t="s">
        <v>4</v>
      </c>
      <c r="K35" s="84">
        <v>763431000</v>
      </c>
      <c r="L35" s="84" t="s">
        <v>96</v>
      </c>
      <c r="M35" s="84" t="s">
        <v>96</v>
      </c>
      <c r="N35" s="84">
        <v>50000000</v>
      </c>
      <c r="O35" s="84">
        <v>1837640116</v>
      </c>
      <c r="P35" s="84">
        <v>1973484080</v>
      </c>
      <c r="Q35" s="84">
        <v>10000000</v>
      </c>
      <c r="R35" s="84" t="s">
        <v>130</v>
      </c>
      <c r="S35" s="84">
        <v>538889000</v>
      </c>
      <c r="T35" s="84" t="s">
        <v>96</v>
      </c>
      <c r="U35" s="84" t="s">
        <v>96</v>
      </c>
      <c r="V35" s="84" t="s">
        <v>4</v>
      </c>
      <c r="W35" s="84">
        <v>216190000</v>
      </c>
      <c r="X35" s="84">
        <v>100000000</v>
      </c>
      <c r="Y35" s="84">
        <v>110975000</v>
      </c>
      <c r="Z35" s="84">
        <v>900000000</v>
      </c>
      <c r="AA35" s="84">
        <v>250000000</v>
      </c>
      <c r="AB35" s="84">
        <v>89000000</v>
      </c>
      <c r="AC35" s="84">
        <v>40000000</v>
      </c>
      <c r="AD35" s="84">
        <v>200000000</v>
      </c>
      <c r="AE35" s="84">
        <v>100000000</v>
      </c>
      <c r="AF35" s="84" t="s">
        <v>96</v>
      </c>
      <c r="AG35" s="84">
        <v>341580000</v>
      </c>
      <c r="AH35" s="84" t="s">
        <v>130</v>
      </c>
      <c r="AI35" s="84">
        <v>67434000</v>
      </c>
      <c r="AJ35" s="84">
        <v>328820000</v>
      </c>
      <c r="AK35" s="84">
        <v>60000000</v>
      </c>
      <c r="AL35" s="84">
        <v>130000000</v>
      </c>
      <c r="AM35" s="84" t="s">
        <v>4</v>
      </c>
      <c r="AN35" s="84">
        <v>50000000</v>
      </c>
      <c r="AO35" s="84">
        <v>322280000</v>
      </c>
      <c r="AP35" s="84">
        <v>1080000000</v>
      </c>
      <c r="AQ35" s="84" t="s">
        <v>4</v>
      </c>
      <c r="AR35" s="84">
        <v>200000000</v>
      </c>
      <c r="AS35" s="84">
        <v>100000000</v>
      </c>
      <c r="AT35" s="84" t="s">
        <v>96</v>
      </c>
      <c r="AU35" s="84">
        <v>1300000000</v>
      </c>
      <c r="AV35" s="84">
        <v>257000000</v>
      </c>
      <c r="AW35" s="84">
        <v>5000000</v>
      </c>
      <c r="AX35" s="84" t="s">
        <v>4</v>
      </c>
      <c r="AY35" s="84" t="s">
        <v>96</v>
      </c>
      <c r="AZ35" s="84">
        <v>231950000</v>
      </c>
      <c r="BA35" s="84" t="s">
        <v>130</v>
      </c>
      <c r="BB35" s="84">
        <v>40000000</v>
      </c>
      <c r="BC35" s="84" t="s">
        <v>4</v>
      </c>
      <c r="BD35" s="84" t="s">
        <v>96</v>
      </c>
      <c r="BE35" s="84">
        <v>107250000</v>
      </c>
      <c r="BF35" s="84" t="s">
        <v>96</v>
      </c>
      <c r="BG35" s="84">
        <v>500000000</v>
      </c>
      <c r="BH35" s="84">
        <v>130300000</v>
      </c>
      <c r="BI35" s="84">
        <v>68526000</v>
      </c>
      <c r="BJ35" s="84">
        <v>5000000</v>
      </c>
      <c r="BK35" s="84">
        <v>177525000</v>
      </c>
      <c r="BL35" s="84">
        <v>250000000</v>
      </c>
      <c r="BM35" s="84">
        <v>235000000</v>
      </c>
      <c r="BN35" s="84">
        <v>11250000</v>
      </c>
      <c r="BO35" s="84" t="s">
        <v>96</v>
      </c>
      <c r="BP35" s="84" t="s">
        <v>96</v>
      </c>
      <c r="BQ35" s="84" t="s">
        <v>4</v>
      </c>
      <c r="BR35" s="84">
        <v>1188000</v>
      </c>
      <c r="BS35" s="84" t="s">
        <v>4</v>
      </c>
      <c r="BT35" s="84" t="s">
        <v>96</v>
      </c>
      <c r="BU35" s="84">
        <v>102715000</v>
      </c>
      <c r="BV35" s="84">
        <v>50000000</v>
      </c>
      <c r="BW35" s="84">
        <v>320000</v>
      </c>
      <c r="BX35" s="84">
        <v>10000000</v>
      </c>
      <c r="BY35" s="84">
        <v>86340000</v>
      </c>
      <c r="BZ35" s="84">
        <v>10000000</v>
      </c>
      <c r="CA35" s="84">
        <v>433330000</v>
      </c>
      <c r="CB35" s="84">
        <v>50000000</v>
      </c>
      <c r="CC35" s="84">
        <v>17900000</v>
      </c>
      <c r="CD35" s="84">
        <v>105215000</v>
      </c>
      <c r="CE35" s="84" t="s">
        <v>96</v>
      </c>
      <c r="CF35" s="84" t="s">
        <v>96</v>
      </c>
      <c r="CG35" s="84">
        <v>81469200</v>
      </c>
      <c r="CH35" s="84">
        <v>5000000</v>
      </c>
      <c r="CI35" s="84" t="s">
        <v>96</v>
      </c>
      <c r="CJ35" s="84">
        <v>30000000</v>
      </c>
      <c r="CK35" s="84">
        <v>400000000</v>
      </c>
      <c r="CL35" s="84">
        <v>164000000</v>
      </c>
      <c r="CM35" s="84">
        <v>150000000</v>
      </c>
      <c r="CN35" s="84">
        <v>2000000</v>
      </c>
      <c r="CO35" s="84">
        <v>101460000</v>
      </c>
      <c r="CP35" s="84" t="s">
        <v>96</v>
      </c>
      <c r="CQ35" s="84" t="s">
        <v>96</v>
      </c>
      <c r="CR35" s="84">
        <v>210000000</v>
      </c>
      <c r="CS35" s="84" t="s">
        <v>96</v>
      </c>
      <c r="CT35" s="84">
        <v>747167500</v>
      </c>
      <c r="CU35" s="84">
        <v>500000000</v>
      </c>
      <c r="CV35" s="84">
        <v>4950000</v>
      </c>
      <c r="CW35" s="84" t="s">
        <v>96</v>
      </c>
      <c r="CX35" s="84">
        <v>432410500</v>
      </c>
      <c r="CY35" s="84" t="s">
        <v>96</v>
      </c>
      <c r="CZ35" s="84">
        <v>200000000</v>
      </c>
      <c r="DA35" s="84" t="s">
        <v>96</v>
      </c>
      <c r="DB35" s="84">
        <v>50000000</v>
      </c>
      <c r="DC35" s="84">
        <v>5130000</v>
      </c>
      <c r="DD35" s="84" t="s">
        <v>96</v>
      </c>
      <c r="DE35" s="84">
        <v>510000000</v>
      </c>
      <c r="DF35" s="84">
        <v>40000000</v>
      </c>
      <c r="DG35" s="84">
        <v>150000000</v>
      </c>
      <c r="DH35" s="84">
        <v>366000000</v>
      </c>
      <c r="DI35" s="84">
        <v>800000000</v>
      </c>
      <c r="DJ35" s="84">
        <v>13800000</v>
      </c>
      <c r="DK35" s="84" t="s">
        <v>96</v>
      </c>
      <c r="DL35" s="84">
        <v>66356100</v>
      </c>
      <c r="DM35" s="84">
        <v>300000000</v>
      </c>
      <c r="DN35" s="84">
        <v>17250000</v>
      </c>
      <c r="DO35" s="84">
        <v>10000000</v>
      </c>
      <c r="DP35" s="86">
        <v>50000000</v>
      </c>
      <c r="DQ35" s="84">
        <v>50000000</v>
      </c>
      <c r="DR35" s="84">
        <v>38787000</v>
      </c>
      <c r="DS35" s="84">
        <v>80000000</v>
      </c>
      <c r="DT35" s="84">
        <v>75000000</v>
      </c>
      <c r="DU35" s="84">
        <v>23000000</v>
      </c>
      <c r="DV35" s="84">
        <v>2000000</v>
      </c>
      <c r="DW35" s="84">
        <v>100000000</v>
      </c>
      <c r="DX35" s="84">
        <v>444559500</v>
      </c>
      <c r="DY35" s="84">
        <v>60000000</v>
      </c>
      <c r="DZ35" s="84">
        <v>200000000</v>
      </c>
      <c r="EA35" s="84">
        <v>5000000</v>
      </c>
      <c r="EB35" s="84">
        <v>350000000</v>
      </c>
      <c r="EC35" s="84">
        <v>30000000</v>
      </c>
      <c r="ED35" s="84">
        <v>1000000</v>
      </c>
      <c r="EE35" s="84">
        <v>50000000</v>
      </c>
      <c r="EF35" s="84">
        <v>500000000</v>
      </c>
      <c r="EG35" s="96">
        <v>1239732000</v>
      </c>
      <c r="EH35" s="99">
        <v>300000000</v>
      </c>
      <c r="EI35" s="97">
        <v>2285960000</v>
      </c>
      <c r="EJ35" s="84">
        <v>30800000</v>
      </c>
      <c r="EK35" s="84">
        <v>124010000</v>
      </c>
      <c r="EL35" s="84">
        <v>390962457</v>
      </c>
      <c r="EM35" s="84">
        <v>12500000</v>
      </c>
      <c r="EN35" s="84">
        <v>111900000</v>
      </c>
      <c r="EO35" s="84">
        <v>50000000</v>
      </c>
      <c r="EP35" s="84">
        <v>934427992</v>
      </c>
      <c r="EQ35" s="84">
        <v>10000000</v>
      </c>
      <c r="ER35" s="84">
        <v>1305005500</v>
      </c>
      <c r="ES35" s="84">
        <v>1000000000</v>
      </c>
      <c r="ET35" s="84">
        <v>298134500</v>
      </c>
      <c r="EU35" s="84">
        <v>100009000</v>
      </c>
      <c r="EV35" s="84">
        <v>40000000</v>
      </c>
      <c r="EW35" s="84">
        <v>90000000</v>
      </c>
      <c r="EX35" s="84">
        <v>100000000</v>
      </c>
      <c r="EY35" s="84">
        <v>120000000</v>
      </c>
      <c r="EZ35" s="84">
        <v>586771390</v>
      </c>
      <c r="FA35" s="84">
        <v>75000000</v>
      </c>
      <c r="FB35" s="86">
        <v>48300000</v>
      </c>
      <c r="FC35" s="84">
        <v>108360000</v>
      </c>
      <c r="FD35" s="84">
        <v>1000000</v>
      </c>
      <c r="FE35" s="84">
        <v>100000000</v>
      </c>
      <c r="FF35" s="84">
        <v>8000000</v>
      </c>
      <c r="FG35" s="84" t="s">
        <v>96</v>
      </c>
      <c r="FH35" s="84">
        <v>55555500</v>
      </c>
      <c r="FI35" s="84" t="s">
        <v>96</v>
      </c>
      <c r="FJ35" s="84">
        <v>50000000</v>
      </c>
      <c r="FK35" s="84">
        <v>111000000</v>
      </c>
      <c r="FL35" s="84">
        <v>14211900</v>
      </c>
      <c r="FM35" s="84" t="s">
        <v>130</v>
      </c>
      <c r="FN35" s="84">
        <v>671433000</v>
      </c>
      <c r="FO35" s="84" t="s">
        <v>96</v>
      </c>
      <c r="FP35" s="84" t="s">
        <v>96</v>
      </c>
      <c r="FQ35" s="84">
        <v>100300000</v>
      </c>
      <c r="FR35" s="84">
        <v>25588000</v>
      </c>
      <c r="FS35" s="84">
        <v>34600000</v>
      </c>
      <c r="FT35" s="84">
        <v>192216700</v>
      </c>
      <c r="FU35" s="84">
        <v>1000000</v>
      </c>
      <c r="FV35" s="84" t="s">
        <v>96</v>
      </c>
      <c r="FW35" s="84">
        <v>50000000</v>
      </c>
      <c r="FX35" s="84">
        <v>11600000</v>
      </c>
      <c r="FY35" s="84" t="s">
        <v>96</v>
      </c>
      <c r="FZ35" s="84" t="s">
        <v>4</v>
      </c>
      <c r="GA35" s="84">
        <v>130073000</v>
      </c>
      <c r="GB35" s="84">
        <v>96135000</v>
      </c>
      <c r="GC35" s="84">
        <v>10000000</v>
      </c>
      <c r="GD35" s="84" t="s">
        <v>96</v>
      </c>
      <c r="GE35" s="84" t="s">
        <v>4</v>
      </c>
      <c r="GF35" s="84">
        <v>25240000</v>
      </c>
      <c r="GG35" s="84">
        <v>617381500</v>
      </c>
      <c r="GH35" s="84" t="s">
        <v>4</v>
      </c>
      <c r="GI35" s="84">
        <v>50000000</v>
      </c>
      <c r="GJ35" s="84" t="s">
        <v>96</v>
      </c>
      <c r="GK35" s="84">
        <v>195000000</v>
      </c>
      <c r="GL35" s="84" t="s">
        <v>96</v>
      </c>
      <c r="GM35" s="84">
        <v>60900000</v>
      </c>
      <c r="GN35" s="84">
        <v>100000000</v>
      </c>
      <c r="GO35" s="84" t="s">
        <v>96</v>
      </c>
      <c r="GP35" s="84">
        <v>263635000</v>
      </c>
      <c r="GQ35" s="84">
        <v>1122200</v>
      </c>
      <c r="GR35" s="84">
        <v>12850000</v>
      </c>
      <c r="GS35" s="84">
        <v>40581000</v>
      </c>
      <c r="GT35" s="84" t="s">
        <v>130</v>
      </c>
      <c r="GU35" s="84">
        <v>73180000</v>
      </c>
      <c r="GV35" s="84">
        <v>209220000</v>
      </c>
      <c r="GW35" s="84">
        <v>321477000</v>
      </c>
      <c r="GX35" s="84">
        <v>280000000</v>
      </c>
      <c r="GY35" s="84">
        <v>584940000</v>
      </c>
      <c r="GZ35" s="84">
        <v>10000000</v>
      </c>
      <c r="HA35" s="84" t="s">
        <v>96</v>
      </c>
      <c r="HB35" s="84">
        <v>1310000</v>
      </c>
      <c r="HC35" s="84" t="s">
        <v>130</v>
      </c>
      <c r="HD35" s="84">
        <v>300000000</v>
      </c>
      <c r="HE35" s="84" t="s">
        <v>96</v>
      </c>
      <c r="HF35" s="84">
        <v>50000000</v>
      </c>
      <c r="HG35" s="84">
        <v>50000000</v>
      </c>
      <c r="HH35" s="84" t="s">
        <v>96</v>
      </c>
      <c r="HI35" s="84">
        <v>938370000</v>
      </c>
      <c r="HJ35" s="84" t="s">
        <v>96</v>
      </c>
      <c r="HK35" s="84">
        <v>56725000</v>
      </c>
      <c r="HL35" s="84">
        <v>115682403</v>
      </c>
      <c r="HM35" s="84">
        <v>100000000</v>
      </c>
      <c r="HN35" s="84">
        <v>800000000</v>
      </c>
      <c r="HO35" s="84">
        <v>55000000</v>
      </c>
      <c r="HP35" s="84">
        <v>22500000</v>
      </c>
      <c r="HQ35" s="84">
        <v>20000000</v>
      </c>
      <c r="HR35" s="84">
        <v>300000000</v>
      </c>
      <c r="HS35" s="84">
        <v>127986500</v>
      </c>
      <c r="HT35" s="84">
        <v>143000000</v>
      </c>
      <c r="HU35" s="84" t="s">
        <v>130</v>
      </c>
      <c r="HV35" s="84">
        <v>14350000</v>
      </c>
      <c r="HW35" s="84" t="s">
        <v>96</v>
      </c>
      <c r="HX35" s="84">
        <v>300000000</v>
      </c>
      <c r="HY35" s="84" t="s">
        <v>114</v>
      </c>
      <c r="HZ35" s="84">
        <v>5994842108</v>
      </c>
      <c r="IA35" s="84">
        <v>31550000</v>
      </c>
      <c r="IB35" s="84">
        <v>131085500</v>
      </c>
      <c r="IC35" s="84">
        <v>100000000</v>
      </c>
      <c r="ID35" s="84">
        <v>130000</v>
      </c>
      <c r="IE35" s="84" t="s">
        <v>96</v>
      </c>
      <c r="IF35" s="84">
        <v>17750000</v>
      </c>
      <c r="IG35" s="84">
        <v>50000000</v>
      </c>
      <c r="IH35" s="84">
        <v>31725000</v>
      </c>
      <c r="II35" s="84">
        <v>220000000</v>
      </c>
      <c r="IJ35" s="84">
        <v>207064500</v>
      </c>
      <c r="IK35" s="84">
        <v>32000000</v>
      </c>
      <c r="IL35" s="84">
        <v>70000000</v>
      </c>
      <c r="IM35" s="84">
        <v>70386000</v>
      </c>
      <c r="IN35" s="84">
        <v>235150400</v>
      </c>
      <c r="IO35" s="84">
        <v>1000000</v>
      </c>
      <c r="IP35" s="84">
        <v>0</v>
      </c>
      <c r="IQ35" s="84">
        <v>21500000</v>
      </c>
      <c r="IR35" s="84">
        <v>300000000</v>
      </c>
      <c r="IS35" s="84">
        <v>1899250000</v>
      </c>
      <c r="IT35" s="84">
        <v>100000000</v>
      </c>
      <c r="IU35" s="84">
        <v>13400000</v>
      </c>
      <c r="IV35" s="84">
        <v>109430000</v>
      </c>
      <c r="IW35" s="84">
        <v>50000000</v>
      </c>
      <c r="IX35" s="84">
        <v>70350000</v>
      </c>
      <c r="IY35" s="68">
        <v>12270000</v>
      </c>
      <c r="IZ35" s="68">
        <v>122000000</v>
      </c>
      <c r="JA35" s="68">
        <v>5555000</v>
      </c>
      <c r="JB35" s="68">
        <v>23157900</v>
      </c>
      <c r="JC35" s="68">
        <v>200000000</v>
      </c>
      <c r="JD35" s="68">
        <v>50000000</v>
      </c>
      <c r="JE35" s="68">
        <v>10000000</v>
      </c>
      <c r="JF35" s="68">
        <v>50000000</v>
      </c>
      <c r="JG35" s="68">
        <v>30000000</v>
      </c>
      <c r="JH35" s="68">
        <v>120000000</v>
      </c>
      <c r="JI35" s="68">
        <v>100000000</v>
      </c>
      <c r="JJ35" s="68">
        <v>200000000</v>
      </c>
      <c r="JK35" s="68">
        <v>30000000</v>
      </c>
      <c r="JL35" s="68">
        <v>1163830000</v>
      </c>
      <c r="JM35" s="68">
        <v>80000000</v>
      </c>
      <c r="JN35" s="68">
        <v>300000000</v>
      </c>
      <c r="JO35" s="68">
        <v>30000000</v>
      </c>
      <c r="JP35" s="68">
        <v>30000000</v>
      </c>
      <c r="JQ35" s="68" t="s">
        <v>4</v>
      </c>
      <c r="JR35" s="68">
        <v>56245000</v>
      </c>
      <c r="JS35" s="68">
        <v>0</v>
      </c>
      <c r="JT35" s="68">
        <v>2000000</v>
      </c>
      <c r="JU35" s="68">
        <v>60000000</v>
      </c>
      <c r="JV35" s="68">
        <v>595460000</v>
      </c>
      <c r="JW35" s="68">
        <v>69800000</v>
      </c>
      <c r="JX35" s="68">
        <v>310680000</v>
      </c>
      <c r="JY35" s="68">
        <v>319414776</v>
      </c>
      <c r="JZ35" s="68">
        <v>2000000</v>
      </c>
      <c r="KA35" s="68">
        <v>100000000</v>
      </c>
      <c r="KB35" s="68">
        <v>350000000</v>
      </c>
      <c r="KC35" s="68">
        <v>13371000</v>
      </c>
      <c r="KD35" s="68">
        <v>100000000</v>
      </c>
      <c r="KE35" s="68">
        <v>40000000</v>
      </c>
      <c r="KF35" s="68">
        <v>88517000</v>
      </c>
      <c r="KG35" s="68">
        <v>100000000</v>
      </c>
      <c r="KH35" s="68">
        <v>303000000</v>
      </c>
      <c r="KI35" s="68">
        <v>330364319</v>
      </c>
      <c r="KJ35" s="68">
        <v>130000000</v>
      </c>
      <c r="KK35" s="68">
        <v>44181000</v>
      </c>
      <c r="KL35" s="68">
        <v>18473530000</v>
      </c>
      <c r="KM35" s="68">
        <v>76500000</v>
      </c>
      <c r="KN35" s="68">
        <v>169676000</v>
      </c>
      <c r="KO35" s="68">
        <v>225145000</v>
      </c>
      <c r="KP35" s="68">
        <v>138749610</v>
      </c>
      <c r="KQ35" s="68">
        <v>30000000</v>
      </c>
      <c r="KR35" s="68">
        <v>320000000</v>
      </c>
      <c r="KS35" s="68">
        <v>50000000</v>
      </c>
      <c r="KT35" s="68">
        <v>80000000</v>
      </c>
      <c r="KU35" s="68">
        <v>377256000</v>
      </c>
      <c r="KV35" s="68">
        <v>5000000</v>
      </c>
      <c r="KW35" s="68">
        <v>321631000</v>
      </c>
      <c r="KX35" s="68">
        <v>32250000</v>
      </c>
      <c r="KY35" s="68">
        <v>200000000</v>
      </c>
      <c r="KZ35" s="68">
        <v>600000000</v>
      </c>
      <c r="LA35" s="68">
        <v>100000000</v>
      </c>
      <c r="LB35" s="68">
        <v>69700000</v>
      </c>
      <c r="LC35" s="104">
        <v>50000000</v>
      </c>
      <c r="LD35" s="104">
        <v>31200000</v>
      </c>
      <c r="LE35" s="104">
        <v>20000000</v>
      </c>
      <c r="LF35" s="104">
        <v>6000000</v>
      </c>
      <c r="LG35" s="104">
        <v>35000000</v>
      </c>
      <c r="LH35" s="102" t="s">
        <v>187</v>
      </c>
      <c r="LI35" s="104">
        <v>55000000</v>
      </c>
      <c r="LJ35" s="102" t="s">
        <v>187</v>
      </c>
      <c r="LK35" s="104">
        <v>106994000</v>
      </c>
      <c r="LL35" s="102" t="s">
        <v>187</v>
      </c>
    </row>
    <row r="36" spans="1:324" ht="17.55" customHeight="1">
      <c r="A36" s="67" t="s">
        <v>184</v>
      </c>
      <c r="B36" s="91" t="s">
        <v>11</v>
      </c>
      <c r="C36" s="84">
        <v>0</v>
      </c>
      <c r="D36" s="84">
        <v>0</v>
      </c>
      <c r="E36" s="84">
        <v>0</v>
      </c>
      <c r="F36" s="85">
        <v>0</v>
      </c>
      <c r="G36" s="84" t="s">
        <v>130</v>
      </c>
      <c r="H36" s="84">
        <v>0</v>
      </c>
      <c r="I36" s="84">
        <v>0</v>
      </c>
      <c r="J36" s="84" t="s">
        <v>4</v>
      </c>
      <c r="K36" s="84">
        <v>0</v>
      </c>
      <c r="L36" s="84" t="s">
        <v>96</v>
      </c>
      <c r="M36" s="84" t="s">
        <v>96</v>
      </c>
      <c r="N36" s="84">
        <v>0</v>
      </c>
      <c r="O36" s="84">
        <v>0</v>
      </c>
      <c r="P36" s="84">
        <v>0</v>
      </c>
      <c r="Q36" s="84">
        <v>0</v>
      </c>
      <c r="R36" s="84" t="s">
        <v>130</v>
      </c>
      <c r="S36" s="84">
        <v>522089148</v>
      </c>
      <c r="T36" s="84" t="s">
        <v>96</v>
      </c>
      <c r="U36" s="84" t="s">
        <v>96</v>
      </c>
      <c r="V36" s="84" t="s">
        <v>4</v>
      </c>
      <c r="W36" s="84">
        <v>354830100</v>
      </c>
      <c r="X36" s="84">
        <v>0</v>
      </c>
      <c r="Y36" s="84">
        <v>153650000</v>
      </c>
      <c r="Z36" s="84">
        <v>0</v>
      </c>
      <c r="AA36" s="84">
        <v>0</v>
      </c>
      <c r="AB36" s="84">
        <v>0</v>
      </c>
      <c r="AC36" s="84">
        <v>100000000</v>
      </c>
      <c r="AD36" s="84"/>
      <c r="AE36" s="84">
        <v>0</v>
      </c>
      <c r="AF36" s="84" t="s">
        <v>96</v>
      </c>
      <c r="AG36" s="84">
        <v>167006000</v>
      </c>
      <c r="AH36" s="84" t="s">
        <v>130</v>
      </c>
      <c r="AI36" s="84">
        <v>350082000</v>
      </c>
      <c r="AJ36" s="84">
        <v>0</v>
      </c>
      <c r="AK36" s="84">
        <v>0</v>
      </c>
      <c r="AL36" s="84">
        <v>990000000</v>
      </c>
      <c r="AM36" s="84" t="s">
        <v>4</v>
      </c>
      <c r="AN36" s="84"/>
      <c r="AO36" s="84">
        <v>0</v>
      </c>
      <c r="AP36" s="84">
        <v>0</v>
      </c>
      <c r="AQ36" s="84" t="s">
        <v>4</v>
      </c>
      <c r="AR36" s="84">
        <v>1470000000</v>
      </c>
      <c r="AS36" s="84">
        <v>0</v>
      </c>
      <c r="AT36" s="84" t="s">
        <v>96</v>
      </c>
      <c r="AU36" s="84">
        <v>0</v>
      </c>
      <c r="AV36" s="84">
        <v>0</v>
      </c>
      <c r="AW36" s="84">
        <v>0</v>
      </c>
      <c r="AX36" s="84" t="s">
        <v>4</v>
      </c>
      <c r="AY36" s="84" t="s">
        <v>96</v>
      </c>
      <c r="AZ36" s="84">
        <v>23050000</v>
      </c>
      <c r="BA36" s="84" t="s">
        <v>130</v>
      </c>
      <c r="BB36" s="84">
        <v>95000000</v>
      </c>
      <c r="BC36" s="84" t="s">
        <v>4</v>
      </c>
      <c r="BD36" s="84" t="s">
        <v>96</v>
      </c>
      <c r="BE36" s="84">
        <v>269929256</v>
      </c>
      <c r="BF36" s="84" t="s">
        <v>96</v>
      </c>
      <c r="BG36" s="84">
        <v>-528560434</v>
      </c>
      <c r="BH36" s="84"/>
      <c r="BI36" s="84">
        <v>0</v>
      </c>
      <c r="BJ36" s="84">
        <v>0</v>
      </c>
      <c r="BK36" s="84">
        <v>1191224978</v>
      </c>
      <c r="BL36" s="84"/>
      <c r="BM36" s="84"/>
      <c r="BN36" s="84">
        <v>0</v>
      </c>
      <c r="BO36" s="84" t="s">
        <v>96</v>
      </c>
      <c r="BP36" s="84" t="s">
        <v>96</v>
      </c>
      <c r="BQ36" s="84" t="s">
        <v>4</v>
      </c>
      <c r="BR36" s="84">
        <v>39981396</v>
      </c>
      <c r="BS36" s="84" t="s">
        <v>4</v>
      </c>
      <c r="BT36" s="84" t="s">
        <v>96</v>
      </c>
      <c r="BU36" s="84">
        <v>0</v>
      </c>
      <c r="BV36" s="84">
        <v>0</v>
      </c>
      <c r="BW36" s="84">
        <v>0</v>
      </c>
      <c r="BX36" s="84">
        <v>0</v>
      </c>
      <c r="BY36" s="84">
        <v>998017053</v>
      </c>
      <c r="BZ36" s="84"/>
      <c r="CA36" s="84">
        <v>2327811173</v>
      </c>
      <c r="CB36" s="84"/>
      <c r="CC36" s="84"/>
      <c r="CD36" s="84">
        <v>43419518</v>
      </c>
      <c r="CE36" s="84" t="s">
        <v>96</v>
      </c>
      <c r="CF36" s="84" t="s">
        <v>96</v>
      </c>
      <c r="CG36" s="84">
        <v>0</v>
      </c>
      <c r="CH36" s="84">
        <v>0</v>
      </c>
      <c r="CI36" s="84" t="s">
        <v>96</v>
      </c>
      <c r="CJ36" s="84"/>
      <c r="CK36" s="84">
        <v>0</v>
      </c>
      <c r="CL36" s="84">
        <v>0</v>
      </c>
      <c r="CM36" s="84"/>
      <c r="CN36" s="84">
        <v>0</v>
      </c>
      <c r="CO36" s="84">
        <v>0</v>
      </c>
      <c r="CP36" s="84" t="s">
        <v>96</v>
      </c>
      <c r="CQ36" s="84" t="s">
        <v>96</v>
      </c>
      <c r="CR36" s="84">
        <v>0</v>
      </c>
      <c r="CS36" s="84" t="s">
        <v>96</v>
      </c>
      <c r="CT36" s="84">
        <v>44939151784</v>
      </c>
      <c r="CU36" s="84">
        <v>0</v>
      </c>
      <c r="CV36" s="84"/>
      <c r="CW36" s="84" t="s">
        <v>96</v>
      </c>
      <c r="CX36" s="84">
        <v>9816856430</v>
      </c>
      <c r="CY36" s="84" t="s">
        <v>96</v>
      </c>
      <c r="CZ36" s="84"/>
      <c r="DA36" s="84" t="s">
        <v>96</v>
      </c>
      <c r="DB36" s="84">
        <v>0</v>
      </c>
      <c r="DC36" s="84">
        <v>9870000</v>
      </c>
      <c r="DD36" s="84" t="s">
        <v>96</v>
      </c>
      <c r="DE36" s="84">
        <v>0</v>
      </c>
      <c r="DF36" s="84">
        <v>0</v>
      </c>
      <c r="DG36" s="84">
        <v>0</v>
      </c>
      <c r="DH36" s="84">
        <v>170619720</v>
      </c>
      <c r="DI36" s="84"/>
      <c r="DJ36" s="84">
        <v>0</v>
      </c>
      <c r="DK36" s="84" t="s">
        <v>96</v>
      </c>
      <c r="DL36" s="84">
        <v>84776900</v>
      </c>
      <c r="DM36" s="84">
        <v>0</v>
      </c>
      <c r="DN36" s="84">
        <v>0</v>
      </c>
      <c r="DO36" s="84"/>
      <c r="DP36" s="86"/>
      <c r="DQ36" s="84"/>
      <c r="DR36" s="84">
        <v>1489138280</v>
      </c>
      <c r="DS36" s="84"/>
      <c r="DT36" s="84"/>
      <c r="DU36" s="84"/>
      <c r="DV36" s="84">
        <v>3125000877</v>
      </c>
      <c r="DW36" s="84">
        <v>0</v>
      </c>
      <c r="DX36" s="84">
        <v>11278333415</v>
      </c>
      <c r="DY36" s="84">
        <v>0</v>
      </c>
      <c r="DZ36" s="84">
        <v>0</v>
      </c>
      <c r="EA36" s="84">
        <v>0</v>
      </c>
      <c r="EB36" s="84">
        <v>0</v>
      </c>
      <c r="EC36" s="84">
        <v>0</v>
      </c>
      <c r="ED36" s="84">
        <v>0</v>
      </c>
      <c r="EE36" s="84">
        <v>0</v>
      </c>
      <c r="EF36" s="84">
        <v>0</v>
      </c>
      <c r="EG36" s="96">
        <v>30922818189</v>
      </c>
      <c r="EH36" s="99">
        <v>0</v>
      </c>
      <c r="EI36" s="97">
        <v>28859910169</v>
      </c>
      <c r="EJ36" s="84">
        <v>0</v>
      </c>
      <c r="EK36" s="84">
        <v>4156801830</v>
      </c>
      <c r="EL36" s="84">
        <v>0</v>
      </c>
      <c r="EM36" s="84">
        <v>0</v>
      </c>
      <c r="EN36" s="84">
        <v>0</v>
      </c>
      <c r="EO36" s="84">
        <v>0</v>
      </c>
      <c r="EP36" s="84">
        <v>0</v>
      </c>
      <c r="EQ36" s="84"/>
      <c r="ER36" s="84">
        <v>0</v>
      </c>
      <c r="ES36" s="84"/>
      <c r="ET36" s="84">
        <v>29083879270</v>
      </c>
      <c r="EU36" s="84">
        <v>1339996500</v>
      </c>
      <c r="EV36" s="84">
        <v>0</v>
      </c>
      <c r="EW36" s="84">
        <v>0</v>
      </c>
      <c r="EX36" s="84"/>
      <c r="EY36" s="84">
        <v>0</v>
      </c>
      <c r="EZ36" s="84"/>
      <c r="FA36" s="84">
        <v>1240282705</v>
      </c>
      <c r="FB36" s="86">
        <v>0</v>
      </c>
      <c r="FC36" s="84"/>
      <c r="FD36" s="84">
        <v>0</v>
      </c>
      <c r="FE36" s="84">
        <v>0</v>
      </c>
      <c r="FF36" s="84">
        <v>0</v>
      </c>
      <c r="FG36" s="84" t="s">
        <v>96</v>
      </c>
      <c r="FH36" s="84">
        <v>494439500</v>
      </c>
      <c r="FI36" s="84" t="s">
        <v>96</v>
      </c>
      <c r="FJ36" s="84">
        <v>0</v>
      </c>
      <c r="FK36" s="84">
        <v>0</v>
      </c>
      <c r="FL36" s="84">
        <v>895776172</v>
      </c>
      <c r="FM36" s="84" t="s">
        <v>130</v>
      </c>
      <c r="FN36" s="84">
        <v>31208341305</v>
      </c>
      <c r="FO36" s="84" t="s">
        <v>96</v>
      </c>
      <c r="FP36" s="84" t="s">
        <v>96</v>
      </c>
      <c r="FQ36" s="84">
        <v>28527000</v>
      </c>
      <c r="FR36" s="84">
        <v>199332000</v>
      </c>
      <c r="FS36" s="84">
        <v>0</v>
      </c>
      <c r="FT36" s="84">
        <v>9679439958</v>
      </c>
      <c r="FU36" s="84">
        <v>0</v>
      </c>
      <c r="FV36" s="84" t="s">
        <v>96</v>
      </c>
      <c r="FW36" s="84">
        <v>0</v>
      </c>
      <c r="FX36" s="84">
        <v>122756004</v>
      </c>
      <c r="FY36" s="84" t="s">
        <v>96</v>
      </c>
      <c r="FZ36" s="84" t="s">
        <v>4</v>
      </c>
      <c r="GA36" s="84">
        <v>3175709231</v>
      </c>
      <c r="GB36" s="84">
        <v>383192454</v>
      </c>
      <c r="GC36" s="84">
        <v>0</v>
      </c>
      <c r="GD36" s="84" t="s">
        <v>96</v>
      </c>
      <c r="GE36" s="84" t="s">
        <v>4</v>
      </c>
      <c r="GF36" s="84">
        <v>758560000</v>
      </c>
      <c r="GG36" s="84">
        <v>6352274310</v>
      </c>
      <c r="GH36" s="84" t="s">
        <v>4</v>
      </c>
      <c r="GI36" s="84">
        <v>0</v>
      </c>
      <c r="GJ36" s="84" t="s">
        <v>96</v>
      </c>
      <c r="GK36" s="84">
        <v>95000000</v>
      </c>
      <c r="GL36" s="84" t="s">
        <v>96</v>
      </c>
      <c r="GM36" s="84"/>
      <c r="GN36" s="84">
        <v>0</v>
      </c>
      <c r="GO36" s="84" t="s">
        <v>96</v>
      </c>
      <c r="GP36" s="84">
        <v>136322730</v>
      </c>
      <c r="GQ36" s="84">
        <v>299823810</v>
      </c>
      <c r="GR36" s="84">
        <v>901470857</v>
      </c>
      <c r="GS36" s="84">
        <v>1109558203</v>
      </c>
      <c r="GT36" s="84" t="s">
        <v>130</v>
      </c>
      <c r="GU36" s="84">
        <v>0</v>
      </c>
      <c r="GV36" s="84">
        <v>174860000</v>
      </c>
      <c r="GW36" s="84">
        <v>41580443898</v>
      </c>
      <c r="GX36" s="84">
        <v>0</v>
      </c>
      <c r="GY36" s="84">
        <v>3109953295</v>
      </c>
      <c r="GZ36" s="84">
        <v>0</v>
      </c>
      <c r="HA36" s="84" t="s">
        <v>96</v>
      </c>
      <c r="HB36" s="84"/>
      <c r="HC36" s="84" t="s">
        <v>130</v>
      </c>
      <c r="HD36" s="84">
        <v>0</v>
      </c>
      <c r="HE36" s="84" t="s">
        <v>96</v>
      </c>
      <c r="HF36" s="84">
        <v>0</v>
      </c>
      <c r="HG36" s="84">
        <v>0</v>
      </c>
      <c r="HH36" s="84" t="s">
        <v>96</v>
      </c>
      <c r="HI36" s="84">
        <v>6809015249</v>
      </c>
      <c r="HJ36" s="84" t="s">
        <v>96</v>
      </c>
      <c r="HK36" s="84">
        <v>5462605248</v>
      </c>
      <c r="HL36" s="84">
        <v>0</v>
      </c>
      <c r="HM36" s="84">
        <v>0</v>
      </c>
      <c r="HN36" s="84">
        <v>0</v>
      </c>
      <c r="HO36" s="84">
        <v>0</v>
      </c>
      <c r="HP36" s="84">
        <v>0</v>
      </c>
      <c r="HQ36" s="84">
        <v>0</v>
      </c>
      <c r="HR36" s="84">
        <v>0</v>
      </c>
      <c r="HS36" s="84">
        <v>99986500</v>
      </c>
      <c r="HT36" s="84"/>
      <c r="HU36" s="84" t="s">
        <v>130</v>
      </c>
      <c r="HV36" s="84">
        <v>0</v>
      </c>
      <c r="HW36" s="84" t="s">
        <v>96</v>
      </c>
      <c r="HX36" s="84">
        <v>478743904</v>
      </c>
      <c r="HY36" s="84" t="s">
        <v>114</v>
      </c>
      <c r="HZ36" s="84">
        <v>0</v>
      </c>
      <c r="IA36" s="84"/>
      <c r="IB36" s="84">
        <v>1145452196</v>
      </c>
      <c r="IC36" s="84">
        <v>0</v>
      </c>
      <c r="ID36" s="84">
        <v>0</v>
      </c>
      <c r="IE36" s="84" t="s">
        <v>96</v>
      </c>
      <c r="IF36" s="84">
        <v>0</v>
      </c>
      <c r="IG36" s="84">
        <v>0</v>
      </c>
      <c r="IH36" s="84">
        <v>87356800</v>
      </c>
      <c r="II36" s="84">
        <v>0</v>
      </c>
      <c r="IJ36" s="84">
        <v>325174612</v>
      </c>
      <c r="IK36" s="84">
        <v>0</v>
      </c>
      <c r="IL36" s="84">
        <v>0</v>
      </c>
      <c r="IM36" s="84">
        <v>3783700251</v>
      </c>
      <c r="IN36" s="84">
        <v>8249685052</v>
      </c>
      <c r="IO36" s="84">
        <v>0</v>
      </c>
      <c r="IP36" s="84">
        <v>0</v>
      </c>
      <c r="IQ36" s="84">
        <v>37500000</v>
      </c>
      <c r="IR36" s="84">
        <v>0</v>
      </c>
      <c r="IS36" s="84">
        <v>0</v>
      </c>
      <c r="IT36" s="84">
        <v>0</v>
      </c>
      <c r="IU36" s="84">
        <v>578298725</v>
      </c>
      <c r="IV36" s="84">
        <v>0</v>
      </c>
      <c r="IW36" s="84">
        <v>0</v>
      </c>
      <c r="IX36" s="84">
        <v>0</v>
      </c>
      <c r="IY36" s="68">
        <v>2547329760</v>
      </c>
      <c r="IZ36" s="68">
        <v>18000000</v>
      </c>
      <c r="JA36" s="68">
        <v>1006808760</v>
      </c>
      <c r="JB36" s="68">
        <v>346842411</v>
      </c>
      <c r="JC36" s="68">
        <v>0</v>
      </c>
      <c r="JD36" s="68">
        <v>0</v>
      </c>
      <c r="JE36" s="68"/>
      <c r="JF36" s="68">
        <v>0</v>
      </c>
      <c r="JG36" s="68"/>
      <c r="JH36" s="68">
        <v>0</v>
      </c>
      <c r="JI36" s="68">
        <v>0</v>
      </c>
      <c r="JJ36" s="68">
        <v>0</v>
      </c>
      <c r="JK36" s="68">
        <v>0</v>
      </c>
      <c r="JL36" s="68">
        <v>0</v>
      </c>
      <c r="JM36" s="68">
        <v>0</v>
      </c>
      <c r="JN36" s="68">
        <v>447016000</v>
      </c>
      <c r="JO36" s="68"/>
      <c r="JP36" s="68"/>
      <c r="JQ36" s="68" t="s">
        <v>4</v>
      </c>
      <c r="JR36" s="68">
        <v>856679430</v>
      </c>
      <c r="JS36" s="68">
        <v>0</v>
      </c>
      <c r="JT36" s="68"/>
      <c r="JU36" s="68">
        <v>20000000</v>
      </c>
      <c r="JV36" s="68">
        <v>0</v>
      </c>
      <c r="JW36" s="68"/>
      <c r="JX36" s="68">
        <v>717077278</v>
      </c>
      <c r="JY36" s="68">
        <v>195855871</v>
      </c>
      <c r="JZ36" s="68"/>
      <c r="KA36" s="68">
        <v>0</v>
      </c>
      <c r="KB36" s="68">
        <v>0</v>
      </c>
      <c r="KC36" s="68">
        <v>417148500</v>
      </c>
      <c r="KD36" s="68">
        <v>0</v>
      </c>
      <c r="KE36" s="68">
        <v>0</v>
      </c>
      <c r="KF36" s="68">
        <v>2338618536</v>
      </c>
      <c r="KG36" s="68">
        <v>0</v>
      </c>
      <c r="KH36" s="68">
        <v>26762520</v>
      </c>
      <c r="KI36" s="68">
        <v>0</v>
      </c>
      <c r="KJ36" s="68">
        <v>0</v>
      </c>
      <c r="KK36" s="68">
        <v>7506866172</v>
      </c>
      <c r="KL36" s="68">
        <v>85944961526</v>
      </c>
      <c r="KM36" s="68"/>
      <c r="KN36" s="68">
        <v>25965530350</v>
      </c>
      <c r="KO36" s="68">
        <v>2729903989</v>
      </c>
      <c r="KP36" s="68">
        <v>0</v>
      </c>
      <c r="KQ36" s="68">
        <v>0</v>
      </c>
      <c r="KR36" s="68">
        <v>0</v>
      </c>
      <c r="KS36" s="68">
        <v>0</v>
      </c>
      <c r="KT36" s="68"/>
      <c r="KU36" s="68">
        <v>2116247370</v>
      </c>
      <c r="KV36" s="68">
        <v>0</v>
      </c>
      <c r="KW36" s="68">
        <v>0</v>
      </c>
      <c r="KX36" s="68">
        <v>147748500</v>
      </c>
      <c r="KY36" s="68">
        <v>0</v>
      </c>
      <c r="KZ36" s="68">
        <v>0</v>
      </c>
      <c r="LA36" s="68">
        <v>0</v>
      </c>
      <c r="LB36" s="68"/>
      <c r="LC36" s="104">
        <v>4700000</v>
      </c>
      <c r="LD36" s="104">
        <v>0</v>
      </c>
      <c r="LE36" s="104">
        <v>0</v>
      </c>
      <c r="LF36" s="104">
        <v>0</v>
      </c>
      <c r="LG36" s="104">
        <v>0</v>
      </c>
      <c r="LH36" s="102" t="s">
        <v>187</v>
      </c>
      <c r="LI36" s="104">
        <v>0</v>
      </c>
      <c r="LJ36" s="102" t="s">
        <v>187</v>
      </c>
      <c r="LK36" s="104"/>
      <c r="LL36" s="102" t="s">
        <v>187</v>
      </c>
    </row>
    <row r="37" spans="1:324" ht="17.55" customHeight="1">
      <c r="A37" s="67" t="s">
        <v>184</v>
      </c>
      <c r="B37" s="91" t="s">
        <v>31</v>
      </c>
      <c r="C37" s="84">
        <v>0</v>
      </c>
      <c r="D37" s="84">
        <v>0</v>
      </c>
      <c r="E37" s="84">
        <v>0</v>
      </c>
      <c r="F37" s="85">
        <v>0</v>
      </c>
      <c r="G37" s="84" t="s">
        <v>130</v>
      </c>
      <c r="H37" s="84">
        <v>0</v>
      </c>
      <c r="I37" s="84">
        <v>-4415707</v>
      </c>
      <c r="J37" s="84" t="s">
        <v>4</v>
      </c>
      <c r="K37" s="84">
        <v>0</v>
      </c>
      <c r="L37" s="84" t="s">
        <v>96</v>
      </c>
      <c r="M37" s="84" t="s">
        <v>96</v>
      </c>
      <c r="N37" s="84">
        <v>0</v>
      </c>
      <c r="O37" s="84">
        <v>0</v>
      </c>
      <c r="P37" s="84">
        <v>0</v>
      </c>
      <c r="Q37" s="84">
        <v>0</v>
      </c>
      <c r="R37" s="84" t="s">
        <v>130</v>
      </c>
      <c r="S37" s="84">
        <v>0</v>
      </c>
      <c r="T37" s="84" t="s">
        <v>96</v>
      </c>
      <c r="U37" s="84" t="s">
        <v>96</v>
      </c>
      <c r="V37" s="84" t="s">
        <v>4</v>
      </c>
      <c r="W37" s="84">
        <v>0</v>
      </c>
      <c r="X37" s="84">
        <v>0</v>
      </c>
      <c r="Y37" s="84">
        <v>0</v>
      </c>
      <c r="Z37" s="84">
        <v>-1961000</v>
      </c>
      <c r="AA37" s="84">
        <v>0</v>
      </c>
      <c r="AB37" s="84">
        <v>0</v>
      </c>
      <c r="AC37" s="84">
        <v>0</v>
      </c>
      <c r="AD37" s="84">
        <v>-816900</v>
      </c>
      <c r="AE37" s="84">
        <v>0</v>
      </c>
      <c r="AF37" s="84" t="s">
        <v>96</v>
      </c>
      <c r="AG37" s="84">
        <v>0</v>
      </c>
      <c r="AH37" s="84" t="s">
        <v>130</v>
      </c>
      <c r="AI37" s="84">
        <v>0</v>
      </c>
      <c r="AJ37" s="84">
        <v>0</v>
      </c>
      <c r="AK37" s="84">
        <v>0</v>
      </c>
      <c r="AL37" s="84">
        <v>0</v>
      </c>
      <c r="AM37" s="84" t="s">
        <v>4</v>
      </c>
      <c r="AN37" s="84"/>
      <c r="AO37" s="84"/>
      <c r="AP37" s="84">
        <v>0</v>
      </c>
      <c r="AQ37" s="84" t="s">
        <v>4</v>
      </c>
      <c r="AR37" s="84">
        <v>0</v>
      </c>
      <c r="AS37" s="84">
        <v>0</v>
      </c>
      <c r="AT37" s="84" t="s">
        <v>96</v>
      </c>
      <c r="AU37" s="84">
        <v>-10540980</v>
      </c>
      <c r="AV37" s="84">
        <v>0</v>
      </c>
      <c r="AW37" s="84">
        <v>0</v>
      </c>
      <c r="AX37" s="84" t="s">
        <v>4</v>
      </c>
      <c r="AY37" s="84" t="s">
        <v>96</v>
      </c>
      <c r="AZ37" s="84"/>
      <c r="BA37" s="84" t="s">
        <v>130</v>
      </c>
      <c r="BB37" s="84">
        <v>-500</v>
      </c>
      <c r="BC37" s="84" t="s">
        <v>4</v>
      </c>
      <c r="BD37" s="84" t="s">
        <v>96</v>
      </c>
      <c r="BE37" s="84">
        <v>0</v>
      </c>
      <c r="BF37" s="84" t="s">
        <v>96</v>
      </c>
      <c r="BG37" s="84"/>
      <c r="BH37" s="84"/>
      <c r="BI37" s="84">
        <v>-99999000</v>
      </c>
      <c r="BJ37" s="84">
        <v>0</v>
      </c>
      <c r="BK37" s="84"/>
      <c r="BL37" s="84">
        <v>-776240</v>
      </c>
      <c r="BM37" s="84"/>
      <c r="BN37" s="84">
        <v>0</v>
      </c>
      <c r="BO37" s="84" t="s">
        <v>96</v>
      </c>
      <c r="BP37" s="84" t="s">
        <v>96</v>
      </c>
      <c r="BQ37" s="84" t="s">
        <v>4</v>
      </c>
      <c r="BR37" s="84"/>
      <c r="BS37" s="84" t="s">
        <v>4</v>
      </c>
      <c r="BT37" s="84" t="s">
        <v>96</v>
      </c>
      <c r="BU37" s="84">
        <v>0</v>
      </c>
      <c r="BV37" s="84">
        <v>0</v>
      </c>
      <c r="BW37" s="84">
        <v>0</v>
      </c>
      <c r="BX37" s="84">
        <v>0</v>
      </c>
      <c r="BY37" s="84">
        <v>0</v>
      </c>
      <c r="BZ37" s="84"/>
      <c r="CA37" s="84">
        <v>0</v>
      </c>
      <c r="CB37" s="84"/>
      <c r="CC37" s="84"/>
      <c r="CD37" s="84">
        <v>0</v>
      </c>
      <c r="CE37" s="84" t="s">
        <v>96</v>
      </c>
      <c r="CF37" s="84" t="s">
        <v>96</v>
      </c>
      <c r="CG37" s="84">
        <v>0</v>
      </c>
      <c r="CH37" s="84">
        <v>0</v>
      </c>
      <c r="CI37" s="84" t="s">
        <v>96</v>
      </c>
      <c r="CJ37" s="84"/>
      <c r="CK37" s="84">
        <v>0</v>
      </c>
      <c r="CL37" s="84">
        <v>0</v>
      </c>
      <c r="CM37" s="84"/>
      <c r="CN37" s="84">
        <v>0</v>
      </c>
      <c r="CO37" s="84">
        <v>0</v>
      </c>
      <c r="CP37" s="84" t="s">
        <v>96</v>
      </c>
      <c r="CQ37" s="84" t="s">
        <v>96</v>
      </c>
      <c r="CR37" s="84">
        <v>0</v>
      </c>
      <c r="CS37" s="84" t="s">
        <v>96</v>
      </c>
      <c r="CT37" s="84"/>
      <c r="CU37" s="84">
        <v>0</v>
      </c>
      <c r="CV37" s="84">
        <v>-291600</v>
      </c>
      <c r="CW37" s="84" t="s">
        <v>96</v>
      </c>
      <c r="CX37" s="84">
        <v>0</v>
      </c>
      <c r="CY37" s="84" t="s">
        <v>96</v>
      </c>
      <c r="CZ37" s="84"/>
      <c r="DA37" s="84" t="s">
        <v>96</v>
      </c>
      <c r="DB37" s="84">
        <v>0</v>
      </c>
      <c r="DC37" s="84"/>
      <c r="DD37" s="84" t="s">
        <v>96</v>
      </c>
      <c r="DE37" s="84">
        <v>0</v>
      </c>
      <c r="DF37" s="84">
        <v>0</v>
      </c>
      <c r="DG37" s="84">
        <v>0</v>
      </c>
      <c r="DH37" s="84">
        <v>0</v>
      </c>
      <c r="DI37" s="84">
        <v>-188800000</v>
      </c>
      <c r="DJ37" s="84">
        <v>0</v>
      </c>
      <c r="DK37" s="84" t="s">
        <v>96</v>
      </c>
      <c r="DL37" s="84">
        <v>0</v>
      </c>
      <c r="DM37" s="84">
        <v>0</v>
      </c>
      <c r="DN37" s="84">
        <v>0</v>
      </c>
      <c r="DO37" s="84"/>
      <c r="DP37" s="86"/>
      <c r="DQ37" s="84"/>
      <c r="DR37" s="84">
        <v>0</v>
      </c>
      <c r="DS37" s="84"/>
      <c r="DT37" s="84"/>
      <c r="DU37" s="84"/>
      <c r="DV37" s="84"/>
      <c r="DW37" s="84">
        <v>0</v>
      </c>
      <c r="DX37" s="84"/>
      <c r="DY37" s="84">
        <v>0</v>
      </c>
      <c r="DZ37" s="84">
        <v>0</v>
      </c>
      <c r="EA37" s="84">
        <v>0</v>
      </c>
      <c r="EB37" s="84">
        <v>0</v>
      </c>
      <c r="EC37" s="84">
        <v>0</v>
      </c>
      <c r="ED37" s="84">
        <v>0</v>
      </c>
      <c r="EE37" s="84">
        <v>0</v>
      </c>
      <c r="EF37" s="84">
        <v>0</v>
      </c>
      <c r="EG37" s="96">
        <v>0</v>
      </c>
      <c r="EH37" s="99">
        <v>0</v>
      </c>
      <c r="EI37" s="97"/>
      <c r="EJ37" s="84">
        <v>0</v>
      </c>
      <c r="EK37" s="84">
        <v>0</v>
      </c>
      <c r="EL37" s="84">
        <v>0</v>
      </c>
      <c r="EM37" s="84">
        <v>0</v>
      </c>
      <c r="EN37" s="84">
        <v>0</v>
      </c>
      <c r="EO37" s="84">
        <v>0</v>
      </c>
      <c r="EP37" s="84">
        <v>0</v>
      </c>
      <c r="EQ37" s="84"/>
      <c r="ER37" s="84">
        <v>0</v>
      </c>
      <c r="ES37" s="84">
        <v>-8724240</v>
      </c>
      <c r="ET37" s="84"/>
      <c r="EU37" s="84">
        <v>0</v>
      </c>
      <c r="EV37" s="84">
        <v>0</v>
      </c>
      <c r="EW37" s="84">
        <v>0</v>
      </c>
      <c r="EX37" s="84"/>
      <c r="EY37" s="84">
        <v>0</v>
      </c>
      <c r="EZ37" s="84"/>
      <c r="FA37" s="84">
        <v>0</v>
      </c>
      <c r="FB37" s="86">
        <v>0</v>
      </c>
      <c r="FC37" s="84"/>
      <c r="FD37" s="84">
        <v>0</v>
      </c>
      <c r="FE37" s="84">
        <v>-2000000</v>
      </c>
      <c r="FF37" s="84">
        <v>0</v>
      </c>
      <c r="FG37" s="84" t="s">
        <v>96</v>
      </c>
      <c r="FH37" s="84">
        <v>0</v>
      </c>
      <c r="FI37" s="84" t="s">
        <v>96</v>
      </c>
      <c r="FJ37" s="84">
        <v>0</v>
      </c>
      <c r="FK37" s="84">
        <v>0</v>
      </c>
      <c r="FL37" s="84">
        <v>0</v>
      </c>
      <c r="FM37" s="84" t="s">
        <v>130</v>
      </c>
      <c r="FN37" s="84">
        <v>0</v>
      </c>
      <c r="FO37" s="84" t="s">
        <v>96</v>
      </c>
      <c r="FP37" s="84" t="s">
        <v>96</v>
      </c>
      <c r="FQ37" s="84">
        <v>0</v>
      </c>
      <c r="FR37" s="84">
        <v>0</v>
      </c>
      <c r="FS37" s="84">
        <v>0</v>
      </c>
      <c r="FT37" s="84">
        <v>0</v>
      </c>
      <c r="FU37" s="84">
        <v>0</v>
      </c>
      <c r="FV37" s="84" t="s">
        <v>96</v>
      </c>
      <c r="FW37" s="84">
        <v>0</v>
      </c>
      <c r="FX37" s="84">
        <v>0</v>
      </c>
      <c r="FY37" s="84" t="s">
        <v>96</v>
      </c>
      <c r="FZ37" s="84" t="s">
        <v>4</v>
      </c>
      <c r="GA37" s="84"/>
      <c r="GB37" s="84">
        <v>0</v>
      </c>
      <c r="GC37" s="84">
        <v>0</v>
      </c>
      <c r="GD37" s="84" t="s">
        <v>96</v>
      </c>
      <c r="GE37" s="84" t="s">
        <v>4</v>
      </c>
      <c r="GF37" s="84">
        <v>0</v>
      </c>
      <c r="GG37" s="84">
        <v>0</v>
      </c>
      <c r="GH37" s="84" t="s">
        <v>4</v>
      </c>
      <c r="GI37" s="84">
        <v>0</v>
      </c>
      <c r="GJ37" s="84" t="s">
        <v>96</v>
      </c>
      <c r="GK37" s="84">
        <v>0</v>
      </c>
      <c r="GL37" s="84" t="s">
        <v>96</v>
      </c>
      <c r="GM37" s="84"/>
      <c r="GN37" s="84">
        <v>-1044000</v>
      </c>
      <c r="GO37" s="84" t="s">
        <v>96</v>
      </c>
      <c r="GP37" s="84">
        <v>0</v>
      </c>
      <c r="GQ37" s="84">
        <v>0</v>
      </c>
      <c r="GR37" s="84">
        <v>0</v>
      </c>
      <c r="GS37" s="84"/>
      <c r="GT37" s="84" t="s">
        <v>130</v>
      </c>
      <c r="GU37" s="84">
        <v>0</v>
      </c>
      <c r="GV37" s="84">
        <v>-4875000</v>
      </c>
      <c r="GW37" s="84"/>
      <c r="GX37" s="84">
        <v>-1208280</v>
      </c>
      <c r="GY37" s="84">
        <v>0</v>
      </c>
      <c r="GZ37" s="84">
        <v>0</v>
      </c>
      <c r="HA37" s="84" t="s">
        <v>96</v>
      </c>
      <c r="HB37" s="84"/>
      <c r="HC37" s="84" t="s">
        <v>130</v>
      </c>
      <c r="HD37" s="84">
        <v>0</v>
      </c>
      <c r="HE37" s="84" t="s">
        <v>96</v>
      </c>
      <c r="HF37" s="84">
        <v>-5900000</v>
      </c>
      <c r="HG37" s="84">
        <v>0</v>
      </c>
      <c r="HH37" s="84" t="s">
        <v>96</v>
      </c>
      <c r="HI37" s="84">
        <v>0</v>
      </c>
      <c r="HJ37" s="84" t="s">
        <v>96</v>
      </c>
      <c r="HK37" s="84">
        <v>0</v>
      </c>
      <c r="HL37" s="84">
        <v>0</v>
      </c>
      <c r="HM37" s="84">
        <v>0</v>
      </c>
      <c r="HN37" s="84">
        <v>0</v>
      </c>
      <c r="HO37" s="84">
        <v>0</v>
      </c>
      <c r="HP37" s="84">
        <v>0</v>
      </c>
      <c r="HQ37" s="84">
        <v>0</v>
      </c>
      <c r="HR37" s="84">
        <v>0</v>
      </c>
      <c r="HS37" s="84">
        <v>0</v>
      </c>
      <c r="HT37" s="84"/>
      <c r="HU37" s="84" t="s">
        <v>130</v>
      </c>
      <c r="HV37" s="84">
        <v>0</v>
      </c>
      <c r="HW37" s="84" t="s">
        <v>96</v>
      </c>
      <c r="HX37" s="84">
        <v>0</v>
      </c>
      <c r="HY37" s="84" t="s">
        <v>114</v>
      </c>
      <c r="HZ37" s="84">
        <v>0</v>
      </c>
      <c r="IA37" s="84"/>
      <c r="IB37" s="84">
        <v>0</v>
      </c>
      <c r="IC37" s="84">
        <v>-914000</v>
      </c>
      <c r="ID37" s="84">
        <v>0</v>
      </c>
      <c r="IE37" s="84" t="s">
        <v>96</v>
      </c>
      <c r="IF37" s="84">
        <v>0</v>
      </c>
      <c r="IG37" s="84">
        <v>0</v>
      </c>
      <c r="IH37" s="84">
        <v>-30169720</v>
      </c>
      <c r="II37" s="84">
        <v>0</v>
      </c>
      <c r="IJ37" s="84">
        <v>0</v>
      </c>
      <c r="IK37" s="84">
        <v>0</v>
      </c>
      <c r="IL37" s="84">
        <v>0</v>
      </c>
      <c r="IM37" s="84">
        <v>0</v>
      </c>
      <c r="IN37" s="84">
        <v>0</v>
      </c>
      <c r="IO37" s="84">
        <v>0</v>
      </c>
      <c r="IP37" s="84">
        <v>0</v>
      </c>
      <c r="IQ37" s="84">
        <v>0</v>
      </c>
      <c r="IR37" s="84">
        <v>0</v>
      </c>
      <c r="IS37" s="84">
        <v>0</v>
      </c>
      <c r="IT37" s="84">
        <v>0</v>
      </c>
      <c r="IU37" s="84">
        <v>0</v>
      </c>
      <c r="IV37" s="84">
        <v>0</v>
      </c>
      <c r="IW37" s="84">
        <v>0</v>
      </c>
      <c r="IX37" s="84">
        <v>0</v>
      </c>
      <c r="IY37" s="68">
        <v>0</v>
      </c>
      <c r="IZ37" s="68">
        <v>0</v>
      </c>
      <c r="JA37" s="68">
        <v>0</v>
      </c>
      <c r="JB37" s="68">
        <v>-454000</v>
      </c>
      <c r="JC37" s="68">
        <v>0</v>
      </c>
      <c r="JD37" s="68">
        <v>0</v>
      </c>
      <c r="JE37" s="68"/>
      <c r="JF37" s="68">
        <v>0</v>
      </c>
      <c r="JG37" s="68"/>
      <c r="JH37" s="68">
        <v>0</v>
      </c>
      <c r="JI37" s="68">
        <v>0</v>
      </c>
      <c r="JJ37" s="68">
        <v>-1014000</v>
      </c>
      <c r="JK37" s="68">
        <v>0</v>
      </c>
      <c r="JL37" s="68">
        <v>0</v>
      </c>
      <c r="JM37" s="68">
        <v>0</v>
      </c>
      <c r="JN37" s="68">
        <v>40000000</v>
      </c>
      <c r="JO37" s="68"/>
      <c r="JP37" s="68"/>
      <c r="JQ37" s="68" t="s">
        <v>4</v>
      </c>
      <c r="JR37" s="68">
        <v>0</v>
      </c>
      <c r="JS37" s="68">
        <v>0</v>
      </c>
      <c r="JT37" s="68"/>
      <c r="JU37" s="68">
        <v>0</v>
      </c>
      <c r="JV37" s="68">
        <v>0</v>
      </c>
      <c r="JW37" s="68"/>
      <c r="JX37" s="68">
        <v>0</v>
      </c>
      <c r="JY37" s="68"/>
      <c r="JZ37" s="68"/>
      <c r="KA37" s="68">
        <v>123081870</v>
      </c>
      <c r="KB37" s="68">
        <v>0</v>
      </c>
      <c r="KC37" s="68">
        <v>0</v>
      </c>
      <c r="KD37" s="68">
        <v>0</v>
      </c>
      <c r="KE37" s="68">
        <v>0</v>
      </c>
      <c r="KF37" s="68">
        <v>0</v>
      </c>
      <c r="KG37" s="68">
        <v>0</v>
      </c>
      <c r="KH37" s="68">
        <v>0</v>
      </c>
      <c r="KI37" s="68">
        <v>0</v>
      </c>
      <c r="KJ37" s="68">
        <v>0</v>
      </c>
      <c r="KK37" s="68">
        <v>0</v>
      </c>
      <c r="KL37" s="68">
        <v>1168419964</v>
      </c>
      <c r="KM37" s="68"/>
      <c r="KN37" s="68"/>
      <c r="KO37" s="68">
        <v>0</v>
      </c>
      <c r="KP37" s="68">
        <v>0</v>
      </c>
      <c r="KQ37" s="68">
        <v>0</v>
      </c>
      <c r="KR37" s="68">
        <v>0</v>
      </c>
      <c r="KS37" s="68">
        <v>0</v>
      </c>
      <c r="KT37" s="68"/>
      <c r="KU37" s="68">
        <v>-1000000</v>
      </c>
      <c r="KV37" s="68">
        <v>0</v>
      </c>
      <c r="KW37" s="68">
        <v>0</v>
      </c>
      <c r="KX37" s="68">
        <v>0</v>
      </c>
      <c r="KY37" s="68">
        <v>0</v>
      </c>
      <c r="KZ37" s="68">
        <v>0</v>
      </c>
      <c r="LA37" s="68">
        <v>0</v>
      </c>
      <c r="LB37" s="68"/>
      <c r="LC37" s="104">
        <v>0</v>
      </c>
      <c r="LD37" s="104">
        <v>0</v>
      </c>
      <c r="LE37" s="104">
        <v>0</v>
      </c>
      <c r="LF37" s="104">
        <v>0</v>
      </c>
      <c r="LG37" s="104">
        <v>0</v>
      </c>
      <c r="LH37" s="102" t="s">
        <v>187</v>
      </c>
      <c r="LI37" s="104">
        <v>0</v>
      </c>
      <c r="LJ37" s="102" t="s">
        <v>187</v>
      </c>
      <c r="LK37" s="104"/>
      <c r="LL37" s="102" t="s">
        <v>187</v>
      </c>
    </row>
    <row r="38" spans="1:324" ht="17.55" customHeight="1">
      <c r="A38" s="67" t="s">
        <v>184</v>
      </c>
      <c r="B38" s="91" t="s">
        <v>56</v>
      </c>
      <c r="C38" s="84">
        <v>0</v>
      </c>
      <c r="D38" s="84">
        <v>0</v>
      </c>
      <c r="E38" s="84">
        <v>0</v>
      </c>
      <c r="F38" s="85">
        <v>0</v>
      </c>
      <c r="G38" s="84" t="s">
        <v>130</v>
      </c>
      <c r="H38" s="84">
        <v>0</v>
      </c>
      <c r="I38" s="84">
        <v>0</v>
      </c>
      <c r="J38" s="84" t="s">
        <v>4</v>
      </c>
      <c r="K38" s="84">
        <v>0</v>
      </c>
      <c r="L38" s="84" t="s">
        <v>96</v>
      </c>
      <c r="M38" s="84" t="s">
        <v>96</v>
      </c>
      <c r="N38" s="84">
        <v>0</v>
      </c>
      <c r="O38" s="84">
        <v>0</v>
      </c>
      <c r="P38" s="84">
        <v>0</v>
      </c>
      <c r="Q38" s="84">
        <v>0</v>
      </c>
      <c r="R38" s="84" t="s">
        <v>130</v>
      </c>
      <c r="S38" s="84">
        <v>893046603</v>
      </c>
      <c r="T38" s="84" t="s">
        <v>96</v>
      </c>
      <c r="U38" s="84" t="s">
        <v>96</v>
      </c>
      <c r="V38" s="84" t="s">
        <v>4</v>
      </c>
      <c r="W38" s="84">
        <v>0</v>
      </c>
      <c r="X38" s="84">
        <v>0</v>
      </c>
      <c r="Y38" s="84">
        <v>0</v>
      </c>
      <c r="Z38" s="84">
        <v>0</v>
      </c>
      <c r="AA38" s="84">
        <v>0</v>
      </c>
      <c r="AB38" s="84">
        <v>0</v>
      </c>
      <c r="AC38" s="84">
        <v>0</v>
      </c>
      <c r="AD38" s="84"/>
      <c r="AE38" s="84">
        <v>0</v>
      </c>
      <c r="AF38" s="84" t="s">
        <v>96</v>
      </c>
      <c r="AG38" s="84">
        <v>0</v>
      </c>
      <c r="AH38" s="84" t="s">
        <v>130</v>
      </c>
      <c r="AI38" s="84">
        <v>0</v>
      </c>
      <c r="AJ38" s="84">
        <v>0</v>
      </c>
      <c r="AK38" s="84">
        <v>0</v>
      </c>
      <c r="AL38" s="84">
        <v>0</v>
      </c>
      <c r="AM38" s="84" t="s">
        <v>4</v>
      </c>
      <c r="AN38" s="84"/>
      <c r="AO38" s="84"/>
      <c r="AP38" s="84">
        <v>0</v>
      </c>
      <c r="AQ38" s="84" t="s">
        <v>4</v>
      </c>
      <c r="AR38" s="84">
        <v>0</v>
      </c>
      <c r="AS38" s="84">
        <v>0</v>
      </c>
      <c r="AT38" s="84" t="s">
        <v>96</v>
      </c>
      <c r="AU38" s="84">
        <v>0</v>
      </c>
      <c r="AV38" s="84">
        <v>0</v>
      </c>
      <c r="AW38" s="84">
        <v>0</v>
      </c>
      <c r="AX38" s="84" t="s">
        <v>4</v>
      </c>
      <c r="AY38" s="84" t="s">
        <v>96</v>
      </c>
      <c r="AZ38" s="84"/>
      <c r="BA38" s="84" t="s">
        <v>130</v>
      </c>
      <c r="BB38" s="84">
        <v>0</v>
      </c>
      <c r="BC38" s="84" t="s">
        <v>4</v>
      </c>
      <c r="BD38" s="84" t="s">
        <v>96</v>
      </c>
      <c r="BE38" s="84">
        <v>0</v>
      </c>
      <c r="BF38" s="84" t="s">
        <v>96</v>
      </c>
      <c r="BG38" s="84"/>
      <c r="BH38" s="84"/>
      <c r="BI38" s="84">
        <v>0</v>
      </c>
      <c r="BJ38" s="84">
        <v>0</v>
      </c>
      <c r="BK38" s="84"/>
      <c r="BL38" s="84"/>
      <c r="BM38" s="84">
        <v>801342</v>
      </c>
      <c r="BN38" s="84">
        <v>0</v>
      </c>
      <c r="BO38" s="84" t="s">
        <v>96</v>
      </c>
      <c r="BP38" s="84" t="s">
        <v>96</v>
      </c>
      <c r="BQ38" s="84" t="s">
        <v>4</v>
      </c>
      <c r="BR38" s="84"/>
      <c r="BS38" s="84" t="s">
        <v>4</v>
      </c>
      <c r="BT38" s="84" t="s">
        <v>96</v>
      </c>
      <c r="BU38" s="84">
        <v>0</v>
      </c>
      <c r="BV38" s="84">
        <v>0</v>
      </c>
      <c r="BW38" s="84">
        <v>0</v>
      </c>
      <c r="BX38" s="84">
        <v>0</v>
      </c>
      <c r="BY38" s="84">
        <v>0</v>
      </c>
      <c r="BZ38" s="84"/>
      <c r="CA38" s="84">
        <v>0</v>
      </c>
      <c r="CB38" s="84"/>
      <c r="CC38" s="84"/>
      <c r="CD38" s="84">
        <v>0</v>
      </c>
      <c r="CE38" s="84" t="s">
        <v>96</v>
      </c>
      <c r="CF38" s="84" t="s">
        <v>96</v>
      </c>
      <c r="CG38" s="84">
        <v>0</v>
      </c>
      <c r="CH38" s="84">
        <v>0</v>
      </c>
      <c r="CI38" s="84" t="s">
        <v>96</v>
      </c>
      <c r="CJ38" s="84"/>
      <c r="CK38" s="84">
        <v>1601400000</v>
      </c>
      <c r="CL38" s="84">
        <v>0</v>
      </c>
      <c r="CM38" s="84"/>
      <c r="CN38" s="84">
        <v>0</v>
      </c>
      <c r="CO38" s="84">
        <v>0</v>
      </c>
      <c r="CP38" s="84" t="s">
        <v>96</v>
      </c>
      <c r="CQ38" s="84" t="s">
        <v>96</v>
      </c>
      <c r="CR38" s="84">
        <v>0</v>
      </c>
      <c r="CS38" s="84" t="s">
        <v>96</v>
      </c>
      <c r="CT38" s="84"/>
      <c r="CU38" s="84">
        <v>5237417</v>
      </c>
      <c r="CV38" s="84"/>
      <c r="CW38" s="84" t="s">
        <v>96</v>
      </c>
      <c r="CX38" s="84">
        <v>0</v>
      </c>
      <c r="CY38" s="84" t="s">
        <v>96</v>
      </c>
      <c r="CZ38" s="84"/>
      <c r="DA38" s="84" t="s">
        <v>96</v>
      </c>
      <c r="DB38" s="84">
        <v>0</v>
      </c>
      <c r="DC38" s="84"/>
      <c r="DD38" s="84" t="s">
        <v>96</v>
      </c>
      <c r="DE38" s="84">
        <v>0</v>
      </c>
      <c r="DF38" s="84">
        <v>0</v>
      </c>
      <c r="DG38" s="84">
        <v>0</v>
      </c>
      <c r="DH38" s="84">
        <v>0</v>
      </c>
      <c r="DI38" s="84"/>
      <c r="DJ38" s="84">
        <v>0</v>
      </c>
      <c r="DK38" s="84" t="s">
        <v>96</v>
      </c>
      <c r="DL38" s="84">
        <v>0</v>
      </c>
      <c r="DM38" s="84">
        <v>0</v>
      </c>
      <c r="DN38" s="84">
        <v>0</v>
      </c>
      <c r="DO38" s="84"/>
      <c r="DP38" s="86"/>
      <c r="DQ38" s="84"/>
      <c r="DR38" s="84">
        <v>0</v>
      </c>
      <c r="DS38" s="84"/>
      <c r="DT38" s="84"/>
      <c r="DU38" s="84"/>
      <c r="DV38" s="84"/>
      <c r="DW38" s="84">
        <v>0</v>
      </c>
      <c r="DX38" s="84"/>
      <c r="DY38" s="84">
        <v>0</v>
      </c>
      <c r="DZ38" s="84">
        <v>0</v>
      </c>
      <c r="EA38" s="84">
        <v>0</v>
      </c>
      <c r="EB38" s="84">
        <v>0</v>
      </c>
      <c r="EC38" s="84">
        <v>0</v>
      </c>
      <c r="ED38" s="84">
        <v>0</v>
      </c>
      <c r="EE38" s="84">
        <v>0</v>
      </c>
      <c r="EF38" s="84">
        <v>0</v>
      </c>
      <c r="EG38" s="96">
        <v>0</v>
      </c>
      <c r="EH38" s="99">
        <v>0</v>
      </c>
      <c r="EI38" s="97"/>
      <c r="EJ38" s="84">
        <v>0</v>
      </c>
      <c r="EK38" s="84">
        <v>0</v>
      </c>
      <c r="EL38" s="84">
        <v>0</v>
      </c>
      <c r="EM38" s="84">
        <v>0</v>
      </c>
      <c r="EN38" s="84">
        <v>0</v>
      </c>
      <c r="EO38" s="84">
        <v>0</v>
      </c>
      <c r="EP38" s="84">
        <v>0</v>
      </c>
      <c r="EQ38" s="84"/>
      <c r="ER38" s="84">
        <v>0</v>
      </c>
      <c r="ES38" s="84"/>
      <c r="ET38" s="84"/>
      <c r="EU38" s="84">
        <v>-520000</v>
      </c>
      <c r="EV38" s="84">
        <v>0</v>
      </c>
      <c r="EW38" s="84">
        <v>0</v>
      </c>
      <c r="EX38" s="84"/>
      <c r="EY38" s="84">
        <v>0</v>
      </c>
      <c r="EZ38" s="84"/>
      <c r="FA38" s="84">
        <v>0</v>
      </c>
      <c r="FB38" s="86">
        <v>0</v>
      </c>
      <c r="FC38" s="84"/>
      <c r="FD38" s="84">
        <v>0</v>
      </c>
      <c r="FE38" s="84">
        <v>0</v>
      </c>
      <c r="FF38" s="84">
        <v>0</v>
      </c>
      <c r="FG38" s="84" t="s">
        <v>96</v>
      </c>
      <c r="FH38" s="84">
        <v>0</v>
      </c>
      <c r="FI38" s="84" t="s">
        <v>96</v>
      </c>
      <c r="FJ38" s="84">
        <v>0</v>
      </c>
      <c r="FK38" s="84">
        <v>0</v>
      </c>
      <c r="FL38" s="84">
        <v>0</v>
      </c>
      <c r="FM38" s="84" t="s">
        <v>130</v>
      </c>
      <c r="FN38" s="84">
        <v>0</v>
      </c>
      <c r="FO38" s="84" t="s">
        <v>96</v>
      </c>
      <c r="FP38" s="84" t="s">
        <v>96</v>
      </c>
      <c r="FQ38" s="84">
        <v>0</v>
      </c>
      <c r="FR38" s="84">
        <v>0</v>
      </c>
      <c r="FS38" s="84">
        <v>0</v>
      </c>
      <c r="FT38" s="84">
        <v>0</v>
      </c>
      <c r="FU38" s="84">
        <v>0</v>
      </c>
      <c r="FV38" s="84" t="s">
        <v>96</v>
      </c>
      <c r="FW38" s="84">
        <v>0</v>
      </c>
      <c r="FX38" s="84">
        <v>0</v>
      </c>
      <c r="FY38" s="84" t="s">
        <v>96</v>
      </c>
      <c r="FZ38" s="84" t="s">
        <v>4</v>
      </c>
      <c r="GA38" s="84"/>
      <c r="GB38" s="84">
        <v>0</v>
      </c>
      <c r="GC38" s="84">
        <v>0</v>
      </c>
      <c r="GD38" s="84" t="s">
        <v>96</v>
      </c>
      <c r="GE38" s="84" t="s">
        <v>4</v>
      </c>
      <c r="GF38" s="84">
        <v>0</v>
      </c>
      <c r="GG38" s="84">
        <v>0</v>
      </c>
      <c r="GH38" s="84" t="s">
        <v>4</v>
      </c>
      <c r="GI38" s="84">
        <v>0</v>
      </c>
      <c r="GJ38" s="84" t="s">
        <v>96</v>
      </c>
      <c r="GK38" s="84">
        <v>0</v>
      </c>
      <c r="GL38" s="84" t="s">
        <v>96</v>
      </c>
      <c r="GM38" s="84"/>
      <c r="GN38" s="84">
        <v>0</v>
      </c>
      <c r="GO38" s="84" t="s">
        <v>96</v>
      </c>
      <c r="GP38" s="84">
        <v>1354954460</v>
      </c>
      <c r="GQ38" s="84">
        <v>0</v>
      </c>
      <c r="GR38" s="84">
        <v>0</v>
      </c>
      <c r="GS38" s="84"/>
      <c r="GT38" s="84" t="s">
        <v>130</v>
      </c>
      <c r="GU38" s="84">
        <v>0</v>
      </c>
      <c r="GV38" s="84">
        <v>0</v>
      </c>
      <c r="GW38" s="84"/>
      <c r="GX38" s="84">
        <v>0</v>
      </c>
      <c r="GY38" s="84">
        <v>0</v>
      </c>
      <c r="GZ38" s="84">
        <v>0</v>
      </c>
      <c r="HA38" s="84" t="s">
        <v>96</v>
      </c>
      <c r="HB38" s="84"/>
      <c r="HC38" s="84" t="s">
        <v>130</v>
      </c>
      <c r="HD38" s="84">
        <v>0</v>
      </c>
      <c r="HE38" s="84" t="s">
        <v>96</v>
      </c>
      <c r="HF38" s="84">
        <v>0</v>
      </c>
      <c r="HG38" s="84">
        <v>0</v>
      </c>
      <c r="HH38" s="84" t="s">
        <v>96</v>
      </c>
      <c r="HI38" s="84">
        <v>0</v>
      </c>
      <c r="HJ38" s="84" t="s">
        <v>96</v>
      </c>
      <c r="HK38" s="84">
        <v>0</v>
      </c>
      <c r="HL38" s="84">
        <v>0</v>
      </c>
      <c r="HM38" s="84">
        <v>0</v>
      </c>
      <c r="HN38" s="84">
        <v>0</v>
      </c>
      <c r="HO38" s="84">
        <v>0</v>
      </c>
      <c r="HP38" s="84">
        <v>0</v>
      </c>
      <c r="HQ38" s="84">
        <v>0</v>
      </c>
      <c r="HR38" s="84">
        <v>0</v>
      </c>
      <c r="HS38" s="84">
        <v>0</v>
      </c>
      <c r="HT38" s="84"/>
      <c r="HU38" s="84" t="s">
        <v>130</v>
      </c>
      <c r="HV38" s="84">
        <v>0</v>
      </c>
      <c r="HW38" s="84" t="s">
        <v>96</v>
      </c>
      <c r="HX38" s="84">
        <v>1034703</v>
      </c>
      <c r="HY38" s="84" t="s">
        <v>114</v>
      </c>
      <c r="HZ38" s="84">
        <v>0</v>
      </c>
      <c r="IA38" s="84"/>
      <c r="IB38" s="84">
        <v>796426250</v>
      </c>
      <c r="IC38" s="84">
        <v>0</v>
      </c>
      <c r="ID38" s="84">
        <v>0</v>
      </c>
      <c r="IE38" s="84" t="s">
        <v>96</v>
      </c>
      <c r="IF38" s="84">
        <v>0</v>
      </c>
      <c r="IG38" s="84">
        <v>0</v>
      </c>
      <c r="IH38" s="84"/>
      <c r="II38" s="84">
        <v>0</v>
      </c>
      <c r="IJ38" s="84">
        <v>0</v>
      </c>
      <c r="IK38" s="84">
        <v>0</v>
      </c>
      <c r="IL38" s="84">
        <v>0</v>
      </c>
      <c r="IM38" s="84">
        <v>0</v>
      </c>
      <c r="IN38" s="84">
        <v>0</v>
      </c>
      <c r="IO38" s="84">
        <v>0</v>
      </c>
      <c r="IP38" s="84">
        <v>0</v>
      </c>
      <c r="IQ38" s="84">
        <v>0</v>
      </c>
      <c r="IR38" s="84">
        <v>0</v>
      </c>
      <c r="IS38" s="84">
        <v>5123365652</v>
      </c>
      <c r="IT38" s="84">
        <v>0</v>
      </c>
      <c r="IU38" s="84">
        <v>0</v>
      </c>
      <c r="IV38" s="84">
        <v>0</v>
      </c>
      <c r="IW38" s="84">
        <v>0</v>
      </c>
      <c r="IX38" s="84">
        <v>0</v>
      </c>
      <c r="IY38" s="68">
        <v>0</v>
      </c>
      <c r="IZ38" s="68">
        <v>0</v>
      </c>
      <c r="JA38" s="68">
        <v>0</v>
      </c>
      <c r="JB38" s="68">
        <v>0</v>
      </c>
      <c r="JC38" s="68">
        <v>0</v>
      </c>
      <c r="JD38" s="68">
        <v>0</v>
      </c>
      <c r="JE38" s="68"/>
      <c r="JF38" s="68">
        <v>0</v>
      </c>
      <c r="JG38" s="68"/>
      <c r="JH38" s="68">
        <v>0</v>
      </c>
      <c r="JI38" s="68">
        <v>0</v>
      </c>
      <c r="JJ38" s="68">
        <v>0</v>
      </c>
      <c r="JK38" s="68">
        <v>0</v>
      </c>
      <c r="JL38" s="68">
        <v>0</v>
      </c>
      <c r="JM38" s="68">
        <v>0</v>
      </c>
      <c r="JN38" s="68">
        <v>0</v>
      </c>
      <c r="JO38" s="68"/>
      <c r="JP38" s="68"/>
      <c r="JQ38" s="68" t="s">
        <v>4</v>
      </c>
      <c r="JR38" s="68">
        <v>0</v>
      </c>
      <c r="JS38" s="68">
        <v>0</v>
      </c>
      <c r="JT38" s="68"/>
      <c r="JU38" s="68">
        <v>0</v>
      </c>
      <c r="JV38" s="68">
        <v>0</v>
      </c>
      <c r="JW38" s="68"/>
      <c r="JX38" s="68">
        <v>0</v>
      </c>
      <c r="JY38" s="68"/>
      <c r="JZ38" s="68"/>
      <c r="KA38" s="68">
        <v>0</v>
      </c>
      <c r="KB38" s="68">
        <v>76056541</v>
      </c>
      <c r="KC38" s="68">
        <v>0</v>
      </c>
      <c r="KD38" s="68">
        <v>0</v>
      </c>
      <c r="KE38" s="68">
        <v>0</v>
      </c>
      <c r="KF38" s="68">
        <v>0</v>
      </c>
      <c r="KG38" s="68">
        <v>0</v>
      </c>
      <c r="KH38" s="68">
        <v>0</v>
      </c>
      <c r="KI38" s="68">
        <v>0</v>
      </c>
      <c r="KJ38" s="68">
        <v>0</v>
      </c>
      <c r="KK38" s="68">
        <v>0</v>
      </c>
      <c r="KL38" s="68">
        <v>-2022761</v>
      </c>
      <c r="KM38" s="68"/>
      <c r="KN38" s="68"/>
      <c r="KO38" s="68">
        <v>1285882542</v>
      </c>
      <c r="KP38" s="68">
        <v>0</v>
      </c>
      <c r="KQ38" s="68">
        <v>0</v>
      </c>
      <c r="KR38" s="68">
        <v>0</v>
      </c>
      <c r="KS38" s="68">
        <v>0</v>
      </c>
      <c r="KT38" s="68"/>
      <c r="KU38" s="68">
        <v>0</v>
      </c>
      <c r="KV38" s="68">
        <v>0</v>
      </c>
      <c r="KW38" s="68">
        <v>0</v>
      </c>
      <c r="KX38" s="68">
        <v>0</v>
      </c>
      <c r="KY38" s="68">
        <v>0</v>
      </c>
      <c r="KZ38" s="68">
        <v>0</v>
      </c>
      <c r="LA38" s="68">
        <v>0</v>
      </c>
      <c r="LB38" s="68"/>
      <c r="LC38" s="104">
        <v>0</v>
      </c>
      <c r="LD38" s="104">
        <v>0</v>
      </c>
      <c r="LE38" s="104">
        <v>0</v>
      </c>
      <c r="LF38" s="104">
        <v>0</v>
      </c>
      <c r="LG38" s="104">
        <v>0</v>
      </c>
      <c r="LH38" s="102" t="s">
        <v>187</v>
      </c>
      <c r="LI38" s="104">
        <v>0</v>
      </c>
      <c r="LJ38" s="102" t="s">
        <v>187</v>
      </c>
      <c r="LK38" s="104"/>
      <c r="LL38" s="102" t="s">
        <v>187</v>
      </c>
    </row>
    <row r="39" spans="1:324" ht="17.55" customHeight="1">
      <c r="A39" s="67" t="s">
        <v>184</v>
      </c>
      <c r="B39" s="91" t="s">
        <v>82</v>
      </c>
      <c r="C39" s="84">
        <v>197974900</v>
      </c>
      <c r="D39" s="84">
        <v>3117951987</v>
      </c>
      <c r="E39" s="84">
        <v>558650332</v>
      </c>
      <c r="F39" s="85">
        <v>1492131753</v>
      </c>
      <c r="G39" s="84" t="s">
        <v>130</v>
      </c>
      <c r="H39" s="84">
        <v>241359162</v>
      </c>
      <c r="I39" s="84">
        <v>-3347656550</v>
      </c>
      <c r="J39" s="84" t="s">
        <v>4</v>
      </c>
      <c r="K39" s="84">
        <v>95212723</v>
      </c>
      <c r="L39" s="84" t="s">
        <v>96</v>
      </c>
      <c r="M39" s="84" t="s">
        <v>96</v>
      </c>
      <c r="N39" s="84">
        <v>-182222192</v>
      </c>
      <c r="O39" s="84">
        <v>-188107690</v>
      </c>
      <c r="P39" s="84">
        <v>-691933148</v>
      </c>
      <c r="Q39" s="84">
        <v>58687732</v>
      </c>
      <c r="R39" s="84" t="s">
        <v>130</v>
      </c>
      <c r="S39" s="84">
        <v>1349999906</v>
      </c>
      <c r="T39" s="84" t="s">
        <v>96</v>
      </c>
      <c r="U39" s="84" t="s">
        <v>96</v>
      </c>
      <c r="V39" s="84" t="s">
        <v>4</v>
      </c>
      <c r="W39" s="84">
        <v>-1102835748</v>
      </c>
      <c r="X39" s="84">
        <v>4308096475</v>
      </c>
      <c r="Y39" s="84">
        <v>-253777733</v>
      </c>
      <c r="Z39" s="84">
        <v>-363813763</v>
      </c>
      <c r="AA39" s="84">
        <v>2254960275</v>
      </c>
      <c r="AB39" s="84">
        <v>36602870</v>
      </c>
      <c r="AC39" s="84">
        <v>1573036174</v>
      </c>
      <c r="AD39" s="84">
        <v>1338521850</v>
      </c>
      <c r="AE39" s="84">
        <v>404179853</v>
      </c>
      <c r="AF39" s="84" t="s">
        <v>96</v>
      </c>
      <c r="AG39" s="84">
        <v>-1846040343</v>
      </c>
      <c r="AH39" s="84" t="s">
        <v>130</v>
      </c>
      <c r="AI39" s="84">
        <v>-996620891</v>
      </c>
      <c r="AJ39" s="84">
        <v>241241797</v>
      </c>
      <c r="AK39" s="84">
        <v>1389469849</v>
      </c>
      <c r="AL39" s="84">
        <v>-974720655</v>
      </c>
      <c r="AM39" s="84" t="s">
        <v>4</v>
      </c>
      <c r="AN39" s="84">
        <v>464236190</v>
      </c>
      <c r="AO39" s="84">
        <v>-569110317</v>
      </c>
      <c r="AP39" s="84">
        <v>-710091167</v>
      </c>
      <c r="AQ39" s="84" t="s">
        <v>4</v>
      </c>
      <c r="AR39" s="84">
        <v>-750235181</v>
      </c>
      <c r="AS39" s="84">
        <v>314983687</v>
      </c>
      <c r="AT39" s="84" t="s">
        <v>96</v>
      </c>
      <c r="AU39" s="84">
        <v>585486359</v>
      </c>
      <c r="AV39" s="84">
        <v>450567504</v>
      </c>
      <c r="AW39" s="84">
        <v>185699988</v>
      </c>
      <c r="AX39" s="84" t="s">
        <v>4</v>
      </c>
      <c r="AY39" s="84" t="s">
        <v>96</v>
      </c>
      <c r="AZ39" s="84">
        <v>257443126</v>
      </c>
      <c r="BA39" s="84" t="s">
        <v>130</v>
      </c>
      <c r="BB39" s="84">
        <v>-178756162</v>
      </c>
      <c r="BC39" s="84" t="s">
        <v>4</v>
      </c>
      <c r="BD39" s="84" t="s">
        <v>96</v>
      </c>
      <c r="BE39" s="84">
        <v>304716865</v>
      </c>
      <c r="BF39" s="84" t="s">
        <v>96</v>
      </c>
      <c r="BG39" s="84"/>
      <c r="BH39" s="84">
        <v>-29419199</v>
      </c>
      <c r="BI39" s="84">
        <v>655058353</v>
      </c>
      <c r="BJ39" s="84">
        <v>70434410</v>
      </c>
      <c r="BK39" s="84">
        <v>-827811953</v>
      </c>
      <c r="BL39" s="84">
        <v>594302959</v>
      </c>
      <c r="BM39" s="84">
        <v>365397287</v>
      </c>
      <c r="BN39" s="84">
        <v>72081198</v>
      </c>
      <c r="BO39" s="84" t="s">
        <v>96</v>
      </c>
      <c r="BP39" s="84" t="s">
        <v>96</v>
      </c>
      <c r="BQ39" s="84" t="s">
        <v>4</v>
      </c>
      <c r="BR39" s="84">
        <v>5524889563</v>
      </c>
      <c r="BS39" s="84" t="s">
        <v>4</v>
      </c>
      <c r="BT39" s="84" t="s">
        <v>96</v>
      </c>
      <c r="BU39" s="84">
        <v>-101215000</v>
      </c>
      <c r="BV39" s="84">
        <v>191026603</v>
      </c>
      <c r="BW39" s="84">
        <v>3722336</v>
      </c>
      <c r="BX39" s="84">
        <v>5048001</v>
      </c>
      <c r="BY39" s="84">
        <v>-1107386286</v>
      </c>
      <c r="BZ39" s="84">
        <v>3243225403</v>
      </c>
      <c r="CA39" s="84">
        <v>-1464249688</v>
      </c>
      <c r="CB39" s="84">
        <v>60314873</v>
      </c>
      <c r="CC39" s="84">
        <v>-56929279</v>
      </c>
      <c r="CD39" s="84">
        <v>395643751</v>
      </c>
      <c r="CE39" s="84" t="s">
        <v>96</v>
      </c>
      <c r="CF39" s="84" t="s">
        <v>96</v>
      </c>
      <c r="CG39" s="84">
        <v>116643306</v>
      </c>
      <c r="CH39" s="84">
        <v>464237728</v>
      </c>
      <c r="CI39" s="84" t="s">
        <v>96</v>
      </c>
      <c r="CJ39" s="84">
        <v>49465424</v>
      </c>
      <c r="CK39" s="84">
        <v>-1847544398</v>
      </c>
      <c r="CL39" s="84">
        <v>-154345331</v>
      </c>
      <c r="CM39" s="84">
        <v>2037870260</v>
      </c>
      <c r="CN39" s="84">
        <v>-51174825</v>
      </c>
      <c r="CO39" s="84">
        <v>-1067888</v>
      </c>
      <c r="CP39" s="84" t="s">
        <v>96</v>
      </c>
      <c r="CQ39" s="84" t="s">
        <v>96</v>
      </c>
      <c r="CR39" s="84">
        <v>449148443</v>
      </c>
      <c r="CS39" s="84" t="s">
        <v>96</v>
      </c>
      <c r="CT39" s="84">
        <v>-43401276674</v>
      </c>
      <c r="CU39" s="84">
        <v>65451160</v>
      </c>
      <c r="CV39" s="84">
        <v>-284416654</v>
      </c>
      <c r="CW39" s="84" t="s">
        <v>96</v>
      </c>
      <c r="CX39" s="84">
        <v>-10063632197</v>
      </c>
      <c r="CY39" s="84" t="s">
        <v>96</v>
      </c>
      <c r="CZ39" s="84">
        <v>1725769444</v>
      </c>
      <c r="DA39" s="84" t="s">
        <v>96</v>
      </c>
      <c r="DB39" s="84">
        <v>530331722</v>
      </c>
      <c r="DC39" s="84">
        <v>-57588311</v>
      </c>
      <c r="DD39" s="84" t="s">
        <v>96</v>
      </c>
      <c r="DE39" s="84">
        <v>579750639</v>
      </c>
      <c r="DF39" s="84">
        <v>-52805684</v>
      </c>
      <c r="DG39" s="84">
        <v>-70547093</v>
      </c>
      <c r="DH39" s="84">
        <v>12065956</v>
      </c>
      <c r="DI39" s="84">
        <v>909185979</v>
      </c>
      <c r="DJ39" s="84">
        <v>221134461</v>
      </c>
      <c r="DK39" s="84" t="s">
        <v>96</v>
      </c>
      <c r="DL39" s="84">
        <v>102067080</v>
      </c>
      <c r="DM39" s="84">
        <v>-397890164</v>
      </c>
      <c r="DN39" s="84">
        <v>-685175043</v>
      </c>
      <c r="DO39" s="84">
        <v>-10465870</v>
      </c>
      <c r="DP39" s="86">
        <v>767302673</v>
      </c>
      <c r="DQ39" s="84">
        <v>69223609</v>
      </c>
      <c r="DR39" s="84">
        <v>-995544841</v>
      </c>
      <c r="DS39" s="84">
        <v>-72935654</v>
      </c>
      <c r="DT39" s="84">
        <v>1514244516</v>
      </c>
      <c r="DU39" s="84">
        <v>35757852</v>
      </c>
      <c r="DV39" s="84"/>
      <c r="DW39" s="84">
        <v>923699014</v>
      </c>
      <c r="DX39" s="84">
        <v>-3009813711</v>
      </c>
      <c r="DY39" s="84">
        <v>281583623</v>
      </c>
      <c r="DZ39" s="84">
        <v>597738246</v>
      </c>
      <c r="EA39" s="84">
        <v>70117531</v>
      </c>
      <c r="EB39" s="84">
        <v>2080104597</v>
      </c>
      <c r="EC39" s="84">
        <v>-24233022</v>
      </c>
      <c r="ED39" s="84">
        <v>271501123</v>
      </c>
      <c r="EE39" s="84">
        <v>959155413</v>
      </c>
      <c r="EF39" s="84">
        <v>1242880123</v>
      </c>
      <c r="EG39" s="96">
        <v>-19230934491</v>
      </c>
      <c r="EH39" s="99">
        <v>-204275050</v>
      </c>
      <c r="EI39" s="97">
        <v>-25943776704</v>
      </c>
      <c r="EJ39" s="84">
        <v>142974363</v>
      </c>
      <c r="EK39" s="84">
        <v>-3716987536</v>
      </c>
      <c r="EL39" s="84">
        <v>1373551517</v>
      </c>
      <c r="EM39" s="84">
        <v>924495815</v>
      </c>
      <c r="EN39" s="84">
        <v>3152051083</v>
      </c>
      <c r="EO39" s="84">
        <v>-17094766</v>
      </c>
      <c r="EP39" s="84">
        <v>-278846724</v>
      </c>
      <c r="EQ39" s="84">
        <v>2749026445</v>
      </c>
      <c r="ER39" s="84">
        <v>-571076375</v>
      </c>
      <c r="ES39" s="84">
        <v>132786419</v>
      </c>
      <c r="ET39" s="84">
        <v>-15179622623</v>
      </c>
      <c r="EU39" s="84">
        <v>2127233853</v>
      </c>
      <c r="EV39" s="84">
        <v>47526963</v>
      </c>
      <c r="EW39" s="84">
        <v>-32232009</v>
      </c>
      <c r="EX39" s="84">
        <v>1072172520</v>
      </c>
      <c r="EY39" s="84">
        <v>2211420905</v>
      </c>
      <c r="EZ39" s="84">
        <v>-274269400</v>
      </c>
      <c r="FA39" s="84">
        <v>-417732417</v>
      </c>
      <c r="FB39" s="86">
        <v>-64323311</v>
      </c>
      <c r="FC39" s="84">
        <v>115421078</v>
      </c>
      <c r="FD39" s="84">
        <v>-301440164</v>
      </c>
      <c r="FE39" s="84">
        <v>3231927178</v>
      </c>
      <c r="FF39" s="84">
        <v>63481524</v>
      </c>
      <c r="FG39" s="84" t="s">
        <v>96</v>
      </c>
      <c r="FH39" s="84">
        <v>317824576</v>
      </c>
      <c r="FI39" s="84" t="s">
        <v>96</v>
      </c>
      <c r="FJ39" s="84">
        <v>258967876</v>
      </c>
      <c r="FK39" s="84">
        <v>167379098</v>
      </c>
      <c r="FL39" s="84">
        <v>-1073138324</v>
      </c>
      <c r="FM39" s="84" t="s">
        <v>130</v>
      </c>
      <c r="FN39" s="84">
        <v>-7501365274</v>
      </c>
      <c r="FO39" s="84" t="s">
        <v>96</v>
      </c>
      <c r="FP39" s="84" t="s">
        <v>96</v>
      </c>
      <c r="FQ39" s="84">
        <v>-165676759</v>
      </c>
      <c r="FR39" s="84">
        <v>208020747</v>
      </c>
      <c r="FS39" s="84">
        <v>-1010682894</v>
      </c>
      <c r="FT39" s="84">
        <v>1618004432</v>
      </c>
      <c r="FU39" s="84">
        <v>-25108374</v>
      </c>
      <c r="FV39" s="84" t="s">
        <v>96</v>
      </c>
      <c r="FW39" s="84">
        <v>-119051356</v>
      </c>
      <c r="FX39" s="84">
        <v>-545060875</v>
      </c>
      <c r="FY39" s="84" t="s">
        <v>96</v>
      </c>
      <c r="FZ39" s="84" t="s">
        <v>4</v>
      </c>
      <c r="GA39" s="84">
        <v>-2584150456</v>
      </c>
      <c r="GB39" s="84">
        <v>-492714122</v>
      </c>
      <c r="GC39" s="84">
        <v>227404910</v>
      </c>
      <c r="GD39" s="84" t="s">
        <v>96</v>
      </c>
      <c r="GE39" s="84" t="s">
        <v>4</v>
      </c>
      <c r="GF39" s="84">
        <v>-765585265</v>
      </c>
      <c r="GG39" s="84">
        <v>-5849268330</v>
      </c>
      <c r="GH39" s="84" t="s">
        <v>4</v>
      </c>
      <c r="GI39" s="84">
        <v>565798</v>
      </c>
      <c r="GJ39" s="84" t="s">
        <v>96</v>
      </c>
      <c r="GK39" s="84">
        <v>-180245996</v>
      </c>
      <c r="GL39" s="84" t="s">
        <v>96</v>
      </c>
      <c r="GM39" s="84">
        <v>41607196</v>
      </c>
      <c r="GN39" s="84">
        <v>-542766574</v>
      </c>
      <c r="GO39" s="84" t="s">
        <v>96</v>
      </c>
      <c r="GP39" s="84">
        <v>1757723097</v>
      </c>
      <c r="GQ39" s="84">
        <v>349846991</v>
      </c>
      <c r="GR39" s="84">
        <v>824698070</v>
      </c>
      <c r="GS39" s="84">
        <v>-979215083</v>
      </c>
      <c r="GT39" s="84" t="s">
        <v>130</v>
      </c>
      <c r="GU39" s="84">
        <v>-951343</v>
      </c>
      <c r="GV39" s="84">
        <v>1884872565</v>
      </c>
      <c r="GW39" s="84">
        <v>-23320923317</v>
      </c>
      <c r="GX39" s="84">
        <v>178475074</v>
      </c>
      <c r="GY39" s="84">
        <v>-3515559123</v>
      </c>
      <c r="GZ39" s="84">
        <v>347269964</v>
      </c>
      <c r="HA39" s="84" t="s">
        <v>96</v>
      </c>
      <c r="HB39" s="84">
        <v>1291617648</v>
      </c>
      <c r="HC39" s="84" t="s">
        <v>130</v>
      </c>
      <c r="HD39" s="84">
        <v>307882874</v>
      </c>
      <c r="HE39" s="84" t="s">
        <v>96</v>
      </c>
      <c r="HF39" s="84">
        <v>1036744958</v>
      </c>
      <c r="HG39" s="84">
        <v>661291689</v>
      </c>
      <c r="HH39" s="84" t="s">
        <v>96</v>
      </c>
      <c r="HI39" s="84">
        <v>-6039749424</v>
      </c>
      <c r="HJ39" s="84" t="s">
        <v>96</v>
      </c>
      <c r="HK39" s="84">
        <v>-4111280949</v>
      </c>
      <c r="HL39" s="84">
        <v>2260265170</v>
      </c>
      <c r="HM39" s="84">
        <v>-69580220</v>
      </c>
      <c r="HN39" s="84">
        <v>-109141972</v>
      </c>
      <c r="HO39" s="84">
        <v>992623043</v>
      </c>
      <c r="HP39" s="84">
        <v>591927809</v>
      </c>
      <c r="HQ39" s="84">
        <v>265037716</v>
      </c>
      <c r="HR39" s="84">
        <v>67580869</v>
      </c>
      <c r="HS39" s="84">
        <v>255995972</v>
      </c>
      <c r="HT39" s="84">
        <v>23022729</v>
      </c>
      <c r="HU39" s="84" t="s">
        <v>130</v>
      </c>
      <c r="HV39" s="84">
        <v>823636</v>
      </c>
      <c r="HW39" s="84" t="s">
        <v>96</v>
      </c>
      <c r="HX39" s="84">
        <v>933246135</v>
      </c>
      <c r="HY39" s="84" t="s">
        <v>114</v>
      </c>
      <c r="HZ39" s="84">
        <v>2379034119</v>
      </c>
      <c r="IA39" s="84">
        <v>694049235</v>
      </c>
      <c r="IB39" s="84">
        <v>-7796879</v>
      </c>
      <c r="IC39" s="84">
        <v>812492766</v>
      </c>
      <c r="ID39" s="84">
        <v>-14252685</v>
      </c>
      <c r="IE39" s="84" t="s">
        <v>96</v>
      </c>
      <c r="IF39" s="84">
        <v>-12700605</v>
      </c>
      <c r="IG39" s="84">
        <v>-12851137</v>
      </c>
      <c r="IH39" s="84">
        <v>417921536</v>
      </c>
      <c r="II39" s="84">
        <v>-27983830</v>
      </c>
      <c r="IJ39" s="84">
        <v>-379525604</v>
      </c>
      <c r="IK39" s="84">
        <v>104099307</v>
      </c>
      <c r="IL39" s="84">
        <v>178682705</v>
      </c>
      <c r="IM39" s="84">
        <v>-3395234945</v>
      </c>
      <c r="IN39" s="84">
        <v>-6668754125</v>
      </c>
      <c r="IO39" s="84">
        <v>-467981009</v>
      </c>
      <c r="IP39" s="84">
        <v>182004216</v>
      </c>
      <c r="IQ39" s="84">
        <v>246303284</v>
      </c>
      <c r="IR39" s="84">
        <v>667420166</v>
      </c>
      <c r="IS39" s="84">
        <v>421059805</v>
      </c>
      <c r="IT39" s="98">
        <v>368853827</v>
      </c>
      <c r="IU39" s="84">
        <v>1229787047</v>
      </c>
      <c r="IV39" s="84">
        <v>191968563</v>
      </c>
      <c r="IW39" s="84">
        <v>-250435789</v>
      </c>
      <c r="IX39" s="84">
        <v>99366966</v>
      </c>
      <c r="IY39" s="68">
        <v>-64166237</v>
      </c>
      <c r="IZ39" s="68">
        <v>99270360</v>
      </c>
      <c r="JA39" s="68">
        <v>951975454</v>
      </c>
      <c r="JB39" s="68">
        <v>-220360070</v>
      </c>
      <c r="JC39" s="68">
        <v>-35146815</v>
      </c>
      <c r="JD39" s="68">
        <v>764806669</v>
      </c>
      <c r="JE39" s="68">
        <v>221661482</v>
      </c>
      <c r="JF39" s="68">
        <v>445729944</v>
      </c>
      <c r="JG39" s="68">
        <v>-67234361</v>
      </c>
      <c r="JH39" s="68">
        <v>-109934328</v>
      </c>
      <c r="JI39" s="68">
        <v>-56202173</v>
      </c>
      <c r="JJ39" s="68">
        <v>-53024808</v>
      </c>
      <c r="JK39" s="68">
        <v>-48331810</v>
      </c>
      <c r="JL39" s="68">
        <v>379911727</v>
      </c>
      <c r="JM39" s="68">
        <v>135635065</v>
      </c>
      <c r="JN39" s="68">
        <v>1187731203</v>
      </c>
      <c r="JO39" s="68">
        <v>-121827321</v>
      </c>
      <c r="JP39" s="68">
        <v>117775840</v>
      </c>
      <c r="JQ39" s="68" t="s">
        <v>4</v>
      </c>
      <c r="JR39" s="68">
        <v>-455587384</v>
      </c>
      <c r="JS39" s="68">
        <v>-258679818</v>
      </c>
      <c r="JT39" s="68">
        <v>-292566670</v>
      </c>
      <c r="JU39" s="68">
        <v>119809535</v>
      </c>
      <c r="JV39" s="68">
        <v>-264505290</v>
      </c>
      <c r="JW39" s="68">
        <v>143665030</v>
      </c>
      <c r="JX39" s="68">
        <v>1057040435</v>
      </c>
      <c r="JY39" s="68">
        <v>503344066</v>
      </c>
      <c r="JZ39" s="68">
        <v>-33435153</v>
      </c>
      <c r="KA39" s="68">
        <v>167542253</v>
      </c>
      <c r="KB39" s="68">
        <v>2667151364</v>
      </c>
      <c r="KC39" s="68">
        <v>-155410755</v>
      </c>
      <c r="KD39" s="68">
        <v>31796965</v>
      </c>
      <c r="KE39" s="68">
        <v>-106417479</v>
      </c>
      <c r="KF39" s="68">
        <v>-2709113991</v>
      </c>
      <c r="KG39" s="68">
        <v>63453053</v>
      </c>
      <c r="KH39" s="68">
        <v>72984378</v>
      </c>
      <c r="KI39" s="68">
        <v>51579825</v>
      </c>
      <c r="KJ39" s="68">
        <v>536709567</v>
      </c>
      <c r="KK39" s="68">
        <v>-3846000444</v>
      </c>
      <c r="KL39" s="68">
        <v>-62595939499</v>
      </c>
      <c r="KM39" s="68">
        <v>-276736025</v>
      </c>
      <c r="KN39" s="68">
        <v>-5184613474</v>
      </c>
      <c r="KO39" s="68">
        <v>-5092408778</v>
      </c>
      <c r="KP39" s="68">
        <v>100252082</v>
      </c>
      <c r="KQ39" s="68">
        <v>-21563670</v>
      </c>
      <c r="KR39" s="68">
        <v>-270427352</v>
      </c>
      <c r="KS39" s="68">
        <v>256705532</v>
      </c>
      <c r="KT39" s="68">
        <v>-83892478</v>
      </c>
      <c r="KU39" s="68">
        <v>-163159885</v>
      </c>
      <c r="KV39" s="68">
        <v>58601833</v>
      </c>
      <c r="KW39" s="68">
        <v>52257031</v>
      </c>
      <c r="KX39" s="68">
        <v>-95067060</v>
      </c>
      <c r="KY39" s="68">
        <v>243312911</v>
      </c>
      <c r="KZ39" s="68">
        <v>71416680</v>
      </c>
      <c r="LA39" s="68">
        <v>403360308</v>
      </c>
      <c r="LB39" s="68">
        <v>-40585365</v>
      </c>
      <c r="LC39" s="104">
        <v>580259001</v>
      </c>
      <c r="LD39" s="104">
        <v>-65585629</v>
      </c>
      <c r="LE39" s="104">
        <v>1145131779</v>
      </c>
      <c r="LF39" s="104">
        <v>167711776</v>
      </c>
      <c r="LG39" s="104">
        <v>12050088</v>
      </c>
      <c r="LH39" s="102" t="s">
        <v>187</v>
      </c>
      <c r="LI39" s="104">
        <v>25662894</v>
      </c>
      <c r="LJ39" s="102" t="s">
        <v>187</v>
      </c>
      <c r="LK39" s="104">
        <v>704614482</v>
      </c>
      <c r="LL39" s="102" t="s">
        <v>187</v>
      </c>
    </row>
    <row r="40" spans="1:324">
      <c r="A40" s="69" t="s">
        <v>185</v>
      </c>
      <c r="B40" s="92" t="s">
        <v>85</v>
      </c>
      <c r="C40" s="84">
        <v>2127895047</v>
      </c>
      <c r="D40" s="84">
        <v>4114133541</v>
      </c>
      <c r="E40" s="84">
        <v>2504925512</v>
      </c>
      <c r="F40" s="84">
        <v>1606868262</v>
      </c>
      <c r="G40" s="84" t="s">
        <v>130</v>
      </c>
      <c r="H40" s="84">
        <v>2293523143</v>
      </c>
      <c r="I40" s="84">
        <v>10936723961</v>
      </c>
      <c r="J40" s="84" t="s">
        <v>4</v>
      </c>
      <c r="K40" s="84">
        <v>3814795486</v>
      </c>
      <c r="L40" s="84" t="s">
        <v>96</v>
      </c>
      <c r="M40" s="84" t="s">
        <v>96</v>
      </c>
      <c r="N40" s="84">
        <v>559713379</v>
      </c>
      <c r="O40" s="84">
        <v>4124899122</v>
      </c>
      <c r="P40" s="84">
        <v>7002670131</v>
      </c>
      <c r="Q40" s="84">
        <v>299652545</v>
      </c>
      <c r="R40" s="84" t="s">
        <v>130</v>
      </c>
      <c r="S40" s="84">
        <v>16747963824</v>
      </c>
      <c r="T40" s="84" t="s">
        <v>96</v>
      </c>
      <c r="U40" s="84" t="s">
        <v>96</v>
      </c>
      <c r="V40" s="84" t="s">
        <v>4</v>
      </c>
      <c r="W40" s="84">
        <v>835776268</v>
      </c>
      <c r="X40" s="84">
        <v>3890028500</v>
      </c>
      <c r="Y40" s="84">
        <v>542301502</v>
      </c>
      <c r="Z40" s="84">
        <v>1007621540</v>
      </c>
      <c r="AA40" s="84">
        <v>5456272594</v>
      </c>
      <c r="AB40" s="84">
        <v>310471088</v>
      </c>
      <c r="AC40" s="84">
        <v>3030654919</v>
      </c>
      <c r="AD40" s="84">
        <v>3964145378</v>
      </c>
      <c r="AE40" s="84">
        <v>1635057076</v>
      </c>
      <c r="AF40" s="84" t="s">
        <v>96</v>
      </c>
      <c r="AG40" s="84">
        <v>122531813</v>
      </c>
      <c r="AH40" s="84" t="s">
        <v>130</v>
      </c>
      <c r="AI40" s="84">
        <v>870153299</v>
      </c>
      <c r="AJ40" s="84">
        <v>474782181</v>
      </c>
      <c r="AK40" s="84">
        <v>2458378466</v>
      </c>
      <c r="AL40" s="84">
        <v>1180438556</v>
      </c>
      <c r="AM40" s="84" t="s">
        <v>4</v>
      </c>
      <c r="AN40" s="84">
        <v>1351212340</v>
      </c>
      <c r="AO40" s="84">
        <v>1112802503</v>
      </c>
      <c r="AP40" s="84">
        <v>859990647</v>
      </c>
      <c r="AQ40" s="84" t="s">
        <v>4</v>
      </c>
      <c r="AR40" s="84">
        <v>1379990019</v>
      </c>
      <c r="AS40" s="84">
        <v>1462906662</v>
      </c>
      <c r="AT40" s="84" t="s">
        <v>96</v>
      </c>
      <c r="AU40" s="84">
        <v>4189819918</v>
      </c>
      <c r="AV40" s="84">
        <v>245776232</v>
      </c>
      <c r="AW40" s="84">
        <v>342539896</v>
      </c>
      <c r="AX40" s="84" t="s">
        <v>4</v>
      </c>
      <c r="AY40" s="84" t="s">
        <v>96</v>
      </c>
      <c r="AZ40" s="84">
        <v>1459100956</v>
      </c>
      <c r="BA40" s="84" t="s">
        <v>130</v>
      </c>
      <c r="BB40" s="84">
        <v>13036146</v>
      </c>
      <c r="BC40" s="84" t="s">
        <v>4</v>
      </c>
      <c r="BD40" s="84" t="s">
        <v>96</v>
      </c>
      <c r="BE40" s="84">
        <v>946296304</v>
      </c>
      <c r="BF40" s="84" t="s">
        <v>96</v>
      </c>
      <c r="BG40" s="84">
        <v>2123533906</v>
      </c>
      <c r="BH40" s="84">
        <v>862278313</v>
      </c>
      <c r="BI40" s="84">
        <v>848284271</v>
      </c>
      <c r="BJ40" s="84">
        <v>885506308</v>
      </c>
      <c r="BK40" s="84">
        <v>3544759912</v>
      </c>
      <c r="BL40" s="84">
        <v>421409786</v>
      </c>
      <c r="BM40" s="84">
        <v>3475595281</v>
      </c>
      <c r="BN40" s="84">
        <v>268092714</v>
      </c>
      <c r="BO40" s="84" t="s">
        <v>96</v>
      </c>
      <c r="BP40" s="84" t="s">
        <v>96</v>
      </c>
      <c r="BQ40" s="84" t="s">
        <v>4</v>
      </c>
      <c r="BR40" s="84">
        <v>13125306043</v>
      </c>
      <c r="BS40" s="84" t="s">
        <v>4</v>
      </c>
      <c r="BT40" s="84" t="s">
        <v>96</v>
      </c>
      <c r="BU40" s="85">
        <v>1409243981</v>
      </c>
      <c r="BV40" s="84">
        <v>364175387</v>
      </c>
      <c r="BW40" s="84">
        <v>761502969</v>
      </c>
      <c r="BX40" s="84">
        <v>595402032</v>
      </c>
      <c r="BY40" s="84">
        <v>6737938874</v>
      </c>
      <c r="BZ40" s="84">
        <v>1516851146</v>
      </c>
      <c r="CA40" s="84">
        <v>6242581131</v>
      </c>
      <c r="CB40" s="84">
        <v>715940730</v>
      </c>
      <c r="CC40" s="84">
        <v>1728339493</v>
      </c>
      <c r="CD40" s="84">
        <v>2624052248</v>
      </c>
      <c r="CE40" s="84" t="s">
        <v>96</v>
      </c>
      <c r="CF40" s="84" t="s">
        <v>96</v>
      </c>
      <c r="CG40" s="84">
        <v>1183334759</v>
      </c>
      <c r="CH40" s="84">
        <v>470424978</v>
      </c>
      <c r="CI40" s="84" t="s">
        <v>96</v>
      </c>
      <c r="CJ40" s="84">
        <v>295509383</v>
      </c>
      <c r="CK40" s="84">
        <v>2544033438</v>
      </c>
      <c r="CL40" s="84">
        <v>416452138</v>
      </c>
      <c r="CM40" s="84">
        <v>10624113932</v>
      </c>
      <c r="CN40" s="84">
        <v>285695035</v>
      </c>
      <c r="CO40" s="84">
        <v>100262132</v>
      </c>
      <c r="CP40" s="84" t="s">
        <v>96</v>
      </c>
      <c r="CQ40" s="84" t="s">
        <v>96</v>
      </c>
      <c r="CR40" s="84">
        <v>1014298696</v>
      </c>
      <c r="CS40" s="84" t="s">
        <v>96</v>
      </c>
      <c r="CT40" s="84">
        <v>5819871288</v>
      </c>
      <c r="CU40" s="84">
        <v>4843122959</v>
      </c>
      <c r="CV40" s="84">
        <v>168589541</v>
      </c>
      <c r="CW40" s="84" t="s">
        <v>96</v>
      </c>
      <c r="CX40" s="84">
        <v>9241093541</v>
      </c>
      <c r="CY40" s="84" t="s">
        <v>96</v>
      </c>
      <c r="CZ40" s="84">
        <v>2218785504</v>
      </c>
      <c r="DA40" s="84" t="s">
        <v>96</v>
      </c>
      <c r="DB40" s="86">
        <v>684918275</v>
      </c>
      <c r="DC40" s="84">
        <v>48181320</v>
      </c>
      <c r="DD40" s="84" t="s">
        <v>96</v>
      </c>
      <c r="DE40" s="84">
        <v>1647301350</v>
      </c>
      <c r="DF40" s="84">
        <v>39228996</v>
      </c>
      <c r="DG40" s="84">
        <v>1665295609</v>
      </c>
      <c r="DH40" s="84">
        <v>4254958580</v>
      </c>
      <c r="DI40" s="84">
        <v>6165655571</v>
      </c>
      <c r="DJ40" s="84">
        <v>288348393</v>
      </c>
      <c r="DK40" s="84" t="s">
        <v>96</v>
      </c>
      <c r="DL40" s="84">
        <v>1103238650</v>
      </c>
      <c r="DM40" s="84">
        <v>605679974</v>
      </c>
      <c r="DN40" s="84">
        <v>1031104494</v>
      </c>
      <c r="DO40" s="84">
        <v>104958163</v>
      </c>
      <c r="DP40" s="84">
        <v>1897639992</v>
      </c>
      <c r="DQ40" s="84">
        <v>265748791</v>
      </c>
      <c r="DR40" s="84">
        <v>1320205273</v>
      </c>
      <c r="DS40" s="84">
        <v>809324590</v>
      </c>
      <c r="DT40" s="84">
        <v>4917874205</v>
      </c>
      <c r="DU40" s="84">
        <v>398486750</v>
      </c>
      <c r="DV40" s="84">
        <v>10352802506</v>
      </c>
      <c r="DW40" s="84">
        <v>1371142259</v>
      </c>
      <c r="DX40" s="84">
        <v>12349812740</v>
      </c>
      <c r="DY40" s="84">
        <v>964115260</v>
      </c>
      <c r="DZ40" s="84">
        <v>887650706</v>
      </c>
      <c r="EA40" s="84">
        <v>62792898</v>
      </c>
      <c r="EB40" s="84">
        <v>15417545492</v>
      </c>
      <c r="EC40" s="84">
        <v>717113672</v>
      </c>
      <c r="ED40" s="84">
        <v>139512011</v>
      </c>
      <c r="EE40" s="84">
        <v>1260273045</v>
      </c>
      <c r="EF40" s="84">
        <v>923311867</v>
      </c>
      <c r="EG40" s="96">
        <v>10345416918</v>
      </c>
      <c r="EH40" s="99">
        <v>125759930</v>
      </c>
      <c r="EI40" s="97">
        <v>28253335608</v>
      </c>
      <c r="EJ40" s="84">
        <v>252979900</v>
      </c>
      <c r="EK40" s="84">
        <v>1573797987</v>
      </c>
      <c r="EL40" s="84">
        <v>2245465992</v>
      </c>
      <c r="EM40" s="84">
        <v>829433035</v>
      </c>
      <c r="EN40" s="84">
        <v>8153214171</v>
      </c>
      <c r="EO40" s="84">
        <v>1084766583</v>
      </c>
      <c r="EP40" s="84">
        <v>1156689043</v>
      </c>
      <c r="EQ40" s="84">
        <v>9369117112</v>
      </c>
      <c r="ER40" s="84">
        <v>10779168241</v>
      </c>
      <c r="ES40" s="84">
        <v>852460041</v>
      </c>
      <c r="ET40" s="84">
        <v>6953594230</v>
      </c>
      <c r="EU40" s="84">
        <v>3862400108</v>
      </c>
      <c r="EV40" s="84">
        <v>420951019</v>
      </c>
      <c r="EW40" s="84">
        <v>714988976</v>
      </c>
      <c r="EX40" s="84">
        <v>4177739975</v>
      </c>
      <c r="EY40" s="84">
        <v>8184403478</v>
      </c>
      <c r="EZ40" s="84">
        <v>956220910</v>
      </c>
      <c r="FA40" s="84">
        <v>999451236</v>
      </c>
      <c r="FB40" s="84">
        <v>635489608</v>
      </c>
      <c r="FC40" s="84">
        <v>2298336698</v>
      </c>
      <c r="FD40" s="84">
        <v>314647851</v>
      </c>
      <c r="FE40" s="84">
        <v>41161565230</v>
      </c>
      <c r="FF40" s="84">
        <v>571285729</v>
      </c>
      <c r="FG40" s="84" t="s">
        <v>96</v>
      </c>
      <c r="FH40" s="84">
        <v>1996789359</v>
      </c>
      <c r="FI40" s="84" t="s">
        <v>96</v>
      </c>
      <c r="FJ40" s="84">
        <v>494040113</v>
      </c>
      <c r="FK40" s="84">
        <v>5381908098</v>
      </c>
      <c r="FL40" s="84">
        <v>428350736</v>
      </c>
      <c r="FM40" s="84" t="s">
        <v>130</v>
      </c>
      <c r="FN40" s="84">
        <v>4565047428</v>
      </c>
      <c r="FO40" s="84" t="s">
        <v>96</v>
      </c>
      <c r="FP40" s="84" t="s">
        <v>96</v>
      </c>
      <c r="FQ40" s="84">
        <v>44170000</v>
      </c>
      <c r="FR40" s="84">
        <v>641087693</v>
      </c>
      <c r="FS40" s="86">
        <v>663511368</v>
      </c>
      <c r="FT40" s="84">
        <v>10521658753</v>
      </c>
      <c r="FU40" s="84">
        <v>138572340</v>
      </c>
      <c r="FV40" s="84" t="s">
        <v>96</v>
      </c>
      <c r="FW40" s="84">
        <v>20897245</v>
      </c>
      <c r="FX40" s="84">
        <v>170644105</v>
      </c>
      <c r="FY40" s="84" t="s">
        <v>96</v>
      </c>
      <c r="FZ40" s="84" t="s">
        <v>4</v>
      </c>
      <c r="GA40" s="84">
        <v>2816464906</v>
      </c>
      <c r="GB40" s="84">
        <v>808812977</v>
      </c>
      <c r="GC40" s="84">
        <v>165695437</v>
      </c>
      <c r="GD40" s="84" t="s">
        <v>96</v>
      </c>
      <c r="GE40" s="84" t="s">
        <v>4</v>
      </c>
      <c r="GF40" s="84">
        <v>1895675971</v>
      </c>
      <c r="GG40" s="84">
        <v>2564215298</v>
      </c>
      <c r="GH40" s="84" t="s">
        <v>4</v>
      </c>
      <c r="GI40" s="84">
        <v>93652575</v>
      </c>
      <c r="GJ40" s="84" t="s">
        <v>96</v>
      </c>
      <c r="GK40" s="84">
        <v>267814296</v>
      </c>
      <c r="GL40" s="84" t="s">
        <v>96</v>
      </c>
      <c r="GM40" s="84">
        <v>2001917411</v>
      </c>
      <c r="GN40" s="84">
        <v>265103633</v>
      </c>
      <c r="GO40" s="84" t="s">
        <v>96</v>
      </c>
      <c r="GP40" s="84">
        <v>13668889053</v>
      </c>
      <c r="GQ40" s="84">
        <v>616897471</v>
      </c>
      <c r="GR40" s="84">
        <v>1233956200</v>
      </c>
      <c r="GS40" s="84">
        <v>145120226</v>
      </c>
      <c r="GT40" s="84" t="s">
        <v>130</v>
      </c>
      <c r="GU40" s="84">
        <v>174867466</v>
      </c>
      <c r="GV40" s="84">
        <v>8878257631</v>
      </c>
      <c r="GW40" s="84">
        <v>10317845489</v>
      </c>
      <c r="GX40" s="84">
        <v>2218318660</v>
      </c>
      <c r="GY40" s="84">
        <v>654332918</v>
      </c>
      <c r="GZ40" s="84">
        <v>1359088929</v>
      </c>
      <c r="HA40" s="84" t="s">
        <v>96</v>
      </c>
      <c r="HB40" s="84">
        <v>479551958</v>
      </c>
      <c r="HC40" s="84" t="s">
        <v>130</v>
      </c>
      <c r="HD40" s="84">
        <v>430060302</v>
      </c>
      <c r="HE40" s="84" t="s">
        <v>96</v>
      </c>
      <c r="HF40" s="84">
        <v>7535289306</v>
      </c>
      <c r="HG40" s="84">
        <v>2424595860</v>
      </c>
      <c r="HH40" s="84" t="s">
        <v>96</v>
      </c>
      <c r="HI40" s="84">
        <v>806718650</v>
      </c>
      <c r="HJ40" s="84" t="s">
        <v>96</v>
      </c>
      <c r="HK40" s="84">
        <v>3282131287</v>
      </c>
      <c r="HL40" s="84">
        <v>1995077334</v>
      </c>
      <c r="HM40" s="84">
        <v>772268569</v>
      </c>
      <c r="HN40" s="84">
        <v>110386364</v>
      </c>
      <c r="HO40" s="84">
        <v>2461723576</v>
      </c>
      <c r="HP40" s="84">
        <v>1434030737</v>
      </c>
      <c r="HQ40" s="84">
        <v>1713668190</v>
      </c>
      <c r="HR40" s="84">
        <v>816057161</v>
      </c>
      <c r="HS40" s="84">
        <v>2117435086</v>
      </c>
      <c r="HT40" s="84">
        <v>177152023</v>
      </c>
      <c r="HU40" s="84" t="s">
        <v>130</v>
      </c>
      <c r="HV40" s="84">
        <v>437617143</v>
      </c>
      <c r="HW40" s="84" t="s">
        <v>96</v>
      </c>
      <c r="HX40" s="84">
        <v>5693956205</v>
      </c>
      <c r="HY40" s="84" t="s">
        <v>114</v>
      </c>
      <c r="HZ40" s="84">
        <v>7010493428</v>
      </c>
      <c r="IA40" s="84">
        <v>335033798</v>
      </c>
      <c r="IB40" s="84">
        <v>234235457</v>
      </c>
      <c r="IC40" s="84">
        <v>9768791503</v>
      </c>
      <c r="ID40" s="84">
        <v>375136377</v>
      </c>
      <c r="IE40" s="84" t="s">
        <v>96</v>
      </c>
      <c r="IF40" s="84">
        <v>15525680</v>
      </c>
      <c r="IG40" s="84">
        <v>138269903</v>
      </c>
      <c r="IH40" s="84">
        <v>1872196574</v>
      </c>
      <c r="II40" s="84">
        <v>0</v>
      </c>
      <c r="IJ40" s="84">
        <v>941301032</v>
      </c>
      <c r="IK40" s="84">
        <v>978291207</v>
      </c>
      <c r="IL40" s="84">
        <v>728452557</v>
      </c>
      <c r="IM40" s="84">
        <v>1629174146</v>
      </c>
      <c r="IN40" s="84">
        <v>3141481863</v>
      </c>
      <c r="IO40" s="84">
        <v>1538297771</v>
      </c>
      <c r="IP40" s="84">
        <v>2514713481</v>
      </c>
      <c r="IQ40" s="84">
        <v>1543048934</v>
      </c>
      <c r="IR40" s="84">
        <v>2203548425</v>
      </c>
      <c r="IS40" s="96">
        <v>2475755569</v>
      </c>
      <c r="IT40" s="99">
        <v>546368066</v>
      </c>
      <c r="IU40" s="84">
        <v>8923528961</v>
      </c>
      <c r="IV40" s="84">
        <v>1589918620</v>
      </c>
      <c r="IW40" s="84">
        <v>359241818</v>
      </c>
      <c r="IX40" s="84">
        <v>1676630969</v>
      </c>
      <c r="IY40" s="68">
        <v>1278019219</v>
      </c>
      <c r="IZ40" s="68">
        <v>729843844</v>
      </c>
      <c r="JA40" s="68">
        <v>6627826828</v>
      </c>
      <c r="JB40" s="68">
        <v>986547912</v>
      </c>
      <c r="JC40" s="68">
        <v>163037467</v>
      </c>
      <c r="JD40" s="68">
        <v>747828624</v>
      </c>
      <c r="JE40" s="68">
        <v>488493036</v>
      </c>
      <c r="JF40" s="68">
        <v>1893836537</v>
      </c>
      <c r="JG40" s="68">
        <v>59373290</v>
      </c>
      <c r="JH40" s="68">
        <v>311655876</v>
      </c>
      <c r="JI40" s="68">
        <v>143409886</v>
      </c>
      <c r="JJ40" s="68">
        <v>80205231</v>
      </c>
      <c r="JK40" s="68">
        <v>285805730</v>
      </c>
      <c r="JL40" s="68">
        <v>6448716158</v>
      </c>
      <c r="JM40" s="68">
        <v>1219605137</v>
      </c>
      <c r="JN40" s="68">
        <v>3841547211</v>
      </c>
      <c r="JO40" s="68">
        <v>225192000</v>
      </c>
      <c r="JP40" s="68">
        <v>480527478</v>
      </c>
      <c r="JQ40" s="68" t="s">
        <v>4</v>
      </c>
      <c r="JR40" s="68">
        <v>456839624</v>
      </c>
      <c r="JS40" s="68">
        <v>372804855</v>
      </c>
      <c r="JT40" s="68">
        <v>334914525</v>
      </c>
      <c r="JU40" s="68">
        <v>1543314026</v>
      </c>
      <c r="JV40" s="68">
        <v>5203186329</v>
      </c>
      <c r="JW40" s="68">
        <v>2805008336</v>
      </c>
      <c r="JX40" s="68">
        <v>7241292830</v>
      </c>
      <c r="JY40" s="68">
        <v>6601622318</v>
      </c>
      <c r="JZ40" s="68">
        <v>85253421</v>
      </c>
      <c r="KA40" s="68">
        <v>1233688894</v>
      </c>
      <c r="KB40" s="68">
        <v>9618456367</v>
      </c>
      <c r="KC40" s="68">
        <v>417137511</v>
      </c>
      <c r="KD40" s="68">
        <v>5469175336</v>
      </c>
      <c r="KE40" s="68">
        <v>98933966</v>
      </c>
      <c r="KF40" s="68">
        <v>340124210</v>
      </c>
      <c r="KG40" s="68">
        <v>3504868889</v>
      </c>
      <c r="KH40" s="68">
        <v>419607764</v>
      </c>
      <c r="KI40" s="68">
        <v>208876468</v>
      </c>
      <c r="KJ40" s="68">
        <v>1982665481</v>
      </c>
      <c r="KK40" s="68">
        <v>205974193</v>
      </c>
      <c r="KL40" s="68">
        <v>2733841254</v>
      </c>
      <c r="KM40" s="68">
        <v>901688095</v>
      </c>
      <c r="KN40" s="68">
        <v>365273539</v>
      </c>
      <c r="KO40" s="68">
        <v>1537085082</v>
      </c>
      <c r="KP40" s="68">
        <v>3585539728</v>
      </c>
      <c r="KQ40" s="68">
        <v>74330194</v>
      </c>
      <c r="KR40" s="68">
        <v>717010994</v>
      </c>
      <c r="KS40" s="68">
        <v>668762953</v>
      </c>
      <c r="KT40" s="68">
        <v>580030626</v>
      </c>
      <c r="KU40" s="68">
        <v>5372214739</v>
      </c>
      <c r="KV40" s="68">
        <v>331316368</v>
      </c>
      <c r="KW40" s="68">
        <v>1284723585</v>
      </c>
      <c r="KX40" s="68">
        <v>92243784</v>
      </c>
      <c r="KY40" s="68">
        <v>3261505941</v>
      </c>
      <c r="KZ40" s="68">
        <v>954892864</v>
      </c>
      <c r="LA40" s="68">
        <v>683697850</v>
      </c>
      <c r="LB40" s="68">
        <v>406501357</v>
      </c>
      <c r="LC40" s="104">
        <v>3802418658</v>
      </c>
      <c r="LD40" s="104">
        <v>1186577900</v>
      </c>
      <c r="LE40" s="104">
        <v>3018097889</v>
      </c>
      <c r="LF40" s="104">
        <v>1509866785</v>
      </c>
      <c r="LG40" s="104">
        <v>564257306</v>
      </c>
      <c r="LH40" s="102" t="s">
        <v>187</v>
      </c>
      <c r="LI40" s="104">
        <v>655237398</v>
      </c>
      <c r="LJ40" s="102" t="s">
        <v>187</v>
      </c>
      <c r="LK40" s="104">
        <v>1520673834</v>
      </c>
      <c r="LL40" s="102" t="s">
        <v>187</v>
      </c>
    </row>
    <row r="41" spans="1:324">
      <c r="A41" s="69" t="s">
        <v>185</v>
      </c>
      <c r="B41" s="93" t="s">
        <v>12</v>
      </c>
      <c r="C41" s="84"/>
      <c r="D41" s="84"/>
      <c r="E41" s="84">
        <v>790504059</v>
      </c>
      <c r="F41" s="84">
        <v>156446527</v>
      </c>
      <c r="G41" s="84" t="s">
        <v>130</v>
      </c>
      <c r="H41" s="84"/>
      <c r="I41" s="84"/>
      <c r="J41" s="84" t="s">
        <v>4</v>
      </c>
      <c r="K41" s="84"/>
      <c r="L41" s="84" t="s">
        <v>96</v>
      </c>
      <c r="M41" s="84" t="s">
        <v>96</v>
      </c>
      <c r="N41" s="84">
        <v>23643185</v>
      </c>
      <c r="O41" s="84"/>
      <c r="P41" s="84"/>
      <c r="Q41" s="84"/>
      <c r="R41" s="84" t="s">
        <v>130</v>
      </c>
      <c r="S41" s="84">
        <v>138991174</v>
      </c>
      <c r="T41" s="84" t="s">
        <v>96</v>
      </c>
      <c r="U41" s="84" t="s">
        <v>96</v>
      </c>
      <c r="V41" s="84" t="s">
        <v>4</v>
      </c>
      <c r="W41" s="84"/>
      <c r="X41" s="84"/>
      <c r="Y41" s="84"/>
      <c r="Z41" s="84">
        <v>135909091</v>
      </c>
      <c r="AA41" s="84"/>
      <c r="AB41" s="84"/>
      <c r="AC41" s="84"/>
      <c r="AD41" s="84"/>
      <c r="AE41" s="84"/>
      <c r="AF41" s="84" t="s">
        <v>96</v>
      </c>
      <c r="AG41" s="84"/>
      <c r="AH41" s="84" t="s">
        <v>130</v>
      </c>
      <c r="AI41" s="84">
        <v>870153299</v>
      </c>
      <c r="AJ41" s="84">
        <v>474782181</v>
      </c>
      <c r="AK41" s="84">
        <v>1933876356</v>
      </c>
      <c r="AL41" s="84"/>
      <c r="AM41" s="84" t="s">
        <v>4</v>
      </c>
      <c r="AN41" s="84"/>
      <c r="AO41" s="84"/>
      <c r="AP41" s="84"/>
      <c r="AQ41" s="84" t="s">
        <v>4</v>
      </c>
      <c r="AR41" s="84">
        <v>1377990019</v>
      </c>
      <c r="AS41" s="84"/>
      <c r="AT41" s="84" t="s">
        <v>96</v>
      </c>
      <c r="AU41" s="84"/>
      <c r="AV41" s="84"/>
      <c r="AW41" s="84"/>
      <c r="AX41" s="84" t="s">
        <v>4</v>
      </c>
      <c r="AY41" s="84" t="s">
        <v>96</v>
      </c>
      <c r="AZ41" s="84"/>
      <c r="BA41" s="84" t="s">
        <v>130</v>
      </c>
      <c r="BB41" s="84">
        <v>9091</v>
      </c>
      <c r="BC41" s="84" t="s">
        <v>4</v>
      </c>
      <c r="BD41" s="84" t="s">
        <v>96</v>
      </c>
      <c r="BE41" s="84"/>
      <c r="BF41" s="84" t="s">
        <v>96</v>
      </c>
      <c r="BG41" s="84">
        <v>450759345</v>
      </c>
      <c r="BH41" s="84"/>
      <c r="BI41" s="84"/>
      <c r="BJ41" s="84">
        <v>25836009</v>
      </c>
      <c r="BK41" s="84"/>
      <c r="BL41" s="84"/>
      <c r="BM41" s="84"/>
      <c r="BN41" s="84"/>
      <c r="BO41" s="84" t="s">
        <v>96</v>
      </c>
      <c r="BP41" s="84" t="s">
        <v>96</v>
      </c>
      <c r="BQ41" s="84" t="s">
        <v>4</v>
      </c>
      <c r="BR41" s="84"/>
      <c r="BS41" s="84" t="s">
        <v>4</v>
      </c>
      <c r="BT41" s="84" t="s">
        <v>96</v>
      </c>
      <c r="BU41" s="85"/>
      <c r="BV41" s="84"/>
      <c r="BW41" s="84"/>
      <c r="BX41" s="84"/>
      <c r="BY41" s="84">
        <v>6705120694</v>
      </c>
      <c r="BZ41" s="84">
        <v>1516851146</v>
      </c>
      <c r="CA41" s="84"/>
      <c r="CB41" s="84">
        <v>149465826</v>
      </c>
      <c r="CC41" s="84">
        <v>1726369493</v>
      </c>
      <c r="CD41" s="84"/>
      <c r="CE41" s="84" t="s">
        <v>96</v>
      </c>
      <c r="CF41" s="84" t="s">
        <v>96</v>
      </c>
      <c r="CG41" s="84"/>
      <c r="CH41" s="84">
        <v>0</v>
      </c>
      <c r="CI41" s="84" t="s">
        <v>96</v>
      </c>
      <c r="CJ41" s="84">
        <v>52205883</v>
      </c>
      <c r="CK41" s="84">
        <v>2544033438</v>
      </c>
      <c r="CL41" s="84">
        <v>0</v>
      </c>
      <c r="CM41" s="84">
        <v>3622546</v>
      </c>
      <c r="CN41" s="84"/>
      <c r="CO41" s="84"/>
      <c r="CP41" s="84" t="s">
        <v>96</v>
      </c>
      <c r="CQ41" s="84" t="s">
        <v>96</v>
      </c>
      <c r="CR41" s="84"/>
      <c r="CS41" s="84" t="s">
        <v>96</v>
      </c>
      <c r="CT41" s="84">
        <v>3899927</v>
      </c>
      <c r="CU41" s="84"/>
      <c r="CV41" s="84">
        <v>168589541</v>
      </c>
      <c r="CW41" s="84" t="s">
        <v>96</v>
      </c>
      <c r="CX41" s="84">
        <v>1100863206</v>
      </c>
      <c r="CY41" s="84" t="s">
        <v>96</v>
      </c>
      <c r="CZ41" s="84">
        <v>2468183</v>
      </c>
      <c r="DA41" s="84" t="s">
        <v>96</v>
      </c>
      <c r="DB41" s="86"/>
      <c r="DC41" s="84"/>
      <c r="DD41" s="84" t="s">
        <v>96</v>
      </c>
      <c r="DE41" s="84">
        <v>14302555</v>
      </c>
      <c r="DF41" s="84">
        <v>12431596</v>
      </c>
      <c r="DG41" s="84"/>
      <c r="DH41" s="84">
        <v>2499547</v>
      </c>
      <c r="DI41" s="84">
        <v>43388473</v>
      </c>
      <c r="DJ41" s="84">
        <v>152727304</v>
      </c>
      <c r="DK41" s="84" t="s">
        <v>96</v>
      </c>
      <c r="DL41" s="84">
        <v>8288831</v>
      </c>
      <c r="DM41" s="84">
        <v>588310512</v>
      </c>
      <c r="DN41" s="84">
        <v>175584716</v>
      </c>
      <c r="DO41" s="84"/>
      <c r="DP41" s="84"/>
      <c r="DQ41" s="84"/>
      <c r="DR41" s="84"/>
      <c r="DS41" s="84"/>
      <c r="DT41" s="84">
        <v>2025226369</v>
      </c>
      <c r="DU41" s="84"/>
      <c r="DV41" s="84"/>
      <c r="DW41" s="84">
        <v>326651775</v>
      </c>
      <c r="DX41" s="84"/>
      <c r="DY41" s="84"/>
      <c r="DZ41" s="84"/>
      <c r="EA41" s="84"/>
      <c r="EB41" s="84"/>
      <c r="EC41" s="84">
        <v>714508564</v>
      </c>
      <c r="ED41" s="84">
        <v>139512011</v>
      </c>
      <c r="EE41" s="84"/>
      <c r="EF41" s="84"/>
      <c r="EG41" s="96">
        <v>32436670</v>
      </c>
      <c r="EH41" s="99"/>
      <c r="EI41" s="97"/>
      <c r="EJ41" s="84"/>
      <c r="EK41" s="84"/>
      <c r="EL41" s="84"/>
      <c r="EM41" s="84">
        <v>0</v>
      </c>
      <c r="EN41" s="84"/>
      <c r="EO41" s="84"/>
      <c r="EP41" s="84">
        <v>13419668</v>
      </c>
      <c r="EQ41" s="84"/>
      <c r="ER41" s="84"/>
      <c r="ES41" s="84">
        <v>852460041</v>
      </c>
      <c r="ET41" s="84">
        <v>85949195</v>
      </c>
      <c r="EU41" s="84"/>
      <c r="EV41" s="84">
        <v>420951019</v>
      </c>
      <c r="EW41" s="84">
        <v>452153327</v>
      </c>
      <c r="EX41" s="84">
        <v>26061852</v>
      </c>
      <c r="EY41" s="84"/>
      <c r="EZ41" s="84">
        <v>33788395</v>
      </c>
      <c r="FA41" s="84">
        <v>2793192</v>
      </c>
      <c r="FB41" s="84">
        <v>635489608</v>
      </c>
      <c r="FC41" s="84"/>
      <c r="FD41" s="84"/>
      <c r="FE41" s="84">
        <v>41161565230</v>
      </c>
      <c r="FF41" s="84"/>
      <c r="FG41" s="84" t="s">
        <v>96</v>
      </c>
      <c r="FH41" s="84">
        <v>966624000</v>
      </c>
      <c r="FI41" s="84" t="s">
        <v>96</v>
      </c>
      <c r="FJ41" s="84">
        <v>52931344</v>
      </c>
      <c r="FK41" s="84">
        <v>101745441</v>
      </c>
      <c r="FL41" s="84"/>
      <c r="FM41" s="84" t="s">
        <v>130</v>
      </c>
      <c r="FN41" s="84">
        <v>1537403420</v>
      </c>
      <c r="FO41" s="84" t="s">
        <v>96</v>
      </c>
      <c r="FP41" s="84" t="s">
        <v>96</v>
      </c>
      <c r="FQ41" s="84"/>
      <c r="FR41" s="84">
        <v>641087693</v>
      </c>
      <c r="FS41" s="86"/>
      <c r="FT41" s="84"/>
      <c r="FU41" s="84">
        <v>138572340</v>
      </c>
      <c r="FV41" s="84" t="s">
        <v>96</v>
      </c>
      <c r="FW41" s="84">
        <v>7069245</v>
      </c>
      <c r="FX41" s="84">
        <v>170644105</v>
      </c>
      <c r="FY41" s="84" t="s">
        <v>96</v>
      </c>
      <c r="FZ41" s="84" t="s">
        <v>4</v>
      </c>
      <c r="GA41" s="84">
        <v>557767714</v>
      </c>
      <c r="GB41" s="84">
        <v>519742397</v>
      </c>
      <c r="GC41" s="84"/>
      <c r="GD41" s="84" t="s">
        <v>96</v>
      </c>
      <c r="GE41" s="84" t="s">
        <v>4</v>
      </c>
      <c r="GF41" s="84"/>
      <c r="GG41" s="84">
        <v>2564215298</v>
      </c>
      <c r="GH41" s="84" t="s">
        <v>4</v>
      </c>
      <c r="GI41" s="84">
        <v>27054734</v>
      </c>
      <c r="GJ41" s="84" t="s">
        <v>96</v>
      </c>
      <c r="GK41" s="84">
        <v>91350344</v>
      </c>
      <c r="GL41" s="84" t="s">
        <v>96</v>
      </c>
      <c r="GM41" s="84">
        <v>169791971</v>
      </c>
      <c r="GN41" s="84"/>
      <c r="GO41" s="84" t="s">
        <v>96</v>
      </c>
      <c r="GP41" s="84">
        <v>4025101907</v>
      </c>
      <c r="GQ41" s="84"/>
      <c r="GR41" s="84">
        <v>239792582</v>
      </c>
      <c r="GS41" s="84"/>
      <c r="GT41" s="84" t="s">
        <v>130</v>
      </c>
      <c r="GU41" s="84"/>
      <c r="GV41" s="84">
        <v>96932574</v>
      </c>
      <c r="GW41" s="84">
        <v>604611950</v>
      </c>
      <c r="GX41" s="84">
        <v>105882855</v>
      </c>
      <c r="GY41" s="84"/>
      <c r="GZ41" s="84"/>
      <c r="HA41" s="84" t="s">
        <v>96</v>
      </c>
      <c r="HB41" s="84"/>
      <c r="HC41" s="84" t="s">
        <v>130</v>
      </c>
      <c r="HD41" s="84"/>
      <c r="HE41" s="84" t="s">
        <v>96</v>
      </c>
      <c r="HF41" s="84"/>
      <c r="HG41" s="84"/>
      <c r="HH41" s="84" t="s">
        <v>96</v>
      </c>
      <c r="HI41" s="84"/>
      <c r="HJ41" s="84" t="s">
        <v>96</v>
      </c>
      <c r="HK41" s="84">
        <v>293681728</v>
      </c>
      <c r="HL41" s="84">
        <v>270945894</v>
      </c>
      <c r="HM41" s="84">
        <v>77496384</v>
      </c>
      <c r="HN41" s="84"/>
      <c r="HO41" s="84"/>
      <c r="HP41" s="84">
        <v>1369793954</v>
      </c>
      <c r="HQ41" s="84"/>
      <c r="HR41" s="84"/>
      <c r="HS41" s="84"/>
      <c r="HT41" s="84">
        <v>154424750</v>
      </c>
      <c r="HU41" s="84" t="s">
        <v>130</v>
      </c>
      <c r="HV41" s="84">
        <v>382299803</v>
      </c>
      <c r="HW41" s="84" t="s">
        <v>96</v>
      </c>
      <c r="HX41" s="84">
        <v>4938875</v>
      </c>
      <c r="HY41" s="84" t="s">
        <v>114</v>
      </c>
      <c r="HZ41" s="84"/>
      <c r="IA41" s="84"/>
      <c r="IB41" s="84">
        <v>35280081</v>
      </c>
      <c r="IC41" s="84"/>
      <c r="ID41" s="84">
        <v>375136377</v>
      </c>
      <c r="IE41" s="84" t="s">
        <v>96</v>
      </c>
      <c r="IF41" s="84">
        <v>11425680</v>
      </c>
      <c r="IG41" s="84">
        <v>72152245</v>
      </c>
      <c r="IH41" s="84">
        <v>560478498</v>
      </c>
      <c r="II41" s="84"/>
      <c r="IJ41" s="84">
        <v>941301032</v>
      </c>
      <c r="IK41" s="84">
        <v>226815450</v>
      </c>
      <c r="IL41" s="84">
        <v>187678722</v>
      </c>
      <c r="IM41" s="84"/>
      <c r="IN41" s="84">
        <v>410905000</v>
      </c>
      <c r="IO41" s="84">
        <v>906478583</v>
      </c>
      <c r="IP41" s="84">
        <v>2074728790</v>
      </c>
      <c r="IQ41" s="84"/>
      <c r="IR41" s="84">
        <v>38911824</v>
      </c>
      <c r="IS41" s="96"/>
      <c r="IT41" s="99"/>
      <c r="IU41" s="84"/>
      <c r="IV41" s="84"/>
      <c r="IW41" s="84"/>
      <c r="IX41" s="84">
        <v>308236407</v>
      </c>
      <c r="IY41" s="68"/>
      <c r="IZ41" s="68">
        <v>31392727</v>
      </c>
      <c r="JA41" s="68">
        <v>6624192828</v>
      </c>
      <c r="JB41" s="68"/>
      <c r="JC41" s="68">
        <v>7258257</v>
      </c>
      <c r="JD41" s="68"/>
      <c r="JE41" s="68">
        <v>488493036</v>
      </c>
      <c r="JF41" s="68">
        <v>955217130</v>
      </c>
      <c r="JG41" s="68"/>
      <c r="JH41" s="68"/>
      <c r="JI41" s="68"/>
      <c r="JJ41" s="68"/>
      <c r="JK41" s="68"/>
      <c r="JL41" s="68">
        <v>473657790</v>
      </c>
      <c r="JM41" s="68"/>
      <c r="JN41" s="68">
        <v>1477542986</v>
      </c>
      <c r="JO41" s="68"/>
      <c r="JP41" s="68"/>
      <c r="JQ41" s="68" t="s">
        <v>4</v>
      </c>
      <c r="JR41" s="68"/>
      <c r="JS41" s="68"/>
      <c r="JT41" s="68"/>
      <c r="JU41" s="68"/>
      <c r="JV41" s="68"/>
      <c r="JW41" s="68"/>
      <c r="JX41" s="68"/>
      <c r="JY41" s="68"/>
      <c r="JZ41" s="68"/>
      <c r="KA41" s="68">
        <v>0</v>
      </c>
      <c r="KB41" s="68"/>
      <c r="KC41" s="68"/>
      <c r="KD41" s="68">
        <v>211271993</v>
      </c>
      <c r="KE41" s="68">
        <v>1750000</v>
      </c>
      <c r="KF41" s="68"/>
      <c r="KG41" s="68">
        <v>1834537928</v>
      </c>
      <c r="KH41" s="68"/>
      <c r="KI41" s="68"/>
      <c r="KJ41" s="68"/>
      <c r="KK41" s="68">
        <v>0</v>
      </c>
      <c r="KL41" s="68"/>
      <c r="KM41" s="68">
        <v>39498350</v>
      </c>
      <c r="KN41" s="68"/>
      <c r="KO41" s="68">
        <v>108514634</v>
      </c>
      <c r="KP41" s="68"/>
      <c r="KQ41" s="68"/>
      <c r="KR41" s="68">
        <v>241977080</v>
      </c>
      <c r="KS41" s="68">
        <v>25814737</v>
      </c>
      <c r="KT41" s="68"/>
      <c r="KU41" s="68">
        <v>3965004655</v>
      </c>
      <c r="KV41" s="68">
        <v>164236149</v>
      </c>
      <c r="KW41" s="68">
        <v>1284723585</v>
      </c>
      <c r="KX41" s="68"/>
      <c r="KY41" s="68"/>
      <c r="KZ41" s="68"/>
      <c r="LA41" s="68">
        <v>9514925</v>
      </c>
      <c r="LB41" s="68"/>
      <c r="LC41" s="104"/>
      <c r="LD41" s="104">
        <v>1154607939</v>
      </c>
      <c r="LE41" s="104"/>
      <c r="LF41" s="104"/>
      <c r="LG41" s="104"/>
      <c r="LH41" s="102" t="s">
        <v>187</v>
      </c>
      <c r="LI41" s="104">
        <v>61513250</v>
      </c>
      <c r="LJ41" s="102" t="s">
        <v>187</v>
      </c>
      <c r="LK41" s="104"/>
      <c r="LL41" s="102" t="s">
        <v>187</v>
      </c>
    </row>
    <row r="42" spans="1:324">
      <c r="A42" s="69" t="s">
        <v>185</v>
      </c>
      <c r="B42" s="93" t="s">
        <v>22</v>
      </c>
      <c r="C42" s="84"/>
      <c r="D42" s="84"/>
      <c r="E42" s="84">
        <v>1714421453</v>
      </c>
      <c r="F42" s="84"/>
      <c r="G42" s="84" t="s">
        <v>130</v>
      </c>
      <c r="H42" s="84"/>
      <c r="I42" s="84"/>
      <c r="J42" s="84" t="s">
        <v>4</v>
      </c>
      <c r="K42" s="84">
        <v>3814795486</v>
      </c>
      <c r="L42" s="84" t="s">
        <v>96</v>
      </c>
      <c r="M42" s="84" t="s">
        <v>96</v>
      </c>
      <c r="N42" s="84">
        <v>421649702</v>
      </c>
      <c r="O42" s="84"/>
      <c r="P42" s="84"/>
      <c r="Q42" s="84">
        <v>173043273</v>
      </c>
      <c r="R42" s="84" t="s">
        <v>130</v>
      </c>
      <c r="S42" s="84">
        <v>16608972650</v>
      </c>
      <c r="T42" s="84" t="s">
        <v>96</v>
      </c>
      <c r="U42" s="84" t="s">
        <v>96</v>
      </c>
      <c r="V42" s="84" t="s">
        <v>4</v>
      </c>
      <c r="W42" s="84">
        <v>346335470</v>
      </c>
      <c r="X42" s="84"/>
      <c r="Y42" s="84"/>
      <c r="Z42" s="84"/>
      <c r="AA42" s="84">
        <v>5364775846</v>
      </c>
      <c r="AB42" s="84"/>
      <c r="AC42" s="84">
        <v>3013737928</v>
      </c>
      <c r="AD42" s="84">
        <v>3964145378</v>
      </c>
      <c r="AE42" s="84">
        <v>585664107</v>
      </c>
      <c r="AF42" s="84" t="s">
        <v>96</v>
      </c>
      <c r="AG42" s="84"/>
      <c r="AH42" s="84" t="s">
        <v>130</v>
      </c>
      <c r="AI42" s="84"/>
      <c r="AJ42" s="84"/>
      <c r="AK42" s="84">
        <v>498306905</v>
      </c>
      <c r="AL42" s="84"/>
      <c r="AM42" s="84" t="s">
        <v>4</v>
      </c>
      <c r="AN42" s="84">
        <v>20318045</v>
      </c>
      <c r="AP42" s="84"/>
      <c r="AQ42" s="84" t="s">
        <v>4</v>
      </c>
      <c r="AR42" s="84"/>
      <c r="AS42" s="84"/>
      <c r="AT42" s="84" t="s">
        <v>96</v>
      </c>
      <c r="AU42" s="84"/>
      <c r="AV42" s="84"/>
      <c r="AW42" s="84"/>
      <c r="AX42" s="84" t="s">
        <v>4</v>
      </c>
      <c r="AY42" s="84" t="s">
        <v>96</v>
      </c>
      <c r="AZ42" s="84">
        <v>1459100956</v>
      </c>
      <c r="BA42" s="84" t="s">
        <v>130</v>
      </c>
      <c r="BB42" s="84"/>
      <c r="BC42" s="84" t="s">
        <v>4</v>
      </c>
      <c r="BD42" s="84" t="s">
        <v>96</v>
      </c>
      <c r="BE42" s="84">
        <v>736198056</v>
      </c>
      <c r="BF42" s="84" t="s">
        <v>96</v>
      </c>
      <c r="BG42" s="84">
        <v>1614101325</v>
      </c>
      <c r="BH42" s="84">
        <v>862278313</v>
      </c>
      <c r="BI42" s="84">
        <v>739129727</v>
      </c>
      <c r="BJ42" s="84">
        <v>171003133</v>
      </c>
      <c r="BK42" s="84">
        <v>1163624911</v>
      </c>
      <c r="BL42" s="84"/>
      <c r="BM42" s="84">
        <v>951190296</v>
      </c>
      <c r="BN42" s="84"/>
      <c r="BO42" s="84" t="s">
        <v>96</v>
      </c>
      <c r="BP42" s="84" t="s">
        <v>96</v>
      </c>
      <c r="BQ42" s="84" t="s">
        <v>4</v>
      </c>
      <c r="BR42" s="84">
        <v>13124903892</v>
      </c>
      <c r="BS42" s="84" t="s">
        <v>4</v>
      </c>
      <c r="BT42" s="84" t="s">
        <v>96</v>
      </c>
      <c r="BU42" s="85">
        <v>1409243981</v>
      </c>
      <c r="BV42" s="84"/>
      <c r="BW42" s="84"/>
      <c r="BX42" s="84"/>
      <c r="BY42" s="84"/>
      <c r="BZ42" s="84"/>
      <c r="CA42" s="84"/>
      <c r="CB42" s="84">
        <v>0</v>
      </c>
      <c r="CC42" s="84"/>
      <c r="CD42" s="84">
        <v>2624052248</v>
      </c>
      <c r="CE42" s="84" t="s">
        <v>96</v>
      </c>
      <c r="CF42" s="84" t="s">
        <v>96</v>
      </c>
      <c r="CG42" s="84">
        <v>1026257</v>
      </c>
      <c r="CH42" s="84">
        <v>467381578</v>
      </c>
      <c r="CI42" s="84" t="s">
        <v>96</v>
      </c>
      <c r="CJ42" s="84">
        <v>243303500</v>
      </c>
      <c r="CK42" s="84"/>
      <c r="CL42" s="84">
        <v>416452138</v>
      </c>
      <c r="CM42" s="84"/>
      <c r="CN42" s="84"/>
      <c r="CO42" s="84"/>
      <c r="CP42" s="84" t="s">
        <v>96</v>
      </c>
      <c r="CQ42" s="84" t="s">
        <v>96</v>
      </c>
      <c r="CR42" s="84"/>
      <c r="CS42" s="84" t="s">
        <v>96</v>
      </c>
      <c r="CT42" s="84"/>
      <c r="CU42" s="84"/>
      <c r="CV42" s="84"/>
      <c r="CW42" s="84" t="s">
        <v>96</v>
      </c>
      <c r="CX42" s="84"/>
      <c r="CY42" s="84" t="s">
        <v>96</v>
      </c>
      <c r="CZ42" s="84">
        <v>45569364</v>
      </c>
      <c r="DA42" s="84" t="s">
        <v>96</v>
      </c>
      <c r="DB42" s="86">
        <v>370918115</v>
      </c>
      <c r="DC42" s="84"/>
      <c r="DD42" s="84" t="s">
        <v>96</v>
      </c>
      <c r="DE42" s="84"/>
      <c r="DF42" s="84"/>
      <c r="DG42" s="84"/>
      <c r="DH42" s="84">
        <v>328832634</v>
      </c>
      <c r="DI42" s="84">
        <v>5936621945</v>
      </c>
      <c r="DJ42" s="84"/>
      <c r="DK42" s="84" t="s">
        <v>96</v>
      </c>
      <c r="DL42" s="84"/>
      <c r="DM42" s="84"/>
      <c r="DN42" s="84">
        <v>814516360</v>
      </c>
      <c r="DO42" s="84"/>
      <c r="DP42" s="84">
        <v>1897639992</v>
      </c>
      <c r="DQ42" s="84">
        <v>205748791</v>
      </c>
      <c r="DR42" s="84">
        <v>1210895273</v>
      </c>
      <c r="DS42" s="84"/>
      <c r="DT42" s="84"/>
      <c r="DU42" s="84"/>
      <c r="DV42" s="84"/>
      <c r="DW42" s="84">
        <v>1044490484</v>
      </c>
      <c r="DX42" s="84"/>
      <c r="DY42" s="84"/>
      <c r="DZ42" s="84"/>
      <c r="EA42" s="84"/>
      <c r="EB42" s="84">
        <v>36136364</v>
      </c>
      <c r="EC42" s="84">
        <v>0</v>
      </c>
      <c r="ED42" s="84"/>
      <c r="EE42" s="84">
        <v>945203750</v>
      </c>
      <c r="EF42" s="84">
        <v>830861869</v>
      </c>
      <c r="EG42" s="96">
        <v>9584770414</v>
      </c>
      <c r="EH42" s="99"/>
      <c r="EI42" s="97"/>
      <c r="EJ42" s="84"/>
      <c r="EK42" s="84"/>
      <c r="EL42" s="84">
        <v>2245465992</v>
      </c>
      <c r="EM42" s="84">
        <v>718617658</v>
      </c>
      <c r="EN42" s="84"/>
      <c r="EO42" s="84">
        <v>1072766583</v>
      </c>
      <c r="EP42" s="84">
        <v>485241998</v>
      </c>
      <c r="EQ42" s="84"/>
      <c r="ER42" s="84"/>
      <c r="ES42" s="84"/>
      <c r="ET42" s="84"/>
      <c r="EU42" s="84"/>
      <c r="EV42" s="84"/>
      <c r="EW42" s="84">
        <v>163755286</v>
      </c>
      <c r="EX42" s="84"/>
      <c r="EY42" s="84"/>
      <c r="EZ42" s="84"/>
      <c r="FA42" s="84"/>
      <c r="FB42" s="84"/>
      <c r="FC42" s="84">
        <v>2298336698</v>
      </c>
      <c r="FD42" s="84">
        <v>288838933</v>
      </c>
      <c r="FE42" s="84"/>
      <c r="FF42" s="84"/>
      <c r="FG42" s="84" t="s">
        <v>96</v>
      </c>
      <c r="FH42" s="84">
        <v>7017722</v>
      </c>
      <c r="FI42" s="84" t="s">
        <v>96</v>
      </c>
      <c r="FJ42" s="84"/>
      <c r="FK42" s="84">
        <v>3687678647</v>
      </c>
      <c r="FL42" s="84">
        <v>428350736</v>
      </c>
      <c r="FM42" s="84" t="s">
        <v>130</v>
      </c>
      <c r="FN42" s="84"/>
      <c r="FO42" s="84" t="s">
        <v>96</v>
      </c>
      <c r="FP42" s="84" t="s">
        <v>96</v>
      </c>
      <c r="FQ42" s="84">
        <v>14170000</v>
      </c>
      <c r="FR42" s="84"/>
      <c r="FS42" s="86">
        <v>184070417</v>
      </c>
      <c r="FT42" s="84">
        <v>10521658753</v>
      </c>
      <c r="FU42" s="84"/>
      <c r="FV42" s="84" t="s">
        <v>96</v>
      </c>
      <c r="FW42" s="84"/>
      <c r="FX42" s="84"/>
      <c r="FY42" s="84" t="s">
        <v>96</v>
      </c>
      <c r="FZ42" s="84" t="s">
        <v>4</v>
      </c>
      <c r="GA42" s="84"/>
      <c r="GB42" s="84"/>
      <c r="GC42" s="84"/>
      <c r="GD42" s="84" t="s">
        <v>96</v>
      </c>
      <c r="GE42" s="84" t="s">
        <v>4</v>
      </c>
      <c r="GF42" s="84">
        <v>1895675971</v>
      </c>
      <c r="GG42" s="84">
        <v>0</v>
      </c>
      <c r="GH42" s="84" t="s">
        <v>4</v>
      </c>
      <c r="GI42" s="84">
        <v>56375114</v>
      </c>
      <c r="GJ42" s="84" t="s">
        <v>96</v>
      </c>
      <c r="GK42" s="84">
        <v>176463952</v>
      </c>
      <c r="GL42" s="84" t="s">
        <v>96</v>
      </c>
      <c r="GM42" s="84"/>
      <c r="GN42" s="84"/>
      <c r="GO42" s="84" t="s">
        <v>96</v>
      </c>
      <c r="GP42" s="84">
        <v>7554364897</v>
      </c>
      <c r="GQ42" s="84">
        <v>238185309</v>
      </c>
      <c r="GR42" s="84">
        <v>994163618</v>
      </c>
      <c r="GS42" s="84"/>
      <c r="GT42" s="84" t="s">
        <v>130</v>
      </c>
      <c r="GU42" s="84"/>
      <c r="GV42" s="84"/>
      <c r="GW42" s="84">
        <v>6810194021</v>
      </c>
      <c r="GX42" s="84">
        <v>2055963525</v>
      </c>
      <c r="GY42" s="84">
        <v>83025418</v>
      </c>
      <c r="GZ42" s="84">
        <v>998633111</v>
      </c>
      <c r="HA42" s="84" t="s">
        <v>96</v>
      </c>
      <c r="HB42" s="84"/>
      <c r="HC42" s="84" t="s">
        <v>130</v>
      </c>
      <c r="HD42" s="84">
        <v>430060302</v>
      </c>
      <c r="HE42" s="84" t="s">
        <v>96</v>
      </c>
      <c r="HF42" s="84"/>
      <c r="HG42" s="84">
        <v>2419445860</v>
      </c>
      <c r="HH42" s="84" t="s">
        <v>96</v>
      </c>
      <c r="HI42" s="84"/>
      <c r="HJ42" s="84" t="s">
        <v>96</v>
      </c>
      <c r="HK42" s="84">
        <v>2923391226</v>
      </c>
      <c r="HL42" s="84"/>
      <c r="HM42" s="84"/>
      <c r="HN42" s="84"/>
      <c r="HO42" s="84">
        <v>1145931959</v>
      </c>
      <c r="HP42" s="84"/>
      <c r="HQ42" s="84"/>
      <c r="HR42" s="84">
        <v>794987186</v>
      </c>
      <c r="HS42" s="84">
        <v>691436076</v>
      </c>
      <c r="HT42" s="84"/>
      <c r="HU42" s="84" t="s">
        <v>130</v>
      </c>
      <c r="HV42" s="84"/>
      <c r="HW42" s="84" t="s">
        <v>96</v>
      </c>
      <c r="HX42" s="84">
        <v>5680295532</v>
      </c>
      <c r="HY42" s="84" t="s">
        <v>114</v>
      </c>
      <c r="HZ42" s="84">
        <v>5627409568</v>
      </c>
      <c r="IA42" s="84"/>
      <c r="IB42" s="84"/>
      <c r="IC42" s="84"/>
      <c r="ID42" s="84"/>
      <c r="IE42" s="84" t="s">
        <v>96</v>
      </c>
      <c r="IF42" s="84"/>
      <c r="IG42" s="84">
        <v>19441456</v>
      </c>
      <c r="IH42" s="84">
        <v>1206143423</v>
      </c>
      <c r="II42" s="84">
        <v>0</v>
      </c>
      <c r="IJ42" s="84"/>
      <c r="IK42" s="84">
        <v>648166380</v>
      </c>
      <c r="IL42" s="84">
        <v>426852780</v>
      </c>
      <c r="IM42" s="84"/>
      <c r="IN42" s="84"/>
      <c r="IO42" s="84">
        <v>631819188</v>
      </c>
      <c r="IP42" s="84"/>
      <c r="IQ42" s="84"/>
      <c r="IR42" s="84"/>
      <c r="IS42" s="96">
        <v>2475755569</v>
      </c>
      <c r="IT42" s="99">
        <v>54286894</v>
      </c>
      <c r="IU42" s="84"/>
      <c r="IV42" s="84"/>
      <c r="IW42" s="84"/>
      <c r="IX42" s="84"/>
      <c r="IY42" s="68">
        <v>1264052463</v>
      </c>
      <c r="IZ42" s="68">
        <v>36687806</v>
      </c>
      <c r="JA42" s="68"/>
      <c r="JB42" s="68">
        <v>986547912</v>
      </c>
      <c r="JC42" s="68">
        <v>155779210</v>
      </c>
      <c r="JD42" s="68"/>
      <c r="JE42" s="68"/>
      <c r="JF42" s="68"/>
      <c r="JG42" s="68">
        <v>-12350</v>
      </c>
      <c r="JH42" s="68"/>
      <c r="JI42" s="68">
        <v>109365139</v>
      </c>
      <c r="JJ42" s="68"/>
      <c r="JK42" s="68"/>
      <c r="JL42" s="68"/>
      <c r="JM42" s="68"/>
      <c r="JN42" s="68">
        <v>2364004225</v>
      </c>
      <c r="JO42" s="68"/>
      <c r="JP42" s="68"/>
      <c r="JQ42" s="68" t="s">
        <v>4</v>
      </c>
      <c r="JR42" s="68">
        <v>456839624</v>
      </c>
      <c r="JS42" s="68">
        <v>371713946</v>
      </c>
      <c r="JT42" s="68">
        <v>312662707</v>
      </c>
      <c r="JU42" s="68">
        <v>1543314026</v>
      </c>
      <c r="JV42" s="68"/>
      <c r="JW42" s="68"/>
      <c r="JX42" s="68"/>
      <c r="JY42" s="68"/>
      <c r="JZ42" s="68">
        <v>85253421</v>
      </c>
      <c r="KA42" s="68"/>
      <c r="KB42" s="68">
        <v>9618456367</v>
      </c>
      <c r="KC42" s="68">
        <v>417137511</v>
      </c>
      <c r="KD42" s="68"/>
      <c r="KE42" s="68">
        <v>97183966</v>
      </c>
      <c r="KF42" s="68">
        <v>130909091</v>
      </c>
      <c r="KG42" s="68">
        <v>1375900516</v>
      </c>
      <c r="KH42" s="68"/>
      <c r="KI42" s="68"/>
      <c r="KJ42" s="68">
        <v>95818914</v>
      </c>
      <c r="KK42" s="68">
        <v>184347661</v>
      </c>
      <c r="KL42" s="68">
        <v>2733841254</v>
      </c>
      <c r="KM42" s="68"/>
      <c r="KN42" s="68"/>
      <c r="KO42" s="68">
        <v>1428570448</v>
      </c>
      <c r="KP42" s="68"/>
      <c r="KQ42" s="68">
        <v>74330194</v>
      </c>
      <c r="KR42" s="68"/>
      <c r="KS42" s="68">
        <v>642948216</v>
      </c>
      <c r="KT42" s="68"/>
      <c r="KU42" s="68">
        <v>436900900</v>
      </c>
      <c r="KV42" s="68"/>
      <c r="KW42" s="68"/>
      <c r="KX42" s="68">
        <v>92243784</v>
      </c>
      <c r="KY42" s="68">
        <v>2002401148</v>
      </c>
      <c r="KZ42" s="68">
        <v>954892864</v>
      </c>
      <c r="LA42" s="68">
        <v>535197924</v>
      </c>
      <c r="LB42" s="68">
        <v>137713700</v>
      </c>
      <c r="LC42" s="104"/>
      <c r="LD42" s="104">
        <v>0</v>
      </c>
      <c r="LE42" s="104">
        <v>3008933459</v>
      </c>
      <c r="LF42" s="104"/>
      <c r="LG42" s="104">
        <v>242575543</v>
      </c>
      <c r="LH42" s="102" t="s">
        <v>187</v>
      </c>
      <c r="LI42" s="104">
        <v>593724148</v>
      </c>
      <c r="LJ42" s="102" t="s">
        <v>187</v>
      </c>
      <c r="LK42" s="104"/>
      <c r="LL42" s="102" t="s">
        <v>187</v>
      </c>
    </row>
    <row r="43" spans="1:324">
      <c r="A43" s="69" t="s">
        <v>185</v>
      </c>
      <c r="B43" s="93" t="s">
        <v>28</v>
      </c>
      <c r="C43" s="84">
        <v>2124875047</v>
      </c>
      <c r="D43" s="84">
        <v>4114133541</v>
      </c>
      <c r="E43" s="84"/>
      <c r="F43" s="84">
        <v>1432583652</v>
      </c>
      <c r="G43" s="84" t="s">
        <v>130</v>
      </c>
      <c r="H43" s="84"/>
      <c r="I43" s="84"/>
      <c r="J43" s="84" t="s">
        <v>4</v>
      </c>
      <c r="K43" s="84"/>
      <c r="L43" s="84" t="s">
        <v>96</v>
      </c>
      <c r="M43" s="84" t="s">
        <v>96</v>
      </c>
      <c r="N43" s="84"/>
      <c r="O43" s="84"/>
      <c r="P43" s="84"/>
      <c r="Q43" s="84">
        <v>126609272</v>
      </c>
      <c r="R43" s="84" t="s">
        <v>130</v>
      </c>
      <c r="S43" s="84"/>
      <c r="T43" s="84" t="s">
        <v>96</v>
      </c>
      <c r="U43" s="84" t="s">
        <v>96</v>
      </c>
      <c r="V43" s="84" t="s">
        <v>4</v>
      </c>
      <c r="W43" s="84">
        <v>489440798</v>
      </c>
      <c r="X43" s="84">
        <v>3682472750</v>
      </c>
      <c r="Y43" s="84"/>
      <c r="Z43" s="84">
        <v>78363636</v>
      </c>
      <c r="AA43" s="84"/>
      <c r="AB43" s="84"/>
      <c r="AC43" s="84"/>
      <c r="AD43" s="84"/>
      <c r="AE43" s="84"/>
      <c r="AF43" s="84" t="s">
        <v>96</v>
      </c>
      <c r="AG43" s="84">
        <v>122531813</v>
      </c>
      <c r="AH43" s="84" t="s">
        <v>130</v>
      </c>
      <c r="AI43" s="84"/>
      <c r="AJ43" s="84"/>
      <c r="AK43" s="84"/>
      <c r="AL43" s="84">
        <v>1180438556</v>
      </c>
      <c r="AM43" s="84" t="s">
        <v>4</v>
      </c>
      <c r="AN43" s="84">
        <v>1330894295</v>
      </c>
      <c r="AO43" s="84">
        <v>1112802503</v>
      </c>
      <c r="AP43" s="84"/>
      <c r="AQ43" s="84" t="s">
        <v>4</v>
      </c>
      <c r="AR43" s="84"/>
      <c r="AS43" s="84"/>
      <c r="AT43" s="84" t="s">
        <v>96</v>
      </c>
      <c r="AU43" s="84"/>
      <c r="AV43" s="84"/>
      <c r="AW43" s="84"/>
      <c r="AX43" s="84" t="s">
        <v>4</v>
      </c>
      <c r="AY43" s="84" t="s">
        <v>96</v>
      </c>
      <c r="AZ43" s="84"/>
      <c r="BA43" s="84" t="s">
        <v>130</v>
      </c>
      <c r="BB43" s="84">
        <v>13027055</v>
      </c>
      <c r="BC43" s="84" t="s">
        <v>4</v>
      </c>
      <c r="BD43" s="84" t="s">
        <v>96</v>
      </c>
      <c r="BE43" s="84"/>
      <c r="BF43" s="84" t="s">
        <v>96</v>
      </c>
      <c r="BG43" s="84">
        <v>30055926</v>
      </c>
      <c r="BH43" s="84"/>
      <c r="BI43" s="84">
        <v>109154544</v>
      </c>
      <c r="BJ43" s="84">
        <v>699354455</v>
      </c>
      <c r="BK43" s="84"/>
      <c r="BL43" s="84"/>
      <c r="BM43" s="84">
        <v>2247949993</v>
      </c>
      <c r="BN43" s="84"/>
      <c r="BO43" s="84" t="s">
        <v>96</v>
      </c>
      <c r="BP43" s="84" t="s">
        <v>96</v>
      </c>
      <c r="BQ43" s="84" t="s">
        <v>4</v>
      </c>
      <c r="BR43" s="84"/>
      <c r="BS43" s="84" t="s">
        <v>4</v>
      </c>
      <c r="BT43" s="84" t="s">
        <v>96</v>
      </c>
      <c r="BU43" s="85">
        <v>0</v>
      </c>
      <c r="BV43" s="84">
        <v>24040022</v>
      </c>
      <c r="BW43" s="84">
        <v>761502969</v>
      </c>
      <c r="BX43" s="84">
        <v>446222372</v>
      </c>
      <c r="BY43" s="84"/>
      <c r="BZ43" s="84"/>
      <c r="CA43" s="84"/>
      <c r="CB43" s="84">
        <v>551974904</v>
      </c>
      <c r="CC43" s="84"/>
      <c r="CD43" s="84"/>
      <c r="CE43" s="84" t="s">
        <v>96</v>
      </c>
      <c r="CF43" s="84" t="s">
        <v>96</v>
      </c>
      <c r="CG43" s="84">
        <v>1121262960</v>
      </c>
      <c r="CH43" s="84">
        <v>3043400</v>
      </c>
      <c r="CI43" s="84" t="s">
        <v>96</v>
      </c>
      <c r="CJ43" s="84">
        <v>0</v>
      </c>
      <c r="CK43" s="84"/>
      <c r="CL43" s="84"/>
      <c r="CM43" s="84">
        <v>2084550792</v>
      </c>
      <c r="CN43" s="84"/>
      <c r="CO43" s="84"/>
      <c r="CP43" s="84" t="s">
        <v>96</v>
      </c>
      <c r="CQ43" s="84" t="s">
        <v>96</v>
      </c>
      <c r="CR43" s="84">
        <v>1014298696</v>
      </c>
      <c r="CS43" s="84" t="s">
        <v>96</v>
      </c>
      <c r="CT43" s="84"/>
      <c r="CU43" s="84">
        <v>4843122959</v>
      </c>
      <c r="CV43" s="84"/>
      <c r="CW43" s="84" t="s">
        <v>96</v>
      </c>
      <c r="CX43" s="84">
        <v>8135794455</v>
      </c>
      <c r="CY43" s="84" t="s">
        <v>96</v>
      </c>
      <c r="CZ43" s="84">
        <v>1416213347</v>
      </c>
      <c r="DA43" s="84" t="s">
        <v>96</v>
      </c>
      <c r="DB43" s="86"/>
      <c r="DC43" s="84">
        <v>48181320</v>
      </c>
      <c r="DD43" s="84" t="s">
        <v>96</v>
      </c>
      <c r="DE43" s="84"/>
      <c r="DF43" s="84">
        <v>26797400</v>
      </c>
      <c r="DG43" s="84"/>
      <c r="DH43" s="84">
        <v>3923626399</v>
      </c>
      <c r="DI43" s="84"/>
      <c r="DJ43" s="84">
        <v>135621089</v>
      </c>
      <c r="DK43" s="84" t="s">
        <v>96</v>
      </c>
      <c r="DL43" s="84">
        <v>1094949819</v>
      </c>
      <c r="DM43" s="84"/>
      <c r="DN43" s="84"/>
      <c r="DO43" s="84">
        <v>104958163</v>
      </c>
      <c r="DP43" s="84"/>
      <c r="DQ43" s="84"/>
      <c r="DR43" s="84"/>
      <c r="DS43" s="84"/>
      <c r="DT43" s="84"/>
      <c r="DU43" s="84">
        <v>398486750</v>
      </c>
      <c r="DV43" s="84">
        <v>5734313949</v>
      </c>
      <c r="DW43" s="84"/>
      <c r="DX43" s="84">
        <v>12349812740</v>
      </c>
      <c r="DY43" s="84"/>
      <c r="DZ43" s="84">
        <v>887650706</v>
      </c>
      <c r="EA43" s="84"/>
      <c r="EB43" s="84">
        <v>15162787128</v>
      </c>
      <c r="EC43" s="84"/>
      <c r="ED43" s="84"/>
      <c r="EE43" s="84"/>
      <c r="EF43" s="84"/>
      <c r="EG43" s="96"/>
      <c r="EH43" s="99">
        <v>20018930</v>
      </c>
      <c r="EI43" s="97">
        <v>28253335608</v>
      </c>
      <c r="EJ43" s="84">
        <v>99939900</v>
      </c>
      <c r="EK43" s="84"/>
      <c r="EL43" s="84"/>
      <c r="EM43" s="84"/>
      <c r="EN43" s="84">
        <v>7898179549</v>
      </c>
      <c r="EO43" s="84"/>
      <c r="EP43" s="84"/>
      <c r="EQ43" s="84">
        <v>9369117112</v>
      </c>
      <c r="ER43" s="84">
        <v>10032708002</v>
      </c>
      <c r="ES43" s="84"/>
      <c r="ET43" s="84">
        <v>6867645035</v>
      </c>
      <c r="EU43" s="84">
        <v>2830409802</v>
      </c>
      <c r="EV43" s="84"/>
      <c r="EW43" s="84">
        <v>63476729</v>
      </c>
      <c r="EX43" s="84">
        <v>4083248123</v>
      </c>
      <c r="EY43" s="84">
        <v>8136288478</v>
      </c>
      <c r="EZ43" s="84">
        <v>747189622</v>
      </c>
      <c r="FA43" s="84"/>
      <c r="FB43" s="84"/>
      <c r="FC43" s="84"/>
      <c r="FD43" s="84"/>
      <c r="FE43" s="84"/>
      <c r="FF43" s="84">
        <v>571285729</v>
      </c>
      <c r="FG43" s="84" t="s">
        <v>96</v>
      </c>
      <c r="FH43" s="84">
        <v>370468690</v>
      </c>
      <c r="FI43" s="84" t="s">
        <v>96</v>
      </c>
      <c r="FJ43" s="84"/>
      <c r="FK43" s="84">
        <v>433750976</v>
      </c>
      <c r="FL43" s="84"/>
      <c r="FM43" s="84" t="s">
        <v>130</v>
      </c>
      <c r="FN43" s="84"/>
      <c r="FO43" s="84" t="s">
        <v>96</v>
      </c>
      <c r="FP43" s="84" t="s">
        <v>96</v>
      </c>
      <c r="FQ43" s="84"/>
      <c r="FR43" s="84"/>
      <c r="FS43" s="86">
        <v>479440951</v>
      </c>
      <c r="FT43" s="84"/>
      <c r="FU43" s="84"/>
      <c r="FV43" s="84" t="s">
        <v>96</v>
      </c>
      <c r="FW43" s="84">
        <v>13828000</v>
      </c>
      <c r="FX43" s="84"/>
      <c r="FY43" s="84" t="s">
        <v>96</v>
      </c>
      <c r="FZ43" s="84" t="s">
        <v>4</v>
      </c>
      <c r="GA43" s="84"/>
      <c r="GB43" s="84"/>
      <c r="GC43" s="84"/>
      <c r="GD43" s="84" t="s">
        <v>96</v>
      </c>
      <c r="GE43" s="84" t="s">
        <v>4</v>
      </c>
      <c r="GF43" s="84"/>
      <c r="GG43" s="84"/>
      <c r="GH43" s="84" t="s">
        <v>4</v>
      </c>
      <c r="GI43" s="84">
        <v>10222727</v>
      </c>
      <c r="GJ43" s="84" t="s">
        <v>96</v>
      </c>
      <c r="GK43" s="84"/>
      <c r="GL43" s="84" t="s">
        <v>96</v>
      </c>
      <c r="GM43" s="84"/>
      <c r="GN43" s="84">
        <v>94000000</v>
      </c>
      <c r="GO43" s="84" t="s">
        <v>96</v>
      </c>
      <c r="GP43" s="84">
        <v>1403042972</v>
      </c>
      <c r="GQ43" s="84"/>
      <c r="GR43" s="84"/>
      <c r="GS43" s="84">
        <v>5400000</v>
      </c>
      <c r="GT43" s="84" t="s">
        <v>130</v>
      </c>
      <c r="GU43" s="84">
        <v>100162850</v>
      </c>
      <c r="GV43" s="84">
        <v>8595054457</v>
      </c>
      <c r="GW43" s="84">
        <v>2785141761</v>
      </c>
      <c r="GX43" s="84">
        <v>37409096</v>
      </c>
      <c r="GY43" s="84"/>
      <c r="GZ43" s="84"/>
      <c r="HA43" s="84" t="s">
        <v>96</v>
      </c>
      <c r="HB43" s="84">
        <v>479551958</v>
      </c>
      <c r="HC43" s="84" t="s">
        <v>130</v>
      </c>
      <c r="HD43" s="84"/>
      <c r="HE43" s="84" t="s">
        <v>96</v>
      </c>
      <c r="HF43" s="84"/>
      <c r="HG43" s="84"/>
      <c r="HH43" s="84" t="s">
        <v>96</v>
      </c>
      <c r="HI43" s="84"/>
      <c r="HJ43" s="84" t="s">
        <v>96</v>
      </c>
      <c r="HK43" s="84">
        <v>38360331</v>
      </c>
      <c r="HL43" s="84">
        <v>13345000</v>
      </c>
      <c r="HM43" s="84">
        <v>655511671</v>
      </c>
      <c r="HN43" s="84"/>
      <c r="HO43" s="84">
        <v>1315791617</v>
      </c>
      <c r="HP43" s="84">
        <v>63830561</v>
      </c>
      <c r="HQ43" s="84"/>
      <c r="HR43" s="84"/>
      <c r="HS43" s="84">
        <v>1425999010</v>
      </c>
      <c r="HT43" s="84"/>
      <c r="HU43" s="84" t="s">
        <v>130</v>
      </c>
      <c r="HV43" s="84"/>
      <c r="HW43" s="84" t="s">
        <v>96</v>
      </c>
      <c r="HX43" s="84"/>
      <c r="HY43" s="84" t="s">
        <v>114</v>
      </c>
      <c r="HZ43" s="84">
        <v>178265011</v>
      </c>
      <c r="IA43" s="84">
        <v>106330400</v>
      </c>
      <c r="IB43" s="84"/>
      <c r="IC43" s="84">
        <v>8722061957</v>
      </c>
      <c r="ID43" s="84"/>
      <c r="IE43" s="84" t="s">
        <v>96</v>
      </c>
      <c r="IF43" s="84">
        <v>4100000</v>
      </c>
      <c r="IG43" s="84">
        <v>46676202</v>
      </c>
      <c r="IH43" s="84">
        <v>103811015</v>
      </c>
      <c r="II43" s="84"/>
      <c r="IJ43" s="84"/>
      <c r="IK43" s="84">
        <v>103309377</v>
      </c>
      <c r="IL43" s="84"/>
      <c r="IM43" s="84">
        <v>34187940</v>
      </c>
      <c r="IN43" s="84">
        <v>2531704813</v>
      </c>
      <c r="IO43" s="84"/>
      <c r="IP43" s="84"/>
      <c r="IQ43" s="84">
        <v>971958357</v>
      </c>
      <c r="IR43" s="84">
        <v>2164636601</v>
      </c>
      <c r="IS43" s="96"/>
      <c r="IT43" s="99">
        <v>424639213</v>
      </c>
      <c r="IU43" s="84">
        <v>8492806831</v>
      </c>
      <c r="IV43" s="84"/>
      <c r="IW43" s="84">
        <v>359241818</v>
      </c>
      <c r="IX43" s="84"/>
      <c r="IY43" s="68"/>
      <c r="IZ43" s="68">
        <v>159159732</v>
      </c>
      <c r="JA43" s="68">
        <v>3634000</v>
      </c>
      <c r="JB43" s="68"/>
      <c r="JC43" s="68"/>
      <c r="JD43" s="68">
        <v>564679314</v>
      </c>
      <c r="JE43" s="68"/>
      <c r="JF43" s="68"/>
      <c r="JG43" s="68">
        <v>59385640</v>
      </c>
      <c r="JH43" s="68">
        <v>311655876</v>
      </c>
      <c r="JI43" s="68">
        <v>34044747</v>
      </c>
      <c r="JJ43" s="68">
        <v>80205231</v>
      </c>
      <c r="JK43" s="68"/>
      <c r="JL43" s="68">
        <v>5915858368</v>
      </c>
      <c r="JM43" s="68">
        <v>1219605137</v>
      </c>
      <c r="JN43" s="68"/>
      <c r="JO43" s="68"/>
      <c r="JP43" s="68"/>
      <c r="JQ43" s="68" t="s">
        <v>4</v>
      </c>
      <c r="JR43" s="68"/>
      <c r="JS43" s="68">
        <v>1090909</v>
      </c>
      <c r="JT43" s="68">
        <v>22251818</v>
      </c>
      <c r="JU43" s="68"/>
      <c r="JV43" s="68">
        <v>3966756647</v>
      </c>
      <c r="JW43" s="68"/>
      <c r="JX43" s="68">
        <v>7241292830</v>
      </c>
      <c r="JY43" s="68">
        <v>4536578802</v>
      </c>
      <c r="JZ43" s="68"/>
      <c r="KA43" s="68">
        <v>1233688894</v>
      </c>
      <c r="KB43" s="68"/>
      <c r="KC43" s="68"/>
      <c r="KD43" s="68">
        <v>28636364</v>
      </c>
      <c r="KE43" s="68"/>
      <c r="KF43" s="68">
        <v>209215119</v>
      </c>
      <c r="KG43" s="68"/>
      <c r="KH43" s="68">
        <v>419607764</v>
      </c>
      <c r="KI43" s="68">
        <v>18887390</v>
      </c>
      <c r="KJ43" s="68">
        <v>1886846567</v>
      </c>
      <c r="KK43" s="68"/>
      <c r="KL43" s="68"/>
      <c r="KM43" s="68">
        <v>862189745</v>
      </c>
      <c r="KN43" s="68">
        <v>365273539</v>
      </c>
      <c r="KO43" s="68"/>
      <c r="KP43" s="68">
        <v>3585539728</v>
      </c>
      <c r="KQ43" s="68"/>
      <c r="KR43" s="68">
        <v>463453914</v>
      </c>
      <c r="KS43" s="68"/>
      <c r="KT43" s="68">
        <v>570027885</v>
      </c>
      <c r="KU43" s="68"/>
      <c r="KV43" s="68"/>
      <c r="KW43" s="68"/>
      <c r="KX43" s="68"/>
      <c r="KY43" s="68">
        <v>1259104793</v>
      </c>
      <c r="KZ43" s="68"/>
      <c r="LA43" s="68"/>
      <c r="LB43" s="68"/>
      <c r="LC43" s="104">
        <v>3778739658</v>
      </c>
      <c r="LD43" s="104"/>
      <c r="LE43" s="104">
        <v>9164430</v>
      </c>
      <c r="LF43" s="104">
        <v>1485578585</v>
      </c>
      <c r="LG43" s="104">
        <v>321681763</v>
      </c>
      <c r="LH43" s="102" t="s">
        <v>187</v>
      </c>
      <c r="LI43" s="104"/>
      <c r="LJ43" s="102" t="s">
        <v>187</v>
      </c>
      <c r="LK43" s="104">
        <v>1520673834</v>
      </c>
      <c r="LL43" s="102" t="s">
        <v>187</v>
      </c>
    </row>
    <row r="44" spans="1:324">
      <c r="A44" s="69" t="s">
        <v>185</v>
      </c>
      <c r="B44" s="93" t="s">
        <v>24</v>
      </c>
      <c r="C44" s="84">
        <v>3020000</v>
      </c>
      <c r="D44" s="84"/>
      <c r="E44" s="84"/>
      <c r="F44" s="84">
        <v>17838083</v>
      </c>
      <c r="G44" s="84" t="s">
        <v>130</v>
      </c>
      <c r="H44" s="84">
        <v>2293523143</v>
      </c>
      <c r="I44" s="84">
        <v>10936723961</v>
      </c>
      <c r="J44" s="84" t="s">
        <v>4</v>
      </c>
      <c r="K44" s="84"/>
      <c r="L44" s="84" t="s">
        <v>96</v>
      </c>
      <c r="M44" s="84" t="s">
        <v>96</v>
      </c>
      <c r="N44" s="84">
        <v>114420492</v>
      </c>
      <c r="O44" s="84">
        <v>4124899122</v>
      </c>
      <c r="P44" s="84">
        <v>7002670131</v>
      </c>
      <c r="Q44" s="84"/>
      <c r="R44" s="84" t="s">
        <v>130</v>
      </c>
      <c r="S44" s="84"/>
      <c r="T44" s="84" t="s">
        <v>96</v>
      </c>
      <c r="U44" s="84" t="s">
        <v>96</v>
      </c>
      <c r="V44" s="84" t="s">
        <v>4</v>
      </c>
      <c r="W44" s="84"/>
      <c r="X44" s="84">
        <v>207555750</v>
      </c>
      <c r="Y44" s="84">
        <v>542301502</v>
      </c>
      <c r="Z44" s="84">
        <v>793348813</v>
      </c>
      <c r="AA44" s="84">
        <v>91496748</v>
      </c>
      <c r="AB44" s="84">
        <v>310471088</v>
      </c>
      <c r="AC44" s="84">
        <v>16916991</v>
      </c>
      <c r="AD44" s="84"/>
      <c r="AE44" s="84">
        <v>1049392969</v>
      </c>
      <c r="AF44" s="84" t="s">
        <v>96</v>
      </c>
      <c r="AG44" s="84"/>
      <c r="AH44" s="84" t="s">
        <v>130</v>
      </c>
      <c r="AI44" s="84"/>
      <c r="AJ44" s="84"/>
      <c r="AK44" s="84">
        <v>26195205</v>
      </c>
      <c r="AL44" s="84"/>
      <c r="AM44" s="84" t="s">
        <v>4</v>
      </c>
      <c r="AN44" s="84"/>
      <c r="AO44" s="84"/>
      <c r="AP44" s="84">
        <v>859990647</v>
      </c>
      <c r="AQ44" s="84" t="s">
        <v>4</v>
      </c>
      <c r="AR44" s="84">
        <v>2000000</v>
      </c>
      <c r="AS44" s="84">
        <v>1462906662</v>
      </c>
      <c r="AT44" s="84" t="s">
        <v>96</v>
      </c>
      <c r="AU44" s="84">
        <v>4189819918</v>
      </c>
      <c r="AV44" s="84">
        <v>245776232</v>
      </c>
      <c r="AW44" s="84">
        <v>342539896</v>
      </c>
      <c r="AX44" s="84" t="s">
        <v>4</v>
      </c>
      <c r="AY44" s="84" t="s">
        <v>96</v>
      </c>
      <c r="AZ44" s="84"/>
      <c r="BA44" s="84" t="s">
        <v>130</v>
      </c>
      <c r="BB44" s="84"/>
      <c r="BC44" s="84" t="s">
        <v>4</v>
      </c>
      <c r="BD44" s="84" t="s">
        <v>96</v>
      </c>
      <c r="BE44" s="84">
        <v>210098248</v>
      </c>
      <c r="BF44" s="84" t="s">
        <v>96</v>
      </c>
      <c r="BG44" s="84">
        <v>28617310</v>
      </c>
      <c r="BH44" s="84"/>
      <c r="BI44" s="84"/>
      <c r="BJ44" s="84">
        <v>-10687289</v>
      </c>
      <c r="BK44" s="84">
        <v>2381135001</v>
      </c>
      <c r="BL44" s="84">
        <v>421409786</v>
      </c>
      <c r="BM44" s="84">
        <v>276454992</v>
      </c>
      <c r="BN44" s="84">
        <v>268092714</v>
      </c>
      <c r="BO44" s="84" t="s">
        <v>96</v>
      </c>
      <c r="BP44" s="84" t="s">
        <v>96</v>
      </c>
      <c r="BQ44" s="84" t="s">
        <v>4</v>
      </c>
      <c r="BR44" s="84">
        <v>402151</v>
      </c>
      <c r="BS44" s="84" t="s">
        <v>4</v>
      </c>
      <c r="BT44" s="84" t="s">
        <v>96</v>
      </c>
      <c r="BU44" s="85">
        <v>0</v>
      </c>
      <c r="BV44" s="84">
        <v>340135365</v>
      </c>
      <c r="BW44" s="84"/>
      <c r="BX44" s="84">
        <v>149179660</v>
      </c>
      <c r="BY44" s="84">
        <v>32818180</v>
      </c>
      <c r="BZ44" s="84"/>
      <c r="CA44" s="84">
        <v>6242581131</v>
      </c>
      <c r="CB44" s="84">
        <v>14500000</v>
      </c>
      <c r="CC44" s="84">
        <v>1970000</v>
      </c>
      <c r="CD44" s="84"/>
      <c r="CE44" s="84" t="s">
        <v>96</v>
      </c>
      <c r="CF44" s="84" t="s">
        <v>96</v>
      </c>
      <c r="CG44" s="84">
        <v>61045542</v>
      </c>
      <c r="CH44" s="84">
        <v>0</v>
      </c>
      <c r="CI44" s="84" t="s">
        <v>96</v>
      </c>
      <c r="CJ44" s="84">
        <v>0</v>
      </c>
      <c r="CK44" s="84"/>
      <c r="CL44" s="84"/>
      <c r="CM44" s="84">
        <v>8535940594</v>
      </c>
      <c r="CN44" s="84">
        <v>285695035</v>
      </c>
      <c r="CO44" s="84">
        <v>100262132</v>
      </c>
      <c r="CP44" s="84" t="s">
        <v>96</v>
      </c>
      <c r="CQ44" s="84" t="s">
        <v>96</v>
      </c>
      <c r="CR44" s="84"/>
      <c r="CS44" s="84" t="s">
        <v>96</v>
      </c>
      <c r="CT44" s="84">
        <v>5815971361</v>
      </c>
      <c r="CU44" s="84"/>
      <c r="CV44" s="84"/>
      <c r="CW44" s="84" t="s">
        <v>96</v>
      </c>
      <c r="CX44" s="84">
        <v>4435880</v>
      </c>
      <c r="CY44" s="84" t="s">
        <v>96</v>
      </c>
      <c r="CZ44" s="84">
        <v>754534610</v>
      </c>
      <c r="DA44" s="84" t="s">
        <v>96</v>
      </c>
      <c r="DB44" s="86">
        <v>314000160</v>
      </c>
      <c r="DC44" s="84"/>
      <c r="DD44" s="84" t="s">
        <v>96</v>
      </c>
      <c r="DE44" s="84">
        <v>1632998795</v>
      </c>
      <c r="DF44" s="84"/>
      <c r="DG44" s="84">
        <v>1665295609</v>
      </c>
      <c r="DH44" s="84"/>
      <c r="DI44" s="84">
        <v>185645153</v>
      </c>
      <c r="DJ44" s="84"/>
      <c r="DK44" s="84" t="s">
        <v>96</v>
      </c>
      <c r="DL44" s="84"/>
      <c r="DM44" s="84">
        <v>17369462</v>
      </c>
      <c r="DN44" s="84">
        <v>41003418</v>
      </c>
      <c r="DO44" s="84"/>
      <c r="DP44" s="84"/>
      <c r="DQ44" s="84">
        <v>60000000</v>
      </c>
      <c r="DR44" s="84">
        <v>109310000</v>
      </c>
      <c r="DS44" s="84">
        <v>809324590</v>
      </c>
      <c r="DT44" s="84">
        <v>2892647836</v>
      </c>
      <c r="DU44" s="84"/>
      <c r="DV44" s="84">
        <v>4618488557</v>
      </c>
      <c r="DW44" s="84"/>
      <c r="DX44" s="84"/>
      <c r="DY44" s="84">
        <v>964115260</v>
      </c>
      <c r="DZ44" s="84"/>
      <c r="EA44" s="84">
        <v>62792898</v>
      </c>
      <c r="EB44" s="84">
        <v>218622000</v>
      </c>
      <c r="EC44" s="84">
        <v>2605108</v>
      </c>
      <c r="ED44" s="84"/>
      <c r="EE44" s="84">
        <v>315069295</v>
      </c>
      <c r="EF44" s="84">
        <v>92449998</v>
      </c>
      <c r="EG44" s="96">
        <v>728209834</v>
      </c>
      <c r="EH44" s="99">
        <v>105741000</v>
      </c>
      <c r="EI44" s="97"/>
      <c r="EJ44" s="84">
        <v>153040000</v>
      </c>
      <c r="EK44" s="84">
        <v>1573797987</v>
      </c>
      <c r="EL44" s="84"/>
      <c r="EM44" s="84">
        <v>110815377</v>
      </c>
      <c r="EN44" s="84">
        <v>255034622</v>
      </c>
      <c r="EO44" s="84">
        <v>12000000</v>
      </c>
      <c r="EP44" s="84">
        <v>658027377</v>
      </c>
      <c r="EQ44" s="84"/>
      <c r="ER44" s="84">
        <v>746460239</v>
      </c>
      <c r="ES44" s="84"/>
      <c r="ET44" s="84"/>
      <c r="EU44" s="84">
        <v>1031990306</v>
      </c>
      <c r="EV44" s="84"/>
      <c r="EW44" s="84">
        <v>35603634</v>
      </c>
      <c r="EX44" s="84">
        <v>68430000</v>
      </c>
      <c r="EY44" s="84">
        <v>48115000</v>
      </c>
      <c r="EZ44" s="84">
        <v>175242893</v>
      </c>
      <c r="FA44" s="84">
        <v>996658044</v>
      </c>
      <c r="FB44" s="84"/>
      <c r="FC44" s="84"/>
      <c r="FD44" s="84">
        <v>25808918</v>
      </c>
      <c r="FE44" s="84"/>
      <c r="FF44" s="84"/>
      <c r="FG44" s="84" t="s">
        <v>96</v>
      </c>
      <c r="FH44" s="84">
        <v>652678947</v>
      </c>
      <c r="FI44" s="84" t="s">
        <v>96</v>
      </c>
      <c r="FJ44" s="84">
        <v>441108769</v>
      </c>
      <c r="FK44" s="84">
        <v>1158733034</v>
      </c>
      <c r="FL44" s="84"/>
      <c r="FM44" s="84" t="s">
        <v>130</v>
      </c>
      <c r="FN44" s="84">
        <v>3027644008</v>
      </c>
      <c r="FO44" s="84" t="s">
        <v>96</v>
      </c>
      <c r="FP44" s="84" t="s">
        <v>96</v>
      </c>
      <c r="FQ44" s="84">
        <v>30000000</v>
      </c>
      <c r="FR44" s="84"/>
      <c r="FS44" s="86"/>
      <c r="FT44" s="84"/>
      <c r="FU44" s="84"/>
      <c r="FV44" s="84" t="s">
        <v>96</v>
      </c>
      <c r="FW44" s="84"/>
      <c r="FX44" s="84"/>
      <c r="FY44" s="84" t="s">
        <v>96</v>
      </c>
      <c r="FZ44" s="84" t="s">
        <v>4</v>
      </c>
      <c r="GA44" s="84">
        <v>2258697192</v>
      </c>
      <c r="GB44" s="84">
        <v>289070580</v>
      </c>
      <c r="GC44" s="84">
        <v>165695437</v>
      </c>
      <c r="GD44" s="84" t="s">
        <v>96</v>
      </c>
      <c r="GE44" s="84" t="s">
        <v>4</v>
      </c>
      <c r="GF44" s="84"/>
      <c r="GG44" s="84"/>
      <c r="GH44" s="84" t="s">
        <v>4</v>
      </c>
      <c r="GI44" s="84"/>
      <c r="GJ44" s="84" t="s">
        <v>96</v>
      </c>
      <c r="GK44" s="84"/>
      <c r="GL44" s="84" t="s">
        <v>96</v>
      </c>
      <c r="GM44" s="84">
        <v>1832125440</v>
      </c>
      <c r="GN44" s="84">
        <v>171103633</v>
      </c>
      <c r="GO44" s="84" t="s">
        <v>96</v>
      </c>
      <c r="GP44" s="84">
        <v>686379277</v>
      </c>
      <c r="GQ44" s="84">
        <v>378712162</v>
      </c>
      <c r="GR44" s="84"/>
      <c r="GS44" s="84">
        <v>139720226</v>
      </c>
      <c r="GT44" s="84" t="s">
        <v>130</v>
      </c>
      <c r="GU44" s="84">
        <v>74704616</v>
      </c>
      <c r="GV44" s="84">
        <v>186270600</v>
      </c>
      <c r="GW44" s="84">
        <v>117897757</v>
      </c>
      <c r="GX44" s="84">
        <v>19063184</v>
      </c>
      <c r="GY44" s="84">
        <v>571307500</v>
      </c>
      <c r="GZ44" s="84">
        <v>360455818</v>
      </c>
      <c r="HA44" s="84" t="s">
        <v>96</v>
      </c>
      <c r="HB44" s="84"/>
      <c r="HC44" s="84" t="s">
        <v>130</v>
      </c>
      <c r="HD44" s="84"/>
      <c r="HE44" s="84" t="s">
        <v>96</v>
      </c>
      <c r="HF44" s="84">
        <v>7535289306</v>
      </c>
      <c r="HG44" s="84">
        <v>5150000</v>
      </c>
      <c r="HH44" s="84" t="s">
        <v>96</v>
      </c>
      <c r="HI44" s="84">
        <v>806718650</v>
      </c>
      <c r="HJ44" s="84" t="s">
        <v>96</v>
      </c>
      <c r="HK44" s="84">
        <v>26698002</v>
      </c>
      <c r="HL44" s="84">
        <v>1710786440</v>
      </c>
      <c r="HM44" s="84">
        <v>39260514</v>
      </c>
      <c r="HN44" s="84">
        <v>110386364</v>
      </c>
      <c r="HO44" s="84"/>
      <c r="HP44" s="84">
        <v>406222</v>
      </c>
      <c r="HQ44" s="84">
        <v>1713668190</v>
      </c>
      <c r="HR44" s="84">
        <v>21069975</v>
      </c>
      <c r="HS44" s="84"/>
      <c r="HT44" s="84">
        <v>22727273</v>
      </c>
      <c r="HU44" s="84" t="s">
        <v>130</v>
      </c>
      <c r="HV44" s="84">
        <v>55317340</v>
      </c>
      <c r="HW44" s="84" t="s">
        <v>96</v>
      </c>
      <c r="HX44" s="84">
        <v>8721798</v>
      </c>
      <c r="HY44" s="84" t="s">
        <v>114</v>
      </c>
      <c r="HZ44" s="84">
        <v>1204818849</v>
      </c>
      <c r="IA44" s="84">
        <v>228703398</v>
      </c>
      <c r="IB44" s="84">
        <v>198955376</v>
      </c>
      <c r="IC44" s="84">
        <v>1046729546</v>
      </c>
      <c r="ID44" s="84"/>
      <c r="IE44" s="84" t="s">
        <v>96</v>
      </c>
      <c r="IF44" s="84"/>
      <c r="IG44" s="84"/>
      <c r="IH44" s="84">
        <v>1763638</v>
      </c>
      <c r="II44" s="84">
        <v>0</v>
      </c>
      <c r="IJ44" s="84"/>
      <c r="IK44" s="84"/>
      <c r="IL44" s="84">
        <v>113921055</v>
      </c>
      <c r="IM44" s="84">
        <v>1594986206</v>
      </c>
      <c r="IN44" s="84">
        <v>198872050</v>
      </c>
      <c r="IO44" s="84"/>
      <c r="IP44" s="84">
        <v>439984691</v>
      </c>
      <c r="IQ44" s="84">
        <v>571090577</v>
      </c>
      <c r="IR44" s="84"/>
      <c r="IS44" s="96"/>
      <c r="IT44" s="99">
        <v>67441959</v>
      </c>
      <c r="IU44" s="84">
        <v>430722130</v>
      </c>
      <c r="IV44" s="84">
        <v>1589918620</v>
      </c>
      <c r="IW44" s="84"/>
      <c r="IX44" s="84">
        <v>1368394562</v>
      </c>
      <c r="IY44" s="68">
        <v>13966756</v>
      </c>
      <c r="IZ44" s="68">
        <v>502603579</v>
      </c>
      <c r="JA44" s="68"/>
      <c r="JB44" s="68"/>
      <c r="JC44" s="68"/>
      <c r="JD44" s="68">
        <v>183149310</v>
      </c>
      <c r="JE44" s="68"/>
      <c r="JF44" s="68">
        <v>938619407</v>
      </c>
      <c r="JG44" s="68"/>
      <c r="JH44" s="68"/>
      <c r="JI44" s="68"/>
      <c r="JJ44" s="68"/>
      <c r="JK44" s="68">
        <v>285805730</v>
      </c>
      <c r="JL44" s="68">
        <v>59200000</v>
      </c>
      <c r="JM44" s="68"/>
      <c r="JN44" s="68"/>
      <c r="JO44" s="68">
        <v>225192000</v>
      </c>
      <c r="JP44" s="68">
        <v>480527478</v>
      </c>
      <c r="JQ44" s="68" t="s">
        <v>4</v>
      </c>
      <c r="JR44" s="68"/>
      <c r="JS44" s="68"/>
      <c r="JT44" s="68"/>
      <c r="JU44" s="68"/>
      <c r="JV44" s="68">
        <v>1236429682</v>
      </c>
      <c r="JW44" s="68">
        <v>2805008336</v>
      </c>
      <c r="JX44" s="68"/>
      <c r="JY44" s="68">
        <v>2065043516</v>
      </c>
      <c r="JZ44" s="68"/>
      <c r="KA44" s="68"/>
      <c r="KB44" s="68"/>
      <c r="KC44" s="68"/>
      <c r="KD44" s="68">
        <v>5229266979</v>
      </c>
      <c r="KE44" s="68"/>
      <c r="KF44" s="68"/>
      <c r="KG44" s="68">
        <v>294430445</v>
      </c>
      <c r="KH44" s="68"/>
      <c r="KI44" s="68">
        <v>189989078</v>
      </c>
      <c r="KJ44" s="68">
        <v>0</v>
      </c>
      <c r="KK44" s="68">
        <v>21626532</v>
      </c>
      <c r="KL44" s="68"/>
      <c r="KM44" s="68"/>
      <c r="KN44" s="68"/>
      <c r="KO44" s="68"/>
      <c r="KP44" s="68"/>
      <c r="KQ44" s="68"/>
      <c r="KR44" s="68">
        <v>11580000</v>
      </c>
      <c r="KS44" s="68">
        <v>0</v>
      </c>
      <c r="KT44" s="68">
        <v>10002741</v>
      </c>
      <c r="KU44" s="68">
        <v>970309184</v>
      </c>
      <c r="KV44" s="68">
        <v>167080219</v>
      </c>
      <c r="KW44" s="68"/>
      <c r="KX44" s="68"/>
      <c r="KY44" s="68"/>
      <c r="KZ44" s="68"/>
      <c r="LA44" s="68">
        <v>138985001</v>
      </c>
      <c r="LB44" s="68">
        <v>268787657</v>
      </c>
      <c r="LC44" s="104">
        <v>23679000</v>
      </c>
      <c r="LD44" s="104">
        <v>31969961</v>
      </c>
      <c r="LE44" s="104"/>
      <c r="LF44" s="104">
        <v>24288200</v>
      </c>
      <c r="LG44" s="104"/>
      <c r="LH44" s="102" t="s">
        <v>187</v>
      </c>
      <c r="LI44" s="104"/>
      <c r="LJ44" s="102" t="s">
        <v>187</v>
      </c>
      <c r="LK44" s="104"/>
      <c r="LL44" s="102" t="s">
        <v>187</v>
      </c>
    </row>
    <row r="45" spans="1:324">
      <c r="A45" s="69" t="s">
        <v>185</v>
      </c>
      <c r="B45" s="92" t="s">
        <v>144</v>
      </c>
      <c r="C45" s="84">
        <v>0</v>
      </c>
      <c r="D45" s="84">
        <v>4655412480</v>
      </c>
      <c r="E45" s="84">
        <v>1974766673</v>
      </c>
      <c r="F45" s="84">
        <v>188902861</v>
      </c>
      <c r="G45" s="84" t="s">
        <v>130</v>
      </c>
      <c r="H45" s="84">
        <v>6497000</v>
      </c>
      <c r="I45" s="84">
        <v>0</v>
      </c>
      <c r="J45" s="84" t="s">
        <v>4</v>
      </c>
      <c r="K45" s="84">
        <v>3264080287</v>
      </c>
      <c r="L45" s="84" t="s">
        <v>96</v>
      </c>
      <c r="M45" s="84" t="s">
        <v>96</v>
      </c>
      <c r="N45" s="84">
        <v>342846107</v>
      </c>
      <c r="O45" s="84">
        <v>623934386</v>
      </c>
      <c r="P45" s="84">
        <v>812615709</v>
      </c>
      <c r="Q45" s="84">
        <v>130575669</v>
      </c>
      <c r="R45" s="84" t="s">
        <v>130</v>
      </c>
      <c r="S45" s="84">
        <v>9604034951</v>
      </c>
      <c r="T45" s="84" t="s">
        <v>96</v>
      </c>
      <c r="U45" s="84" t="s">
        <v>96</v>
      </c>
      <c r="V45" s="84" t="s">
        <v>4</v>
      </c>
      <c r="W45" s="84">
        <v>162082829</v>
      </c>
      <c r="X45" s="84">
        <v>2225759763</v>
      </c>
      <c r="Y45" s="84">
        <v>0</v>
      </c>
      <c r="Z45" s="84">
        <v>154439287</v>
      </c>
      <c r="AA45" s="84">
        <v>4512554845</v>
      </c>
      <c r="AB45" s="84">
        <v>0</v>
      </c>
      <c r="AC45" s="84">
        <v>2147881227</v>
      </c>
      <c r="AD45" s="84">
        <v>3386705410</v>
      </c>
      <c r="AE45" s="84">
        <v>1103533096</v>
      </c>
      <c r="AF45" s="84" t="s">
        <v>96</v>
      </c>
      <c r="AG45" s="84">
        <v>0</v>
      </c>
      <c r="AH45" s="84" t="s">
        <v>130</v>
      </c>
      <c r="AI45" s="84">
        <v>683585138</v>
      </c>
      <c r="AJ45" s="84">
        <v>97695006</v>
      </c>
      <c r="AK45" s="84">
        <v>2203737334</v>
      </c>
      <c r="AL45" s="84">
        <v>0</v>
      </c>
      <c r="AM45" s="84" t="s">
        <v>4</v>
      </c>
      <c r="AN45" s="84">
        <v>24187763</v>
      </c>
      <c r="AO45" s="84">
        <v>314893244</v>
      </c>
      <c r="AP45" s="84">
        <v>0</v>
      </c>
      <c r="AQ45" s="84" t="s">
        <v>4</v>
      </c>
      <c r="AR45" s="84">
        <v>354408059</v>
      </c>
      <c r="AS45" s="84">
        <v>0</v>
      </c>
      <c r="AT45" s="84" t="s">
        <v>96</v>
      </c>
      <c r="AU45" s="84">
        <v>0</v>
      </c>
      <c r="AV45" s="84">
        <v>0</v>
      </c>
      <c r="AW45" s="84">
        <v>0</v>
      </c>
      <c r="AX45" s="84" t="s">
        <v>4</v>
      </c>
      <c r="AY45" s="84" t="s">
        <v>96</v>
      </c>
      <c r="AZ45" s="84">
        <v>771313955</v>
      </c>
      <c r="BA45" s="84" t="s">
        <v>130</v>
      </c>
      <c r="BB45" s="84">
        <v>0</v>
      </c>
      <c r="BC45" s="84" t="s">
        <v>4</v>
      </c>
      <c r="BD45" s="84" t="s">
        <v>96</v>
      </c>
      <c r="BE45" s="84">
        <v>580128691</v>
      </c>
      <c r="BF45" s="84" t="s">
        <v>96</v>
      </c>
      <c r="BG45" s="84">
        <v>1429598979</v>
      </c>
      <c r="BH45" s="84">
        <v>752795296</v>
      </c>
      <c r="BI45" s="84">
        <v>662412320</v>
      </c>
      <c r="BJ45" s="84">
        <v>221320985</v>
      </c>
      <c r="BK45" s="84">
        <v>1377877877</v>
      </c>
      <c r="BL45" s="84">
        <v>0</v>
      </c>
      <c r="BM45" s="84">
        <v>1284882201</v>
      </c>
      <c r="BN45" s="84">
        <v>193460828</v>
      </c>
      <c r="BO45" s="84" t="s">
        <v>96</v>
      </c>
      <c r="BP45" s="84" t="s">
        <v>96</v>
      </c>
      <c r="BQ45" s="84" t="s">
        <v>4</v>
      </c>
      <c r="BR45" s="84">
        <v>8118091412</v>
      </c>
      <c r="BS45" s="84" t="s">
        <v>4</v>
      </c>
      <c r="BT45" s="84" t="s">
        <v>96</v>
      </c>
      <c r="BU45" s="85">
        <v>612058734</v>
      </c>
      <c r="BV45" s="84">
        <v>0</v>
      </c>
      <c r="BW45" s="84">
        <v>0</v>
      </c>
      <c r="BX45" s="84">
        <v>0</v>
      </c>
      <c r="BY45" s="84">
        <v>5622283572</v>
      </c>
      <c r="BZ45" s="84">
        <v>672921441</v>
      </c>
      <c r="CA45" s="84">
        <v>0</v>
      </c>
      <c r="CB45" s="84">
        <v>141353540</v>
      </c>
      <c r="CC45" s="84">
        <v>1467757734</v>
      </c>
      <c r="CD45" s="84">
        <v>2124597008</v>
      </c>
      <c r="CE45" s="84" t="s">
        <v>96</v>
      </c>
      <c r="CF45" s="84" t="s">
        <v>96</v>
      </c>
      <c r="CG45" s="84">
        <v>0</v>
      </c>
      <c r="CH45" s="84">
        <v>217780952</v>
      </c>
      <c r="CI45" s="84" t="s">
        <v>96</v>
      </c>
      <c r="CJ45" s="84">
        <v>244852965</v>
      </c>
      <c r="CK45" s="84">
        <v>1993081813</v>
      </c>
      <c r="CL45" s="84">
        <v>275270173</v>
      </c>
      <c r="CM45" s="84">
        <v>2974181</v>
      </c>
      <c r="CN45" s="84">
        <v>0</v>
      </c>
      <c r="CO45" s="84">
        <v>0</v>
      </c>
      <c r="CP45" s="84" t="s">
        <v>96</v>
      </c>
      <c r="CQ45" s="84" t="s">
        <v>96</v>
      </c>
      <c r="CR45" s="84">
        <v>494933630</v>
      </c>
      <c r="CS45" s="84" t="s">
        <v>96</v>
      </c>
      <c r="CT45" s="84">
        <v>3704933</v>
      </c>
      <c r="CU45" s="84">
        <v>0</v>
      </c>
      <c r="CV45" s="84">
        <v>143608808</v>
      </c>
      <c r="CW45" s="84" t="s">
        <v>96</v>
      </c>
      <c r="CX45" s="84">
        <v>7911365875</v>
      </c>
      <c r="CY45" s="84" t="s">
        <v>96</v>
      </c>
      <c r="CZ45" s="84">
        <v>28332672</v>
      </c>
      <c r="DA45" s="84" t="s">
        <v>96</v>
      </c>
      <c r="DB45" s="86">
        <v>284140594</v>
      </c>
      <c r="DC45" s="84"/>
      <c r="DD45" s="84" t="s">
        <v>96</v>
      </c>
      <c r="DE45" s="84">
        <v>6043758</v>
      </c>
      <c r="DF45" s="84">
        <v>8702118</v>
      </c>
      <c r="DG45" s="84">
        <v>0</v>
      </c>
      <c r="DH45" s="84">
        <v>3279395845</v>
      </c>
      <c r="DI45" s="84">
        <v>5129507990</v>
      </c>
      <c r="DJ45" s="84">
        <v>60167130</v>
      </c>
      <c r="DK45" s="84" t="s">
        <v>96</v>
      </c>
      <c r="DL45" s="84">
        <v>15450000</v>
      </c>
      <c r="DM45" s="84">
        <v>530515781</v>
      </c>
      <c r="DN45" s="84">
        <v>1053480607</v>
      </c>
      <c r="DO45" s="84"/>
      <c r="DP45" s="84">
        <v>1295939417</v>
      </c>
      <c r="DQ45" s="84">
        <v>201190653</v>
      </c>
      <c r="DR45" s="84">
        <v>278475759</v>
      </c>
      <c r="DS45" s="84"/>
      <c r="DT45" s="84">
        <v>1908217364</v>
      </c>
      <c r="DU45" s="84"/>
      <c r="DV45" s="84">
        <v>9770506429</v>
      </c>
      <c r="DW45" s="84">
        <v>1028734128</v>
      </c>
      <c r="DX45" s="84"/>
      <c r="DY45" s="84">
        <v>285482845</v>
      </c>
      <c r="DZ45" s="84">
        <v>724155291</v>
      </c>
      <c r="EA45" s="84">
        <v>0</v>
      </c>
      <c r="EB45" s="84">
        <v>40717500</v>
      </c>
      <c r="EC45" s="84">
        <v>251864460</v>
      </c>
      <c r="ED45" s="84">
        <v>1159091</v>
      </c>
      <c r="EE45" s="84">
        <v>871558791</v>
      </c>
      <c r="EF45" s="84">
        <v>503999745</v>
      </c>
      <c r="EG45" s="96">
        <v>6544682354</v>
      </c>
      <c r="EH45" s="99">
        <v>0</v>
      </c>
      <c r="EI45" s="97">
        <v>25585564985</v>
      </c>
      <c r="EJ45" s="84">
        <v>0</v>
      </c>
      <c r="EK45" s="84"/>
      <c r="EL45" s="84">
        <v>2952155823</v>
      </c>
      <c r="EM45" s="84">
        <v>673230521</v>
      </c>
      <c r="EN45" s="84">
        <v>0</v>
      </c>
      <c r="EO45" s="84">
        <v>377878821</v>
      </c>
      <c r="EP45" s="84">
        <v>601220730</v>
      </c>
      <c r="EQ45" s="84"/>
      <c r="ER45" s="84">
        <v>242752896</v>
      </c>
      <c r="ES45" s="84">
        <v>366141419</v>
      </c>
      <c r="ET45" s="84">
        <v>20287656</v>
      </c>
      <c r="EU45" s="84">
        <v>0</v>
      </c>
      <c r="EV45" s="84">
        <v>186289177</v>
      </c>
      <c r="EW45" s="84">
        <v>423601090</v>
      </c>
      <c r="EX45" s="84">
        <v>21624682</v>
      </c>
      <c r="EY45" s="84">
        <v>0</v>
      </c>
      <c r="EZ45" s="84">
        <v>124835592</v>
      </c>
      <c r="FA45" s="84">
        <v>566499890</v>
      </c>
      <c r="FB45" s="84">
        <v>426878265</v>
      </c>
      <c r="FC45" s="84">
        <v>1580307142</v>
      </c>
      <c r="FD45" s="84">
        <v>206649541</v>
      </c>
      <c r="FE45" s="84">
        <v>32661529692</v>
      </c>
      <c r="FF45" s="84">
        <v>0</v>
      </c>
      <c r="FG45" s="84" t="s">
        <v>96</v>
      </c>
      <c r="FH45" s="84">
        <v>653538916</v>
      </c>
      <c r="FI45" s="84" t="s">
        <v>96</v>
      </c>
      <c r="FJ45" s="84">
        <v>15375114</v>
      </c>
      <c r="FK45" s="84">
        <v>2500825241</v>
      </c>
      <c r="FL45" s="84">
        <v>217080005</v>
      </c>
      <c r="FM45" s="84" t="s">
        <v>130</v>
      </c>
      <c r="FN45" s="84">
        <v>3265986075</v>
      </c>
      <c r="FO45" s="84" t="s">
        <v>96</v>
      </c>
      <c r="FP45" s="84" t="s">
        <v>96</v>
      </c>
      <c r="FQ45" s="84">
        <v>12472528</v>
      </c>
      <c r="FR45" s="84">
        <v>157318398</v>
      </c>
      <c r="FS45" s="86">
        <v>169538045</v>
      </c>
      <c r="FT45" s="84">
        <v>6486925848</v>
      </c>
      <c r="FU45" s="84">
        <v>0</v>
      </c>
      <c r="FV45" s="84" t="s">
        <v>96</v>
      </c>
      <c r="FW45" s="84">
        <v>17392699</v>
      </c>
      <c r="FX45" s="84">
        <v>0</v>
      </c>
      <c r="FY45" s="84" t="s">
        <v>96</v>
      </c>
      <c r="FZ45" s="84" t="s">
        <v>4</v>
      </c>
      <c r="GA45" s="84">
        <v>68975159</v>
      </c>
      <c r="GB45" s="84">
        <v>430943201</v>
      </c>
      <c r="GC45" s="84">
        <v>0</v>
      </c>
      <c r="GD45" s="84" t="s">
        <v>96</v>
      </c>
      <c r="GE45" s="84" t="s">
        <v>4</v>
      </c>
      <c r="GF45" s="84">
        <v>990441609</v>
      </c>
      <c r="GG45" s="84">
        <v>1337326671</v>
      </c>
      <c r="GH45" s="84" t="s">
        <v>4</v>
      </c>
      <c r="GI45" s="84">
        <v>23246679</v>
      </c>
      <c r="GJ45" s="84" t="s">
        <v>96</v>
      </c>
      <c r="GK45" s="84">
        <v>96865882</v>
      </c>
      <c r="GL45" s="84" t="s">
        <v>96</v>
      </c>
      <c r="GM45" s="84">
        <v>15208283</v>
      </c>
      <c r="GN45" s="84">
        <v>0</v>
      </c>
      <c r="GO45" s="84" t="s">
        <v>96</v>
      </c>
      <c r="GP45" s="84">
        <v>11979492414</v>
      </c>
      <c r="GQ45" s="84">
        <v>427946102</v>
      </c>
      <c r="GR45" s="84">
        <v>900634693</v>
      </c>
      <c r="GS45" s="84"/>
      <c r="GT45" s="84" t="s">
        <v>130</v>
      </c>
      <c r="GU45" s="84">
        <v>0</v>
      </c>
      <c r="GV45" s="84">
        <v>71649413</v>
      </c>
      <c r="GW45" s="84"/>
      <c r="GX45" s="84">
        <v>1711436005</v>
      </c>
      <c r="GY45" s="84">
        <v>864542338</v>
      </c>
      <c r="GZ45" s="84">
        <v>252837902</v>
      </c>
      <c r="HA45" s="84" t="s">
        <v>96</v>
      </c>
      <c r="HB45" s="84"/>
      <c r="HC45" s="84" t="s">
        <v>130</v>
      </c>
      <c r="HD45" s="84">
        <v>238003572</v>
      </c>
      <c r="HE45" s="84" t="s">
        <v>96</v>
      </c>
      <c r="HF45" s="84">
        <v>0</v>
      </c>
      <c r="HG45" s="84">
        <v>1239584681</v>
      </c>
      <c r="HH45" s="84" t="s">
        <v>96</v>
      </c>
      <c r="HI45" s="84">
        <v>0</v>
      </c>
      <c r="HJ45" s="84" t="s">
        <v>96</v>
      </c>
      <c r="HK45" s="84">
        <v>1850205381</v>
      </c>
      <c r="HL45" s="84">
        <v>1124514980</v>
      </c>
      <c r="HM45" s="84">
        <v>16868123</v>
      </c>
      <c r="HN45" s="84">
        <v>0</v>
      </c>
      <c r="HO45" s="84">
        <v>1636776305</v>
      </c>
      <c r="HP45" s="84">
        <v>764902857</v>
      </c>
      <c r="HQ45" s="84">
        <v>0</v>
      </c>
      <c r="HR45" s="84">
        <v>752980815</v>
      </c>
      <c r="HS45" s="84">
        <v>1077234491</v>
      </c>
      <c r="HT45" s="84">
        <v>15677954</v>
      </c>
      <c r="HU45" s="84" t="s">
        <v>130</v>
      </c>
      <c r="HV45" s="84">
        <v>105718709</v>
      </c>
      <c r="HW45" s="84" t="s">
        <v>96</v>
      </c>
      <c r="HX45" s="84">
        <v>4318319786</v>
      </c>
      <c r="HY45" s="84" t="s">
        <v>114</v>
      </c>
      <c r="HZ45" s="84">
        <v>5226541417</v>
      </c>
      <c r="IA45" s="84"/>
      <c r="IB45" s="84">
        <v>54010126</v>
      </c>
      <c r="IC45" s="84">
        <v>690562051</v>
      </c>
      <c r="ID45" s="84">
        <v>86002885</v>
      </c>
      <c r="IE45" s="84" t="s">
        <v>96</v>
      </c>
      <c r="IF45" s="84">
        <v>10284291</v>
      </c>
      <c r="IG45" s="84">
        <v>4045545</v>
      </c>
      <c r="IH45" s="84">
        <v>1289290433</v>
      </c>
      <c r="II45" s="84">
        <v>0</v>
      </c>
      <c r="IJ45" s="84">
        <v>251445483</v>
      </c>
      <c r="IK45" s="84">
        <v>552785025</v>
      </c>
      <c r="IL45" s="84">
        <v>189701057</v>
      </c>
      <c r="IM45" s="84">
        <v>0</v>
      </c>
      <c r="IN45" s="84">
        <v>126086000</v>
      </c>
      <c r="IO45" s="84">
        <v>581361743</v>
      </c>
      <c r="IP45" s="84">
        <v>1506804556</v>
      </c>
      <c r="IQ45" s="84">
        <v>0</v>
      </c>
      <c r="IR45" s="84">
        <v>867463234</v>
      </c>
      <c r="IS45" s="96">
        <v>1559994357</v>
      </c>
      <c r="IT45" s="99">
        <v>66141137</v>
      </c>
      <c r="IU45" s="84">
        <v>0</v>
      </c>
      <c r="IV45" s="84">
        <v>0</v>
      </c>
      <c r="IW45" s="84">
        <v>0</v>
      </c>
      <c r="IX45" s="84">
        <v>535041598</v>
      </c>
      <c r="IY45" s="68">
        <v>488624312</v>
      </c>
      <c r="IZ45" s="68">
        <v>300360285</v>
      </c>
      <c r="JA45" s="68">
        <v>4310125586</v>
      </c>
      <c r="JB45" s="68">
        <v>428600102</v>
      </c>
      <c r="JC45" s="68">
        <v>74646235</v>
      </c>
      <c r="JD45" s="68">
        <v>0</v>
      </c>
      <c r="JE45" s="68">
        <v>165741811</v>
      </c>
      <c r="JF45" s="68">
        <v>687858229</v>
      </c>
      <c r="JG45" s="68"/>
      <c r="JH45" s="68">
        <v>0</v>
      </c>
      <c r="JI45" s="68">
        <v>65677522</v>
      </c>
      <c r="JJ45" s="68">
        <v>0</v>
      </c>
      <c r="JK45" s="68">
        <v>184983705</v>
      </c>
      <c r="JL45" s="68">
        <v>224744821</v>
      </c>
      <c r="JM45" s="68">
        <v>0</v>
      </c>
      <c r="JN45" s="68">
        <v>3038848571</v>
      </c>
      <c r="JO45" s="68">
        <v>0</v>
      </c>
      <c r="JP45" s="68">
        <v>436295812</v>
      </c>
      <c r="JQ45" s="68" t="s">
        <v>4</v>
      </c>
      <c r="JR45" s="68">
        <v>320049134</v>
      </c>
      <c r="JS45" s="68">
        <v>131857318</v>
      </c>
      <c r="JT45" s="68">
        <v>120432250</v>
      </c>
      <c r="JU45" s="68">
        <v>1157674393</v>
      </c>
      <c r="JV45" s="68">
        <v>87341873</v>
      </c>
      <c r="JW45" s="68"/>
      <c r="JX45" s="68">
        <v>0</v>
      </c>
      <c r="JY45" s="68">
        <v>607883260</v>
      </c>
      <c r="JZ45" s="68">
        <v>71751034</v>
      </c>
      <c r="KA45" s="68">
        <v>1092546217</v>
      </c>
      <c r="KB45" s="68">
        <v>7772827692</v>
      </c>
      <c r="KC45" s="68">
        <v>194345585</v>
      </c>
      <c r="KD45" s="68">
        <v>4111972126</v>
      </c>
      <c r="KE45" s="68">
        <v>126002837</v>
      </c>
      <c r="KF45" s="68">
        <v>1058941475</v>
      </c>
      <c r="KG45" s="68">
        <v>2317657429</v>
      </c>
      <c r="KH45" s="68">
        <v>0</v>
      </c>
      <c r="KI45" s="68">
        <v>0</v>
      </c>
      <c r="KJ45" s="68">
        <v>0</v>
      </c>
      <c r="KK45" s="68">
        <v>1369266195</v>
      </c>
      <c r="KL45" s="68">
        <v>2648712470</v>
      </c>
      <c r="KM45" s="68">
        <v>11324622</v>
      </c>
      <c r="KN45" s="68">
        <v>0</v>
      </c>
      <c r="KO45" s="68">
        <v>1424471737</v>
      </c>
      <c r="KP45" s="68">
        <v>0</v>
      </c>
      <c r="KQ45" s="68">
        <v>17460511</v>
      </c>
      <c r="KR45" s="68">
        <v>179660265</v>
      </c>
      <c r="KS45" s="68">
        <v>456782362</v>
      </c>
      <c r="KT45" s="68">
        <v>249037646</v>
      </c>
      <c r="KU45" s="68">
        <v>4514127118</v>
      </c>
      <c r="KV45" s="68">
        <v>77276650</v>
      </c>
      <c r="KW45" s="68">
        <v>1114506241</v>
      </c>
      <c r="KX45" s="68">
        <v>32772192</v>
      </c>
      <c r="KY45" s="68">
        <v>2670589313</v>
      </c>
      <c r="KZ45" s="68">
        <v>839535877</v>
      </c>
      <c r="LA45" s="68">
        <v>330179649</v>
      </c>
      <c r="LB45" s="68">
        <v>38832317</v>
      </c>
      <c r="LC45" s="104">
        <v>0</v>
      </c>
      <c r="LD45" s="104">
        <v>456635149</v>
      </c>
      <c r="LE45" s="104">
        <v>2773490231</v>
      </c>
      <c r="LF45" s="104">
        <v>0</v>
      </c>
      <c r="LG45" s="104">
        <v>99783869</v>
      </c>
      <c r="LH45" s="102" t="s">
        <v>187</v>
      </c>
      <c r="LI45" s="104">
        <v>233678451</v>
      </c>
      <c r="LJ45" s="102" t="s">
        <v>187</v>
      </c>
      <c r="LK45" s="104"/>
      <c r="LL45" s="102" t="s">
        <v>187</v>
      </c>
    </row>
    <row r="46" spans="1:324">
      <c r="A46" s="69" t="s">
        <v>185</v>
      </c>
      <c r="B46" s="93" t="s">
        <v>67</v>
      </c>
      <c r="C46" s="84"/>
      <c r="D46" s="84"/>
      <c r="E46" s="84">
        <v>653361497</v>
      </c>
      <c r="F46" s="84">
        <v>144762211</v>
      </c>
      <c r="G46" s="84" t="s">
        <v>130</v>
      </c>
      <c r="H46" s="84">
        <v>6497000</v>
      </c>
      <c r="I46" s="84"/>
      <c r="J46" s="84" t="s">
        <v>4</v>
      </c>
      <c r="K46" s="84"/>
      <c r="L46" s="84" t="s">
        <v>96</v>
      </c>
      <c r="M46" s="84" t="s">
        <v>96</v>
      </c>
      <c r="N46" s="84">
        <v>12405950</v>
      </c>
      <c r="O46" s="84">
        <v>623934386</v>
      </c>
      <c r="P46" s="84">
        <v>812615709</v>
      </c>
      <c r="Q46" s="84">
        <v>0</v>
      </c>
      <c r="R46" s="84" t="s">
        <v>130</v>
      </c>
      <c r="S46" s="84">
        <v>124276483</v>
      </c>
      <c r="T46" s="84" t="s">
        <v>96</v>
      </c>
      <c r="U46" s="84" t="s">
        <v>96</v>
      </c>
      <c r="V46" s="84" t="s">
        <v>4</v>
      </c>
      <c r="W46" s="84"/>
      <c r="X46" s="84"/>
      <c r="Y46" s="84"/>
      <c r="Z46" s="84">
        <v>92502922</v>
      </c>
      <c r="AA46" s="84"/>
      <c r="AB46" s="84"/>
      <c r="AC46" s="84"/>
      <c r="AD46" s="84"/>
      <c r="AE46" s="84"/>
      <c r="AF46" s="84" t="s">
        <v>96</v>
      </c>
      <c r="AG46" s="84"/>
      <c r="AH46" s="84" t="s">
        <v>130</v>
      </c>
      <c r="AI46" s="84">
        <v>683585138</v>
      </c>
      <c r="AJ46" s="84">
        <v>97695006</v>
      </c>
      <c r="AK46" s="84">
        <v>1656427708</v>
      </c>
      <c r="AL46" s="84"/>
      <c r="AM46" s="84" t="s">
        <v>4</v>
      </c>
      <c r="AN46" s="84">
        <v>10017217</v>
      </c>
      <c r="AO46" s="84"/>
      <c r="AP46" s="84"/>
      <c r="AQ46" s="84" t="s">
        <v>4</v>
      </c>
      <c r="AR46" s="84">
        <v>354408059</v>
      </c>
      <c r="AS46" s="84"/>
      <c r="AT46" s="84" t="s">
        <v>96</v>
      </c>
      <c r="AU46" s="84"/>
      <c r="AV46" s="84"/>
      <c r="AW46" s="84"/>
      <c r="AX46" s="84" t="s">
        <v>4</v>
      </c>
      <c r="AY46" s="84" t="s">
        <v>96</v>
      </c>
      <c r="AZ46" s="84"/>
      <c r="BA46" s="84" t="s">
        <v>130</v>
      </c>
      <c r="BB46" s="84"/>
      <c r="BC46" s="84" t="s">
        <v>4</v>
      </c>
      <c r="BD46" s="84" t="s">
        <v>96</v>
      </c>
      <c r="BE46" s="84"/>
      <c r="BF46" s="84" t="s">
        <v>96</v>
      </c>
      <c r="BG46" s="84">
        <v>234962735</v>
      </c>
      <c r="BH46" s="84"/>
      <c r="BI46" s="84"/>
      <c r="BJ46" s="84">
        <v>117236862</v>
      </c>
      <c r="BK46" s="84"/>
      <c r="BL46" s="84"/>
      <c r="BM46" s="84">
        <v>118527499</v>
      </c>
      <c r="BN46" s="84"/>
      <c r="BO46" s="84" t="s">
        <v>96</v>
      </c>
      <c r="BP46" s="84" t="s">
        <v>96</v>
      </c>
      <c r="BQ46" s="84" t="s">
        <v>4</v>
      </c>
      <c r="BR46" s="84"/>
      <c r="BS46" s="84" t="s">
        <v>4</v>
      </c>
      <c r="BT46" s="84" t="s">
        <v>96</v>
      </c>
      <c r="BU46" s="85">
        <v>0</v>
      </c>
      <c r="BV46" s="84"/>
      <c r="BW46" s="84"/>
      <c r="BX46" s="84"/>
      <c r="BY46" s="84">
        <v>5622283572</v>
      </c>
      <c r="BZ46" s="84">
        <v>672921441</v>
      </c>
      <c r="CA46" s="84"/>
      <c r="CB46" s="84">
        <v>141353540</v>
      </c>
      <c r="CC46" s="84">
        <v>1467757734</v>
      </c>
      <c r="CD46" s="84"/>
      <c r="CE46" s="84" t="s">
        <v>96</v>
      </c>
      <c r="CF46" s="84" t="s">
        <v>96</v>
      </c>
      <c r="CG46" s="84"/>
      <c r="CH46" s="84">
        <v>932000</v>
      </c>
      <c r="CI46" s="84" t="s">
        <v>96</v>
      </c>
      <c r="CJ46" s="84">
        <v>68337048</v>
      </c>
      <c r="CK46" s="84">
        <v>0</v>
      </c>
      <c r="CL46" s="84"/>
      <c r="CM46" s="84">
        <v>2974181</v>
      </c>
      <c r="CN46" s="84"/>
      <c r="CO46" s="84">
        <v>0</v>
      </c>
      <c r="CP46" s="84" t="s">
        <v>96</v>
      </c>
      <c r="CQ46" s="84" t="s">
        <v>96</v>
      </c>
      <c r="CR46" s="84"/>
      <c r="CS46" s="84" t="s">
        <v>96</v>
      </c>
      <c r="CT46" s="84">
        <v>3704933</v>
      </c>
      <c r="CU46" s="84"/>
      <c r="CV46" s="84">
        <v>143608808</v>
      </c>
      <c r="CW46" s="84" t="s">
        <v>96</v>
      </c>
      <c r="CX46" s="84">
        <v>987360238</v>
      </c>
      <c r="CY46" s="84" t="s">
        <v>96</v>
      </c>
      <c r="CZ46" s="84">
        <v>491056</v>
      </c>
      <c r="DA46" s="84" t="s">
        <v>96</v>
      </c>
      <c r="DB46" s="86">
        <v>118843985</v>
      </c>
      <c r="DC46" s="84"/>
      <c r="DD46" s="84" t="s">
        <v>96</v>
      </c>
      <c r="DE46" s="84">
        <v>6043758</v>
      </c>
      <c r="DF46" s="84">
        <v>8702118</v>
      </c>
      <c r="DG46" s="84"/>
      <c r="DH46" s="84">
        <v>1346400</v>
      </c>
      <c r="DI46" s="84">
        <v>38146294</v>
      </c>
      <c r="DJ46" s="84">
        <v>60167130</v>
      </c>
      <c r="DK46" s="84" t="s">
        <v>96</v>
      </c>
      <c r="DL46" s="84">
        <v>15450000</v>
      </c>
      <c r="DM46" s="84">
        <v>530515781</v>
      </c>
      <c r="DN46" s="84">
        <v>320833022</v>
      </c>
      <c r="DO46" s="84"/>
      <c r="DP46" s="84"/>
      <c r="DQ46" s="84"/>
      <c r="DR46" s="84"/>
      <c r="DS46" s="84"/>
      <c r="DT46" s="84">
        <v>1908217364</v>
      </c>
      <c r="DU46" s="84"/>
      <c r="DV46" s="84"/>
      <c r="DW46" s="84">
        <v>238945595</v>
      </c>
      <c r="DX46" s="84"/>
      <c r="DY46" s="84"/>
      <c r="DZ46" s="84"/>
      <c r="EA46" s="84"/>
      <c r="EB46" s="84"/>
      <c r="EC46" s="84">
        <v>251864460</v>
      </c>
      <c r="ED46" s="84">
        <v>1159091</v>
      </c>
      <c r="EE46" s="84"/>
      <c r="EF46" s="84"/>
      <c r="EG46" s="96">
        <v>11972357</v>
      </c>
      <c r="EH46" s="99"/>
      <c r="EI46" s="97"/>
      <c r="EJ46" s="84"/>
      <c r="EK46" s="84"/>
      <c r="EL46" s="84"/>
      <c r="EM46" s="84">
        <v>0</v>
      </c>
      <c r="EN46" s="84"/>
      <c r="EO46" s="84">
        <v>0</v>
      </c>
      <c r="EP46" s="84">
        <v>0</v>
      </c>
      <c r="EQ46" s="84"/>
      <c r="ER46" s="84"/>
      <c r="ES46" s="84">
        <v>366141419</v>
      </c>
      <c r="ET46" s="84">
        <v>20287656</v>
      </c>
      <c r="EU46" s="84"/>
      <c r="EV46" s="84">
        <v>186289177</v>
      </c>
      <c r="EW46" s="84">
        <v>340837519</v>
      </c>
      <c r="EX46" s="84">
        <v>21624682</v>
      </c>
      <c r="EY46" s="84"/>
      <c r="EZ46" s="84">
        <v>43323362</v>
      </c>
      <c r="FA46" s="84">
        <v>39216806</v>
      </c>
      <c r="FB46" s="84">
        <v>426878265</v>
      </c>
      <c r="FC46" s="84"/>
      <c r="FD46" s="84">
        <v>0</v>
      </c>
      <c r="FE46" s="84">
        <v>32661529692</v>
      </c>
      <c r="FF46" s="84"/>
      <c r="FG46" s="84" t="s">
        <v>96</v>
      </c>
      <c r="FH46" s="84">
        <v>635271326</v>
      </c>
      <c r="FI46" s="84" t="s">
        <v>96</v>
      </c>
      <c r="FJ46" s="84">
        <v>15375114</v>
      </c>
      <c r="FK46" s="84">
        <v>1336401144</v>
      </c>
      <c r="FL46" s="84"/>
      <c r="FM46" s="84" t="s">
        <v>130</v>
      </c>
      <c r="FN46" s="84"/>
      <c r="FO46" s="84" t="s">
        <v>96</v>
      </c>
      <c r="FP46" s="84" t="s">
        <v>96</v>
      </c>
      <c r="FQ46" s="84"/>
      <c r="FR46" s="84">
        <v>157318398</v>
      </c>
      <c r="FS46" s="86">
        <v>0</v>
      </c>
      <c r="FT46" s="84"/>
      <c r="FU46" s="84"/>
      <c r="FV46" s="84" t="s">
        <v>96</v>
      </c>
      <c r="FW46" s="84">
        <v>9591061</v>
      </c>
      <c r="FX46" s="84"/>
      <c r="FY46" s="84" t="s">
        <v>96</v>
      </c>
      <c r="FZ46" s="84" t="s">
        <v>4</v>
      </c>
      <c r="GA46" s="84">
        <v>68975159</v>
      </c>
      <c r="GB46" s="84">
        <v>430943201</v>
      </c>
      <c r="GC46" s="84"/>
      <c r="GD46" s="84" t="s">
        <v>96</v>
      </c>
      <c r="GE46" s="84" t="s">
        <v>4</v>
      </c>
      <c r="GF46" s="84"/>
      <c r="GG46" s="84">
        <v>291623642</v>
      </c>
      <c r="GH46" s="84" t="s">
        <v>4</v>
      </c>
      <c r="GI46" s="84">
        <v>6734624</v>
      </c>
      <c r="GJ46" s="84" t="s">
        <v>96</v>
      </c>
      <c r="GK46" s="84">
        <v>22594038</v>
      </c>
      <c r="GL46" s="84" t="s">
        <v>96</v>
      </c>
      <c r="GM46" s="84">
        <v>15208283</v>
      </c>
      <c r="GN46" s="84"/>
      <c r="GO46" s="84" t="s">
        <v>96</v>
      </c>
      <c r="GP46" s="84">
        <v>4697559233</v>
      </c>
      <c r="GQ46" s="84"/>
      <c r="GR46" s="84">
        <v>140763828</v>
      </c>
      <c r="GS46" s="84"/>
      <c r="GT46" s="84" t="s">
        <v>130</v>
      </c>
      <c r="GU46" s="84"/>
      <c r="GV46" s="84">
        <v>71649413</v>
      </c>
      <c r="GW46" s="84">
        <v>393729493</v>
      </c>
      <c r="GX46" s="84">
        <v>99843415</v>
      </c>
      <c r="GY46" s="84"/>
      <c r="GZ46" s="84"/>
      <c r="HA46" s="84" t="s">
        <v>96</v>
      </c>
      <c r="HB46" s="84"/>
      <c r="HC46" s="84" t="s">
        <v>130</v>
      </c>
      <c r="HD46" s="84"/>
      <c r="HE46" s="84" t="s">
        <v>96</v>
      </c>
      <c r="HF46" s="84"/>
      <c r="HG46" s="84"/>
      <c r="HH46" s="84" t="s">
        <v>96</v>
      </c>
      <c r="HI46" s="84"/>
      <c r="HJ46" s="84" t="s">
        <v>96</v>
      </c>
      <c r="HK46" s="84">
        <v>155682760</v>
      </c>
      <c r="HL46" s="84"/>
      <c r="HM46" s="84">
        <v>16868123</v>
      </c>
      <c r="HN46" s="84"/>
      <c r="HO46" s="84"/>
      <c r="HP46" s="84">
        <v>764902857</v>
      </c>
      <c r="HQ46" s="84"/>
      <c r="HR46" s="84">
        <v>21069975</v>
      </c>
      <c r="HS46" s="84"/>
      <c r="HT46" s="84">
        <v>15677954</v>
      </c>
      <c r="HU46" s="84" t="s">
        <v>130</v>
      </c>
      <c r="HV46" s="84">
        <v>105718709</v>
      </c>
      <c r="HW46" s="84" t="s">
        <v>96</v>
      </c>
      <c r="HX46" s="84">
        <v>4138177</v>
      </c>
      <c r="HY46" s="84" t="s">
        <v>114</v>
      </c>
      <c r="HZ46" s="84">
        <v>20450552</v>
      </c>
      <c r="IA46" s="84"/>
      <c r="IB46" s="84">
        <v>47582591</v>
      </c>
      <c r="IC46" s="84">
        <v>0</v>
      </c>
      <c r="ID46" s="84">
        <v>86002885</v>
      </c>
      <c r="IE46" s="84" t="s">
        <v>96</v>
      </c>
      <c r="IF46" s="84">
        <v>10284291</v>
      </c>
      <c r="IG46" s="84">
        <v>4045545</v>
      </c>
      <c r="IH46" s="84">
        <v>410115687</v>
      </c>
      <c r="II46" s="84"/>
      <c r="IJ46" s="84">
        <v>251445483</v>
      </c>
      <c r="IK46" s="84">
        <v>93509279</v>
      </c>
      <c r="IL46" s="84">
        <v>89107685</v>
      </c>
      <c r="IM46" s="84"/>
      <c r="IN46" s="84">
        <v>126086000</v>
      </c>
      <c r="IO46" s="84">
        <v>209290170</v>
      </c>
      <c r="IP46" s="84">
        <v>1506804556</v>
      </c>
      <c r="IQ46" s="84"/>
      <c r="IR46" s="84">
        <v>26487822</v>
      </c>
      <c r="IS46" s="96">
        <v>1559994357</v>
      </c>
      <c r="IT46" s="99">
        <v>0</v>
      </c>
      <c r="IU46" s="84"/>
      <c r="IV46" s="84"/>
      <c r="IW46" s="84"/>
      <c r="IX46" s="84">
        <v>535041598</v>
      </c>
      <c r="IY46" s="68">
        <v>0</v>
      </c>
      <c r="IZ46" s="68">
        <v>28135278</v>
      </c>
      <c r="JA46" s="68">
        <v>4310125586</v>
      </c>
      <c r="JB46" s="68"/>
      <c r="JC46" s="68">
        <v>5012020</v>
      </c>
      <c r="JD46" s="68"/>
      <c r="JE46" s="68">
        <v>165741811</v>
      </c>
      <c r="JF46" s="68">
        <v>687858229</v>
      </c>
      <c r="JG46" s="68"/>
      <c r="JH46" s="68"/>
      <c r="JI46" s="68"/>
      <c r="JJ46" s="68">
        <v>0</v>
      </c>
      <c r="JK46" s="68"/>
      <c r="JL46" s="68">
        <v>224744821</v>
      </c>
      <c r="JM46" s="68"/>
      <c r="JN46" s="68">
        <v>1372900700</v>
      </c>
      <c r="JO46" s="68"/>
      <c r="JP46" s="68"/>
      <c r="JQ46" s="68" t="s">
        <v>4</v>
      </c>
      <c r="JR46" s="68"/>
      <c r="JS46" s="68"/>
      <c r="JT46" s="68"/>
      <c r="JU46" s="68"/>
      <c r="JV46" s="68">
        <v>87341873</v>
      </c>
      <c r="JW46" s="68"/>
      <c r="JX46" s="68"/>
      <c r="JY46" s="68"/>
      <c r="JZ46" s="68"/>
      <c r="KA46" s="68"/>
      <c r="KB46" s="68">
        <v>0</v>
      </c>
      <c r="KC46" s="68">
        <v>0</v>
      </c>
      <c r="KD46" s="68">
        <v>200623807</v>
      </c>
      <c r="KE46" s="68"/>
      <c r="KF46" s="68">
        <v>0</v>
      </c>
      <c r="KG46" s="68">
        <v>1783708865</v>
      </c>
      <c r="KH46" s="68"/>
      <c r="KI46" s="68"/>
      <c r="KJ46" s="68"/>
      <c r="KK46" s="68"/>
      <c r="KL46" s="68"/>
      <c r="KM46" s="68">
        <v>11324622</v>
      </c>
      <c r="KN46" s="68"/>
      <c r="KO46" s="68">
        <v>24602006</v>
      </c>
      <c r="KP46" s="68"/>
      <c r="KQ46" s="68"/>
      <c r="KR46" s="68">
        <v>179660265</v>
      </c>
      <c r="KS46" s="68">
        <v>24201236</v>
      </c>
      <c r="KT46" s="68">
        <v>9002944</v>
      </c>
      <c r="KU46" s="68">
        <v>3987985017</v>
      </c>
      <c r="KV46" s="68">
        <v>77276650</v>
      </c>
      <c r="KW46" s="68">
        <v>1114506241</v>
      </c>
      <c r="KX46" s="68">
        <v>3535694</v>
      </c>
      <c r="KY46" s="68"/>
      <c r="KZ46" s="68">
        <v>0</v>
      </c>
      <c r="LA46" s="68">
        <v>7055800</v>
      </c>
      <c r="LB46" s="68"/>
      <c r="LC46" s="104"/>
      <c r="LD46" s="104">
        <v>456635149</v>
      </c>
      <c r="LE46" s="104"/>
      <c r="LF46" s="104"/>
      <c r="LG46" s="104"/>
      <c r="LH46" s="102" t="s">
        <v>187</v>
      </c>
      <c r="LI46" s="104">
        <v>48955424</v>
      </c>
      <c r="LJ46" s="102" t="s">
        <v>187</v>
      </c>
      <c r="LK46" s="104"/>
      <c r="LL46" s="102" t="s">
        <v>187</v>
      </c>
    </row>
    <row r="47" spans="1:324">
      <c r="A47" s="69" t="s">
        <v>185</v>
      </c>
      <c r="B47" s="93" t="s">
        <v>72</v>
      </c>
      <c r="C47" s="84"/>
      <c r="D47" s="84">
        <v>4655412480</v>
      </c>
      <c r="E47" s="84">
        <v>1321405176</v>
      </c>
      <c r="F47" s="84"/>
      <c r="G47" s="84" t="s">
        <v>130</v>
      </c>
      <c r="H47" s="84"/>
      <c r="I47" s="84"/>
      <c r="J47" s="84" t="s">
        <v>4</v>
      </c>
      <c r="K47" s="84">
        <v>3264080287</v>
      </c>
      <c r="L47" s="84" t="s">
        <v>96</v>
      </c>
      <c r="M47" s="84" t="s">
        <v>96</v>
      </c>
      <c r="N47" s="84">
        <v>330440157</v>
      </c>
      <c r="O47" s="84"/>
      <c r="P47" s="84"/>
      <c r="Q47" s="84">
        <v>130575669</v>
      </c>
      <c r="R47" s="84" t="s">
        <v>130</v>
      </c>
      <c r="S47" s="84">
        <v>9479758468</v>
      </c>
      <c r="T47" s="84" t="s">
        <v>96</v>
      </c>
      <c r="U47" s="84" t="s">
        <v>96</v>
      </c>
      <c r="V47" s="84" t="s">
        <v>4</v>
      </c>
      <c r="W47" s="84">
        <v>162082829</v>
      </c>
      <c r="X47" s="84"/>
      <c r="Y47" s="84"/>
      <c r="Z47" s="84"/>
      <c r="AA47" s="84">
        <v>4512554845</v>
      </c>
      <c r="AB47" s="84"/>
      <c r="AC47" s="84">
        <v>2147881227</v>
      </c>
      <c r="AD47" s="84">
        <v>3386705410</v>
      </c>
      <c r="AE47" s="84">
        <v>232721850</v>
      </c>
      <c r="AF47" s="84" t="s">
        <v>96</v>
      </c>
      <c r="AG47" s="84"/>
      <c r="AH47" s="84" t="s">
        <v>130</v>
      </c>
      <c r="AI47" s="84"/>
      <c r="AJ47" s="84"/>
      <c r="AK47" s="84">
        <v>547309626</v>
      </c>
      <c r="AL47" s="84"/>
      <c r="AM47" s="84" t="s">
        <v>4</v>
      </c>
      <c r="AN47" s="84">
        <v>14170546</v>
      </c>
      <c r="AO47" s="84"/>
      <c r="AP47" s="84"/>
      <c r="AQ47" s="84" t="s">
        <v>4</v>
      </c>
      <c r="AR47" s="84"/>
      <c r="AS47" s="84"/>
      <c r="AT47" s="84" t="s">
        <v>96</v>
      </c>
      <c r="AU47" s="84"/>
      <c r="AV47" s="84"/>
      <c r="AW47" s="84">
        <v>0</v>
      </c>
      <c r="AX47" s="84" t="s">
        <v>4</v>
      </c>
      <c r="AY47" s="84" t="s">
        <v>96</v>
      </c>
      <c r="AZ47" s="84">
        <v>771313955</v>
      </c>
      <c r="BA47" s="84" t="s">
        <v>130</v>
      </c>
      <c r="BB47" s="84"/>
      <c r="BC47" s="84" t="s">
        <v>4</v>
      </c>
      <c r="BD47" s="84" t="s">
        <v>96</v>
      </c>
      <c r="BE47" s="84">
        <v>580128691</v>
      </c>
      <c r="BF47" s="84" t="s">
        <v>96</v>
      </c>
      <c r="BG47" s="84">
        <v>1167197090</v>
      </c>
      <c r="BH47" s="84">
        <v>752795296</v>
      </c>
      <c r="BI47" s="84">
        <v>662412320</v>
      </c>
      <c r="BJ47" s="84">
        <v>104084123</v>
      </c>
      <c r="BK47" s="84">
        <v>1377877877</v>
      </c>
      <c r="BL47" s="84"/>
      <c r="BM47" s="84">
        <v>594781141</v>
      </c>
      <c r="BN47" s="84"/>
      <c r="BO47" s="84" t="s">
        <v>96</v>
      </c>
      <c r="BP47" s="84" t="s">
        <v>96</v>
      </c>
      <c r="BQ47" s="84" t="s">
        <v>4</v>
      </c>
      <c r="BR47" s="84">
        <v>8118091412</v>
      </c>
      <c r="BS47" s="84" t="s">
        <v>4</v>
      </c>
      <c r="BT47" s="84" t="s">
        <v>96</v>
      </c>
      <c r="BU47" s="85">
        <v>612058734</v>
      </c>
      <c r="BV47" s="84"/>
      <c r="BW47" s="84"/>
      <c r="BX47" s="84"/>
      <c r="BY47" s="84">
        <v>0</v>
      </c>
      <c r="BZ47" s="84"/>
      <c r="CA47" s="84"/>
      <c r="CB47" s="84"/>
      <c r="CC47" s="84"/>
      <c r="CD47" s="84">
        <v>2124597008</v>
      </c>
      <c r="CE47" s="84" t="s">
        <v>96</v>
      </c>
      <c r="CF47" s="84" t="s">
        <v>96</v>
      </c>
      <c r="CG47" s="84"/>
      <c r="CH47" s="84">
        <v>216848952</v>
      </c>
      <c r="CI47" s="84" t="s">
        <v>96</v>
      </c>
      <c r="CJ47" s="84">
        <v>176515917</v>
      </c>
      <c r="CK47" s="84">
        <v>1993081813</v>
      </c>
      <c r="CL47" s="84">
        <v>275270173</v>
      </c>
      <c r="CM47" s="84"/>
      <c r="CN47" s="84"/>
      <c r="CO47" s="84"/>
      <c r="CP47" s="84" t="s">
        <v>96</v>
      </c>
      <c r="CQ47" s="84" t="s">
        <v>96</v>
      </c>
      <c r="CR47" s="84"/>
      <c r="CS47" s="84" t="s">
        <v>96</v>
      </c>
      <c r="CT47" s="84"/>
      <c r="CU47" s="84"/>
      <c r="CV47" s="84"/>
      <c r="CW47" s="84" t="s">
        <v>96</v>
      </c>
      <c r="CX47" s="84"/>
      <c r="CY47" s="84" t="s">
        <v>96</v>
      </c>
      <c r="CZ47" s="84">
        <v>27841616</v>
      </c>
      <c r="DA47" s="84" t="s">
        <v>96</v>
      </c>
      <c r="DB47" s="86">
        <v>165296609</v>
      </c>
      <c r="DC47" s="84"/>
      <c r="DD47" s="84" t="s">
        <v>96</v>
      </c>
      <c r="DE47" s="84"/>
      <c r="DF47" s="84"/>
      <c r="DG47" s="84"/>
      <c r="DH47" s="84">
        <v>213948655</v>
      </c>
      <c r="DI47" s="84">
        <v>5091361696</v>
      </c>
      <c r="DJ47" s="84"/>
      <c r="DK47" s="84" t="s">
        <v>96</v>
      </c>
      <c r="DL47" s="84"/>
      <c r="DM47" s="84"/>
      <c r="DN47" s="84">
        <v>732647585</v>
      </c>
      <c r="DO47" s="84"/>
      <c r="DP47" s="84">
        <v>1295939417</v>
      </c>
      <c r="DQ47" s="84">
        <v>201190653</v>
      </c>
      <c r="DR47" s="84">
        <v>278475759</v>
      </c>
      <c r="DS47" s="84"/>
      <c r="DT47" s="84"/>
      <c r="DU47" s="84"/>
      <c r="DV47" s="84"/>
      <c r="DW47" s="84">
        <v>789788533</v>
      </c>
      <c r="DX47" s="84"/>
      <c r="DY47" s="84">
        <v>285482845</v>
      </c>
      <c r="DZ47" s="84"/>
      <c r="EA47" s="84"/>
      <c r="EB47" s="84">
        <v>40717500</v>
      </c>
      <c r="EC47" s="84"/>
      <c r="ED47" s="84"/>
      <c r="EE47" s="84">
        <v>871558791</v>
      </c>
      <c r="EF47" s="84">
        <v>503999745</v>
      </c>
      <c r="EG47" s="96">
        <v>6021227527</v>
      </c>
      <c r="EH47" s="99"/>
      <c r="EI47" s="97"/>
      <c r="EJ47" s="84"/>
      <c r="EK47" s="84"/>
      <c r="EL47" s="84">
        <v>2952155823</v>
      </c>
      <c r="EM47" s="84">
        <v>673230521</v>
      </c>
      <c r="EN47" s="84"/>
      <c r="EO47" s="84">
        <v>377878821</v>
      </c>
      <c r="EP47" s="84">
        <v>601220730</v>
      </c>
      <c r="EQ47" s="84"/>
      <c r="ER47" s="84"/>
      <c r="ES47" s="84"/>
      <c r="ET47" s="84"/>
      <c r="EU47" s="84"/>
      <c r="EV47" s="84"/>
      <c r="EW47" s="84">
        <v>82763571</v>
      </c>
      <c r="EX47" s="84"/>
      <c r="EY47" s="84"/>
      <c r="EZ47" s="84"/>
      <c r="FA47" s="84"/>
      <c r="FB47" s="84">
        <v>0</v>
      </c>
      <c r="FC47" s="84">
        <v>1580307142</v>
      </c>
      <c r="FD47" s="84">
        <v>206649541</v>
      </c>
      <c r="FE47" s="84"/>
      <c r="FF47" s="84"/>
      <c r="FG47" s="84" t="s">
        <v>96</v>
      </c>
      <c r="FH47" s="84">
        <v>18267590</v>
      </c>
      <c r="FI47" s="84" t="s">
        <v>96</v>
      </c>
      <c r="FJ47" s="84"/>
      <c r="FK47" s="84">
        <v>1164424097</v>
      </c>
      <c r="FL47" s="84">
        <v>217080005</v>
      </c>
      <c r="FM47" s="84" t="s">
        <v>130</v>
      </c>
      <c r="FN47" s="84">
        <v>3265986075</v>
      </c>
      <c r="FO47" s="84" t="s">
        <v>96</v>
      </c>
      <c r="FP47" s="84" t="s">
        <v>96</v>
      </c>
      <c r="FQ47" s="84">
        <v>12472528</v>
      </c>
      <c r="FR47" s="84"/>
      <c r="FS47" s="86">
        <v>169538045</v>
      </c>
      <c r="FT47" s="84">
        <v>6486925848</v>
      </c>
      <c r="FU47" s="84"/>
      <c r="FV47" s="84" t="s">
        <v>96</v>
      </c>
      <c r="FW47" s="84">
        <v>7801638</v>
      </c>
      <c r="FX47" s="84"/>
      <c r="FY47" s="84" t="s">
        <v>96</v>
      </c>
      <c r="FZ47" s="84" t="s">
        <v>4</v>
      </c>
      <c r="GA47" s="84"/>
      <c r="GB47" s="84"/>
      <c r="GC47" s="84"/>
      <c r="GD47" s="84" t="s">
        <v>96</v>
      </c>
      <c r="GE47" s="84" t="s">
        <v>4</v>
      </c>
      <c r="GF47" s="84">
        <v>990441609</v>
      </c>
      <c r="GG47" s="84">
        <v>1045703029</v>
      </c>
      <c r="GH47" s="84" t="s">
        <v>4</v>
      </c>
      <c r="GI47" s="84">
        <v>16512055</v>
      </c>
      <c r="GJ47" s="84" t="s">
        <v>96</v>
      </c>
      <c r="GK47" s="84">
        <v>74271844</v>
      </c>
      <c r="GL47" s="84" t="s">
        <v>96</v>
      </c>
      <c r="GM47" s="84"/>
      <c r="GN47" s="84"/>
      <c r="GO47" s="84" t="s">
        <v>96</v>
      </c>
      <c r="GP47" s="84">
        <v>7281933181</v>
      </c>
      <c r="GQ47" s="84">
        <v>427946102</v>
      </c>
      <c r="GR47" s="84">
        <v>759870865</v>
      </c>
      <c r="GS47" s="84"/>
      <c r="GT47" s="84" t="s">
        <v>130</v>
      </c>
      <c r="GU47" s="84"/>
      <c r="GV47" s="84"/>
      <c r="GW47" s="84">
        <v>8250680310</v>
      </c>
      <c r="GX47" s="84">
        <v>1611592590</v>
      </c>
      <c r="GY47" s="84">
        <v>864542338</v>
      </c>
      <c r="GZ47" s="84">
        <v>252837902</v>
      </c>
      <c r="HA47" s="84" t="s">
        <v>96</v>
      </c>
      <c r="HB47" s="84"/>
      <c r="HC47" s="84" t="s">
        <v>130</v>
      </c>
      <c r="HD47" s="84">
        <v>238003572</v>
      </c>
      <c r="HE47" s="84" t="s">
        <v>96</v>
      </c>
      <c r="HF47" s="84"/>
      <c r="HG47" s="84">
        <v>1239584681</v>
      </c>
      <c r="HH47" s="84" t="s">
        <v>96</v>
      </c>
      <c r="HI47" s="84"/>
      <c r="HJ47" s="84" t="s">
        <v>96</v>
      </c>
      <c r="HK47" s="84">
        <v>1694522621</v>
      </c>
      <c r="HL47" s="84">
        <v>1124514980</v>
      </c>
      <c r="HM47" s="84"/>
      <c r="HN47" s="84"/>
      <c r="HO47" s="84">
        <v>1636776305</v>
      </c>
      <c r="HP47" s="84"/>
      <c r="HQ47" s="84"/>
      <c r="HR47" s="84">
        <v>731910840</v>
      </c>
      <c r="HS47" s="84">
        <v>1077234491</v>
      </c>
      <c r="HT47" s="84"/>
      <c r="HU47" s="84" t="s">
        <v>130</v>
      </c>
      <c r="HV47" s="84"/>
      <c r="HW47" s="84" t="s">
        <v>96</v>
      </c>
      <c r="HX47" s="84">
        <v>4314181609</v>
      </c>
      <c r="HY47" s="84" t="s">
        <v>114</v>
      </c>
      <c r="HZ47" s="84">
        <v>5206090865</v>
      </c>
      <c r="IA47" s="84"/>
      <c r="IB47" s="84">
        <v>6427535</v>
      </c>
      <c r="IC47" s="84">
        <v>690562051</v>
      </c>
      <c r="ID47" s="84"/>
      <c r="IE47" s="84" t="s">
        <v>96</v>
      </c>
      <c r="IF47" s="84"/>
      <c r="IG47" s="84"/>
      <c r="IH47" s="84">
        <v>879174746</v>
      </c>
      <c r="II47" s="84">
        <v>0</v>
      </c>
      <c r="IJ47" s="84"/>
      <c r="IK47" s="84">
        <v>459275746</v>
      </c>
      <c r="IL47" s="84">
        <v>100593372</v>
      </c>
      <c r="IM47" s="84"/>
      <c r="IN47" s="84"/>
      <c r="IO47" s="84">
        <v>372071573</v>
      </c>
      <c r="IP47" s="84"/>
      <c r="IQ47" s="84"/>
      <c r="IR47" s="84"/>
      <c r="IS47" s="96"/>
      <c r="IT47" s="99">
        <v>66141137</v>
      </c>
      <c r="IU47" s="84"/>
      <c r="IV47" s="84"/>
      <c r="IW47" s="84"/>
      <c r="IX47" s="84"/>
      <c r="IY47" s="68">
        <v>488624312</v>
      </c>
      <c r="IZ47" s="68">
        <v>172379508</v>
      </c>
      <c r="JA47" s="68"/>
      <c r="JB47" s="68">
        <v>428600102</v>
      </c>
      <c r="JC47" s="68">
        <v>69634215</v>
      </c>
      <c r="JD47" s="68"/>
      <c r="JE47" s="68"/>
      <c r="JF47" s="68"/>
      <c r="JG47" s="68"/>
      <c r="JH47" s="68"/>
      <c r="JI47" s="68">
        <v>65677522</v>
      </c>
      <c r="JJ47" s="68"/>
      <c r="JK47" s="68">
        <v>184983705</v>
      </c>
      <c r="JL47" s="68"/>
      <c r="JM47" s="68"/>
      <c r="JN47" s="68">
        <v>1665947871</v>
      </c>
      <c r="JO47" s="68"/>
      <c r="JP47" s="68"/>
      <c r="JQ47" s="68" t="s">
        <v>4</v>
      </c>
      <c r="JR47" s="68">
        <v>320049134</v>
      </c>
      <c r="JS47" s="68">
        <v>131857318</v>
      </c>
      <c r="JT47" s="68">
        <v>120432250</v>
      </c>
      <c r="JU47" s="68">
        <v>1157674393</v>
      </c>
      <c r="JV47" s="68"/>
      <c r="JW47" s="68"/>
      <c r="JX47" s="68"/>
      <c r="JY47" s="68"/>
      <c r="JZ47" s="68">
        <v>71751034</v>
      </c>
      <c r="KA47" s="68"/>
      <c r="KB47" s="68">
        <v>7772827692</v>
      </c>
      <c r="KC47" s="68">
        <v>194345585</v>
      </c>
      <c r="KD47" s="68"/>
      <c r="KE47" s="68">
        <v>126002837</v>
      </c>
      <c r="KF47" s="68">
        <v>1058941475</v>
      </c>
      <c r="KG47" s="68">
        <v>533948564</v>
      </c>
      <c r="KH47" s="68"/>
      <c r="KI47" s="68"/>
      <c r="KJ47" s="68"/>
      <c r="KK47" s="68">
        <v>1369266195</v>
      </c>
      <c r="KL47" s="68">
        <v>2648712470</v>
      </c>
      <c r="KM47" s="68"/>
      <c r="KN47" s="68"/>
      <c r="KO47" s="68">
        <v>1399869731</v>
      </c>
      <c r="KP47" s="68"/>
      <c r="KQ47" s="68">
        <v>17460511</v>
      </c>
      <c r="KR47" s="68"/>
      <c r="KS47" s="68">
        <v>432581126</v>
      </c>
      <c r="KT47" s="68"/>
      <c r="KU47" s="68">
        <v>526142101</v>
      </c>
      <c r="KV47" s="68"/>
      <c r="KW47" s="68"/>
      <c r="KX47" s="68">
        <v>29236498</v>
      </c>
      <c r="KY47" s="68">
        <v>999939452</v>
      </c>
      <c r="KZ47" s="68">
        <v>839535877</v>
      </c>
      <c r="LA47" s="68">
        <v>323123849</v>
      </c>
      <c r="LB47" s="68">
        <v>38832317</v>
      </c>
      <c r="LC47" s="104"/>
      <c r="LD47" s="104">
        <v>0</v>
      </c>
      <c r="LE47" s="104">
        <v>2773490231</v>
      </c>
      <c r="LF47" s="104"/>
      <c r="LG47" s="104">
        <v>99783869</v>
      </c>
      <c r="LH47" s="102" t="s">
        <v>187</v>
      </c>
      <c r="LI47" s="104">
        <v>184723027</v>
      </c>
      <c r="LJ47" s="102" t="s">
        <v>187</v>
      </c>
      <c r="LK47" s="104"/>
      <c r="LL47" s="102" t="s">
        <v>187</v>
      </c>
    </row>
    <row r="48" spans="1:324">
      <c r="A48" s="69" t="s">
        <v>185</v>
      </c>
      <c r="B48" s="93" t="s">
        <v>63</v>
      </c>
      <c r="C48" s="84"/>
      <c r="D48" s="84"/>
      <c r="E48" s="84"/>
      <c r="F48" s="84">
        <v>44140650</v>
      </c>
      <c r="G48" s="84" t="s">
        <v>130</v>
      </c>
      <c r="H48" s="84"/>
      <c r="I48" s="84"/>
      <c r="J48" s="84" t="s">
        <v>4</v>
      </c>
      <c r="K48" s="84"/>
      <c r="L48" s="84" t="s">
        <v>96</v>
      </c>
      <c r="M48" s="84" t="s">
        <v>96</v>
      </c>
      <c r="N48" s="84"/>
      <c r="O48" s="84"/>
      <c r="P48" s="84"/>
      <c r="Q48" s="84"/>
      <c r="R48" s="84" t="s">
        <v>130</v>
      </c>
      <c r="S48" s="84"/>
      <c r="T48" s="84" t="s">
        <v>96</v>
      </c>
      <c r="U48" s="84" t="s">
        <v>96</v>
      </c>
      <c r="V48" s="84" t="s">
        <v>4</v>
      </c>
      <c r="W48" s="84"/>
      <c r="X48" s="84"/>
      <c r="Y48" s="84"/>
      <c r="Z48" s="84">
        <v>61936365</v>
      </c>
      <c r="AA48" s="84"/>
      <c r="AB48" s="84"/>
      <c r="AC48" s="84"/>
      <c r="AD48" s="84"/>
      <c r="AE48" s="84"/>
      <c r="AF48" s="84" t="s">
        <v>96</v>
      </c>
      <c r="AG48" s="84"/>
      <c r="AH48" s="84" t="s">
        <v>130</v>
      </c>
      <c r="AI48" s="84"/>
      <c r="AJ48" s="84"/>
      <c r="AK48" s="84"/>
      <c r="AL48" s="84"/>
      <c r="AM48" s="84" t="s">
        <v>4</v>
      </c>
      <c r="AN48" s="84"/>
      <c r="AO48" s="84">
        <v>314893244</v>
      </c>
      <c r="AP48" s="84"/>
      <c r="AQ48" s="84" t="s">
        <v>4</v>
      </c>
      <c r="AR48" s="84"/>
      <c r="AS48" s="84"/>
      <c r="AT48" s="84" t="s">
        <v>96</v>
      </c>
      <c r="AU48" s="84"/>
      <c r="AV48" s="84"/>
      <c r="AW48" s="84"/>
      <c r="AX48" s="84" t="s">
        <v>4</v>
      </c>
      <c r="AY48" s="84" t="s">
        <v>96</v>
      </c>
      <c r="AZ48" s="84"/>
      <c r="BA48" s="84" t="s">
        <v>130</v>
      </c>
      <c r="BB48" s="84"/>
      <c r="BC48" s="84" t="s">
        <v>4</v>
      </c>
      <c r="BD48" s="84" t="s">
        <v>96</v>
      </c>
      <c r="BE48" s="84"/>
      <c r="BF48" s="84" t="s">
        <v>96</v>
      </c>
      <c r="BG48" s="84">
        <v>7621882</v>
      </c>
      <c r="BH48" s="84"/>
      <c r="BI48" s="84"/>
      <c r="BJ48" s="84"/>
      <c r="BK48" s="84"/>
      <c r="BL48" s="84"/>
      <c r="BM48" s="84"/>
      <c r="BN48" s="84"/>
      <c r="BO48" s="84" t="s">
        <v>96</v>
      </c>
      <c r="BP48" s="84" t="s">
        <v>96</v>
      </c>
      <c r="BQ48" s="84" t="s">
        <v>4</v>
      </c>
      <c r="BR48" s="84"/>
      <c r="BS48" s="84" t="s">
        <v>4</v>
      </c>
      <c r="BT48" s="84" t="s">
        <v>96</v>
      </c>
      <c r="BU48" s="85">
        <v>0</v>
      </c>
      <c r="BV48" s="84"/>
      <c r="BW48" s="84"/>
      <c r="BX48" s="84"/>
      <c r="BY48" s="84">
        <v>0</v>
      </c>
      <c r="BZ48" s="84"/>
      <c r="CA48" s="84"/>
      <c r="CB48" s="84"/>
      <c r="CC48" s="84"/>
      <c r="CD48" s="84"/>
      <c r="CE48" s="84" t="s">
        <v>96</v>
      </c>
      <c r="CF48" s="84" t="s">
        <v>96</v>
      </c>
      <c r="CG48" s="84"/>
      <c r="CH48" s="84"/>
      <c r="CI48" s="84" t="s">
        <v>96</v>
      </c>
      <c r="CJ48" s="84"/>
      <c r="CK48" s="84"/>
      <c r="CL48" s="84"/>
      <c r="CM48" s="84"/>
      <c r="CN48" s="84"/>
      <c r="CO48" s="84"/>
      <c r="CP48" s="84" t="s">
        <v>96</v>
      </c>
      <c r="CQ48" s="84" t="s">
        <v>96</v>
      </c>
      <c r="CR48" s="84">
        <v>494933630</v>
      </c>
      <c r="CS48" s="84" t="s">
        <v>96</v>
      </c>
      <c r="CT48" s="84"/>
      <c r="CU48" s="84"/>
      <c r="CV48" s="84"/>
      <c r="CW48" s="84" t="s">
        <v>96</v>
      </c>
      <c r="CX48" s="84">
        <v>6924005637</v>
      </c>
      <c r="CY48" s="84" t="s">
        <v>96</v>
      </c>
      <c r="CZ48" s="84"/>
      <c r="DA48" s="84" t="s">
        <v>96</v>
      </c>
      <c r="DB48" s="86"/>
      <c r="DC48" s="84"/>
      <c r="DD48" s="84" t="s">
        <v>96</v>
      </c>
      <c r="DE48" s="84"/>
      <c r="DF48" s="84"/>
      <c r="DG48" s="84"/>
      <c r="DH48" s="84">
        <v>3064100790</v>
      </c>
      <c r="DI48" s="84"/>
      <c r="DJ48" s="84"/>
      <c r="DK48" s="84" t="s">
        <v>96</v>
      </c>
      <c r="DL48" s="84"/>
      <c r="DM48" s="84"/>
      <c r="DN48" s="84"/>
      <c r="DO48" s="84"/>
      <c r="DP48" s="84"/>
      <c r="DQ48" s="84"/>
      <c r="DR48" s="84"/>
      <c r="DS48" s="84"/>
      <c r="DT48" s="84"/>
      <c r="DU48" s="84"/>
      <c r="DV48" s="84">
        <v>9765225541</v>
      </c>
      <c r="DW48" s="84"/>
      <c r="DX48" s="84"/>
      <c r="DY48" s="84"/>
      <c r="DZ48" s="84">
        <v>724155291</v>
      </c>
      <c r="EA48" s="84"/>
      <c r="EB48" s="84"/>
      <c r="EC48" s="84"/>
      <c r="ED48" s="84"/>
      <c r="EE48" s="84"/>
      <c r="EF48" s="84"/>
      <c r="EG48" s="96">
        <v>511482470</v>
      </c>
      <c r="EH48" s="99"/>
      <c r="EI48" s="97">
        <v>25585564985</v>
      </c>
      <c r="EJ48" s="84"/>
      <c r="EK48" s="84"/>
      <c r="EL48" s="84"/>
      <c r="EM48" s="84"/>
      <c r="EN48" s="84"/>
      <c r="EO48" s="84"/>
      <c r="EP48" s="84"/>
      <c r="EQ48" s="84"/>
      <c r="ER48" s="84">
        <v>242752896</v>
      </c>
      <c r="ES48" s="84"/>
      <c r="ET48" s="84"/>
      <c r="EU48" s="84"/>
      <c r="EV48" s="84"/>
      <c r="EW48" s="84"/>
      <c r="EX48" s="84"/>
      <c r="EY48" s="84"/>
      <c r="EZ48" s="84">
        <v>81512230</v>
      </c>
      <c r="FA48" s="84"/>
      <c r="FB48" s="84"/>
      <c r="FC48" s="84"/>
      <c r="FD48" s="84"/>
      <c r="FE48" s="84"/>
      <c r="FF48" s="84"/>
      <c r="FG48" s="84" t="s">
        <v>96</v>
      </c>
      <c r="FH48" s="84"/>
      <c r="FI48" s="84" t="s">
        <v>96</v>
      </c>
      <c r="FJ48" s="84"/>
      <c r="FK48" s="84"/>
      <c r="FL48" s="84"/>
      <c r="FM48" s="84" t="s">
        <v>130</v>
      </c>
      <c r="FN48" s="84"/>
      <c r="FO48" s="84" t="s">
        <v>96</v>
      </c>
      <c r="FP48" s="84" t="s">
        <v>96</v>
      </c>
      <c r="FQ48" s="84"/>
      <c r="FR48" s="84"/>
      <c r="FS48" s="86"/>
      <c r="FT48" s="84"/>
      <c r="FU48" s="84"/>
      <c r="FV48" s="84" t="s">
        <v>96</v>
      </c>
      <c r="FW48" s="84"/>
      <c r="FX48" s="84"/>
      <c r="FY48" s="84" t="s">
        <v>96</v>
      </c>
      <c r="FZ48" s="84" t="s">
        <v>4</v>
      </c>
      <c r="GA48" s="84"/>
      <c r="GB48" s="84"/>
      <c r="GC48" s="84"/>
      <c r="GD48" s="84" t="s">
        <v>96</v>
      </c>
      <c r="GE48" s="84" t="s">
        <v>4</v>
      </c>
      <c r="GF48" s="84"/>
      <c r="GG48" s="84"/>
      <c r="GH48" s="84" t="s">
        <v>4</v>
      </c>
      <c r="GI48" s="84" t="s">
        <v>118</v>
      </c>
      <c r="GJ48" s="84" t="s">
        <v>96</v>
      </c>
      <c r="GK48" s="84"/>
      <c r="GL48" s="84" t="s">
        <v>96</v>
      </c>
      <c r="GM48" s="84"/>
      <c r="GN48" s="84"/>
      <c r="GO48" s="84" t="s">
        <v>96</v>
      </c>
      <c r="GP48" s="84"/>
      <c r="GQ48" s="84"/>
      <c r="GR48" s="84"/>
      <c r="GS48" s="84"/>
      <c r="GT48" s="84" t="s">
        <v>130</v>
      </c>
      <c r="GU48" s="84"/>
      <c r="GV48" s="84"/>
      <c r="GW48" s="84">
        <v>4080996279</v>
      </c>
      <c r="GX48" s="84"/>
      <c r="GY48" s="84"/>
      <c r="GZ48" s="84"/>
      <c r="HA48" s="84" t="s">
        <v>96</v>
      </c>
      <c r="HB48" s="84"/>
      <c r="HC48" s="84" t="s">
        <v>130</v>
      </c>
      <c r="HD48" s="84"/>
      <c r="HE48" s="84" t="s">
        <v>96</v>
      </c>
      <c r="HF48" s="84"/>
      <c r="HG48" s="84"/>
      <c r="HH48" s="84" t="s">
        <v>96</v>
      </c>
      <c r="HI48" s="84"/>
      <c r="HJ48" s="84" t="s">
        <v>96</v>
      </c>
      <c r="HK48" s="84"/>
      <c r="HL48" s="84"/>
      <c r="HM48" s="84"/>
      <c r="HN48" s="84"/>
      <c r="HO48" s="84"/>
      <c r="HP48" s="84"/>
      <c r="HQ48" s="84"/>
      <c r="HR48" s="84"/>
      <c r="HS48" s="84"/>
      <c r="HT48" s="84"/>
      <c r="HU48" s="84" t="s">
        <v>130</v>
      </c>
      <c r="HV48" s="84"/>
      <c r="HW48" s="84" t="s">
        <v>96</v>
      </c>
      <c r="HX48" s="84"/>
      <c r="HY48" s="84" t="s">
        <v>114</v>
      </c>
      <c r="HZ48" s="84"/>
      <c r="IA48" s="84"/>
      <c r="IB48" s="84"/>
      <c r="IC48" s="84"/>
      <c r="ID48" s="84"/>
      <c r="IE48" s="84" t="s">
        <v>96</v>
      </c>
      <c r="IF48" s="84"/>
      <c r="IG48" s="84"/>
      <c r="IH48" s="84">
        <v>0</v>
      </c>
      <c r="II48" s="84"/>
      <c r="IJ48" s="84"/>
      <c r="IK48" s="84"/>
      <c r="IL48" s="84"/>
      <c r="IM48" s="84"/>
      <c r="IN48" s="84"/>
      <c r="IO48" s="84"/>
      <c r="IP48" s="84"/>
      <c r="IQ48" s="84"/>
      <c r="IR48" s="84">
        <v>840975412</v>
      </c>
      <c r="IS48" s="96"/>
      <c r="IT48" s="99"/>
      <c r="IU48" s="84"/>
      <c r="IV48" s="84"/>
      <c r="IW48" s="84"/>
      <c r="IX48" s="84"/>
      <c r="IY48" s="68"/>
      <c r="IZ48" s="68">
        <v>99845499</v>
      </c>
      <c r="JA48" s="68"/>
      <c r="JB48" s="68"/>
      <c r="JC48" s="68"/>
      <c r="JD48" s="68"/>
      <c r="JE48" s="68"/>
      <c r="JF48" s="68"/>
      <c r="JG48" s="68"/>
      <c r="JH48" s="68"/>
      <c r="JI48" s="68"/>
      <c r="JJ48" s="68"/>
      <c r="JK48" s="68"/>
      <c r="JL48" s="68"/>
      <c r="JM48" s="68"/>
      <c r="JN48" s="68"/>
      <c r="JO48" s="68"/>
      <c r="JP48" s="68"/>
      <c r="JQ48" s="68" t="s">
        <v>4</v>
      </c>
      <c r="JR48" s="68"/>
      <c r="JS48" s="68"/>
      <c r="JT48" s="68"/>
      <c r="JU48" s="68"/>
      <c r="JV48" s="68"/>
      <c r="JW48" s="68"/>
      <c r="JX48" s="68"/>
      <c r="JY48" s="68">
        <v>607883260</v>
      </c>
      <c r="JZ48" s="68"/>
      <c r="KA48" s="68">
        <v>1092546217</v>
      </c>
      <c r="KB48" s="68"/>
      <c r="KC48" s="68"/>
      <c r="KD48" s="68">
        <v>3911348319</v>
      </c>
      <c r="KE48" s="68"/>
      <c r="KF48" s="68"/>
      <c r="KG48" s="68"/>
      <c r="KH48" s="68"/>
      <c r="KI48" s="68"/>
      <c r="KJ48" s="68"/>
      <c r="KK48" s="68"/>
      <c r="KL48" s="68"/>
      <c r="KM48" s="68"/>
      <c r="KN48" s="68"/>
      <c r="KO48" s="68"/>
      <c r="KP48" s="68"/>
      <c r="KQ48" s="68"/>
      <c r="KR48" s="68"/>
      <c r="KS48" s="68"/>
      <c r="KT48" s="68">
        <v>240034702</v>
      </c>
      <c r="KU48" s="68"/>
      <c r="KV48" s="68"/>
      <c r="KW48" s="68"/>
      <c r="KX48" s="68"/>
      <c r="KY48" s="68">
        <v>1670649861</v>
      </c>
      <c r="KZ48" s="68"/>
      <c r="LA48" s="68"/>
      <c r="LB48" s="68"/>
      <c r="LC48" s="104"/>
      <c r="LD48" s="104"/>
      <c r="LE48" s="104"/>
      <c r="LF48" s="104"/>
      <c r="LG48" s="104"/>
      <c r="LH48" s="102" t="s">
        <v>187</v>
      </c>
      <c r="LI48" s="104"/>
      <c r="LJ48" s="102" t="s">
        <v>187</v>
      </c>
      <c r="LK48" s="104"/>
      <c r="LL48" s="102" t="s">
        <v>187</v>
      </c>
    </row>
    <row r="49" spans="1:324">
      <c r="A49" s="69" t="s">
        <v>185</v>
      </c>
      <c r="B49" s="93" t="s">
        <v>64</v>
      </c>
      <c r="C49" s="84"/>
      <c r="D49" s="84"/>
      <c r="E49" s="84"/>
      <c r="F49" s="84"/>
      <c r="G49" s="84" t="s">
        <v>130</v>
      </c>
      <c r="H49" s="84"/>
      <c r="I49" s="84"/>
      <c r="J49" s="84" t="s">
        <v>4</v>
      </c>
      <c r="K49" s="84"/>
      <c r="L49" s="84" t="s">
        <v>96</v>
      </c>
      <c r="M49" s="84" t="s">
        <v>96</v>
      </c>
      <c r="N49" s="84"/>
      <c r="O49" s="84"/>
      <c r="P49" s="84"/>
      <c r="Q49" s="84"/>
      <c r="R49" s="84" t="s">
        <v>130</v>
      </c>
      <c r="S49" s="84"/>
      <c r="T49" s="84" t="s">
        <v>96</v>
      </c>
      <c r="U49" s="84" t="s">
        <v>96</v>
      </c>
      <c r="V49" s="84" t="s">
        <v>4</v>
      </c>
      <c r="W49" s="84"/>
      <c r="X49" s="84">
        <v>2225759763</v>
      </c>
      <c r="Y49" s="84"/>
      <c r="Z49" s="84"/>
      <c r="AA49" s="84"/>
      <c r="AB49" s="84"/>
      <c r="AC49" s="84"/>
      <c r="AD49" s="84"/>
      <c r="AE49" s="84">
        <v>870811246</v>
      </c>
      <c r="AF49" s="84" t="s">
        <v>96</v>
      </c>
      <c r="AG49" s="84"/>
      <c r="AH49" s="84" t="s">
        <v>130</v>
      </c>
      <c r="AI49" s="84"/>
      <c r="AJ49" s="84"/>
      <c r="AK49" s="84"/>
      <c r="AL49" s="84"/>
      <c r="AM49" s="84" t="s">
        <v>4</v>
      </c>
      <c r="AN49" s="84"/>
      <c r="AO49" s="84"/>
      <c r="AP49" s="84"/>
      <c r="AQ49" s="84" t="s">
        <v>4</v>
      </c>
      <c r="AR49" s="84"/>
      <c r="AS49" s="84"/>
      <c r="AT49" s="84" t="s">
        <v>96</v>
      </c>
      <c r="AU49" s="84"/>
      <c r="AV49" s="84"/>
      <c r="AW49" s="84"/>
      <c r="AX49" s="84" t="s">
        <v>4</v>
      </c>
      <c r="AY49" s="84" t="s">
        <v>96</v>
      </c>
      <c r="AZ49" s="84"/>
      <c r="BA49" s="84" t="s">
        <v>130</v>
      </c>
      <c r="BB49" s="84"/>
      <c r="BC49" s="84" t="s">
        <v>4</v>
      </c>
      <c r="BD49" s="84" t="s">
        <v>96</v>
      </c>
      <c r="BE49" s="84"/>
      <c r="BF49" s="84" t="s">
        <v>96</v>
      </c>
      <c r="BG49" s="84">
        <v>19817272</v>
      </c>
      <c r="BH49" s="84"/>
      <c r="BI49" s="84"/>
      <c r="BJ49" s="84"/>
      <c r="BK49" s="84"/>
      <c r="BL49" s="84"/>
      <c r="BM49" s="84">
        <v>571573561</v>
      </c>
      <c r="BN49" s="84">
        <v>193460828</v>
      </c>
      <c r="BO49" s="84" t="s">
        <v>96</v>
      </c>
      <c r="BP49" s="84" t="s">
        <v>96</v>
      </c>
      <c r="BQ49" s="84" t="s">
        <v>4</v>
      </c>
      <c r="BR49" s="84"/>
      <c r="BS49" s="84" t="s">
        <v>4</v>
      </c>
      <c r="BT49" s="84" t="s">
        <v>96</v>
      </c>
      <c r="BU49" s="85">
        <v>0</v>
      </c>
      <c r="BV49" s="84"/>
      <c r="BW49" s="84"/>
      <c r="BX49" s="84"/>
      <c r="BY49" s="84">
        <v>0</v>
      </c>
      <c r="BZ49" s="84"/>
      <c r="CA49" s="84"/>
      <c r="CB49" s="84"/>
      <c r="CC49" s="84"/>
      <c r="CD49" s="84"/>
      <c r="CE49" s="84" t="s">
        <v>96</v>
      </c>
      <c r="CF49" s="84" t="s">
        <v>96</v>
      </c>
      <c r="CG49" s="84"/>
      <c r="CH49" s="84"/>
      <c r="CI49" s="84" t="s">
        <v>96</v>
      </c>
      <c r="CJ49" s="84"/>
      <c r="CK49" s="84"/>
      <c r="CL49" s="84"/>
      <c r="CM49" s="84"/>
      <c r="CN49" s="84"/>
      <c r="CO49" s="84"/>
      <c r="CP49" s="84" t="s">
        <v>96</v>
      </c>
      <c r="CQ49" s="84" t="s">
        <v>96</v>
      </c>
      <c r="CR49" s="84"/>
      <c r="CS49" s="84" t="s">
        <v>96</v>
      </c>
      <c r="CT49" s="84"/>
      <c r="CU49" s="84"/>
      <c r="CV49" s="84"/>
      <c r="CW49" s="84" t="s">
        <v>96</v>
      </c>
      <c r="CX49" s="84"/>
      <c r="CY49" s="84" t="s">
        <v>96</v>
      </c>
      <c r="CZ49" s="84"/>
      <c r="DA49" s="84" t="s">
        <v>96</v>
      </c>
      <c r="DB49" s="86"/>
      <c r="DC49" s="84"/>
      <c r="DD49" s="84" t="s">
        <v>96</v>
      </c>
      <c r="DE49" s="84"/>
      <c r="DF49" s="84"/>
      <c r="DG49" s="84"/>
      <c r="DH49" s="84"/>
      <c r="DI49" s="84"/>
      <c r="DJ49" s="84"/>
      <c r="DK49" s="84" t="s">
        <v>96</v>
      </c>
      <c r="DL49" s="84"/>
      <c r="DM49" s="84"/>
      <c r="DN49" s="84"/>
      <c r="DO49" s="84"/>
      <c r="DP49" s="84"/>
      <c r="DQ49" s="84"/>
      <c r="DR49" s="84"/>
      <c r="DS49" s="84"/>
      <c r="DT49" s="84"/>
      <c r="DU49" s="84"/>
      <c r="DV49" s="84">
        <v>5280888</v>
      </c>
      <c r="DW49" s="84"/>
      <c r="DX49" s="84"/>
      <c r="DY49" s="84"/>
      <c r="DZ49" s="84"/>
      <c r="EA49" s="84"/>
      <c r="EB49" s="84"/>
      <c r="EC49" s="84"/>
      <c r="ED49" s="84"/>
      <c r="EE49" s="84"/>
      <c r="EF49" s="84"/>
      <c r="EG49" s="96"/>
      <c r="EH49" s="99"/>
      <c r="EI49" s="97"/>
      <c r="EJ49" s="84"/>
      <c r="EK49" s="84"/>
      <c r="EL49" s="84"/>
      <c r="EM49" s="84"/>
      <c r="EN49" s="84"/>
      <c r="EO49" s="84"/>
      <c r="EP49" s="84"/>
      <c r="EQ49" s="84"/>
      <c r="ER49" s="84"/>
      <c r="ES49" s="84"/>
      <c r="ET49" s="84"/>
      <c r="EU49" s="84"/>
      <c r="EV49" s="84"/>
      <c r="EW49" s="84"/>
      <c r="EX49" s="84"/>
      <c r="EY49" s="84"/>
      <c r="EZ49" s="84"/>
      <c r="FA49" s="84">
        <v>527283084</v>
      </c>
      <c r="FB49" s="84"/>
      <c r="FC49" s="84"/>
      <c r="FD49" s="84"/>
      <c r="FE49" s="84"/>
      <c r="FF49" s="84"/>
      <c r="FG49" s="84" t="s">
        <v>96</v>
      </c>
      <c r="FH49" s="84"/>
      <c r="FI49" s="84" t="s">
        <v>96</v>
      </c>
      <c r="FJ49" s="84"/>
      <c r="FK49" s="84"/>
      <c r="FL49" s="84"/>
      <c r="FM49" s="84" t="s">
        <v>130</v>
      </c>
      <c r="FN49" s="84"/>
      <c r="FO49" s="84" t="s">
        <v>96</v>
      </c>
      <c r="FP49" s="84" t="s">
        <v>96</v>
      </c>
      <c r="FQ49" s="84"/>
      <c r="FR49" s="84"/>
      <c r="FS49" s="86"/>
      <c r="FT49" s="84"/>
      <c r="FU49" s="84"/>
      <c r="FV49" s="84" t="s">
        <v>96</v>
      </c>
      <c r="FW49" s="84"/>
      <c r="FX49" s="84"/>
      <c r="FY49" s="84" t="s">
        <v>96</v>
      </c>
      <c r="FZ49" s="84" t="s">
        <v>4</v>
      </c>
      <c r="GA49" s="84"/>
      <c r="GB49" s="84"/>
      <c r="GC49" s="84"/>
      <c r="GD49" s="84" t="s">
        <v>96</v>
      </c>
      <c r="GE49" s="84" t="s">
        <v>4</v>
      </c>
      <c r="GF49" s="84"/>
      <c r="GG49" s="84"/>
      <c r="GH49" s="84" t="s">
        <v>4</v>
      </c>
      <c r="GI49" s="84"/>
      <c r="GJ49" s="84" t="s">
        <v>96</v>
      </c>
      <c r="GK49" s="84"/>
      <c r="GL49" s="84" t="s">
        <v>96</v>
      </c>
      <c r="GM49" s="84"/>
      <c r="GN49" s="84"/>
      <c r="GO49" s="84" t="s">
        <v>96</v>
      </c>
      <c r="GP49" s="84"/>
      <c r="GQ49" s="84"/>
      <c r="GR49" s="84"/>
      <c r="GS49" s="84"/>
      <c r="GT49" s="84" t="s">
        <v>130</v>
      </c>
      <c r="GU49" s="84"/>
      <c r="GV49" s="84"/>
      <c r="GW49" s="84"/>
      <c r="GX49" s="84"/>
      <c r="GY49" s="84"/>
      <c r="GZ49" s="84"/>
      <c r="HA49" s="84" t="s">
        <v>96</v>
      </c>
      <c r="HB49" s="84"/>
      <c r="HC49" s="84" t="s">
        <v>130</v>
      </c>
      <c r="HD49" s="84"/>
      <c r="HE49" s="84" t="s">
        <v>96</v>
      </c>
      <c r="HF49" s="84"/>
      <c r="HG49" s="84"/>
      <c r="HH49" s="84" t="s">
        <v>96</v>
      </c>
      <c r="HI49" s="84"/>
      <c r="HJ49" s="84" t="s">
        <v>96</v>
      </c>
      <c r="HK49" s="84"/>
      <c r="HL49" s="84"/>
      <c r="HM49" s="84"/>
      <c r="HN49" s="84"/>
      <c r="HO49" s="84"/>
      <c r="HP49" s="84"/>
      <c r="HQ49" s="84"/>
      <c r="HR49" s="84"/>
      <c r="HS49" s="84"/>
      <c r="HT49" s="84"/>
      <c r="HU49" s="84" t="s">
        <v>130</v>
      </c>
      <c r="HV49" s="84"/>
      <c r="HW49" s="84" t="s">
        <v>96</v>
      </c>
      <c r="HX49" s="84"/>
      <c r="HY49" s="84" t="s">
        <v>114</v>
      </c>
      <c r="HZ49" s="84"/>
      <c r="IA49" s="84"/>
      <c r="IB49" s="84"/>
      <c r="IC49" s="84"/>
      <c r="ID49" s="84"/>
      <c r="IE49" s="84" t="s">
        <v>96</v>
      </c>
      <c r="IF49" s="84"/>
      <c r="IG49" s="84"/>
      <c r="IH49" s="84"/>
      <c r="II49" s="84"/>
      <c r="IJ49" s="84"/>
      <c r="IK49" s="84"/>
      <c r="IL49" s="84"/>
      <c r="IM49" s="84"/>
      <c r="IN49" s="84"/>
      <c r="IO49" s="84"/>
      <c r="IP49" s="84"/>
      <c r="IQ49" s="84"/>
      <c r="IR49" s="84"/>
      <c r="IS49" s="96"/>
      <c r="IT49" s="99"/>
      <c r="IU49" s="84"/>
      <c r="IV49" s="84"/>
      <c r="IW49" s="84"/>
      <c r="IX49" s="84"/>
      <c r="IY49" s="68"/>
      <c r="IZ49" s="68"/>
      <c r="JA49" s="68"/>
      <c r="JB49" s="68"/>
      <c r="JC49" s="68"/>
      <c r="JD49" s="68"/>
      <c r="JE49" s="68"/>
      <c r="JF49" s="68"/>
      <c r="JG49" s="68"/>
      <c r="JH49" s="68"/>
      <c r="JI49" s="68"/>
      <c r="JJ49" s="68"/>
      <c r="JK49" s="68"/>
      <c r="JL49" s="68"/>
      <c r="JM49" s="68"/>
      <c r="JN49" s="68"/>
      <c r="JO49" s="68"/>
      <c r="JP49" s="68">
        <v>436295812</v>
      </c>
      <c r="JQ49" s="68" t="s">
        <v>4</v>
      </c>
      <c r="JR49" s="68"/>
      <c r="JS49" s="68"/>
      <c r="JT49" s="68"/>
      <c r="JU49" s="68"/>
      <c r="JV49" s="68"/>
      <c r="JW49" s="68"/>
      <c r="JX49" s="68"/>
      <c r="JY49" s="68"/>
      <c r="JZ49" s="68"/>
      <c r="KA49" s="68"/>
      <c r="KB49" s="68"/>
      <c r="KC49" s="68"/>
      <c r="KD49" s="68"/>
      <c r="KE49" s="68"/>
      <c r="KF49" s="68"/>
      <c r="KG49" s="68"/>
      <c r="KH49" s="68"/>
      <c r="KI49" s="68"/>
      <c r="KJ49" s="68"/>
      <c r="KK49" s="68"/>
      <c r="KL49" s="68"/>
      <c r="KM49" s="68"/>
      <c r="KN49" s="68"/>
      <c r="KO49" s="68"/>
      <c r="KP49" s="68"/>
      <c r="KQ49" s="68"/>
      <c r="KR49" s="68"/>
      <c r="KS49" s="68"/>
      <c r="KT49" s="68"/>
      <c r="KU49" s="68"/>
      <c r="KV49" s="68"/>
      <c r="KW49" s="68"/>
      <c r="KX49" s="68"/>
      <c r="KY49" s="68"/>
      <c r="KZ49" s="68"/>
      <c r="LA49" s="68"/>
      <c r="LB49" s="68"/>
      <c r="LC49" s="104"/>
      <c r="LD49" s="104"/>
      <c r="LE49" s="104"/>
      <c r="LF49" s="104"/>
      <c r="LG49" s="104"/>
      <c r="LH49" s="102" t="s">
        <v>187</v>
      </c>
      <c r="LI49" s="104"/>
      <c r="LJ49" s="102" t="s">
        <v>187</v>
      </c>
      <c r="LK49" s="104"/>
      <c r="LL49" s="102" t="s">
        <v>187</v>
      </c>
    </row>
    <row r="50" spans="1:324">
      <c r="A50" s="69" t="s">
        <v>185</v>
      </c>
      <c r="B50" s="92" t="s">
        <v>14</v>
      </c>
      <c r="C50" s="84">
        <v>2127895047</v>
      </c>
      <c r="D50" s="84">
        <v>-541278939</v>
      </c>
      <c r="E50" s="84">
        <v>530158839</v>
      </c>
      <c r="F50" s="84">
        <v>1417965401</v>
      </c>
      <c r="G50" s="84" t="s">
        <v>130</v>
      </c>
      <c r="H50" s="84">
        <v>2287026143</v>
      </c>
      <c r="I50" s="84">
        <v>10936723961</v>
      </c>
      <c r="J50" s="84" t="s">
        <v>4</v>
      </c>
      <c r="K50" s="84">
        <v>550715199</v>
      </c>
      <c r="L50" s="84" t="s">
        <v>96</v>
      </c>
      <c r="M50" s="84" t="s">
        <v>96</v>
      </c>
      <c r="N50" s="84">
        <v>216867272</v>
      </c>
      <c r="O50" s="84">
        <v>3500964736</v>
      </c>
      <c r="P50" s="84">
        <v>6190054422</v>
      </c>
      <c r="Q50" s="84">
        <v>169076876</v>
      </c>
      <c r="R50" s="84" t="s">
        <v>130</v>
      </c>
      <c r="S50" s="84">
        <v>7143928873</v>
      </c>
      <c r="T50" s="84" t="s">
        <v>96</v>
      </c>
      <c r="U50" s="84" t="s">
        <v>96</v>
      </c>
      <c r="V50" s="84" t="s">
        <v>4</v>
      </c>
      <c r="W50" s="84">
        <v>673693439</v>
      </c>
      <c r="X50" s="84">
        <v>1664268737</v>
      </c>
      <c r="Y50" s="84">
        <v>542301502</v>
      </c>
      <c r="Z50" s="84">
        <v>853182253</v>
      </c>
      <c r="AA50" s="84">
        <v>943717749</v>
      </c>
      <c r="AB50" s="84">
        <v>310471088</v>
      </c>
      <c r="AC50" s="84">
        <v>882773692</v>
      </c>
      <c r="AD50" s="84">
        <v>577439968</v>
      </c>
      <c r="AE50" s="84">
        <v>531523980</v>
      </c>
      <c r="AF50" s="84" t="s">
        <v>96</v>
      </c>
      <c r="AG50" s="84">
        <v>122531813</v>
      </c>
      <c r="AH50" s="84" t="s">
        <v>130</v>
      </c>
      <c r="AI50" s="84">
        <v>186568161</v>
      </c>
      <c r="AJ50" s="84">
        <v>377087175</v>
      </c>
      <c r="AK50" s="84">
        <v>254641132</v>
      </c>
      <c r="AL50" s="84">
        <v>1180438556</v>
      </c>
      <c r="AM50" s="84" t="s">
        <v>4</v>
      </c>
      <c r="AN50" s="84">
        <v>1327024577</v>
      </c>
      <c r="AO50" s="84">
        <v>797909259</v>
      </c>
      <c r="AP50" s="84">
        <v>859990647</v>
      </c>
      <c r="AQ50" s="84" t="s">
        <v>4</v>
      </c>
      <c r="AR50" s="84">
        <v>1025581960</v>
      </c>
      <c r="AS50" s="84">
        <v>1462906662</v>
      </c>
      <c r="AT50" s="84" t="s">
        <v>96</v>
      </c>
      <c r="AU50" s="84">
        <v>4189819918</v>
      </c>
      <c r="AV50" s="84">
        <v>245776232</v>
      </c>
      <c r="AW50" s="84">
        <v>342539896</v>
      </c>
      <c r="AX50" s="84" t="s">
        <v>4</v>
      </c>
      <c r="AY50" s="84" t="s">
        <v>96</v>
      </c>
      <c r="AZ50" s="84">
        <v>687787001</v>
      </c>
      <c r="BA50" s="84" t="s">
        <v>130</v>
      </c>
      <c r="BB50" s="84">
        <v>13036146</v>
      </c>
      <c r="BC50" s="84" t="s">
        <v>4</v>
      </c>
      <c r="BD50" s="84" t="s">
        <v>96</v>
      </c>
      <c r="BE50" s="84">
        <v>366167613</v>
      </c>
      <c r="BF50" s="84" t="s">
        <v>96</v>
      </c>
      <c r="BG50" s="84">
        <v>693934927</v>
      </c>
      <c r="BH50" s="84">
        <v>109483017</v>
      </c>
      <c r="BI50" s="84">
        <v>185871951</v>
      </c>
      <c r="BJ50" s="84">
        <v>664185323</v>
      </c>
      <c r="BK50" s="84">
        <v>2166882035</v>
      </c>
      <c r="BL50" s="84">
        <v>421409786</v>
      </c>
      <c r="BM50" s="84">
        <v>2190713080</v>
      </c>
      <c r="BN50" s="84">
        <v>74631886</v>
      </c>
      <c r="BO50" s="84" t="s">
        <v>96</v>
      </c>
      <c r="BP50" s="84" t="s">
        <v>96</v>
      </c>
      <c r="BQ50" s="84" t="s">
        <v>4</v>
      </c>
      <c r="BR50" s="84">
        <v>5007214631</v>
      </c>
      <c r="BS50" s="84" t="s">
        <v>4</v>
      </c>
      <c r="BT50" s="84" t="s">
        <v>96</v>
      </c>
      <c r="BU50" s="85">
        <v>797185247</v>
      </c>
      <c r="BV50" s="84">
        <v>364175387</v>
      </c>
      <c r="BW50" s="84">
        <v>761502969</v>
      </c>
      <c r="BX50" s="84">
        <v>595402032</v>
      </c>
      <c r="BY50" s="84">
        <v>1115655302</v>
      </c>
      <c r="BZ50" s="84">
        <v>843929705</v>
      </c>
      <c r="CA50" s="84">
        <v>6242581131</v>
      </c>
      <c r="CB50" s="84">
        <v>574587190</v>
      </c>
      <c r="CC50" s="84">
        <v>260581759</v>
      </c>
      <c r="CD50" s="84">
        <v>499455240</v>
      </c>
      <c r="CE50" s="84" t="s">
        <v>96</v>
      </c>
      <c r="CF50" s="84" t="s">
        <v>96</v>
      </c>
      <c r="CG50" s="84">
        <v>1183334759</v>
      </c>
      <c r="CH50" s="84">
        <v>252644026</v>
      </c>
      <c r="CI50" s="84" t="s">
        <v>96</v>
      </c>
      <c r="CJ50" s="84">
        <v>50656418</v>
      </c>
      <c r="CK50" s="84">
        <v>550951625</v>
      </c>
      <c r="CL50" s="84">
        <v>141181965</v>
      </c>
      <c r="CM50" s="84">
        <v>10621139751</v>
      </c>
      <c r="CN50" s="84">
        <v>285695035</v>
      </c>
      <c r="CO50" s="84">
        <v>100262132</v>
      </c>
      <c r="CP50" s="84" t="s">
        <v>96</v>
      </c>
      <c r="CQ50" s="84" t="s">
        <v>96</v>
      </c>
      <c r="CR50" s="84">
        <v>519365066</v>
      </c>
      <c r="CS50" s="84" t="s">
        <v>96</v>
      </c>
      <c r="CT50" s="84">
        <v>5816166355</v>
      </c>
      <c r="CU50" s="84">
        <v>4843122959</v>
      </c>
      <c r="CV50" s="84">
        <v>24980733</v>
      </c>
      <c r="CW50" s="84" t="s">
        <v>96</v>
      </c>
      <c r="CX50" s="84">
        <v>1329727666</v>
      </c>
      <c r="CY50" s="84" t="s">
        <v>96</v>
      </c>
      <c r="CZ50" s="84">
        <v>2190452832</v>
      </c>
      <c r="DA50" s="84" t="s">
        <v>96</v>
      </c>
      <c r="DB50" s="86">
        <v>400777681</v>
      </c>
      <c r="DC50" s="84">
        <v>48181320</v>
      </c>
      <c r="DD50" s="84" t="s">
        <v>96</v>
      </c>
      <c r="DE50" s="84">
        <v>1641257592</v>
      </c>
      <c r="DF50" s="84">
        <v>30526878</v>
      </c>
      <c r="DG50" s="84">
        <v>1665295609</v>
      </c>
      <c r="DH50" s="84">
        <v>975562735</v>
      </c>
      <c r="DI50" s="84">
        <v>1036147581</v>
      </c>
      <c r="DJ50" s="84">
        <v>228181263</v>
      </c>
      <c r="DK50" s="84" t="s">
        <v>96</v>
      </c>
      <c r="DL50" s="84">
        <v>1087788650</v>
      </c>
      <c r="DM50" s="84">
        <v>75164193</v>
      </c>
      <c r="DN50" s="84">
        <v>-22376113</v>
      </c>
      <c r="DO50" s="84">
        <v>104958163</v>
      </c>
      <c r="DP50" s="84">
        <v>601700575</v>
      </c>
      <c r="DQ50" s="84">
        <v>64558138</v>
      </c>
      <c r="DR50" s="84">
        <v>1041729514</v>
      </c>
      <c r="DS50" s="84">
        <v>809324590</v>
      </c>
      <c r="DT50" s="84">
        <v>3009656841</v>
      </c>
      <c r="DU50" s="84">
        <v>398486750</v>
      </c>
      <c r="DV50" s="84">
        <v>582296077</v>
      </c>
      <c r="DW50" s="84">
        <v>342408131</v>
      </c>
      <c r="DX50" s="84">
        <v>12349812740</v>
      </c>
      <c r="DY50" s="84">
        <v>678632415</v>
      </c>
      <c r="DZ50" s="84">
        <v>163495415</v>
      </c>
      <c r="EA50" s="84">
        <v>62792898</v>
      </c>
      <c r="EB50" s="84">
        <v>15376827992</v>
      </c>
      <c r="EC50" s="84">
        <v>465249212</v>
      </c>
      <c r="ED50" s="84">
        <v>138352920</v>
      </c>
      <c r="EE50" s="84">
        <v>388714254</v>
      </c>
      <c r="EF50" s="84">
        <v>419312122</v>
      </c>
      <c r="EG50" s="96">
        <v>3800734564</v>
      </c>
      <c r="EH50" s="99">
        <v>125759930</v>
      </c>
      <c r="EI50" s="97">
        <v>2667770623</v>
      </c>
      <c r="EJ50" s="84">
        <v>252979900</v>
      </c>
      <c r="EK50" s="84">
        <v>1573797987</v>
      </c>
      <c r="EL50" s="84">
        <v>-706689831</v>
      </c>
      <c r="EM50" s="84">
        <v>156202514</v>
      </c>
      <c r="EN50" s="84">
        <v>8153214171</v>
      </c>
      <c r="EO50" s="84">
        <v>706887762</v>
      </c>
      <c r="EP50" s="84">
        <v>555468313</v>
      </c>
      <c r="EQ50" s="84">
        <v>9369117112</v>
      </c>
      <c r="ER50" s="84">
        <v>10536415345</v>
      </c>
      <c r="ES50" s="84">
        <v>486318622</v>
      </c>
      <c r="ET50" s="84">
        <v>6933306574</v>
      </c>
      <c r="EU50" s="84">
        <v>3862400108</v>
      </c>
      <c r="EV50" s="84">
        <v>234661842</v>
      </c>
      <c r="EW50" s="84">
        <v>291387886</v>
      </c>
      <c r="EX50" s="84">
        <v>4156115293</v>
      </c>
      <c r="EY50" s="84">
        <v>8184403478</v>
      </c>
      <c r="EZ50" s="84">
        <v>831385318</v>
      </c>
      <c r="FA50" s="84">
        <v>432951346</v>
      </c>
      <c r="FB50" s="84">
        <v>208611343</v>
      </c>
      <c r="FC50" s="84">
        <v>718029556</v>
      </c>
      <c r="FD50" s="84">
        <v>107998310</v>
      </c>
      <c r="FE50" s="84">
        <v>8500035538</v>
      </c>
      <c r="FF50" s="84">
        <v>571285729</v>
      </c>
      <c r="FG50" s="84" t="s">
        <v>96</v>
      </c>
      <c r="FH50" s="84">
        <v>1343250443</v>
      </c>
      <c r="FI50" s="84" t="s">
        <v>96</v>
      </c>
      <c r="FJ50" s="84">
        <v>478664999</v>
      </c>
      <c r="FK50" s="84">
        <v>2881082857</v>
      </c>
      <c r="FL50" s="84">
        <v>211270731</v>
      </c>
      <c r="FM50" s="84" t="s">
        <v>130</v>
      </c>
      <c r="FN50" s="84">
        <v>1299061353</v>
      </c>
      <c r="FO50" s="84" t="s">
        <v>96</v>
      </c>
      <c r="FP50" s="84" t="s">
        <v>96</v>
      </c>
      <c r="FQ50" s="84">
        <v>31697472</v>
      </c>
      <c r="FR50" s="84">
        <v>483769295</v>
      </c>
      <c r="FS50" s="86">
        <v>493973323</v>
      </c>
      <c r="FT50" s="84">
        <v>4034732905</v>
      </c>
      <c r="FU50" s="84">
        <v>138572340</v>
      </c>
      <c r="FV50" s="84" t="s">
        <v>96</v>
      </c>
      <c r="FW50" s="84">
        <v>3504546</v>
      </c>
      <c r="FX50" s="84">
        <v>170644105</v>
      </c>
      <c r="FY50" s="84" t="s">
        <v>96</v>
      </c>
      <c r="FZ50" s="84" t="s">
        <v>4</v>
      </c>
      <c r="GA50" s="84">
        <v>2747489747</v>
      </c>
      <c r="GB50" s="84">
        <v>377869776</v>
      </c>
      <c r="GC50" s="84">
        <v>165695437</v>
      </c>
      <c r="GD50" s="84" t="s">
        <v>96</v>
      </c>
      <c r="GE50" s="84" t="s">
        <v>4</v>
      </c>
      <c r="GF50" s="84">
        <v>905234362</v>
      </c>
      <c r="GG50" s="84">
        <v>1226888627</v>
      </c>
      <c r="GH50" s="84" t="s">
        <v>4</v>
      </c>
      <c r="GI50" s="84">
        <v>70405896</v>
      </c>
      <c r="GJ50" s="84" t="s">
        <v>96</v>
      </c>
      <c r="GK50" s="84">
        <v>170948414</v>
      </c>
      <c r="GL50" s="84" t="s">
        <v>96</v>
      </c>
      <c r="GM50" s="84">
        <v>1986709128</v>
      </c>
      <c r="GN50" s="84">
        <v>265103633</v>
      </c>
      <c r="GO50" s="84" t="s">
        <v>96</v>
      </c>
      <c r="GP50" s="84">
        <v>1689396639</v>
      </c>
      <c r="GQ50" s="84">
        <v>188951369</v>
      </c>
      <c r="GR50" s="84">
        <v>333321507</v>
      </c>
      <c r="GS50" s="84">
        <v>145120226</v>
      </c>
      <c r="GT50" s="84" t="s">
        <v>130</v>
      </c>
      <c r="GU50" s="84">
        <v>174867466</v>
      </c>
      <c r="GV50" s="84">
        <v>8806608218</v>
      </c>
      <c r="GW50" s="84">
        <v>10317845489</v>
      </c>
      <c r="GX50" s="84">
        <v>506882655</v>
      </c>
      <c r="GY50" s="84">
        <v>-210209420</v>
      </c>
      <c r="GZ50" s="84">
        <v>1106251027</v>
      </c>
      <c r="HA50" s="84" t="s">
        <v>96</v>
      </c>
      <c r="HB50" s="84">
        <v>479551958</v>
      </c>
      <c r="HC50" s="84" t="s">
        <v>130</v>
      </c>
      <c r="HD50" s="84">
        <v>192056730</v>
      </c>
      <c r="HE50" s="84" t="s">
        <v>96</v>
      </c>
      <c r="HF50" s="84">
        <v>7535289306</v>
      </c>
      <c r="HG50" s="84">
        <v>1185011179</v>
      </c>
      <c r="HH50" s="84" t="s">
        <v>96</v>
      </c>
      <c r="HI50" s="84">
        <v>806718650</v>
      </c>
      <c r="HJ50" s="84" t="s">
        <v>96</v>
      </c>
      <c r="HK50" s="84">
        <v>1431925906</v>
      </c>
      <c r="HL50" s="84">
        <v>870562354</v>
      </c>
      <c r="HM50" s="84">
        <v>755400446</v>
      </c>
      <c r="HN50" s="84">
        <v>110386364</v>
      </c>
      <c r="HO50" s="84">
        <v>824947271</v>
      </c>
      <c r="HP50" s="84">
        <v>669127880</v>
      </c>
      <c r="HQ50" s="84">
        <v>1713668190</v>
      </c>
      <c r="HR50" s="84">
        <v>63076346</v>
      </c>
      <c r="HS50" s="84">
        <v>1040200595</v>
      </c>
      <c r="HT50" s="84">
        <v>161474069</v>
      </c>
      <c r="HU50" s="84" t="s">
        <v>130</v>
      </c>
      <c r="HV50" s="84">
        <v>331898434</v>
      </c>
      <c r="HW50" s="84" t="s">
        <v>96</v>
      </c>
      <c r="HX50" s="84">
        <v>1375636419</v>
      </c>
      <c r="HY50" s="84" t="s">
        <v>114</v>
      </c>
      <c r="HZ50" s="84">
        <v>1783952011</v>
      </c>
      <c r="IA50" s="84">
        <v>335033798</v>
      </c>
      <c r="IB50" s="84">
        <v>180225331</v>
      </c>
      <c r="IC50" s="84">
        <v>9078229452</v>
      </c>
      <c r="ID50" s="84">
        <v>289133492</v>
      </c>
      <c r="IE50" s="84" t="s">
        <v>96</v>
      </c>
      <c r="IF50" s="84">
        <v>5241389</v>
      </c>
      <c r="IG50" s="84">
        <v>134224358</v>
      </c>
      <c r="IH50" s="84">
        <v>582906141</v>
      </c>
      <c r="II50" s="84">
        <v>0</v>
      </c>
      <c r="IJ50" s="84">
        <v>689855549</v>
      </c>
      <c r="IK50" s="84">
        <v>425506182</v>
      </c>
      <c r="IL50" s="84">
        <v>538751500</v>
      </c>
      <c r="IM50" s="84">
        <v>1629174146</v>
      </c>
      <c r="IN50" s="84">
        <v>3015395863</v>
      </c>
      <c r="IO50" s="84">
        <v>956936028</v>
      </c>
      <c r="IP50" s="84">
        <v>1007908925</v>
      </c>
      <c r="IQ50" s="84">
        <v>1543048934</v>
      </c>
      <c r="IR50" s="84">
        <v>1336085191</v>
      </c>
      <c r="IS50" s="96">
        <v>915761212</v>
      </c>
      <c r="IT50" s="99">
        <v>480226929</v>
      </c>
      <c r="IU50" s="84">
        <v>8923528961</v>
      </c>
      <c r="IV50" s="84">
        <v>1589918620</v>
      </c>
      <c r="IW50" s="84">
        <v>359241818</v>
      </c>
      <c r="IX50" s="84">
        <v>1141589371</v>
      </c>
      <c r="IY50" s="68">
        <v>789394907</v>
      </c>
      <c r="IZ50" s="68">
        <v>429483559</v>
      </c>
      <c r="JA50" s="68">
        <v>2317701242</v>
      </c>
      <c r="JB50" s="68">
        <v>557947810</v>
      </c>
      <c r="JC50" s="68">
        <v>88391232</v>
      </c>
      <c r="JD50" s="68">
        <v>747828624</v>
      </c>
      <c r="JE50" s="68">
        <v>322751225</v>
      </c>
      <c r="JF50" s="68">
        <v>1205978308</v>
      </c>
      <c r="JG50" s="68">
        <v>59373290</v>
      </c>
      <c r="JH50" s="68">
        <v>311655876</v>
      </c>
      <c r="JI50" s="68">
        <v>77732364</v>
      </c>
      <c r="JJ50" s="68">
        <v>80205231</v>
      </c>
      <c r="JK50" s="68">
        <v>100822025</v>
      </c>
      <c r="JL50" s="68">
        <v>6223971337</v>
      </c>
      <c r="JM50" s="68">
        <v>1219605137</v>
      </c>
      <c r="JN50" s="68">
        <v>802698640</v>
      </c>
      <c r="JO50" s="68">
        <v>225192000</v>
      </c>
      <c r="JP50" s="68">
        <v>44231666</v>
      </c>
      <c r="JQ50" s="68" t="s">
        <v>4</v>
      </c>
      <c r="JR50" s="68">
        <v>136790490</v>
      </c>
      <c r="JS50" s="68">
        <v>240947537</v>
      </c>
      <c r="JT50" s="68">
        <v>214482275</v>
      </c>
      <c r="JU50" s="68">
        <v>385639633</v>
      </c>
      <c r="JV50" s="68">
        <v>5115844456</v>
      </c>
      <c r="JW50" s="68">
        <v>2805008336</v>
      </c>
      <c r="JX50" s="68">
        <v>7241292830</v>
      </c>
      <c r="JY50" s="68">
        <v>5993739058</v>
      </c>
      <c r="JZ50" s="68">
        <v>13502387</v>
      </c>
      <c r="KA50" s="68">
        <v>141142677</v>
      </c>
      <c r="KB50" s="68">
        <v>1845628675</v>
      </c>
      <c r="KC50" s="68">
        <v>222791926</v>
      </c>
      <c r="KD50" s="68">
        <v>1357203210</v>
      </c>
      <c r="KE50" s="68">
        <v>-27068871</v>
      </c>
      <c r="KF50" s="68">
        <v>-718817265</v>
      </c>
      <c r="KG50" s="68">
        <v>1187211460</v>
      </c>
      <c r="KH50" s="68">
        <v>419607764</v>
      </c>
      <c r="KI50" s="68">
        <v>208876468</v>
      </c>
      <c r="KJ50" s="68">
        <v>1982665481</v>
      </c>
      <c r="KK50" s="68">
        <v>-1163292002</v>
      </c>
      <c r="KL50" s="68">
        <v>85128784</v>
      </c>
      <c r="KM50" s="68">
        <v>890363473</v>
      </c>
      <c r="KN50" s="68">
        <v>365273539</v>
      </c>
      <c r="KO50" s="68">
        <v>112613345</v>
      </c>
      <c r="KP50" s="68">
        <v>3585539728</v>
      </c>
      <c r="KQ50" s="68">
        <v>56869683</v>
      </c>
      <c r="KR50" s="68">
        <v>537350729</v>
      </c>
      <c r="KS50" s="68">
        <v>211980591</v>
      </c>
      <c r="KT50" s="68">
        <v>330992980</v>
      </c>
      <c r="KU50" s="68">
        <v>858087621</v>
      </c>
      <c r="KV50" s="68">
        <v>254039718</v>
      </c>
      <c r="KW50" s="68">
        <v>170217344</v>
      </c>
      <c r="KX50" s="68">
        <v>59471592</v>
      </c>
      <c r="KY50" s="68">
        <v>590916628</v>
      </c>
      <c r="KZ50" s="68">
        <v>115356987</v>
      </c>
      <c r="LA50" s="68">
        <v>353518201</v>
      </c>
      <c r="LB50" s="68">
        <v>367669040</v>
      </c>
      <c r="LC50" s="104">
        <v>3802418658</v>
      </c>
      <c r="LD50" s="104">
        <v>729942751</v>
      </c>
      <c r="LE50" s="104">
        <v>244607658</v>
      </c>
      <c r="LF50" s="104">
        <v>1509866785</v>
      </c>
      <c r="LG50" s="104">
        <v>464473437</v>
      </c>
      <c r="LH50" s="102" t="s">
        <v>187</v>
      </c>
      <c r="LI50" s="104">
        <v>421558947</v>
      </c>
      <c r="LJ50" s="102" t="s">
        <v>187</v>
      </c>
      <c r="LK50" s="104">
        <v>1520673834</v>
      </c>
      <c r="LL50" s="102" t="s">
        <v>187</v>
      </c>
    </row>
    <row r="51" spans="1:324">
      <c r="A51" s="69" t="s">
        <v>185</v>
      </c>
      <c r="B51" s="92" t="s">
        <v>102</v>
      </c>
      <c r="C51" s="84">
        <v>2164883050</v>
      </c>
      <c r="D51" s="84">
        <v>756366301</v>
      </c>
      <c r="E51" s="84">
        <v>506430513</v>
      </c>
      <c r="F51" s="84">
        <v>1372948528</v>
      </c>
      <c r="G51" s="84" t="s">
        <v>130</v>
      </c>
      <c r="H51" s="84">
        <v>2407384633</v>
      </c>
      <c r="I51" s="84">
        <v>11810728486</v>
      </c>
      <c r="J51" s="84" t="s">
        <v>4</v>
      </c>
      <c r="K51" s="84">
        <v>1435311362</v>
      </c>
      <c r="L51" s="84" t="s">
        <v>96</v>
      </c>
      <c r="M51" s="84" t="s">
        <v>96</v>
      </c>
      <c r="N51" s="84">
        <v>853414275</v>
      </c>
      <c r="O51" s="84">
        <v>3495910030</v>
      </c>
      <c r="P51" s="84">
        <v>6268694583</v>
      </c>
      <c r="Q51" s="84">
        <v>162700281</v>
      </c>
      <c r="R51" s="84" t="s">
        <v>130</v>
      </c>
      <c r="S51" s="84">
        <v>6321020980</v>
      </c>
      <c r="T51" s="84" t="s">
        <v>96</v>
      </c>
      <c r="U51" s="84" t="s">
        <v>96</v>
      </c>
      <c r="V51" s="84" t="s">
        <v>4</v>
      </c>
      <c r="W51" s="84">
        <v>909598920</v>
      </c>
      <c r="X51" s="84">
        <v>1210137284</v>
      </c>
      <c r="Y51" s="84">
        <v>670906755</v>
      </c>
      <c r="Z51" s="84">
        <v>737591408</v>
      </c>
      <c r="AA51" s="84">
        <v>633066522</v>
      </c>
      <c r="AB51" s="84">
        <v>434574173</v>
      </c>
      <c r="AC51" s="84">
        <v>345773208</v>
      </c>
      <c r="AD51" s="84">
        <v>410536585</v>
      </c>
      <c r="AE51" s="84">
        <v>583402455</v>
      </c>
      <c r="AF51" s="84" t="s">
        <v>96</v>
      </c>
      <c r="AG51" s="84">
        <v>399496055</v>
      </c>
      <c r="AH51" s="84" t="s">
        <v>130</v>
      </c>
      <c r="AI51" s="84">
        <v>249938042</v>
      </c>
      <c r="AJ51" s="84">
        <v>375623506</v>
      </c>
      <c r="AK51" s="84">
        <v>382834434</v>
      </c>
      <c r="AL51" s="84">
        <v>2466580120</v>
      </c>
      <c r="AM51" s="84" t="s">
        <v>4</v>
      </c>
      <c r="AN51" s="84">
        <v>1257934328</v>
      </c>
      <c r="AO51" s="84">
        <v>1049082330</v>
      </c>
      <c r="AP51" s="84">
        <v>1091928292</v>
      </c>
      <c r="AQ51" s="84" t="s">
        <v>4</v>
      </c>
      <c r="AR51" s="84">
        <v>1850107805</v>
      </c>
      <c r="AS51" s="84">
        <v>1263834350</v>
      </c>
      <c r="AT51" s="84" t="s">
        <v>96</v>
      </c>
      <c r="AU51" s="84">
        <v>1325642886</v>
      </c>
      <c r="AV51" s="84">
        <v>167607355</v>
      </c>
      <c r="AW51" s="84">
        <v>292201556</v>
      </c>
      <c r="AX51" s="84" t="s">
        <v>4</v>
      </c>
      <c r="AY51" s="84" t="s">
        <v>96</v>
      </c>
      <c r="AZ51" s="84">
        <v>564062181</v>
      </c>
      <c r="BA51" s="84" t="s">
        <v>130</v>
      </c>
      <c r="BB51" s="84">
        <v>35728973</v>
      </c>
      <c r="BC51" s="84" t="s">
        <v>4</v>
      </c>
      <c r="BD51" s="84" t="s">
        <v>96</v>
      </c>
      <c r="BE51" s="84">
        <v>251503690</v>
      </c>
      <c r="BF51" s="84" t="s">
        <v>96</v>
      </c>
      <c r="BG51" s="84">
        <v>670545256</v>
      </c>
      <c r="BH51" s="84">
        <v>179707808</v>
      </c>
      <c r="BI51" s="84">
        <v>308671432</v>
      </c>
      <c r="BJ51" s="84">
        <v>698108562</v>
      </c>
      <c r="BK51" s="84">
        <v>1921884572</v>
      </c>
      <c r="BL51" s="84">
        <v>574421846</v>
      </c>
      <c r="BM51" s="84">
        <v>2332422501</v>
      </c>
      <c r="BN51" s="84">
        <v>114279034</v>
      </c>
      <c r="BO51" s="84" t="s">
        <v>96</v>
      </c>
      <c r="BP51" s="84" t="s">
        <v>96</v>
      </c>
      <c r="BQ51" s="84" t="s">
        <v>4</v>
      </c>
      <c r="BR51" s="84">
        <v>5735815210</v>
      </c>
      <c r="BS51" s="84" t="s">
        <v>4</v>
      </c>
      <c r="BT51" s="84" t="s">
        <v>96</v>
      </c>
      <c r="BU51" s="85">
        <v>670621033</v>
      </c>
      <c r="BV51" s="84">
        <v>358011473</v>
      </c>
      <c r="BW51" s="84">
        <v>756254264</v>
      </c>
      <c r="BX51" s="84">
        <v>664850816</v>
      </c>
      <c r="BY51" s="84">
        <v>2264566939</v>
      </c>
      <c r="BZ51" s="84">
        <v>473363150</v>
      </c>
      <c r="CA51" s="84">
        <v>5911359731</v>
      </c>
      <c r="CB51" s="84">
        <v>483454816</v>
      </c>
      <c r="CC51" s="84">
        <v>332739930</v>
      </c>
      <c r="CD51" s="84">
        <v>559160869</v>
      </c>
      <c r="CE51" s="84" t="s">
        <v>96</v>
      </c>
      <c r="CF51" s="84" t="s">
        <v>96</v>
      </c>
      <c r="CG51" s="84">
        <v>1236333602</v>
      </c>
      <c r="CH51" s="84">
        <v>276466429</v>
      </c>
      <c r="CI51" s="84" t="s">
        <v>96</v>
      </c>
      <c r="CJ51" s="84">
        <v>42166530</v>
      </c>
      <c r="CK51" s="84">
        <v>866669843</v>
      </c>
      <c r="CL51" s="84">
        <v>62354640</v>
      </c>
      <c r="CM51" s="84">
        <v>10217946445</v>
      </c>
      <c r="CN51" s="84">
        <v>361625889</v>
      </c>
      <c r="CO51" s="84">
        <v>155968390</v>
      </c>
      <c r="CP51" s="84" t="s">
        <v>96</v>
      </c>
      <c r="CQ51" s="84" t="s">
        <v>96</v>
      </c>
      <c r="CR51" s="84">
        <v>444657211</v>
      </c>
      <c r="CS51" s="84" t="s">
        <v>96</v>
      </c>
      <c r="CT51" s="84">
        <v>12409525551</v>
      </c>
      <c r="CU51" s="84">
        <v>5062979177</v>
      </c>
      <c r="CV51" s="84">
        <v>52888913</v>
      </c>
      <c r="CW51" s="84" t="s">
        <v>96</v>
      </c>
      <c r="CX51" s="84">
        <v>4816928384</v>
      </c>
      <c r="CY51" s="84" t="s">
        <v>96</v>
      </c>
      <c r="CZ51" s="84">
        <v>1829267634</v>
      </c>
      <c r="DA51" s="84" t="s">
        <v>96</v>
      </c>
      <c r="DB51" s="86">
        <v>363220508</v>
      </c>
      <c r="DC51" s="84">
        <v>65003925</v>
      </c>
      <c r="DD51" s="84" t="s">
        <v>96</v>
      </c>
      <c r="DE51" s="84">
        <v>1598313147</v>
      </c>
      <c r="DF51" s="84">
        <v>67286713</v>
      </c>
      <c r="DG51" s="84">
        <v>1849721302</v>
      </c>
      <c r="DH51" s="84">
        <v>875488731</v>
      </c>
      <c r="DI51" s="84">
        <v>784440362</v>
      </c>
      <c r="DJ51" s="84">
        <v>305127692</v>
      </c>
      <c r="DK51" s="84" t="s">
        <v>96</v>
      </c>
      <c r="DL51" s="84">
        <v>935639932</v>
      </c>
      <c r="DM51" s="84">
        <v>198671708</v>
      </c>
      <c r="DN51" s="84">
        <v>460225384</v>
      </c>
      <c r="DO51" s="84">
        <v>125524185</v>
      </c>
      <c r="DP51" s="84">
        <v>521286699</v>
      </c>
      <c r="DQ51" s="84">
        <v>48068560</v>
      </c>
      <c r="DR51" s="84">
        <v>847891922</v>
      </c>
      <c r="DS51" s="84">
        <v>1053991535</v>
      </c>
      <c r="DT51" s="84">
        <v>2787884837</v>
      </c>
      <c r="DU51" s="84">
        <v>517392173</v>
      </c>
      <c r="DV51" s="84">
        <v>279993624</v>
      </c>
      <c r="DW51" s="84">
        <v>419635327</v>
      </c>
      <c r="DX51" s="84">
        <v>14649952068</v>
      </c>
      <c r="DY51" s="84">
        <v>595536326</v>
      </c>
      <c r="DZ51" s="84">
        <v>106503827</v>
      </c>
      <c r="EA51" s="84">
        <v>69514261</v>
      </c>
      <c r="EB51" s="84">
        <v>14343422231</v>
      </c>
      <c r="EC51" s="84">
        <v>414764542</v>
      </c>
      <c r="ED51" s="84">
        <v>389026742</v>
      </c>
      <c r="EE51" s="84">
        <v>194438575</v>
      </c>
      <c r="EF51" s="84">
        <v>309028487</v>
      </c>
      <c r="EG51" s="96">
        <v>5229731058</v>
      </c>
      <c r="EH51" s="99">
        <v>181247805</v>
      </c>
      <c r="EI51" s="97">
        <v>1542359844</v>
      </c>
      <c r="EJ51" s="84">
        <v>585294597</v>
      </c>
      <c r="EK51" s="84">
        <v>2441866433</v>
      </c>
      <c r="EL51" s="84">
        <v>331937524</v>
      </c>
      <c r="EM51" s="84">
        <v>159865811</v>
      </c>
      <c r="EN51" s="84">
        <v>8173928307</v>
      </c>
      <c r="EO51" s="84">
        <v>872847495</v>
      </c>
      <c r="EP51" s="84">
        <v>824359647</v>
      </c>
      <c r="EQ51" s="84">
        <v>9323820509</v>
      </c>
      <c r="ER51" s="84">
        <v>10717709693</v>
      </c>
      <c r="ES51" s="84">
        <v>424311856</v>
      </c>
      <c r="ET51" s="84">
        <v>13928769774</v>
      </c>
      <c r="EU51" s="84">
        <v>2946196257</v>
      </c>
      <c r="EV51" s="84">
        <v>271086493</v>
      </c>
      <c r="EW51" s="84">
        <v>334065315</v>
      </c>
      <c r="EX51" s="84">
        <v>4018885570</v>
      </c>
      <c r="EY51" s="84">
        <v>8029887479</v>
      </c>
      <c r="EZ51" s="84">
        <v>929387263</v>
      </c>
      <c r="FA51" s="84">
        <v>539832868</v>
      </c>
      <c r="FB51" s="84">
        <v>238638482</v>
      </c>
      <c r="FC51" s="84">
        <v>685097864</v>
      </c>
      <c r="FD51" s="84">
        <v>217760745</v>
      </c>
      <c r="FE51" s="84">
        <v>7829030638</v>
      </c>
      <c r="FF51" s="84">
        <v>561191751</v>
      </c>
      <c r="FG51" s="84" t="s">
        <v>96</v>
      </c>
      <c r="FH51" s="84">
        <v>1287990979</v>
      </c>
      <c r="FI51" s="84" t="s">
        <v>96</v>
      </c>
      <c r="FJ51" s="84">
        <v>450901913</v>
      </c>
      <c r="FK51" s="84">
        <v>3100583839</v>
      </c>
      <c r="FL51" s="84">
        <v>368300384</v>
      </c>
      <c r="FM51" s="84" t="s">
        <v>130</v>
      </c>
      <c r="FN51" s="84">
        <v>5808707713</v>
      </c>
      <c r="FO51" s="84" t="s">
        <v>96</v>
      </c>
      <c r="FP51" s="84" t="s">
        <v>96</v>
      </c>
      <c r="FQ51" s="84">
        <v>67824581</v>
      </c>
      <c r="FR51" s="84">
        <v>376349064</v>
      </c>
      <c r="FS51" s="86">
        <v>1171824635</v>
      </c>
      <c r="FT51" s="84">
        <v>2780134323</v>
      </c>
      <c r="FU51" s="84">
        <v>140874530</v>
      </c>
      <c r="FV51" s="84" t="s">
        <v>96</v>
      </c>
      <c r="FW51" s="84">
        <v>32489226</v>
      </c>
      <c r="FX51" s="84">
        <v>237353526</v>
      </c>
      <c r="FY51" s="84" t="s">
        <v>96</v>
      </c>
      <c r="FZ51" s="84" t="s">
        <v>4</v>
      </c>
      <c r="GA51" s="84">
        <v>3756366763</v>
      </c>
      <c r="GB51" s="84">
        <v>393386519</v>
      </c>
      <c r="GC51" s="84">
        <v>184838785</v>
      </c>
      <c r="GD51" s="84" t="s">
        <v>96</v>
      </c>
      <c r="GE51" s="84" t="s">
        <v>4</v>
      </c>
      <c r="GF51" s="84">
        <v>1004302130</v>
      </c>
      <c r="GG51" s="84">
        <v>2334033333</v>
      </c>
      <c r="GH51" s="84" t="s">
        <v>4</v>
      </c>
      <c r="GI51" s="84">
        <v>79233618</v>
      </c>
      <c r="GJ51" s="84" t="s">
        <v>96</v>
      </c>
      <c r="GK51" s="84">
        <v>313852562</v>
      </c>
      <c r="GL51" s="84" t="s">
        <v>96</v>
      </c>
      <c r="GM51" s="84">
        <v>1968656267</v>
      </c>
      <c r="GN51" s="84">
        <v>172291329</v>
      </c>
      <c r="GO51" s="84" t="s">
        <v>96</v>
      </c>
      <c r="GP51" s="84">
        <v>1433310247</v>
      </c>
      <c r="GQ51" s="84">
        <v>166102823</v>
      </c>
      <c r="GR51" s="84">
        <v>1062893092</v>
      </c>
      <c r="GS51" s="84">
        <v>371031255</v>
      </c>
      <c r="GT51" s="84" t="s">
        <v>130</v>
      </c>
      <c r="GU51" s="84">
        <v>175698550</v>
      </c>
      <c r="GV51" s="84">
        <v>8704127978</v>
      </c>
      <c r="GW51" s="84">
        <v>7575931318</v>
      </c>
      <c r="GX51" s="84">
        <v>454223817</v>
      </c>
      <c r="GY51" s="84">
        <v>904130611</v>
      </c>
      <c r="GZ51" s="84">
        <v>975203996</v>
      </c>
      <c r="HA51" s="84" t="s">
        <v>96</v>
      </c>
      <c r="HB51" s="84">
        <v>1086055730</v>
      </c>
      <c r="HC51" s="84" t="s">
        <v>130</v>
      </c>
      <c r="HD51" s="84">
        <v>558128146</v>
      </c>
      <c r="HE51" s="84" t="s">
        <v>96</v>
      </c>
      <c r="HF51" s="84">
        <v>7531869188</v>
      </c>
      <c r="HG51" s="84">
        <v>467380266</v>
      </c>
      <c r="HH51" s="84" t="s">
        <v>96</v>
      </c>
      <c r="HI51" s="84">
        <v>3535451631</v>
      </c>
      <c r="HJ51" s="84" t="s">
        <v>96</v>
      </c>
      <c r="HK51" s="84">
        <v>1731397766</v>
      </c>
      <c r="HL51" s="84">
        <v>201073988</v>
      </c>
      <c r="HM51" s="84">
        <v>721619210</v>
      </c>
      <c r="HN51" s="84">
        <v>147211107</v>
      </c>
      <c r="HO51" s="84">
        <v>751032671</v>
      </c>
      <c r="HP51" s="84">
        <v>1780435489</v>
      </c>
      <c r="HQ51" s="84">
        <v>1723341099</v>
      </c>
      <c r="HR51" s="84">
        <v>134187917</v>
      </c>
      <c r="HS51" s="84">
        <v>953480187</v>
      </c>
      <c r="HT51" s="84">
        <v>157351658</v>
      </c>
      <c r="HU51" s="84" t="s">
        <v>130</v>
      </c>
      <c r="HV51" s="84">
        <v>365420508</v>
      </c>
      <c r="HW51" s="84" t="s">
        <v>96</v>
      </c>
      <c r="HX51" s="84">
        <v>747479081</v>
      </c>
      <c r="HY51" s="84" t="s">
        <v>114</v>
      </c>
      <c r="HZ51" s="84">
        <v>917709532</v>
      </c>
      <c r="IA51" s="84">
        <v>223510510</v>
      </c>
      <c r="IB51" s="84">
        <v>1276182152</v>
      </c>
      <c r="IC51" s="84">
        <v>9243933195</v>
      </c>
      <c r="ID51" s="84">
        <v>367780520</v>
      </c>
      <c r="IE51" s="84" t="s">
        <v>96</v>
      </c>
      <c r="IF51" s="84">
        <v>12706874</v>
      </c>
      <c r="IG51" s="84">
        <v>147012148</v>
      </c>
      <c r="IH51" s="84">
        <v>990945854</v>
      </c>
      <c r="II51" s="84">
        <v>0</v>
      </c>
      <c r="IJ51" s="84">
        <v>751573102</v>
      </c>
      <c r="IK51" s="84">
        <v>392884002</v>
      </c>
      <c r="IL51" s="84">
        <v>463664477</v>
      </c>
      <c r="IM51" s="84">
        <v>3172540510</v>
      </c>
      <c r="IN51" s="84">
        <v>7400267677</v>
      </c>
      <c r="IO51" s="84">
        <v>1513177861</v>
      </c>
      <c r="IP51" s="84">
        <v>1171673128</v>
      </c>
      <c r="IQ51" s="84">
        <v>1428757595</v>
      </c>
      <c r="IR51" s="84">
        <v>1275393392</v>
      </c>
      <c r="IS51" s="96">
        <v>811289332</v>
      </c>
      <c r="IT51" s="99">
        <v>539059845</v>
      </c>
      <c r="IU51" s="84">
        <v>8882462970</v>
      </c>
      <c r="IV51" s="84">
        <v>1739400718</v>
      </c>
      <c r="IW51" s="84">
        <v>393196177</v>
      </c>
      <c r="IX51" s="84">
        <v>1118174908</v>
      </c>
      <c r="IY51" s="68">
        <v>1747143132</v>
      </c>
      <c r="IZ51" s="68">
        <v>401267912</v>
      </c>
      <c r="JA51" s="68">
        <v>2286727242</v>
      </c>
      <c r="JB51" s="68">
        <v>653448812</v>
      </c>
      <c r="JC51" s="68">
        <v>69822107</v>
      </c>
      <c r="JD51" s="68">
        <v>851735238</v>
      </c>
      <c r="JE51" s="68">
        <v>323152637</v>
      </c>
      <c r="JF51" s="68">
        <v>1044814311</v>
      </c>
      <c r="JG51" s="68">
        <v>64763842</v>
      </c>
      <c r="JH51" s="68">
        <v>292851220</v>
      </c>
      <c r="JI51" s="68">
        <v>164170593</v>
      </c>
      <c r="JJ51" s="68">
        <v>150638214</v>
      </c>
      <c r="JK51" s="68">
        <v>238547509</v>
      </c>
      <c r="JL51" s="68">
        <v>6196500451</v>
      </c>
      <c r="JM51" s="68">
        <v>1183876927</v>
      </c>
      <c r="JN51" s="68">
        <v>524534564</v>
      </c>
      <c r="JO51" s="68">
        <v>293882463</v>
      </c>
      <c r="JP51" s="68">
        <v>105726166</v>
      </c>
      <c r="JQ51" s="68" t="s">
        <v>4</v>
      </c>
      <c r="JR51" s="68">
        <v>853935542</v>
      </c>
      <c r="JS51" s="68">
        <v>446873938</v>
      </c>
      <c r="JT51" s="68">
        <v>199435220</v>
      </c>
      <c r="JU51" s="68">
        <v>349391622</v>
      </c>
      <c r="JV51" s="68">
        <v>5171336107</v>
      </c>
      <c r="JW51" s="68">
        <v>2894914446</v>
      </c>
      <c r="JX51" s="68">
        <v>7196562163</v>
      </c>
      <c r="JY51" s="68">
        <v>6094716024</v>
      </c>
      <c r="JZ51" s="68">
        <v>54021414</v>
      </c>
      <c r="KA51" s="68">
        <v>196432834</v>
      </c>
      <c r="KB51" s="68">
        <v>1064864467</v>
      </c>
      <c r="KC51" s="68">
        <v>356588968</v>
      </c>
      <c r="KD51" s="68">
        <v>1351470706</v>
      </c>
      <c r="KE51" s="68">
        <v>48966576</v>
      </c>
      <c r="KF51" s="68">
        <v>754404115</v>
      </c>
      <c r="KG51" s="68">
        <v>1136777991</v>
      </c>
      <c r="KH51" s="68">
        <v>402992431</v>
      </c>
      <c r="KI51" s="68">
        <v>251456877</v>
      </c>
      <c r="KJ51" s="68">
        <v>1936405120</v>
      </c>
      <c r="KK51" s="68">
        <v>1448759474</v>
      </c>
      <c r="KL51" s="68">
        <v>16223872000</v>
      </c>
      <c r="KM51" s="68">
        <v>810246628</v>
      </c>
      <c r="KN51" s="68">
        <v>4529349350</v>
      </c>
      <c r="KO51" s="68">
        <v>1039117163</v>
      </c>
      <c r="KP51" s="68">
        <v>3615673026</v>
      </c>
      <c r="KQ51" s="68">
        <v>86122845</v>
      </c>
      <c r="KR51" s="68">
        <v>478297880</v>
      </c>
      <c r="KS51" s="68">
        <v>206792960</v>
      </c>
      <c r="KT51" s="68">
        <v>292121819</v>
      </c>
      <c r="KU51" s="68">
        <v>643976787</v>
      </c>
      <c r="KV51" s="68">
        <v>279981846</v>
      </c>
      <c r="KW51" s="68">
        <v>240601862</v>
      </c>
      <c r="KX51" s="68">
        <v>255164478</v>
      </c>
      <c r="KY51" s="68">
        <v>457212898</v>
      </c>
      <c r="KZ51" s="68">
        <v>115356987</v>
      </c>
      <c r="LA51" s="68">
        <v>109864130</v>
      </c>
      <c r="LB51" s="68">
        <v>485733636</v>
      </c>
      <c r="LC51" s="104">
        <v>3708408303</v>
      </c>
      <c r="LD51" s="104">
        <v>740904758</v>
      </c>
      <c r="LE51" s="104">
        <v>917894093</v>
      </c>
      <c r="LF51" s="104">
        <v>1526941172</v>
      </c>
      <c r="LG51" s="104">
        <v>441207164</v>
      </c>
      <c r="LH51" s="102" t="s">
        <v>187</v>
      </c>
      <c r="LI51" s="104">
        <v>365913663</v>
      </c>
      <c r="LJ51" s="102" t="s">
        <v>187</v>
      </c>
      <c r="LK51" s="104">
        <v>921957228</v>
      </c>
      <c r="LL51" s="102" t="s">
        <v>187</v>
      </c>
    </row>
    <row r="52" spans="1:324">
      <c r="A52" s="69" t="s">
        <v>185</v>
      </c>
      <c r="B52" s="93" t="s">
        <v>26</v>
      </c>
      <c r="C52" s="84">
        <v>1842804892</v>
      </c>
      <c r="D52" s="84">
        <v>-58302146</v>
      </c>
      <c r="E52" s="84">
        <v>253641630</v>
      </c>
      <c r="F52" s="84">
        <v>865199495</v>
      </c>
      <c r="G52" s="84" t="s">
        <v>130</v>
      </c>
      <c r="H52" s="84">
        <v>1276324511</v>
      </c>
      <c r="I52" s="84">
        <v>9355355458</v>
      </c>
      <c r="J52" s="84" t="s">
        <v>4</v>
      </c>
      <c r="K52" s="84">
        <v>850142171</v>
      </c>
      <c r="L52" s="84" t="s">
        <v>96</v>
      </c>
      <c r="M52" s="84" t="s">
        <v>96</v>
      </c>
      <c r="N52" s="84">
        <v>521358262</v>
      </c>
      <c r="O52" s="84">
        <v>2609485267</v>
      </c>
      <c r="P52" s="84">
        <v>4720427346</v>
      </c>
      <c r="Q52" s="84">
        <v>51037010</v>
      </c>
      <c r="R52" s="84" t="s">
        <v>130</v>
      </c>
      <c r="S52" s="84">
        <v>948253736</v>
      </c>
      <c r="T52" s="84" t="s">
        <v>96</v>
      </c>
      <c r="U52" s="84" t="s">
        <v>96</v>
      </c>
      <c r="V52" s="84" t="s">
        <v>4</v>
      </c>
      <c r="W52" s="84">
        <v>541342432</v>
      </c>
      <c r="X52" s="84">
        <v>566504920</v>
      </c>
      <c r="Y52" s="84">
        <v>243845101</v>
      </c>
      <c r="Z52" s="84">
        <v>290830786</v>
      </c>
      <c r="AA52" s="84">
        <v>353089248</v>
      </c>
      <c r="AB52" s="84">
        <v>149875133</v>
      </c>
      <c r="AC52" s="84">
        <v>159521133</v>
      </c>
      <c r="AD52" s="84">
        <v>123089030</v>
      </c>
      <c r="AE52" s="84">
        <v>273083248</v>
      </c>
      <c r="AF52" s="84" t="s">
        <v>96</v>
      </c>
      <c r="AG52" s="84">
        <v>229947790</v>
      </c>
      <c r="AH52" s="84" t="s">
        <v>130</v>
      </c>
      <c r="AI52" s="84">
        <v>95900000</v>
      </c>
      <c r="AJ52" s="84">
        <v>281341041</v>
      </c>
      <c r="AK52" s="84">
        <v>250615380</v>
      </c>
      <c r="AL52" s="84">
        <v>1036896336</v>
      </c>
      <c r="AM52" s="84" t="s">
        <v>4</v>
      </c>
      <c r="AN52" s="84">
        <v>780130740</v>
      </c>
      <c r="AO52" s="84">
        <v>425172036</v>
      </c>
      <c r="AP52" s="84">
        <v>479312009</v>
      </c>
      <c r="AQ52" s="84" t="s">
        <v>4</v>
      </c>
      <c r="AR52" s="84">
        <v>667641905</v>
      </c>
      <c r="AS52" s="84">
        <v>319122333</v>
      </c>
      <c r="AT52" s="84" t="s">
        <v>96</v>
      </c>
      <c r="AU52" s="84">
        <v>391214320</v>
      </c>
      <c r="AV52" s="84">
        <v>65559543</v>
      </c>
      <c r="AW52" s="84">
        <v>161653780</v>
      </c>
      <c r="AX52" s="84" t="s">
        <v>4</v>
      </c>
      <c r="AY52" s="84" t="s">
        <v>96</v>
      </c>
      <c r="AZ52" s="84">
        <v>215556663</v>
      </c>
      <c r="BA52" s="84" t="s">
        <v>130</v>
      </c>
      <c r="BB52" s="84">
        <v>17569600</v>
      </c>
      <c r="BC52" s="84" t="s">
        <v>4</v>
      </c>
      <c r="BD52" s="84" t="s">
        <v>96</v>
      </c>
      <c r="BE52" s="84">
        <v>85860000</v>
      </c>
      <c r="BF52" s="84" t="s">
        <v>96</v>
      </c>
      <c r="BG52" s="84"/>
      <c r="BH52" s="84">
        <v>87290890</v>
      </c>
      <c r="BI52" s="84">
        <v>169598985</v>
      </c>
      <c r="BJ52" s="84">
        <v>290446990</v>
      </c>
      <c r="BK52" s="84">
        <v>626398971</v>
      </c>
      <c r="BL52" s="84">
        <v>386806446</v>
      </c>
      <c r="BM52" s="84">
        <v>828385475</v>
      </c>
      <c r="BN52" s="84">
        <v>66344540</v>
      </c>
      <c r="BO52" s="84" t="s">
        <v>96</v>
      </c>
      <c r="BP52" s="84" t="s">
        <v>96</v>
      </c>
      <c r="BQ52" s="84" t="s">
        <v>4</v>
      </c>
      <c r="BR52" s="84">
        <v>2199129482</v>
      </c>
      <c r="BS52" s="84" t="s">
        <v>4</v>
      </c>
      <c r="BT52" s="84" t="s">
        <v>96</v>
      </c>
      <c r="BU52" s="85">
        <v>336330250</v>
      </c>
      <c r="BV52" s="84">
        <v>84552000</v>
      </c>
      <c r="BW52" s="84">
        <v>727377078</v>
      </c>
      <c r="BX52" s="84">
        <v>322395800</v>
      </c>
      <c r="BY52" s="84">
        <v>1169172720</v>
      </c>
      <c r="BZ52" s="84">
        <v>226600260</v>
      </c>
      <c r="CA52" s="84">
        <v>2047273573</v>
      </c>
      <c r="CB52" s="84">
        <v>188710342</v>
      </c>
      <c r="CC52" s="84">
        <v>195902706</v>
      </c>
      <c r="CD52" s="84">
        <v>349057654</v>
      </c>
      <c r="CE52" s="84" t="s">
        <v>96</v>
      </c>
      <c r="CF52" s="84" t="s">
        <v>96</v>
      </c>
      <c r="CG52" s="84">
        <v>1069312745</v>
      </c>
      <c r="CH52" s="84">
        <v>197068573</v>
      </c>
      <c r="CI52" s="84" t="s">
        <v>96</v>
      </c>
      <c r="CJ52" s="84">
        <v>37200000</v>
      </c>
      <c r="CK52" s="84">
        <v>632832870</v>
      </c>
      <c r="CL52" s="84">
        <v>24381985</v>
      </c>
      <c r="CM52" s="84">
        <v>8880297442</v>
      </c>
      <c r="CN52" s="84">
        <v>134231975</v>
      </c>
      <c r="CO52" s="84">
        <v>96556068</v>
      </c>
      <c r="CP52" s="84" t="s">
        <v>96</v>
      </c>
      <c r="CQ52" s="84" t="s">
        <v>96</v>
      </c>
      <c r="CR52" s="84">
        <v>334269814</v>
      </c>
      <c r="CS52" s="84" t="s">
        <v>96</v>
      </c>
      <c r="CT52" s="84">
        <v>3988217447</v>
      </c>
      <c r="CU52" s="84">
        <v>1823413494</v>
      </c>
      <c r="CV52" s="84">
        <v>37331359</v>
      </c>
      <c r="CW52" s="84" t="s">
        <v>96</v>
      </c>
      <c r="CX52" s="84">
        <v>2114892717</v>
      </c>
      <c r="CY52" s="84" t="s">
        <v>96</v>
      </c>
      <c r="CZ52" s="84">
        <v>1265655020</v>
      </c>
      <c r="DA52" s="84" t="s">
        <v>96</v>
      </c>
      <c r="DB52" s="86">
        <v>231340009</v>
      </c>
      <c r="DC52" s="84"/>
      <c r="DD52" s="84" t="s">
        <v>96</v>
      </c>
      <c r="DE52" s="84">
        <v>1258857519</v>
      </c>
      <c r="DF52" s="84">
        <v>58354849</v>
      </c>
      <c r="DG52" s="84">
        <v>637029110</v>
      </c>
      <c r="DH52" s="84">
        <v>635840210</v>
      </c>
      <c r="DI52" s="84">
        <v>156466670</v>
      </c>
      <c r="DJ52" s="84">
        <v>109400000</v>
      </c>
      <c r="DK52" s="84" t="s">
        <v>96</v>
      </c>
      <c r="DL52" s="84">
        <v>311493380</v>
      </c>
      <c r="DM52" s="84">
        <v>112597520</v>
      </c>
      <c r="DN52" s="84">
        <v>245482771</v>
      </c>
      <c r="DO52" s="84">
        <v>128240225</v>
      </c>
      <c r="DP52" s="84">
        <v>176966451</v>
      </c>
      <c r="DQ52" s="84">
        <v>23800000</v>
      </c>
      <c r="DR52" s="84">
        <v>267251578</v>
      </c>
      <c r="DS52" s="84">
        <v>786992332</v>
      </c>
      <c r="DT52" s="84">
        <v>594133725</v>
      </c>
      <c r="DU52" s="84">
        <v>302252556</v>
      </c>
      <c r="DV52" s="84">
        <v>106672878</v>
      </c>
      <c r="DW52" s="84">
        <v>130349146</v>
      </c>
      <c r="DX52" s="84">
        <v>6390489993</v>
      </c>
      <c r="DY52" s="84">
        <v>406420323</v>
      </c>
      <c r="DZ52" s="84">
        <v>67254960</v>
      </c>
      <c r="EA52" s="84">
        <v>53000000</v>
      </c>
      <c r="EB52" s="84">
        <v>12839334215</v>
      </c>
      <c r="EC52" s="84">
        <v>196576932</v>
      </c>
      <c r="ED52" s="84">
        <v>309363850</v>
      </c>
      <c r="EE52" s="84">
        <v>97590660</v>
      </c>
      <c r="EF52" s="84">
        <v>182951720</v>
      </c>
      <c r="EG52" s="96">
        <v>1732752554</v>
      </c>
      <c r="EH52" s="99">
        <v>44297696</v>
      </c>
      <c r="EI52" s="97">
        <v>240605673</v>
      </c>
      <c r="EJ52" s="84">
        <v>317967474</v>
      </c>
      <c r="EK52" s="84">
        <v>814430312</v>
      </c>
      <c r="EL52" s="84">
        <v>162963634</v>
      </c>
      <c r="EM52" s="84">
        <v>109598190</v>
      </c>
      <c r="EN52" s="84">
        <v>5672197758</v>
      </c>
      <c r="EO52" s="84">
        <v>4498748362</v>
      </c>
      <c r="EP52" s="84">
        <v>533316949</v>
      </c>
      <c r="EQ52" s="84">
        <v>8238423685</v>
      </c>
      <c r="ER52" s="84">
        <v>9368819087</v>
      </c>
      <c r="ES52" s="84">
        <v>195827855</v>
      </c>
      <c r="ET52" s="84">
        <v>3789276026</v>
      </c>
      <c r="EU52" s="84">
        <v>1223311989</v>
      </c>
      <c r="EV52" s="84">
        <v>198864690</v>
      </c>
      <c r="EW52" s="84">
        <v>108536682</v>
      </c>
      <c r="EX52" s="84">
        <v>511357250</v>
      </c>
      <c r="EY52" s="84">
        <v>6314192340</v>
      </c>
      <c r="EZ52" s="84">
        <v>397944516</v>
      </c>
      <c r="FA52" s="84">
        <v>409755933</v>
      </c>
      <c r="FB52" s="84">
        <v>118502326</v>
      </c>
      <c r="FC52" s="84">
        <v>212931720</v>
      </c>
      <c r="FD52" s="84">
        <v>94800000</v>
      </c>
      <c r="FE52" s="84">
        <v>2307030768</v>
      </c>
      <c r="FF52" s="84">
        <v>346929400</v>
      </c>
      <c r="FG52" s="84" t="s">
        <v>96</v>
      </c>
      <c r="FH52" s="84">
        <v>696862718</v>
      </c>
      <c r="FI52" s="84" t="s">
        <v>96</v>
      </c>
      <c r="FJ52" s="84">
        <v>245185421</v>
      </c>
      <c r="FK52" s="84">
        <v>2302163583</v>
      </c>
      <c r="FL52" s="84">
        <v>108153336</v>
      </c>
      <c r="FM52" s="84" t="s">
        <v>130</v>
      </c>
      <c r="FN52" s="84">
        <v>1808455947</v>
      </c>
      <c r="FO52" s="84" t="s">
        <v>96</v>
      </c>
      <c r="FP52" s="84" t="s">
        <v>96</v>
      </c>
      <c r="FQ52" s="84">
        <v>55923240</v>
      </c>
      <c r="FR52" s="84">
        <v>452294803</v>
      </c>
      <c r="FS52" s="86">
        <v>442815102</v>
      </c>
      <c r="FT52" s="84">
        <v>356563967</v>
      </c>
      <c r="FU52" s="84">
        <v>60150000</v>
      </c>
      <c r="FV52" s="84" t="s">
        <v>96</v>
      </c>
      <c r="FW52" s="84">
        <v>8400000</v>
      </c>
      <c r="FX52" s="84">
        <v>116771554</v>
      </c>
      <c r="FY52" s="84" t="s">
        <v>96</v>
      </c>
      <c r="FZ52" s="84" t="s">
        <v>4</v>
      </c>
      <c r="GA52" s="84">
        <v>1912214710</v>
      </c>
      <c r="GB52" s="84">
        <v>280121029</v>
      </c>
      <c r="GC52" s="84">
        <v>97034938</v>
      </c>
      <c r="GD52" s="84" t="s">
        <v>96</v>
      </c>
      <c r="GE52" s="84" t="s">
        <v>4</v>
      </c>
      <c r="GF52" s="84">
        <v>424575304</v>
      </c>
      <c r="GG52" s="84">
        <v>780288776</v>
      </c>
      <c r="GH52" s="84" t="s">
        <v>4</v>
      </c>
      <c r="GI52" s="84">
        <v>18302720</v>
      </c>
      <c r="GJ52" s="84" t="s">
        <v>96</v>
      </c>
      <c r="GK52" s="84">
        <v>132229741</v>
      </c>
      <c r="GL52" s="84" t="s">
        <v>96</v>
      </c>
      <c r="GM52" s="84">
        <v>1507060650</v>
      </c>
      <c r="GN52" s="84"/>
      <c r="GO52" s="84" t="s">
        <v>96</v>
      </c>
      <c r="GP52" s="84">
        <v>881199092</v>
      </c>
      <c r="GQ52" s="84">
        <v>94601201</v>
      </c>
      <c r="GR52" s="84">
        <v>390910449</v>
      </c>
      <c r="GS52" s="84">
        <v>122829884</v>
      </c>
      <c r="GT52" s="84" t="s">
        <v>130</v>
      </c>
      <c r="GU52" s="84">
        <v>93632490</v>
      </c>
      <c r="GV52" s="84">
        <v>7141609661</v>
      </c>
      <c r="GW52" s="84">
        <v>4211848969</v>
      </c>
      <c r="GX52" s="84">
        <v>196736997</v>
      </c>
      <c r="GY52" s="84">
        <v>612050111</v>
      </c>
      <c r="GZ52" s="84">
        <v>474296100</v>
      </c>
      <c r="HA52" s="84" t="s">
        <v>96</v>
      </c>
      <c r="HB52" s="84">
        <v>571512195</v>
      </c>
      <c r="HC52" s="84" t="s">
        <v>130</v>
      </c>
      <c r="HD52" s="84">
        <v>235403144</v>
      </c>
      <c r="HE52" s="84" t="s">
        <v>96</v>
      </c>
      <c r="HF52" s="84">
        <v>6802960339</v>
      </c>
      <c r="HG52" s="84">
        <v>157649531</v>
      </c>
      <c r="HH52" s="84" t="s">
        <v>96</v>
      </c>
      <c r="HI52" s="84">
        <v>1333873685</v>
      </c>
      <c r="HJ52" s="84" t="s">
        <v>96</v>
      </c>
      <c r="HK52" s="84">
        <v>1093082011</v>
      </c>
      <c r="HL52" s="84">
        <v>145641448</v>
      </c>
      <c r="HM52" s="84">
        <v>388467995</v>
      </c>
      <c r="HN52" s="84">
        <v>120788480</v>
      </c>
      <c r="HO52" s="84">
        <v>641021010</v>
      </c>
      <c r="HP52" s="84">
        <v>1908405501</v>
      </c>
      <c r="HQ52" s="84">
        <v>1458081067</v>
      </c>
      <c r="HR52" s="84">
        <v>59802285</v>
      </c>
      <c r="HS52" s="84">
        <v>459773817</v>
      </c>
      <c r="HT52" s="84">
        <v>124296353</v>
      </c>
      <c r="HU52" s="84" t="s">
        <v>130</v>
      </c>
      <c r="HV52" s="84">
        <v>171202269</v>
      </c>
      <c r="HW52" s="84" t="s">
        <v>96</v>
      </c>
      <c r="HX52" s="84">
        <v>173193650</v>
      </c>
      <c r="HY52" s="84" t="s">
        <v>114</v>
      </c>
      <c r="HZ52" s="84">
        <v>539203747</v>
      </c>
      <c r="IA52" s="84">
        <v>181927648</v>
      </c>
      <c r="IB52" s="84">
        <v>461473068</v>
      </c>
      <c r="IC52" s="84">
        <v>5666001618</v>
      </c>
      <c r="ID52" s="84">
        <v>320754590</v>
      </c>
      <c r="IE52" s="84" t="s">
        <v>96</v>
      </c>
      <c r="IF52" s="84"/>
      <c r="IG52" s="84">
        <v>97711740</v>
      </c>
      <c r="IH52" s="84">
        <v>275310803</v>
      </c>
      <c r="II52" s="84">
        <v>0</v>
      </c>
      <c r="IJ52" s="84">
        <v>734318590</v>
      </c>
      <c r="IK52" s="84">
        <v>237312474</v>
      </c>
      <c r="IL52" s="84">
        <v>165249234</v>
      </c>
      <c r="IM52" s="84">
        <v>1892712360</v>
      </c>
      <c r="IN52" s="84">
        <v>1519541969</v>
      </c>
      <c r="IO52" s="84">
        <v>475555665</v>
      </c>
      <c r="IP52" s="84">
        <v>507316290</v>
      </c>
      <c r="IQ52" s="84">
        <v>298477944</v>
      </c>
      <c r="IR52" s="84">
        <v>1011807850</v>
      </c>
      <c r="IS52" s="96">
        <v>499033310</v>
      </c>
      <c r="IT52" s="99">
        <v>327333469</v>
      </c>
      <c r="IU52" s="84">
        <v>8099905667</v>
      </c>
      <c r="IV52" s="84">
        <v>1390204810</v>
      </c>
      <c r="IW52" s="84">
        <v>238279064</v>
      </c>
      <c r="IX52" s="84">
        <v>792821818</v>
      </c>
      <c r="IY52" s="68">
        <v>347529773</v>
      </c>
      <c r="IZ52" s="68">
        <v>302632410</v>
      </c>
      <c r="JA52" s="68">
        <v>905897090</v>
      </c>
      <c r="JB52" s="68">
        <v>194389159</v>
      </c>
      <c r="JC52" s="68">
        <v>36554263</v>
      </c>
      <c r="JD52" s="68">
        <v>356849679</v>
      </c>
      <c r="JE52" s="68">
        <v>151950000</v>
      </c>
      <c r="JF52" s="68">
        <v>494424794</v>
      </c>
      <c r="JG52" s="68">
        <v>15564000</v>
      </c>
      <c r="JH52" s="68">
        <v>154766931</v>
      </c>
      <c r="JI52" s="68">
        <v>86400000</v>
      </c>
      <c r="JJ52" s="68">
        <v>94284410</v>
      </c>
      <c r="JK52" s="68">
        <v>112249837</v>
      </c>
      <c r="JL52" s="68">
        <v>5240004474</v>
      </c>
      <c r="JM52" s="68">
        <v>343432984</v>
      </c>
      <c r="JN52" s="68">
        <v>149479441</v>
      </c>
      <c r="JO52" s="68">
        <v>245842447</v>
      </c>
      <c r="JP52" s="68">
        <v>0</v>
      </c>
      <c r="JQ52" s="68" t="s">
        <v>4</v>
      </c>
      <c r="JR52" s="68">
        <v>343993540</v>
      </c>
      <c r="JS52" s="68">
        <v>320439663</v>
      </c>
      <c r="JT52" s="68">
        <v>90500000</v>
      </c>
      <c r="JU52" s="68">
        <v>262848395</v>
      </c>
      <c r="JV52" s="68">
        <v>4347418913</v>
      </c>
      <c r="JW52" s="68">
        <v>1699274545</v>
      </c>
      <c r="JX52" s="68">
        <v>6525739652</v>
      </c>
      <c r="JY52" s="68">
        <v>5113461879</v>
      </c>
      <c r="JZ52" s="68">
        <v>16041516</v>
      </c>
      <c r="KA52" s="68">
        <v>24148116</v>
      </c>
      <c r="KB52" s="68">
        <v>470280792</v>
      </c>
      <c r="KC52" s="68">
        <v>237452337</v>
      </c>
      <c r="KD52" s="68">
        <v>883802109</v>
      </c>
      <c r="KE52" s="68">
        <v>26400000</v>
      </c>
      <c r="KF52" s="68">
        <v>452221788</v>
      </c>
      <c r="KG52" s="68">
        <v>85129646</v>
      </c>
      <c r="KH52" s="68">
        <v>226844168</v>
      </c>
      <c r="KI52" s="68">
        <v>47937600</v>
      </c>
      <c r="KJ52" s="68">
        <v>1497188371</v>
      </c>
      <c r="KK52" s="68">
        <v>562187915</v>
      </c>
      <c r="KL52" s="68">
        <v>4541536000</v>
      </c>
      <c r="KM52" s="68">
        <v>580353543</v>
      </c>
      <c r="KN52" s="68">
        <v>2240215216</v>
      </c>
      <c r="KO52" s="68">
        <v>536521465</v>
      </c>
      <c r="KP52" s="68">
        <v>3516887248</v>
      </c>
      <c r="KQ52" s="68">
        <v>63884640</v>
      </c>
      <c r="KR52" s="68">
        <v>352941834</v>
      </c>
      <c r="KS52" s="68">
        <v>98675360</v>
      </c>
      <c r="KT52" s="68">
        <v>191605568</v>
      </c>
      <c r="KU52" s="68">
        <v>280179114</v>
      </c>
      <c r="KV52" s="68">
        <v>151158074</v>
      </c>
      <c r="KW52" s="68">
        <v>293414384</v>
      </c>
      <c r="KX52" s="68">
        <v>119400000</v>
      </c>
      <c r="KY52" s="68">
        <v>291141771</v>
      </c>
      <c r="KZ52" s="68">
        <v>45051640</v>
      </c>
      <c r="LA52" s="68">
        <v>388973</v>
      </c>
      <c r="LB52" s="68">
        <v>152546849</v>
      </c>
      <c r="LC52" s="104">
        <v>3326421927</v>
      </c>
      <c r="LD52" s="104">
        <v>427237511</v>
      </c>
      <c r="LE52" s="104">
        <v>655247170</v>
      </c>
      <c r="LF52" s="104">
        <v>1379096365</v>
      </c>
      <c r="LG52" s="104">
        <v>186881192</v>
      </c>
      <c r="LH52" s="102" t="s">
        <v>187</v>
      </c>
      <c r="LI52" s="104">
        <v>102635500</v>
      </c>
      <c r="LJ52" s="102" t="s">
        <v>187</v>
      </c>
      <c r="LK52" s="104">
        <v>1033704655</v>
      </c>
      <c r="LL52" s="102" t="s">
        <v>187</v>
      </c>
    </row>
    <row r="53" spans="1:324">
      <c r="A53" s="69" t="s">
        <v>185</v>
      </c>
      <c r="B53" s="93" t="s">
        <v>35</v>
      </c>
      <c r="C53" s="84">
        <v>0</v>
      </c>
      <c r="D53" s="84"/>
      <c r="E53" s="84"/>
      <c r="F53" s="84"/>
      <c r="G53" s="84" t="s">
        <v>130</v>
      </c>
      <c r="H53" s="84"/>
      <c r="I53" s="84"/>
      <c r="J53" s="84" t="s">
        <v>4</v>
      </c>
      <c r="K53" s="84"/>
      <c r="L53" s="84" t="s">
        <v>96</v>
      </c>
      <c r="M53" s="84" t="s">
        <v>96</v>
      </c>
      <c r="N53" s="84"/>
      <c r="O53" s="84"/>
      <c r="P53" s="84"/>
      <c r="Q53" s="84"/>
      <c r="R53" s="84" t="s">
        <v>130</v>
      </c>
      <c r="S53" s="84"/>
      <c r="T53" s="84" t="s">
        <v>96</v>
      </c>
      <c r="U53" s="84" t="s">
        <v>96</v>
      </c>
      <c r="V53" s="84" t="s">
        <v>4</v>
      </c>
      <c r="W53" s="84"/>
      <c r="X53" s="84"/>
      <c r="Y53" s="84"/>
      <c r="Z53" s="84"/>
      <c r="AA53" s="84"/>
      <c r="AB53" s="84"/>
      <c r="AC53" s="84"/>
      <c r="AD53" s="84"/>
      <c r="AE53" s="84"/>
      <c r="AF53" s="84" t="s">
        <v>96</v>
      </c>
      <c r="AG53" s="84"/>
      <c r="AH53" s="84" t="s">
        <v>130</v>
      </c>
      <c r="AI53" s="84"/>
      <c r="AJ53" s="84"/>
      <c r="AK53" s="84"/>
      <c r="AL53" s="84"/>
      <c r="AM53" s="84" t="s">
        <v>4</v>
      </c>
      <c r="AN53" s="84"/>
      <c r="AO53" s="84"/>
      <c r="AP53" s="84"/>
      <c r="AQ53" s="84" t="s">
        <v>4</v>
      </c>
      <c r="AR53" s="84"/>
      <c r="AS53" s="84"/>
      <c r="AT53" s="84" t="s">
        <v>96</v>
      </c>
      <c r="AU53" s="84"/>
      <c r="AV53" s="84"/>
      <c r="AW53" s="84">
        <v>-37607000</v>
      </c>
      <c r="AX53" s="84" t="s">
        <v>4</v>
      </c>
      <c r="AY53" s="84" t="s">
        <v>96</v>
      </c>
      <c r="AZ53" s="84">
        <v>-9475000</v>
      </c>
      <c r="BA53" s="84" t="s">
        <v>130</v>
      </c>
      <c r="BB53" s="84"/>
      <c r="BC53" s="84" t="s">
        <v>4</v>
      </c>
      <c r="BD53" s="84" t="s">
        <v>96</v>
      </c>
      <c r="BE53" s="84"/>
      <c r="BF53" s="84" t="s">
        <v>96</v>
      </c>
      <c r="BG53" s="84"/>
      <c r="BH53" s="84">
        <v>-2459700</v>
      </c>
      <c r="BI53" s="84"/>
      <c r="BJ53" s="84">
        <v>-4844290</v>
      </c>
      <c r="BK53" s="84"/>
      <c r="BL53" s="84"/>
      <c r="BM53" s="84">
        <v>-7600000</v>
      </c>
      <c r="BN53" s="84">
        <v>-675000</v>
      </c>
      <c r="BO53" s="84" t="s">
        <v>96</v>
      </c>
      <c r="BP53" s="84" t="s">
        <v>96</v>
      </c>
      <c r="BQ53" s="84" t="s">
        <v>4</v>
      </c>
      <c r="BR53" s="84"/>
      <c r="BS53" s="84" t="s">
        <v>4</v>
      </c>
      <c r="BT53" s="84" t="s">
        <v>96</v>
      </c>
      <c r="BU53" s="85"/>
      <c r="BV53" s="84"/>
      <c r="BW53" s="84">
        <v>-213029451</v>
      </c>
      <c r="BX53" s="84"/>
      <c r="BY53" s="84"/>
      <c r="BZ53" s="84"/>
      <c r="CA53" s="84"/>
      <c r="CB53" s="84">
        <v>-300000</v>
      </c>
      <c r="CC53" s="84">
        <v>-2404821</v>
      </c>
      <c r="CD53" s="84"/>
      <c r="CE53" s="84" t="s">
        <v>96</v>
      </c>
      <c r="CF53" s="84" t="s">
        <v>96</v>
      </c>
      <c r="CG53" s="84"/>
      <c r="CH53" s="84">
        <v>-139819944</v>
      </c>
      <c r="CI53" s="84" t="s">
        <v>96</v>
      </c>
      <c r="CJ53" s="84"/>
      <c r="CK53" s="84">
        <v>-32049000</v>
      </c>
      <c r="CL53" s="84"/>
      <c r="CM53" s="84">
        <v>-91411325</v>
      </c>
      <c r="CN53" s="84"/>
      <c r="CO53" s="84"/>
      <c r="CP53" s="84" t="s">
        <v>96</v>
      </c>
      <c r="CQ53" s="84" t="s">
        <v>96</v>
      </c>
      <c r="CR53" s="84"/>
      <c r="CS53" s="84" t="s">
        <v>96</v>
      </c>
      <c r="CT53" s="84"/>
      <c r="CU53" s="84"/>
      <c r="CV53" s="84"/>
      <c r="CW53" s="84" t="s">
        <v>96</v>
      </c>
      <c r="CX53" s="84">
        <v>-5948380</v>
      </c>
      <c r="CY53" s="84" t="s">
        <v>96</v>
      </c>
      <c r="CZ53" s="84">
        <v>-22038330</v>
      </c>
      <c r="DA53" s="84" t="s">
        <v>96</v>
      </c>
      <c r="DB53" s="86"/>
      <c r="DC53" s="84"/>
      <c r="DD53" s="84" t="s">
        <v>96</v>
      </c>
      <c r="DE53" s="84"/>
      <c r="DF53" s="84">
        <v>0</v>
      </c>
      <c r="DG53" s="84">
        <v>-301041537</v>
      </c>
      <c r="DH53" s="84"/>
      <c r="DI53" s="84"/>
      <c r="DJ53" s="84">
        <v>-10050000</v>
      </c>
      <c r="DK53" s="84" t="s">
        <v>96</v>
      </c>
      <c r="DL53" s="84"/>
      <c r="DM53" s="84"/>
      <c r="DN53" s="84">
        <v>-43922570</v>
      </c>
      <c r="DO53" s="84">
        <v>-26468471</v>
      </c>
      <c r="DP53" s="84"/>
      <c r="DQ53" s="84"/>
      <c r="DR53" s="84">
        <v>0</v>
      </c>
      <c r="DS53" s="84"/>
      <c r="DT53" s="84"/>
      <c r="DU53" s="84">
        <v>-41100000</v>
      </c>
      <c r="DV53" s="84">
        <v>-28917380</v>
      </c>
      <c r="DW53" s="84"/>
      <c r="DX53" s="84"/>
      <c r="DY53" s="84"/>
      <c r="DZ53" s="84"/>
      <c r="EA53" s="84"/>
      <c r="EB53" s="84">
        <v>-142387230</v>
      </c>
      <c r="EC53" s="84">
        <v>-33978990</v>
      </c>
      <c r="ED53" s="84"/>
      <c r="EE53" s="84"/>
      <c r="EF53" s="84"/>
      <c r="EG53" s="96"/>
      <c r="EH53" s="99"/>
      <c r="EI53" s="97"/>
      <c r="EJ53" s="84">
        <v>0</v>
      </c>
      <c r="EK53" s="84"/>
      <c r="EL53" s="84"/>
      <c r="EM53" s="84"/>
      <c r="EN53" s="84">
        <v>0</v>
      </c>
      <c r="EO53" s="84"/>
      <c r="EP53" s="84"/>
      <c r="EQ53" s="84"/>
      <c r="ER53" s="84"/>
      <c r="ES53" s="84"/>
      <c r="ET53" s="84"/>
      <c r="EU53" s="84"/>
      <c r="EV53" s="84"/>
      <c r="EW53" s="84">
        <v>0</v>
      </c>
      <c r="EX53" s="84"/>
      <c r="EY53" s="84">
        <v>-110233198</v>
      </c>
      <c r="EZ53" s="84"/>
      <c r="FA53" s="84"/>
      <c r="FB53" s="84">
        <v>-21447000</v>
      </c>
      <c r="FC53" s="84"/>
      <c r="FD53" s="84">
        <v>-19640000</v>
      </c>
      <c r="FE53" s="84">
        <v>-13200000</v>
      </c>
      <c r="FF53" s="84">
        <v>-21575780</v>
      </c>
      <c r="FG53" s="84" t="s">
        <v>96</v>
      </c>
      <c r="FH53" s="84"/>
      <c r="FI53" s="84" t="s">
        <v>96</v>
      </c>
      <c r="FJ53" s="84">
        <v>-36263370</v>
      </c>
      <c r="FK53" s="84">
        <v>-150275690</v>
      </c>
      <c r="FL53" s="84"/>
      <c r="FM53" s="84" t="s">
        <v>130</v>
      </c>
      <c r="FN53" s="84"/>
      <c r="FO53" s="84" t="s">
        <v>96</v>
      </c>
      <c r="FP53" s="84" t="s">
        <v>96</v>
      </c>
      <c r="FQ53" s="84"/>
      <c r="FR53" s="84">
        <v>-293741960</v>
      </c>
      <c r="FS53" s="86"/>
      <c r="FT53" s="84"/>
      <c r="FU53" s="84"/>
      <c r="FV53" s="84" t="s">
        <v>96</v>
      </c>
      <c r="FW53" s="84"/>
      <c r="FX53" s="84"/>
      <c r="FY53" s="84" t="s">
        <v>96</v>
      </c>
      <c r="FZ53" s="84" t="s">
        <v>4</v>
      </c>
      <c r="GA53" s="84">
        <v>-124300000</v>
      </c>
      <c r="GB53" s="84"/>
      <c r="GC53" s="84"/>
      <c r="GD53" s="84" t="s">
        <v>96</v>
      </c>
      <c r="GE53" s="84" t="s">
        <v>4</v>
      </c>
      <c r="GF53" s="84"/>
      <c r="GG53" s="84"/>
      <c r="GH53" s="84" t="s">
        <v>4</v>
      </c>
      <c r="GI53" s="84"/>
      <c r="GJ53" s="84" t="s">
        <v>96</v>
      </c>
      <c r="GK53" s="84"/>
      <c r="GL53" s="84" t="s">
        <v>96</v>
      </c>
      <c r="GM53" s="84"/>
      <c r="GN53" s="84"/>
      <c r="GO53" s="84" t="s">
        <v>96</v>
      </c>
      <c r="GP53" s="84">
        <v>-3600000</v>
      </c>
      <c r="GQ53" s="84"/>
      <c r="GR53" s="84"/>
      <c r="GS53" s="84"/>
      <c r="GT53" s="84" t="s">
        <v>130</v>
      </c>
      <c r="GU53" s="84">
        <v>-225000</v>
      </c>
      <c r="GV53" s="84">
        <v>0</v>
      </c>
      <c r="GW53" s="84"/>
      <c r="GX53" s="84">
        <v>-34200000</v>
      </c>
      <c r="GY53" s="84">
        <v>0</v>
      </c>
      <c r="GZ53" s="84"/>
      <c r="HA53" s="84" t="s">
        <v>96</v>
      </c>
      <c r="HB53" s="84"/>
      <c r="HC53" s="84" t="s">
        <v>130</v>
      </c>
      <c r="HD53" s="84"/>
      <c r="HE53" s="84" t="s">
        <v>96</v>
      </c>
      <c r="HF53" s="84"/>
      <c r="HG53" s="84"/>
      <c r="HH53" s="84" t="s">
        <v>96</v>
      </c>
      <c r="HI53" s="84"/>
      <c r="HJ53" s="84" t="s">
        <v>96</v>
      </c>
      <c r="HK53" s="84"/>
      <c r="HL53" s="84"/>
      <c r="HM53" s="84"/>
      <c r="HN53" s="84"/>
      <c r="HO53" s="84"/>
      <c r="HP53" s="84">
        <v>-954992682</v>
      </c>
      <c r="HQ53" s="84"/>
      <c r="HR53" s="84"/>
      <c r="HS53" s="84">
        <v>-120033815</v>
      </c>
      <c r="HT53" s="84"/>
      <c r="HU53" s="84" t="s">
        <v>130</v>
      </c>
      <c r="HV53" s="84"/>
      <c r="HW53" s="84" t="s">
        <v>96</v>
      </c>
      <c r="HX53" s="84">
        <v>-41960000</v>
      </c>
      <c r="HY53" s="84" t="s">
        <v>114</v>
      </c>
      <c r="HZ53" s="84">
        <v>-6500000</v>
      </c>
      <c r="IA53" s="84">
        <v>-96332920</v>
      </c>
      <c r="IB53" s="84"/>
      <c r="IC53" s="84">
        <v>-314574767</v>
      </c>
      <c r="ID53" s="84"/>
      <c r="IE53" s="84" t="s">
        <v>96</v>
      </c>
      <c r="IF53" s="84"/>
      <c r="IG53" s="84">
        <v>-17000000</v>
      </c>
      <c r="IH53" s="84"/>
      <c r="II53" s="84"/>
      <c r="IJ53" s="84">
        <v>-166628500</v>
      </c>
      <c r="IK53" s="84"/>
      <c r="IL53" s="84"/>
      <c r="IM53" s="84"/>
      <c r="IN53" s="84"/>
      <c r="IO53" s="84">
        <v>-146859010</v>
      </c>
      <c r="IP53" s="84"/>
      <c r="IQ53" s="84">
        <v>-38040000</v>
      </c>
      <c r="IR53" s="84">
        <v>-284000000</v>
      </c>
      <c r="IS53" s="96"/>
      <c r="IT53" s="99">
        <v>-26482855</v>
      </c>
      <c r="IU53" s="84">
        <v>-37130680</v>
      </c>
      <c r="IV53" s="84">
        <v>-17875000</v>
      </c>
      <c r="IW53" s="84"/>
      <c r="IX53" s="84">
        <v>-77487070</v>
      </c>
      <c r="IY53" s="68"/>
      <c r="IZ53" s="68">
        <v>0</v>
      </c>
      <c r="JA53" s="68"/>
      <c r="JB53" s="68"/>
      <c r="JC53" s="68"/>
      <c r="JD53" s="68">
        <v>-45154180</v>
      </c>
      <c r="JE53" s="68"/>
      <c r="JF53" s="68"/>
      <c r="JG53" s="68"/>
      <c r="JH53" s="68">
        <v>-14315000</v>
      </c>
      <c r="JI53" s="68"/>
      <c r="JJ53" s="68">
        <v>-60766370</v>
      </c>
      <c r="JK53" s="68"/>
      <c r="JL53" s="68">
        <v>-40790530</v>
      </c>
      <c r="JM53" s="68"/>
      <c r="JN53" s="68"/>
      <c r="JO53" s="68">
        <v>-69206520</v>
      </c>
      <c r="JP53" s="68"/>
      <c r="JQ53" s="68" t="s">
        <v>4</v>
      </c>
      <c r="JR53" s="68"/>
      <c r="JS53" s="68">
        <v>-64591760</v>
      </c>
      <c r="JT53" s="68"/>
      <c r="JU53" s="68"/>
      <c r="JV53" s="68">
        <v>-70913290</v>
      </c>
      <c r="JW53" s="68"/>
      <c r="JX53" s="68"/>
      <c r="JY53" s="68"/>
      <c r="JZ53" s="68"/>
      <c r="KA53" s="68"/>
      <c r="KB53" s="68"/>
      <c r="KC53" s="68">
        <v>-99860000</v>
      </c>
      <c r="KD53" s="68"/>
      <c r="KE53" s="68"/>
      <c r="KF53" s="68"/>
      <c r="KG53" s="68"/>
      <c r="KH53" s="68"/>
      <c r="KI53" s="68">
        <v>0</v>
      </c>
      <c r="KJ53" s="68">
        <v>0</v>
      </c>
      <c r="KK53" s="68"/>
      <c r="KL53" s="68"/>
      <c r="KM53" s="68"/>
      <c r="KN53" s="68"/>
      <c r="KO53" s="68"/>
      <c r="KP53" s="68">
        <v>-30040000</v>
      </c>
      <c r="KQ53" s="68"/>
      <c r="KR53" s="68">
        <v>-92463120</v>
      </c>
      <c r="KS53" s="68"/>
      <c r="KT53" s="68">
        <v>-42271240</v>
      </c>
      <c r="KU53" s="68"/>
      <c r="KV53" s="68">
        <v>-84548780</v>
      </c>
      <c r="KW53" s="68">
        <v>-127378710</v>
      </c>
      <c r="KX53" s="68"/>
      <c r="KY53" s="68">
        <v>-78101920</v>
      </c>
      <c r="KZ53" s="68"/>
      <c r="LA53" s="68"/>
      <c r="LB53" s="68"/>
      <c r="LC53" s="104"/>
      <c r="LD53" s="104">
        <v>-115719000</v>
      </c>
      <c r="LE53" s="104"/>
      <c r="LF53" s="104"/>
      <c r="LG53" s="104"/>
      <c r="LH53" s="102" t="s">
        <v>187</v>
      </c>
      <c r="LI53" s="104">
        <v>-20451890</v>
      </c>
      <c r="LJ53" s="102" t="s">
        <v>187</v>
      </c>
      <c r="LK53" s="104">
        <v>-544378930</v>
      </c>
      <c r="LL53" s="102" t="s">
        <v>187</v>
      </c>
    </row>
    <row r="54" spans="1:324">
      <c r="A54" s="69" t="s">
        <v>185</v>
      </c>
      <c r="B54" s="93" t="s">
        <v>73</v>
      </c>
      <c r="C54" s="84">
        <v>15138398</v>
      </c>
      <c r="D54" s="84">
        <v>10345614</v>
      </c>
      <c r="E54" s="84">
        <v>26766590</v>
      </c>
      <c r="F54" s="84">
        <v>36642986</v>
      </c>
      <c r="G54" s="84" t="s">
        <v>130</v>
      </c>
      <c r="H54" s="84"/>
      <c r="I54" s="84">
        <v>148575499</v>
      </c>
      <c r="J54" s="84" t="s">
        <v>4</v>
      </c>
      <c r="K54" s="84">
        <v>49236672</v>
      </c>
      <c r="L54" s="84" t="s">
        <v>96</v>
      </c>
      <c r="M54" s="84" t="s">
        <v>96</v>
      </c>
      <c r="N54" s="84">
        <v>29179960</v>
      </c>
      <c r="O54" s="84">
        <v>169992457</v>
      </c>
      <c r="P54" s="84">
        <v>216918515</v>
      </c>
      <c r="Q54" s="84">
        <v>921577</v>
      </c>
      <c r="R54" s="84" t="s">
        <v>130</v>
      </c>
      <c r="S54" s="84">
        <v>450510189</v>
      </c>
      <c r="T54" s="84" t="s">
        <v>96</v>
      </c>
      <c r="U54" s="84" t="s">
        <v>96</v>
      </c>
      <c r="V54" s="84" t="s">
        <v>4</v>
      </c>
      <c r="W54" s="84"/>
      <c r="X54" s="84">
        <v>80627589</v>
      </c>
      <c r="Y54" s="84"/>
      <c r="Z54" s="84"/>
      <c r="AA54" s="84">
        <v>63463552</v>
      </c>
      <c r="AB54" s="84">
        <v>2330447</v>
      </c>
      <c r="AC54" s="84">
        <v>23639558</v>
      </c>
      <c r="AD54" s="84">
        <v>526873</v>
      </c>
      <c r="AE54" s="84">
        <v>51411104</v>
      </c>
      <c r="AF54" s="84" t="s">
        <v>96</v>
      </c>
      <c r="AG54" s="84"/>
      <c r="AH54" s="84" t="s">
        <v>130</v>
      </c>
      <c r="AI54" s="84">
        <v>31050588</v>
      </c>
      <c r="AJ54" s="84">
        <v>371050</v>
      </c>
      <c r="AK54" s="84">
        <v>4658245</v>
      </c>
      <c r="AL54" s="84"/>
      <c r="AM54" s="84" t="s">
        <v>4</v>
      </c>
      <c r="AN54" s="84">
        <v>62686850</v>
      </c>
      <c r="AO54" s="84">
        <v>34514463</v>
      </c>
      <c r="AP54" s="84">
        <v>1347299</v>
      </c>
      <c r="AQ54" s="84" t="s">
        <v>4</v>
      </c>
      <c r="AR54" s="84">
        <v>124049670</v>
      </c>
      <c r="AS54" s="84">
        <v>4825344</v>
      </c>
      <c r="AT54" s="84" t="s">
        <v>96</v>
      </c>
      <c r="AU54" s="84">
        <v>143037211</v>
      </c>
      <c r="AV54" s="84">
        <v>14459856</v>
      </c>
      <c r="AW54" s="84">
        <v>24987626</v>
      </c>
      <c r="AX54" s="84" t="s">
        <v>4</v>
      </c>
      <c r="AY54" s="84" t="s">
        <v>96</v>
      </c>
      <c r="AZ54" s="84">
        <v>49471868</v>
      </c>
      <c r="BA54" s="84" t="s">
        <v>130</v>
      </c>
      <c r="BB54" s="84"/>
      <c r="BC54" s="84" t="s">
        <v>4</v>
      </c>
      <c r="BD54" s="84" t="s">
        <v>96</v>
      </c>
      <c r="BE54" s="84">
        <v>11049995</v>
      </c>
      <c r="BF54" s="84" t="s">
        <v>96</v>
      </c>
      <c r="BG54" s="84"/>
      <c r="BH54" s="84">
        <v>5849600</v>
      </c>
      <c r="BI54" s="84">
        <v>18642540</v>
      </c>
      <c r="BJ54" s="84">
        <v>5141299</v>
      </c>
      <c r="BK54" s="84">
        <v>30640233</v>
      </c>
      <c r="BL54" s="84">
        <v>2967643</v>
      </c>
      <c r="BM54" s="84"/>
      <c r="BN54" s="84">
        <v>6620943</v>
      </c>
      <c r="BO54" s="84" t="s">
        <v>96</v>
      </c>
      <c r="BP54" s="84" t="s">
        <v>96</v>
      </c>
      <c r="BQ54" s="84" t="s">
        <v>4</v>
      </c>
      <c r="BR54" s="84">
        <v>36603111</v>
      </c>
      <c r="BS54" s="84" t="s">
        <v>4</v>
      </c>
      <c r="BT54" s="84" t="s">
        <v>96</v>
      </c>
      <c r="BU54" s="85"/>
      <c r="BV54" s="84"/>
      <c r="BW54" s="84">
        <v>1329302</v>
      </c>
      <c r="BX54" s="84"/>
      <c r="BY54" s="84">
        <v>5373882</v>
      </c>
      <c r="BZ54" s="84">
        <v>7668039</v>
      </c>
      <c r="CA54" s="84">
        <v>384136333</v>
      </c>
      <c r="CB54" s="84">
        <v>24560863</v>
      </c>
      <c r="CC54" s="84"/>
      <c r="CD54" s="84"/>
      <c r="CE54" s="84" t="s">
        <v>96</v>
      </c>
      <c r="CF54" s="84" t="s">
        <v>96</v>
      </c>
      <c r="CG54" s="84">
        <v>5007426</v>
      </c>
      <c r="CH54" s="84">
        <v>28276454</v>
      </c>
      <c r="CI54" s="84" t="s">
        <v>96</v>
      </c>
      <c r="CJ54" s="84"/>
      <c r="CK54" s="84">
        <v>49968599</v>
      </c>
      <c r="CL54" s="84"/>
      <c r="CM54" s="84">
        <v>75054836</v>
      </c>
      <c r="CN54" s="84">
        <v>650460</v>
      </c>
      <c r="CO54" s="84">
        <v>10239449</v>
      </c>
      <c r="CP54" s="84" t="s">
        <v>96</v>
      </c>
      <c r="CQ54" s="84" t="s">
        <v>96</v>
      </c>
      <c r="CR54" s="84">
        <v>2650210</v>
      </c>
      <c r="CS54" s="84" t="s">
        <v>96</v>
      </c>
      <c r="CT54" s="84">
        <v>313486311</v>
      </c>
      <c r="CU54" s="84">
        <v>8592544</v>
      </c>
      <c r="CV54" s="84">
        <v>1000000</v>
      </c>
      <c r="CW54" s="84" t="s">
        <v>96</v>
      </c>
      <c r="CX54" s="84">
        <v>42063269</v>
      </c>
      <c r="CY54" s="84" t="s">
        <v>96</v>
      </c>
      <c r="CZ54" s="84">
        <v>152419194</v>
      </c>
      <c r="DA54" s="84" t="s">
        <v>96</v>
      </c>
      <c r="DB54" s="86">
        <v>21666384</v>
      </c>
      <c r="DC54" s="84"/>
      <c r="DD54" s="84" t="s">
        <v>96</v>
      </c>
      <c r="DE54" s="84">
        <v>53891821</v>
      </c>
      <c r="DF54" s="84">
        <v>242431</v>
      </c>
      <c r="DG54" s="84">
        <v>45785285</v>
      </c>
      <c r="DH54" s="84">
        <v>63116503</v>
      </c>
      <c r="DI54" s="84">
        <v>91853141</v>
      </c>
      <c r="DJ54" s="84">
        <v>6483632</v>
      </c>
      <c r="DK54" s="84" t="s">
        <v>96</v>
      </c>
      <c r="DL54" s="84">
        <v>26127368</v>
      </c>
      <c r="DM54" s="84">
        <v>1128046</v>
      </c>
      <c r="DN54" s="84">
        <v>24414431</v>
      </c>
      <c r="DO54" s="84"/>
      <c r="DP54" s="84">
        <v>5115717</v>
      </c>
      <c r="DQ54" s="84"/>
      <c r="DR54" s="84"/>
      <c r="DS54" s="84">
        <v>20566706</v>
      </c>
      <c r="DT54" s="84">
        <v>135990778</v>
      </c>
      <c r="DU54" s="84"/>
      <c r="DV54" s="84">
        <v>16326379</v>
      </c>
      <c r="DW54" s="84">
        <v>15011223</v>
      </c>
      <c r="DX54" s="84">
        <v>204025777</v>
      </c>
      <c r="DY54" s="84">
        <v>7816695</v>
      </c>
      <c r="DZ54" s="84">
        <v>4118216</v>
      </c>
      <c r="EA54" s="84"/>
      <c r="EB54" s="84">
        <v>136919873</v>
      </c>
      <c r="EC54" s="84">
        <v>2841983</v>
      </c>
      <c r="ED54" s="84">
        <v>6923442</v>
      </c>
      <c r="EE54" s="84">
        <v>22350749</v>
      </c>
      <c r="EF54" s="84">
        <v>120000</v>
      </c>
      <c r="EG54" s="96">
        <v>208636204</v>
      </c>
      <c r="EH54" s="99">
        <v>60044318</v>
      </c>
      <c r="EI54" s="97">
        <v>94696848</v>
      </c>
      <c r="EJ54" s="84">
        <v>2344939</v>
      </c>
      <c r="EK54" s="84">
        <v>3934468</v>
      </c>
      <c r="EL54" s="84"/>
      <c r="EM54" s="84">
        <v>2131332</v>
      </c>
      <c r="EN54" s="84">
        <v>30002316</v>
      </c>
      <c r="EO54" s="84">
        <v>0</v>
      </c>
      <c r="EP54" s="84">
        <v>32898949</v>
      </c>
      <c r="EQ54" s="84"/>
      <c r="ER54" s="84">
        <v>105457727</v>
      </c>
      <c r="ES54" s="84">
        <v>6044113</v>
      </c>
      <c r="ET54" s="84">
        <v>170339733</v>
      </c>
      <c r="EU54" s="84">
        <v>13846977</v>
      </c>
      <c r="EV54" s="84">
        <v>976373</v>
      </c>
      <c r="EW54" s="84"/>
      <c r="EX54" s="84">
        <v>78339960</v>
      </c>
      <c r="EY54" s="84">
        <v>156623314</v>
      </c>
      <c r="EZ54" s="84">
        <v>35298842</v>
      </c>
      <c r="FA54" s="84"/>
      <c r="FB54" s="84">
        <v>46180101</v>
      </c>
      <c r="FC54" s="84">
        <v>140023335</v>
      </c>
      <c r="FD54" s="84">
        <v>928000</v>
      </c>
      <c r="FE54" s="84"/>
      <c r="FF54" s="84">
        <v>2643031</v>
      </c>
      <c r="FG54" s="84" t="s">
        <v>96</v>
      </c>
      <c r="FH54" s="84">
        <v>0</v>
      </c>
      <c r="FI54" s="84" t="s">
        <v>96</v>
      </c>
      <c r="FJ54" s="84">
        <v>9118565</v>
      </c>
      <c r="FK54" s="84">
        <v>36910639</v>
      </c>
      <c r="FL54" s="84">
        <v>19147678</v>
      </c>
      <c r="FM54" s="84" t="s">
        <v>130</v>
      </c>
      <c r="FN54" s="84">
        <v>231834591</v>
      </c>
      <c r="FO54" s="84" t="s">
        <v>96</v>
      </c>
      <c r="FP54" s="84" t="s">
        <v>96</v>
      </c>
      <c r="FQ54" s="84"/>
      <c r="FR54" s="84">
        <v>33766433</v>
      </c>
      <c r="FS54" s="86"/>
      <c r="FT54" s="84">
        <v>68605830</v>
      </c>
      <c r="FU54" s="84"/>
      <c r="FV54" s="84" t="s">
        <v>96</v>
      </c>
      <c r="FW54" s="84">
        <v>4055329</v>
      </c>
      <c r="FX54" s="84">
        <v>33639761</v>
      </c>
      <c r="FY54" s="84" t="s">
        <v>96</v>
      </c>
      <c r="FZ54" s="84" t="s">
        <v>4</v>
      </c>
      <c r="GA54" s="84">
        <v>164271801</v>
      </c>
      <c r="GB54" s="84"/>
      <c r="GC54" s="84">
        <v>5851044</v>
      </c>
      <c r="GD54" s="84" t="s">
        <v>96</v>
      </c>
      <c r="GE54" s="84" t="s">
        <v>4</v>
      </c>
      <c r="GF54" s="84">
        <v>15250352</v>
      </c>
      <c r="GG54" s="84">
        <v>37303107</v>
      </c>
      <c r="GH54" s="84" t="s">
        <v>4</v>
      </c>
      <c r="GI54" s="84">
        <v>3943612</v>
      </c>
      <c r="GJ54" s="84" t="s">
        <v>96</v>
      </c>
      <c r="GK54" s="84">
        <v>0</v>
      </c>
      <c r="GL54" s="84" t="s">
        <v>96</v>
      </c>
      <c r="GM54" s="84">
        <v>20852933</v>
      </c>
      <c r="GN54" s="84"/>
      <c r="GO54" s="84" t="s">
        <v>96</v>
      </c>
      <c r="GP54" s="84">
        <v>17643110</v>
      </c>
      <c r="GQ54" s="84">
        <v>11398016</v>
      </c>
      <c r="GR54" s="84"/>
      <c r="GS54" s="84">
        <v>29402566</v>
      </c>
      <c r="GT54" s="84" t="s">
        <v>130</v>
      </c>
      <c r="GU54" s="84"/>
      <c r="GV54" s="84">
        <v>178400389</v>
      </c>
      <c r="GW54" s="84">
        <v>476135284</v>
      </c>
      <c r="GX54" s="84">
        <v>34975009</v>
      </c>
      <c r="GY54" s="84">
        <v>0</v>
      </c>
      <c r="GZ54" s="84">
        <v>68061754</v>
      </c>
      <c r="HA54" s="84" t="s">
        <v>96</v>
      </c>
      <c r="HB54" s="84">
        <v>0</v>
      </c>
      <c r="HC54" s="84" t="s">
        <v>130</v>
      </c>
      <c r="HD54" s="84">
        <v>21073227</v>
      </c>
      <c r="HE54" s="84" t="s">
        <v>96</v>
      </c>
      <c r="HF54" s="84">
        <v>31937060</v>
      </c>
      <c r="HG54" s="84">
        <v>5484802</v>
      </c>
      <c r="HH54" s="84" t="s">
        <v>96</v>
      </c>
      <c r="HI54" s="84">
        <v>198963521</v>
      </c>
      <c r="HJ54" s="84" t="s">
        <v>96</v>
      </c>
      <c r="HK54" s="84">
        <v>45138934</v>
      </c>
      <c r="HL54" s="84">
        <v>14670116</v>
      </c>
      <c r="HM54" s="84">
        <v>9023520</v>
      </c>
      <c r="HN54" s="84">
        <v>3332334</v>
      </c>
      <c r="HO54" s="84">
        <v>11943606</v>
      </c>
      <c r="HP54" s="84">
        <v>74881887</v>
      </c>
      <c r="HQ54" s="84">
        <v>10594000</v>
      </c>
      <c r="HR54" s="84"/>
      <c r="HS54" s="84">
        <v>92258893</v>
      </c>
      <c r="HT54" s="84"/>
      <c r="HU54" s="84" t="s">
        <v>130</v>
      </c>
      <c r="HV54" s="84"/>
      <c r="HW54" s="84" t="s">
        <v>96</v>
      </c>
      <c r="HX54" s="84">
        <v>46122454</v>
      </c>
      <c r="HY54" s="84" t="s">
        <v>114</v>
      </c>
      <c r="HZ54" s="84">
        <v>28810810</v>
      </c>
      <c r="IA54" s="84">
        <v>10508571</v>
      </c>
      <c r="IB54" s="84">
        <v>1000000</v>
      </c>
      <c r="IC54" s="84">
        <v>94304394</v>
      </c>
      <c r="ID54" s="84">
        <v>1555395</v>
      </c>
      <c r="IE54" s="84" t="s">
        <v>96</v>
      </c>
      <c r="IF54" s="84"/>
      <c r="IG54" s="84">
        <v>790560</v>
      </c>
      <c r="IH54" s="84">
        <v>59593195</v>
      </c>
      <c r="II54" s="84">
        <v>0</v>
      </c>
      <c r="IJ54" s="84"/>
      <c r="IK54" s="84"/>
      <c r="IL54" s="84">
        <v>8512298</v>
      </c>
      <c r="IM54" s="84">
        <v>9358734</v>
      </c>
      <c r="IN54" s="84">
        <v>1508320661</v>
      </c>
      <c r="IO54" s="84">
        <v>1388372</v>
      </c>
      <c r="IP54" s="84">
        <v>19596629</v>
      </c>
      <c r="IQ54" s="84">
        <v>52367372</v>
      </c>
      <c r="IR54" s="84">
        <v>37412899</v>
      </c>
      <c r="IS54" s="96">
        <v>35777276</v>
      </c>
      <c r="IT54" s="99">
        <v>5347000</v>
      </c>
      <c r="IU54" s="84">
        <v>3863392</v>
      </c>
      <c r="IV54" s="84"/>
      <c r="IW54" s="84">
        <v>20280894</v>
      </c>
      <c r="IX54" s="84">
        <v>20631330</v>
      </c>
      <c r="IY54" s="68">
        <v>100008427</v>
      </c>
      <c r="IZ54" s="68"/>
      <c r="JA54" s="68">
        <v>69471900</v>
      </c>
      <c r="JB54" s="68">
        <v>744333</v>
      </c>
      <c r="JC54" s="68">
        <v>3160446</v>
      </c>
      <c r="JD54" s="68">
        <v>1310999</v>
      </c>
      <c r="JE54" s="68">
        <v>6907088</v>
      </c>
      <c r="JF54" s="68">
        <v>168250668</v>
      </c>
      <c r="JG54" s="68">
        <v>5038145</v>
      </c>
      <c r="JH54" s="68">
        <v>19819966</v>
      </c>
      <c r="JI54" s="68">
        <v>2156800</v>
      </c>
      <c r="JJ54" s="68">
        <v>45967857</v>
      </c>
      <c r="JK54" s="68"/>
      <c r="JL54" s="68">
        <v>98030071</v>
      </c>
      <c r="JM54" s="68"/>
      <c r="JN54" s="68">
        <v>1311999</v>
      </c>
      <c r="JO54" s="68">
        <v>1524671</v>
      </c>
      <c r="JP54" s="68">
        <v>1505762</v>
      </c>
      <c r="JQ54" s="68" t="s">
        <v>4</v>
      </c>
      <c r="JR54" s="68">
        <v>2878827</v>
      </c>
      <c r="JS54" s="68">
        <v>20707006</v>
      </c>
      <c r="JT54" s="68">
        <v>1879096</v>
      </c>
      <c r="JU54" s="68">
        <v>10738477</v>
      </c>
      <c r="JV54" s="68">
        <v>29410066</v>
      </c>
      <c r="JW54" s="68"/>
      <c r="JX54" s="68">
        <v>1479841</v>
      </c>
      <c r="JY54" s="68">
        <v>3024903</v>
      </c>
      <c r="JZ54" s="68">
        <v>4942074</v>
      </c>
      <c r="KA54" s="68">
        <v>353333</v>
      </c>
      <c r="KB54" s="68">
        <v>65289970</v>
      </c>
      <c r="KC54" s="68">
        <v>12189628</v>
      </c>
      <c r="KD54" s="68"/>
      <c r="KE54" s="68"/>
      <c r="KF54" s="68">
        <v>28857982</v>
      </c>
      <c r="KG54" s="68">
        <v>3190410</v>
      </c>
      <c r="KH54" s="68">
        <v>848732</v>
      </c>
      <c r="KI54" s="68"/>
      <c r="KJ54" s="68">
        <v>0</v>
      </c>
      <c r="KK54" s="68">
        <v>87782958</v>
      </c>
      <c r="KL54" s="68">
        <v>995993000</v>
      </c>
      <c r="KM54" s="68">
        <v>26960244</v>
      </c>
      <c r="KN54" s="68">
        <v>39626504</v>
      </c>
      <c r="KO54" s="68">
        <v>140825909</v>
      </c>
      <c r="KP54" s="68">
        <v>417967</v>
      </c>
      <c r="KQ54" s="68"/>
      <c r="KR54" s="68">
        <v>37582582</v>
      </c>
      <c r="KS54" s="68">
        <v>4181966</v>
      </c>
      <c r="KT54" s="68">
        <v>6230234</v>
      </c>
      <c r="KU54" s="68">
        <v>1044038</v>
      </c>
      <c r="KV54" s="68">
        <v>260000</v>
      </c>
      <c r="KW54" s="68">
        <v>0</v>
      </c>
      <c r="KX54" s="68"/>
      <c r="KY54" s="68">
        <v>75639767</v>
      </c>
      <c r="KZ54" s="68">
        <v>3437280</v>
      </c>
      <c r="LA54" s="68"/>
      <c r="LB54" s="68"/>
      <c r="LC54" s="104">
        <v>21534087</v>
      </c>
      <c r="LD54" s="104">
        <v>78293663</v>
      </c>
      <c r="LE54" s="104">
        <v>30097037</v>
      </c>
      <c r="LF54" s="104">
        <v>7698481</v>
      </c>
      <c r="LG54" s="104">
        <v>53219555</v>
      </c>
      <c r="LH54" s="102" t="s">
        <v>187</v>
      </c>
      <c r="LI54" s="104">
        <v>39386628</v>
      </c>
      <c r="LJ54" s="102" t="s">
        <v>187</v>
      </c>
      <c r="LK54" s="104">
        <v>16800970</v>
      </c>
      <c r="LL54" s="102" t="s">
        <v>187</v>
      </c>
    </row>
    <row r="55" spans="1:324">
      <c r="A55" s="69" t="s">
        <v>185</v>
      </c>
      <c r="B55" s="93" t="s">
        <v>58</v>
      </c>
      <c r="C55" s="84"/>
      <c r="D55" s="84"/>
      <c r="E55" s="84"/>
      <c r="F55" s="84"/>
      <c r="G55" s="84" t="s">
        <v>130</v>
      </c>
      <c r="H55" s="84"/>
      <c r="I55" s="84"/>
      <c r="J55" s="84" t="s">
        <v>4</v>
      </c>
      <c r="K55" s="84">
        <v>-1177643</v>
      </c>
      <c r="L55" s="84" t="s">
        <v>96</v>
      </c>
      <c r="M55" s="84" t="s">
        <v>96</v>
      </c>
      <c r="N55" s="84"/>
      <c r="O55" s="84"/>
      <c r="P55" s="84"/>
      <c r="Q55" s="84"/>
      <c r="R55" s="84" t="s">
        <v>130</v>
      </c>
      <c r="S55" s="84">
        <v>47265145</v>
      </c>
      <c r="T55" s="84" t="s">
        <v>96</v>
      </c>
      <c r="U55" s="84" t="s">
        <v>96</v>
      </c>
      <c r="V55" s="84" t="s">
        <v>4</v>
      </c>
      <c r="W55" s="84"/>
      <c r="X55" s="84"/>
      <c r="Y55" s="84"/>
      <c r="Z55" s="84"/>
      <c r="AA55" s="84">
        <v>38668209</v>
      </c>
      <c r="AB55" s="84"/>
      <c r="AC55" s="84"/>
      <c r="AD55" s="84">
        <v>2682820</v>
      </c>
      <c r="AE55" s="84"/>
      <c r="AF55" s="84" t="s">
        <v>96</v>
      </c>
      <c r="AG55" s="84"/>
      <c r="AH55" s="84" t="s">
        <v>130</v>
      </c>
      <c r="AI55" s="84"/>
      <c r="AJ55" s="84"/>
      <c r="AK55" s="84"/>
      <c r="AL55" s="84"/>
      <c r="AM55" s="84" t="s">
        <v>4</v>
      </c>
      <c r="AN55" s="84"/>
      <c r="AO55" s="84"/>
      <c r="AP55" s="84"/>
      <c r="AQ55" s="84" t="s">
        <v>4</v>
      </c>
      <c r="AR55" s="84"/>
      <c r="AS55" s="84"/>
      <c r="AT55" s="84" t="s">
        <v>96</v>
      </c>
      <c r="AU55" s="84">
        <v>0</v>
      </c>
      <c r="AV55" s="84"/>
      <c r="AW55" s="84"/>
      <c r="AX55" s="84" t="s">
        <v>4</v>
      </c>
      <c r="AY55" s="84" t="s">
        <v>96</v>
      </c>
      <c r="AZ55" s="84"/>
      <c r="BA55" s="84" t="s">
        <v>130</v>
      </c>
      <c r="BB55" s="84"/>
      <c r="BC55" s="84" t="s">
        <v>4</v>
      </c>
      <c r="BD55" s="84" t="s">
        <v>96</v>
      </c>
      <c r="BE55" s="84"/>
      <c r="BF55" s="84" t="s">
        <v>96</v>
      </c>
      <c r="BG55" s="84"/>
      <c r="BH55" s="84">
        <v>314900</v>
      </c>
      <c r="BI55" s="84">
        <v>888962</v>
      </c>
      <c r="BJ55" s="84"/>
      <c r="BK55" s="84">
        <v>399880402</v>
      </c>
      <c r="BL55" s="84"/>
      <c r="BM55" s="84"/>
      <c r="BN55" s="84"/>
      <c r="BO55" s="84" t="s">
        <v>96</v>
      </c>
      <c r="BP55" s="84" t="s">
        <v>96</v>
      </c>
      <c r="BQ55" s="84" t="s">
        <v>4</v>
      </c>
      <c r="BR55" s="84">
        <v>419892243</v>
      </c>
      <c r="BS55" s="84" t="s">
        <v>4</v>
      </c>
      <c r="BT55" s="84" t="s">
        <v>96</v>
      </c>
      <c r="BU55" s="85"/>
      <c r="BV55" s="84"/>
      <c r="BW55" s="84"/>
      <c r="BX55" s="84"/>
      <c r="BY55" s="84"/>
      <c r="BZ55" s="84"/>
      <c r="CA55" s="84">
        <v>31124220</v>
      </c>
      <c r="CB55" s="84"/>
      <c r="CC55" s="84"/>
      <c r="CD55" s="84"/>
      <c r="CE55" s="84" t="s">
        <v>96</v>
      </c>
      <c r="CF55" s="84" t="s">
        <v>96</v>
      </c>
      <c r="CG55" s="84"/>
      <c r="CH55" s="84"/>
      <c r="CI55" s="84" t="s">
        <v>96</v>
      </c>
      <c r="CJ55" s="84">
        <v>250011</v>
      </c>
      <c r="CK55" s="84"/>
      <c r="CL55" s="84"/>
      <c r="CM55" s="84"/>
      <c r="CN55" s="84"/>
      <c r="CO55" s="84"/>
      <c r="CP55" s="84" t="s">
        <v>96</v>
      </c>
      <c r="CQ55" s="84" t="s">
        <v>96</v>
      </c>
      <c r="CR55" s="84">
        <v>619495</v>
      </c>
      <c r="CS55" s="84" t="s">
        <v>96</v>
      </c>
      <c r="CT55" s="84">
        <v>14100000</v>
      </c>
      <c r="CU55" s="84"/>
      <c r="CV55" s="84"/>
      <c r="CW55" s="84" t="s">
        <v>96</v>
      </c>
      <c r="CX55" s="84">
        <v>2370000</v>
      </c>
      <c r="CY55" s="84" t="s">
        <v>96</v>
      </c>
      <c r="CZ55" s="84">
        <v>0</v>
      </c>
      <c r="DA55" s="84" t="s">
        <v>96</v>
      </c>
      <c r="DB55" s="86"/>
      <c r="DC55" s="84"/>
      <c r="DD55" s="84" t="s">
        <v>96</v>
      </c>
      <c r="DE55" s="84"/>
      <c r="DF55" s="84"/>
      <c r="DG55" s="84"/>
      <c r="DH55" s="84">
        <v>2039860</v>
      </c>
      <c r="DI55" s="84">
        <v>431293</v>
      </c>
      <c r="DJ55" s="84"/>
      <c r="DK55" s="84" t="s">
        <v>96</v>
      </c>
      <c r="DL55" s="84"/>
      <c r="DM55" s="84">
        <v>87499</v>
      </c>
      <c r="DN55" s="84"/>
      <c r="DO55" s="84"/>
      <c r="DP55" s="84">
        <v>1931850</v>
      </c>
      <c r="DQ55" s="84"/>
      <c r="DR55" s="84"/>
      <c r="DS55" s="84"/>
      <c r="DT55" s="84"/>
      <c r="DU55" s="84"/>
      <c r="DV55" s="84"/>
      <c r="DW55" s="84"/>
      <c r="DX55" s="84"/>
      <c r="DY55" s="84">
        <v>46198</v>
      </c>
      <c r="DZ55" s="84"/>
      <c r="EA55" s="84"/>
      <c r="EB55" s="84">
        <v>0</v>
      </c>
      <c r="EC55" s="84"/>
      <c r="ED55" s="84"/>
      <c r="EE55" s="84"/>
      <c r="EF55" s="84"/>
      <c r="EG55" s="96">
        <v>6421224</v>
      </c>
      <c r="EH55" s="99"/>
      <c r="EI55" s="97">
        <v>85566700</v>
      </c>
      <c r="EJ55" s="84"/>
      <c r="EK55" s="84">
        <v>6300000</v>
      </c>
      <c r="EL55" s="84"/>
      <c r="EM55" s="84"/>
      <c r="EN55" s="84"/>
      <c r="EO55" s="84"/>
      <c r="EP55" s="84"/>
      <c r="EQ55" s="84"/>
      <c r="ER55" s="84"/>
      <c r="ES55" s="84"/>
      <c r="ET55" s="84"/>
      <c r="EU55" s="84"/>
      <c r="EV55" s="84"/>
      <c r="EW55" s="84"/>
      <c r="EX55" s="84"/>
      <c r="EY55" s="84"/>
      <c r="EZ55" s="84"/>
      <c r="FA55" s="84"/>
      <c r="FB55" s="84"/>
      <c r="FC55" s="84"/>
      <c r="FD55" s="84"/>
      <c r="FE55" s="84"/>
      <c r="FF55" s="84"/>
      <c r="FG55" s="84" t="s">
        <v>96</v>
      </c>
      <c r="FH55" s="84"/>
      <c r="FI55" s="84" t="s">
        <v>96</v>
      </c>
      <c r="FJ55" s="84"/>
      <c r="FK55" s="84"/>
      <c r="FL55" s="84"/>
      <c r="FM55" s="84" t="s">
        <v>130</v>
      </c>
      <c r="FN55" s="84"/>
      <c r="FO55" s="84" t="s">
        <v>96</v>
      </c>
      <c r="FP55" s="84" t="s">
        <v>96</v>
      </c>
      <c r="FQ55" s="84"/>
      <c r="FR55" s="84"/>
      <c r="FS55" s="86"/>
      <c r="FT55" s="84"/>
      <c r="FU55" s="84"/>
      <c r="FV55" s="84" t="s">
        <v>96</v>
      </c>
      <c r="FW55" s="84"/>
      <c r="FX55" s="84"/>
      <c r="FY55" s="84" t="s">
        <v>96</v>
      </c>
      <c r="FZ55" s="84" t="s">
        <v>4</v>
      </c>
      <c r="GA55" s="84"/>
      <c r="GB55" s="84"/>
      <c r="GC55" s="84"/>
      <c r="GD55" s="84" t="s">
        <v>96</v>
      </c>
      <c r="GE55" s="84" t="s">
        <v>4</v>
      </c>
      <c r="GF55" s="84"/>
      <c r="GG55" s="84"/>
      <c r="GH55" s="84" t="s">
        <v>4</v>
      </c>
      <c r="GI55" s="84"/>
      <c r="GJ55" s="84" t="s">
        <v>96</v>
      </c>
      <c r="GK55" s="84"/>
      <c r="GL55" s="84" t="s">
        <v>96</v>
      </c>
      <c r="GM55" s="84"/>
      <c r="GN55" s="84"/>
      <c r="GO55" s="84" t="s">
        <v>96</v>
      </c>
      <c r="GP55" s="84">
        <v>7941052</v>
      </c>
      <c r="GQ55" s="84"/>
      <c r="GR55" s="84"/>
      <c r="GS55" s="84"/>
      <c r="GT55" s="84" t="s">
        <v>130</v>
      </c>
      <c r="GU55" s="84"/>
      <c r="GV55" s="84"/>
      <c r="GW55" s="84"/>
      <c r="GX55" s="84"/>
      <c r="GY55" s="84">
        <v>0</v>
      </c>
      <c r="GZ55" s="84"/>
      <c r="HA55" s="84" t="s">
        <v>96</v>
      </c>
      <c r="HB55" s="84"/>
      <c r="HC55" s="84" t="s">
        <v>130</v>
      </c>
      <c r="HD55" s="84"/>
      <c r="HE55" s="84" t="s">
        <v>96</v>
      </c>
      <c r="HF55" s="84">
        <v>-180325</v>
      </c>
      <c r="HG55" s="84"/>
      <c r="HH55" s="84" t="s">
        <v>96</v>
      </c>
      <c r="HI55" s="84">
        <v>884052</v>
      </c>
      <c r="HJ55" s="84" t="s">
        <v>96</v>
      </c>
      <c r="HK55" s="84">
        <v>-24851</v>
      </c>
      <c r="HL55" s="84"/>
      <c r="HM55" s="84"/>
      <c r="HN55" s="84"/>
      <c r="HO55" s="84"/>
      <c r="HP55" s="84"/>
      <c r="HQ55" s="84"/>
      <c r="HR55" s="84"/>
      <c r="HS55" s="84"/>
      <c r="HT55" s="84"/>
      <c r="HU55" s="84" t="s">
        <v>130</v>
      </c>
      <c r="HV55" s="84"/>
      <c r="HW55" s="84" t="s">
        <v>96</v>
      </c>
      <c r="HX55" s="84">
        <v>4751434</v>
      </c>
      <c r="HY55" s="84" t="s">
        <v>114</v>
      </c>
      <c r="HZ55" s="84"/>
      <c r="IA55" s="84"/>
      <c r="IB55" s="84"/>
      <c r="IC55" s="84"/>
      <c r="ID55" s="84"/>
      <c r="IE55" s="84" t="s">
        <v>96</v>
      </c>
      <c r="IF55" s="84"/>
      <c r="IG55" s="84"/>
      <c r="IH55" s="84"/>
      <c r="II55" s="84"/>
      <c r="IJ55" s="84"/>
      <c r="IK55" s="84"/>
      <c r="IL55" s="84"/>
      <c r="IM55" s="84"/>
      <c r="IN55" s="84"/>
      <c r="IO55" s="84"/>
      <c r="IP55" s="84"/>
      <c r="IQ55" s="84"/>
      <c r="IR55" s="84"/>
      <c r="IS55" s="96"/>
      <c r="IT55" s="99"/>
      <c r="IU55" s="84"/>
      <c r="IV55" s="84"/>
      <c r="IW55" s="84"/>
      <c r="IX55" s="84"/>
      <c r="IY55" s="68"/>
      <c r="IZ55" s="68"/>
      <c r="JA55" s="68">
        <v>1691377</v>
      </c>
      <c r="JB55" s="68"/>
      <c r="JC55" s="68"/>
      <c r="JD55" s="68"/>
      <c r="JE55" s="68">
        <v>271320</v>
      </c>
      <c r="JF55" s="68"/>
      <c r="JG55" s="68"/>
      <c r="JH55" s="68"/>
      <c r="JI55" s="68"/>
      <c r="JJ55" s="68"/>
      <c r="JK55" s="68"/>
      <c r="JL55" s="68"/>
      <c r="JM55" s="68"/>
      <c r="JN55" s="68"/>
      <c r="JO55" s="68"/>
      <c r="JP55" s="68"/>
      <c r="JQ55" s="68" t="s">
        <v>4</v>
      </c>
      <c r="JR55" s="68"/>
      <c r="JS55" s="68"/>
      <c r="JT55" s="68"/>
      <c r="JU55" s="68"/>
      <c r="JV55" s="68"/>
      <c r="JW55" s="68"/>
      <c r="JX55" s="68"/>
      <c r="JY55" s="68"/>
      <c r="JZ55" s="68"/>
      <c r="KA55" s="68"/>
      <c r="KB55" s="68"/>
      <c r="KC55" s="68"/>
      <c r="KD55" s="68"/>
      <c r="KE55" s="68"/>
      <c r="KF55" s="68"/>
      <c r="KG55" s="68"/>
      <c r="KH55" s="68"/>
      <c r="KI55" s="68">
        <v>420773</v>
      </c>
      <c r="KJ55" s="68"/>
      <c r="KK55" s="68"/>
      <c r="KL55" s="68"/>
      <c r="KM55" s="68">
        <v>-50290</v>
      </c>
      <c r="KN55" s="68"/>
      <c r="KO55" s="68"/>
      <c r="KP55" s="68"/>
      <c r="KQ55" s="68"/>
      <c r="KR55" s="68"/>
      <c r="KS55" s="68"/>
      <c r="KT55" s="68"/>
      <c r="KU55" s="68"/>
      <c r="KV55" s="68"/>
      <c r="KW55" s="68"/>
      <c r="KX55" s="68"/>
      <c r="KY55" s="68">
        <v>8073370</v>
      </c>
      <c r="KZ55" s="68"/>
      <c r="LA55" s="68"/>
      <c r="LB55" s="68"/>
      <c r="LC55" s="104"/>
      <c r="LD55" s="104"/>
      <c r="LE55" s="104"/>
      <c r="LF55" s="104"/>
      <c r="LG55" s="104"/>
      <c r="LH55" s="102" t="s">
        <v>187</v>
      </c>
      <c r="LI55" s="104"/>
      <c r="LJ55" s="102" t="s">
        <v>187</v>
      </c>
      <c r="LK55" s="104"/>
      <c r="LL55" s="102" t="s">
        <v>187</v>
      </c>
    </row>
    <row r="56" spans="1:324">
      <c r="A56" s="69" t="s">
        <v>185</v>
      </c>
      <c r="B56" s="93" t="s">
        <v>55</v>
      </c>
      <c r="C56" s="84">
        <v>558500</v>
      </c>
      <c r="D56" s="84">
        <v>11875169</v>
      </c>
      <c r="E56" s="84">
        <v>3247941</v>
      </c>
      <c r="F56" s="84">
        <v>26876550</v>
      </c>
      <c r="G56" s="84" t="s">
        <v>130</v>
      </c>
      <c r="H56" s="84">
        <v>3400630</v>
      </c>
      <c r="I56" s="84">
        <v>175622136</v>
      </c>
      <c r="J56" s="84" t="s">
        <v>4</v>
      </c>
      <c r="K56" s="84">
        <v>69238080</v>
      </c>
      <c r="L56" s="84" t="s">
        <v>96</v>
      </c>
      <c r="M56" s="84" t="s">
        <v>96</v>
      </c>
      <c r="N56" s="84">
        <v>22014260</v>
      </c>
      <c r="O56" s="84">
        <v>10198009</v>
      </c>
      <c r="P56" s="84">
        <v>44693300</v>
      </c>
      <c r="Q56" s="84">
        <v>4087228</v>
      </c>
      <c r="R56" s="84" t="s">
        <v>130</v>
      </c>
      <c r="S56" s="84">
        <v>89968758</v>
      </c>
      <c r="T56" s="84" t="s">
        <v>96</v>
      </c>
      <c r="U56" s="84" t="s">
        <v>96</v>
      </c>
      <c r="V56" s="84" t="s">
        <v>4</v>
      </c>
      <c r="W56" s="84">
        <v>384670</v>
      </c>
      <c r="X56" s="84">
        <v>49947486</v>
      </c>
      <c r="Y56" s="84">
        <v>21007780</v>
      </c>
      <c r="Z56" s="84">
        <v>11265751</v>
      </c>
      <c r="AA56" s="84">
        <v>7901581</v>
      </c>
      <c r="AB56" s="84">
        <v>4686720</v>
      </c>
      <c r="AC56" s="84">
        <v>22492250</v>
      </c>
      <c r="AD56" s="84">
        <v>12302960</v>
      </c>
      <c r="AE56" s="84">
        <v>25478923</v>
      </c>
      <c r="AF56" s="84" t="s">
        <v>96</v>
      </c>
      <c r="AG56" s="84">
        <v>5350630</v>
      </c>
      <c r="AH56" s="84" t="s">
        <v>130</v>
      </c>
      <c r="AI56" s="84">
        <v>2721230</v>
      </c>
      <c r="AJ56" s="84">
        <v>7778860</v>
      </c>
      <c r="AK56" s="84">
        <v>16753060</v>
      </c>
      <c r="AL56" s="84">
        <v>39075560</v>
      </c>
      <c r="AM56" s="84" t="s">
        <v>4</v>
      </c>
      <c r="AN56" s="84">
        <v>31949770</v>
      </c>
      <c r="AO56" s="84">
        <v>3110974</v>
      </c>
      <c r="AP56" s="84">
        <v>725680</v>
      </c>
      <c r="AQ56" s="84" t="s">
        <v>4</v>
      </c>
      <c r="AR56" s="84">
        <v>23399150</v>
      </c>
      <c r="AS56" s="84">
        <v>30130811</v>
      </c>
      <c r="AT56" s="84" t="s">
        <v>96</v>
      </c>
      <c r="AU56" s="84">
        <v>18756459</v>
      </c>
      <c r="AV56" s="84">
        <v>952900</v>
      </c>
      <c r="AW56" s="84">
        <v>7414439</v>
      </c>
      <c r="AX56" s="84" t="s">
        <v>4</v>
      </c>
      <c r="AY56" s="84" t="s">
        <v>96</v>
      </c>
      <c r="AZ56" s="84">
        <v>16840110</v>
      </c>
      <c r="BA56" s="84" t="s">
        <v>130</v>
      </c>
      <c r="BB56" s="84">
        <v>1033960</v>
      </c>
      <c r="BC56" s="84" t="s">
        <v>4</v>
      </c>
      <c r="BD56" s="84" t="s">
        <v>96</v>
      </c>
      <c r="BE56" s="84">
        <v>2904209</v>
      </c>
      <c r="BF56" s="84" t="s">
        <v>96</v>
      </c>
      <c r="BG56" s="84"/>
      <c r="BH56" s="84">
        <v>25492889</v>
      </c>
      <c r="BI56" s="84">
        <v>5595720</v>
      </c>
      <c r="BJ56" s="84">
        <v>17551638</v>
      </c>
      <c r="BK56" s="84">
        <v>33421611</v>
      </c>
      <c r="BL56" s="84">
        <v>11411620</v>
      </c>
      <c r="BM56" s="84">
        <v>39550110</v>
      </c>
      <c r="BN56" s="84">
        <v>2710740</v>
      </c>
      <c r="BO56" s="84" t="s">
        <v>96</v>
      </c>
      <c r="BP56" s="84" t="s">
        <v>96</v>
      </c>
      <c r="BQ56" s="84" t="s">
        <v>4</v>
      </c>
      <c r="BR56" s="84">
        <v>102195890</v>
      </c>
      <c r="BS56" s="84" t="s">
        <v>4</v>
      </c>
      <c r="BT56" s="84" t="s">
        <v>96</v>
      </c>
      <c r="BU56" s="85">
        <v>13594850</v>
      </c>
      <c r="BV56" s="84">
        <v>2449290</v>
      </c>
      <c r="BW56" s="84">
        <v>13418000</v>
      </c>
      <c r="BX56" s="84">
        <v>9259670</v>
      </c>
      <c r="BY56" s="84">
        <v>44498871</v>
      </c>
      <c r="BZ56" s="84">
        <v>15294480</v>
      </c>
      <c r="CA56" s="84">
        <v>61714930</v>
      </c>
      <c r="CB56" s="84">
        <v>4360209</v>
      </c>
      <c r="CC56" s="84">
        <v>674830</v>
      </c>
      <c r="CD56" s="84">
        <v>71457120</v>
      </c>
      <c r="CE56" s="84" t="s">
        <v>96</v>
      </c>
      <c r="CF56" s="84" t="s">
        <v>96</v>
      </c>
      <c r="CG56" s="84">
        <v>3111500</v>
      </c>
      <c r="CH56" s="84">
        <v>4786970</v>
      </c>
      <c r="CI56" s="84" t="s">
        <v>96</v>
      </c>
      <c r="CJ56" s="84">
        <v>560560</v>
      </c>
      <c r="CK56" s="84">
        <v>38418500</v>
      </c>
      <c r="CL56" s="84">
        <v>1150030</v>
      </c>
      <c r="CM56" s="84">
        <v>7186001</v>
      </c>
      <c r="CN56" s="84">
        <v>3262020</v>
      </c>
      <c r="CO56" s="84">
        <v>5520210</v>
      </c>
      <c r="CP56" s="84" t="s">
        <v>96</v>
      </c>
      <c r="CQ56" s="84" t="s">
        <v>96</v>
      </c>
      <c r="CR56" s="84">
        <v>4150920</v>
      </c>
      <c r="CS56" s="84" t="s">
        <v>96</v>
      </c>
      <c r="CT56" s="84">
        <v>189950490</v>
      </c>
      <c r="CU56" s="84">
        <v>812280</v>
      </c>
      <c r="CV56" s="84">
        <v>1428425</v>
      </c>
      <c r="CW56" s="84" t="s">
        <v>96</v>
      </c>
      <c r="CX56" s="84">
        <v>108419005</v>
      </c>
      <c r="CY56" s="84" t="s">
        <v>96</v>
      </c>
      <c r="CZ56" s="84">
        <v>36985754</v>
      </c>
      <c r="DA56" s="84" t="s">
        <v>96</v>
      </c>
      <c r="DB56" s="86">
        <v>7218446</v>
      </c>
      <c r="DC56" s="84">
        <v>536280</v>
      </c>
      <c r="DD56" s="84" t="s">
        <v>96</v>
      </c>
      <c r="DE56" s="84">
        <v>41607719</v>
      </c>
      <c r="DF56" s="84">
        <v>2102050</v>
      </c>
      <c r="DG56" s="84">
        <v>15009690</v>
      </c>
      <c r="DH56" s="84">
        <v>34840594</v>
      </c>
      <c r="DI56" s="84">
        <v>23264524</v>
      </c>
      <c r="DJ56" s="84">
        <v>3745916</v>
      </c>
      <c r="DK56" s="84" t="s">
        <v>96</v>
      </c>
      <c r="DL56" s="84">
        <v>12664920</v>
      </c>
      <c r="DM56" s="84">
        <v>3403708</v>
      </c>
      <c r="DN56" s="84">
        <v>20660645</v>
      </c>
      <c r="DO56" s="84">
        <v>4122980</v>
      </c>
      <c r="DP56" s="84">
        <v>15590930</v>
      </c>
      <c r="DQ56" s="84">
        <v>1060991</v>
      </c>
      <c r="DR56" s="84">
        <v>17080270</v>
      </c>
      <c r="DS56" s="84">
        <v>5511170</v>
      </c>
      <c r="DT56" s="84">
        <v>37488970</v>
      </c>
      <c r="DU56" s="84">
        <v>10957835</v>
      </c>
      <c r="DV56" s="84">
        <v>51109099</v>
      </c>
      <c r="DW56" s="84">
        <v>26264931</v>
      </c>
      <c r="DX56" s="84">
        <v>30113973</v>
      </c>
      <c r="DY56" s="84">
        <v>8597880</v>
      </c>
      <c r="DZ56" s="84">
        <v>7510490</v>
      </c>
      <c r="EA56" s="84"/>
      <c r="EB56" s="84">
        <v>46356656</v>
      </c>
      <c r="EC56" s="84">
        <v>8223870</v>
      </c>
      <c r="ED56" s="84">
        <v>10567060</v>
      </c>
      <c r="EE56" s="84">
        <v>6783562</v>
      </c>
      <c r="EF56" s="84">
        <v>7721590</v>
      </c>
      <c r="EG56" s="96">
        <v>88013996</v>
      </c>
      <c r="EH56" s="99">
        <v>15352228</v>
      </c>
      <c r="EI56" s="97">
        <v>31464420</v>
      </c>
      <c r="EJ56" s="84">
        <v>110740</v>
      </c>
      <c r="EK56" s="84">
        <v>54629380</v>
      </c>
      <c r="EL56" s="84">
        <v>5588620</v>
      </c>
      <c r="EM56" s="84">
        <v>1286520</v>
      </c>
      <c r="EN56" s="84">
        <v>18679994</v>
      </c>
      <c r="EO56" s="84">
        <v>19182580</v>
      </c>
      <c r="EP56" s="84">
        <v>24834320</v>
      </c>
      <c r="EQ56" s="84">
        <v>196869980</v>
      </c>
      <c r="ER56" s="84">
        <v>212769060</v>
      </c>
      <c r="ES56" s="84">
        <v>6961190</v>
      </c>
      <c r="ET56" s="84">
        <v>140266470</v>
      </c>
      <c r="EU56" s="84">
        <v>41346040</v>
      </c>
      <c r="EV56" s="84">
        <v>6783420</v>
      </c>
      <c r="EW56" s="84">
        <v>6833136</v>
      </c>
      <c r="EX56" s="84">
        <v>36258648</v>
      </c>
      <c r="EY56" s="84">
        <v>126589095</v>
      </c>
      <c r="EZ56" s="84">
        <v>13601128</v>
      </c>
      <c r="FA56" s="84">
        <v>21651050</v>
      </c>
      <c r="FB56" s="84">
        <v>4693783</v>
      </c>
      <c r="FC56" s="84">
        <v>4954900</v>
      </c>
      <c r="FD56" s="84">
        <v>9441703</v>
      </c>
      <c r="FE56" s="84">
        <v>82440774</v>
      </c>
      <c r="FF56" s="84">
        <v>14143002</v>
      </c>
      <c r="FG56" s="84" t="s">
        <v>96</v>
      </c>
      <c r="FH56" s="84">
        <v>22779956</v>
      </c>
      <c r="FI56" s="84" t="s">
        <v>96</v>
      </c>
      <c r="FJ56" s="84">
        <v>2459440</v>
      </c>
      <c r="FK56" s="84">
        <v>80159670</v>
      </c>
      <c r="FL56" s="84">
        <v>3888610</v>
      </c>
      <c r="FM56" s="84" t="s">
        <v>130</v>
      </c>
      <c r="FN56" s="84">
        <v>105871323</v>
      </c>
      <c r="FO56" s="84" t="s">
        <v>96</v>
      </c>
      <c r="FP56" s="84" t="s">
        <v>96</v>
      </c>
      <c r="FQ56" s="84">
        <v>447680</v>
      </c>
      <c r="FR56" s="84">
        <v>19154480</v>
      </c>
      <c r="FS56" s="86">
        <v>18374750</v>
      </c>
      <c r="FT56" s="84">
        <v>18668594</v>
      </c>
      <c r="FU56" s="84">
        <v>4061220</v>
      </c>
      <c r="FV56" s="84" t="s">
        <v>96</v>
      </c>
      <c r="FW56" s="84">
        <v>447000</v>
      </c>
      <c r="FX56" s="84">
        <v>288740</v>
      </c>
      <c r="FY56" s="84" t="s">
        <v>96</v>
      </c>
      <c r="FZ56" s="84" t="s">
        <v>4</v>
      </c>
      <c r="GA56" s="84">
        <v>72440840</v>
      </c>
      <c r="GB56" s="84">
        <v>9034800</v>
      </c>
      <c r="GC56" s="84">
        <v>5745890</v>
      </c>
      <c r="GD56" s="84" t="s">
        <v>96</v>
      </c>
      <c r="GE56" s="84" t="s">
        <v>4</v>
      </c>
      <c r="GF56" s="84">
        <v>23256850</v>
      </c>
      <c r="GG56" s="84">
        <v>36572360</v>
      </c>
      <c r="GH56" s="84" t="s">
        <v>4</v>
      </c>
      <c r="GI56" s="84">
        <v>1216890</v>
      </c>
      <c r="GJ56" s="84" t="s">
        <v>96</v>
      </c>
      <c r="GK56" s="84">
        <v>6814300</v>
      </c>
      <c r="GL56" s="84" t="s">
        <v>96</v>
      </c>
      <c r="GM56" s="84">
        <v>44259776</v>
      </c>
      <c r="GN56" s="84">
        <v>193110</v>
      </c>
      <c r="GO56" s="84" t="s">
        <v>96</v>
      </c>
      <c r="GP56" s="84">
        <v>30353907</v>
      </c>
      <c r="GQ56" s="84">
        <v>4436200</v>
      </c>
      <c r="GR56" s="84">
        <v>30256160</v>
      </c>
      <c r="GS56" s="84">
        <v>21302420</v>
      </c>
      <c r="GT56" s="84" t="s">
        <v>130</v>
      </c>
      <c r="GU56" s="84">
        <v>3465940</v>
      </c>
      <c r="GV56" s="84">
        <v>8742544</v>
      </c>
      <c r="GW56" s="84">
        <v>53587620</v>
      </c>
      <c r="GX56" s="84">
        <v>4829247</v>
      </c>
      <c r="GY56" s="84">
        <v>24692040</v>
      </c>
      <c r="GZ56" s="84">
        <v>31299935</v>
      </c>
      <c r="HA56" s="84" t="s">
        <v>96</v>
      </c>
      <c r="HB56" s="84">
        <v>959744</v>
      </c>
      <c r="HC56" s="84" t="s">
        <v>130</v>
      </c>
      <c r="HD56" s="84">
        <v>9069390</v>
      </c>
      <c r="HE56" s="84" t="s">
        <v>96</v>
      </c>
      <c r="HF56" s="84">
        <v>153708099</v>
      </c>
      <c r="HG56" s="84">
        <v>802993</v>
      </c>
      <c r="HH56" s="84" t="s">
        <v>96</v>
      </c>
      <c r="HI56" s="84">
        <v>33511867</v>
      </c>
      <c r="HJ56" s="84" t="s">
        <v>96</v>
      </c>
      <c r="HK56" s="84">
        <v>40590860</v>
      </c>
      <c r="HL56" s="84">
        <v>3337357</v>
      </c>
      <c r="HM56" s="84">
        <v>44078060</v>
      </c>
      <c r="HN56" s="84">
        <v>3372340</v>
      </c>
      <c r="HO56" s="84">
        <v>1712720</v>
      </c>
      <c r="HP56" s="84">
        <v>156598136</v>
      </c>
      <c r="HQ56" s="84">
        <v>36491363</v>
      </c>
      <c r="HR56" s="84">
        <v>1041530</v>
      </c>
      <c r="HS56" s="84">
        <v>16284653</v>
      </c>
      <c r="HT56" s="84">
        <v>1921810</v>
      </c>
      <c r="HU56" s="84" t="s">
        <v>130</v>
      </c>
      <c r="HV56" s="84">
        <v>4898940</v>
      </c>
      <c r="HW56" s="84" t="s">
        <v>96</v>
      </c>
      <c r="HX56" s="84">
        <v>33416689</v>
      </c>
      <c r="HY56" s="84" t="s">
        <v>114</v>
      </c>
      <c r="HZ56" s="84">
        <v>10310164</v>
      </c>
      <c r="IA56" s="84">
        <v>276320</v>
      </c>
      <c r="IB56" s="84">
        <v>28946473</v>
      </c>
      <c r="IC56" s="84">
        <v>251614470</v>
      </c>
      <c r="ID56" s="84">
        <v>8402510</v>
      </c>
      <c r="IE56" s="84" t="s">
        <v>96</v>
      </c>
      <c r="IF56" s="84"/>
      <c r="IG56" s="84">
        <v>2094640</v>
      </c>
      <c r="IH56" s="84">
        <v>21823560</v>
      </c>
      <c r="II56" s="84">
        <v>0</v>
      </c>
      <c r="IJ56" s="84">
        <v>1114850</v>
      </c>
      <c r="IK56" s="84">
        <v>14704740</v>
      </c>
      <c r="IL56" s="84">
        <v>3613891</v>
      </c>
      <c r="IM56" s="84">
        <v>29811629</v>
      </c>
      <c r="IN56" s="84">
        <v>51418490</v>
      </c>
      <c r="IO56" s="84">
        <v>40339227</v>
      </c>
      <c r="IP56" s="84">
        <v>19800130</v>
      </c>
      <c r="IQ56" s="84">
        <v>12280040</v>
      </c>
      <c r="IR56" s="84">
        <v>13299120</v>
      </c>
      <c r="IS56" s="96">
        <v>17334510</v>
      </c>
      <c r="IT56" s="99">
        <v>13628070</v>
      </c>
      <c r="IU56" s="84">
        <v>1586750</v>
      </c>
      <c r="IV56" s="84">
        <v>1627588</v>
      </c>
      <c r="IW56" s="84">
        <v>18608250</v>
      </c>
      <c r="IX56" s="84">
        <v>16085634</v>
      </c>
      <c r="IY56" s="68">
        <v>23764305</v>
      </c>
      <c r="IZ56" s="68">
        <v>6510861</v>
      </c>
      <c r="JA56" s="68">
        <v>27417470</v>
      </c>
      <c r="JB56" s="68">
        <v>7339500</v>
      </c>
      <c r="JC56" s="68">
        <v>7716190</v>
      </c>
      <c r="JD56" s="68">
        <v>11332650</v>
      </c>
      <c r="JE56" s="68">
        <v>3587880</v>
      </c>
      <c r="JF56" s="68">
        <v>202049</v>
      </c>
      <c r="JG56" s="68">
        <v>1287664</v>
      </c>
      <c r="JH56" s="68">
        <v>2408000</v>
      </c>
      <c r="JI56" s="68">
        <v>2667770</v>
      </c>
      <c r="JJ56" s="68">
        <v>4822140</v>
      </c>
      <c r="JK56" s="68">
        <v>13105912</v>
      </c>
      <c r="JL56" s="68">
        <v>186073808</v>
      </c>
      <c r="JM56" s="68">
        <v>11923962</v>
      </c>
      <c r="JN56" s="68">
        <v>23579356</v>
      </c>
      <c r="JO56" s="68">
        <v>8965321</v>
      </c>
      <c r="JP56" s="68">
        <v>339230</v>
      </c>
      <c r="JQ56" s="68" t="s">
        <v>4</v>
      </c>
      <c r="JR56" s="68">
        <v>19524641</v>
      </c>
      <c r="JS56" s="68">
        <v>13209750</v>
      </c>
      <c r="JT56" s="68">
        <v>3290600</v>
      </c>
      <c r="JU56" s="68">
        <v>15918596</v>
      </c>
      <c r="JV56" s="68">
        <v>92847740</v>
      </c>
      <c r="JW56" s="68">
        <v>69074480</v>
      </c>
      <c r="JX56" s="68">
        <v>456321510</v>
      </c>
      <c r="JY56" s="68">
        <v>94999971</v>
      </c>
      <c r="JZ56" s="68">
        <v>1126570</v>
      </c>
      <c r="KA56" s="68">
        <v>646470</v>
      </c>
      <c r="KB56" s="68">
        <v>50143620</v>
      </c>
      <c r="KC56" s="68">
        <v>7092703</v>
      </c>
      <c r="KD56" s="68">
        <v>42695710</v>
      </c>
      <c r="KE56" s="68">
        <v>1405480</v>
      </c>
      <c r="KF56" s="68">
        <v>15367920</v>
      </c>
      <c r="KG56" s="68">
        <v>7694215</v>
      </c>
      <c r="KH56" s="68">
        <v>637000</v>
      </c>
      <c r="KI56" s="68">
        <v>55000</v>
      </c>
      <c r="KJ56" s="68">
        <v>86500</v>
      </c>
      <c r="KK56" s="68">
        <v>29809330</v>
      </c>
      <c r="KL56" s="68">
        <v>216779000</v>
      </c>
      <c r="KM56" s="68">
        <v>20485740</v>
      </c>
      <c r="KN56" s="68">
        <v>76783400</v>
      </c>
      <c r="KO56" s="68">
        <v>28244390</v>
      </c>
      <c r="KP56" s="68">
        <v>5699150</v>
      </c>
      <c r="KQ56" s="68">
        <v>182980</v>
      </c>
      <c r="KR56" s="68">
        <v>11219697</v>
      </c>
      <c r="KS56" s="68">
        <v>9528565</v>
      </c>
      <c r="KT56" s="68">
        <v>5096583</v>
      </c>
      <c r="KU56" s="68">
        <v>30298930</v>
      </c>
      <c r="KV56" s="68">
        <v>3405010</v>
      </c>
      <c r="KW56" s="68">
        <v>10261986</v>
      </c>
      <c r="KX56" s="68">
        <v>4540460</v>
      </c>
      <c r="KY56" s="68">
        <v>14671570</v>
      </c>
      <c r="KZ56" s="68">
        <v>2204690</v>
      </c>
      <c r="LA56" s="68">
        <v>432030</v>
      </c>
      <c r="LB56" s="68">
        <v>10626900</v>
      </c>
      <c r="LC56" s="104">
        <v>1965130</v>
      </c>
      <c r="LD56" s="104">
        <v>17398060</v>
      </c>
      <c r="LE56" s="104">
        <v>87457730</v>
      </c>
      <c r="LF56" s="104">
        <v>1700920</v>
      </c>
      <c r="LG56" s="104">
        <v>4198590</v>
      </c>
      <c r="LH56" s="102" t="s">
        <v>187</v>
      </c>
      <c r="LI56" s="104">
        <v>12159888</v>
      </c>
      <c r="LJ56" s="102" t="s">
        <v>187</v>
      </c>
      <c r="LK56" s="104">
        <v>12046876</v>
      </c>
      <c r="LL56" s="102" t="s">
        <v>187</v>
      </c>
    </row>
    <row r="57" spans="1:324">
      <c r="A57" s="69" t="s">
        <v>185</v>
      </c>
      <c r="B57" s="93" t="s">
        <v>77</v>
      </c>
      <c r="C57" s="84">
        <v>306381260</v>
      </c>
      <c r="D57" s="84">
        <v>792447664</v>
      </c>
      <c r="E57" s="84">
        <v>222774352</v>
      </c>
      <c r="F57" s="84">
        <v>444229497</v>
      </c>
      <c r="G57" s="84" t="s">
        <v>130</v>
      </c>
      <c r="H57" s="84">
        <v>1127659492</v>
      </c>
      <c r="I57" s="84">
        <v>2131175393</v>
      </c>
      <c r="J57" s="84" t="s">
        <v>4</v>
      </c>
      <c r="K57" s="84">
        <v>467872082</v>
      </c>
      <c r="L57" s="84" t="s">
        <v>96</v>
      </c>
      <c r="M57" s="84" t="s">
        <v>96</v>
      </c>
      <c r="N57" s="84">
        <v>280861793</v>
      </c>
      <c r="O57" s="84">
        <v>706234297</v>
      </c>
      <c r="P57" s="84">
        <v>1286655422</v>
      </c>
      <c r="Q57" s="84">
        <v>106654466</v>
      </c>
      <c r="R57" s="84" t="s">
        <v>130</v>
      </c>
      <c r="S57" s="84">
        <v>4785023152</v>
      </c>
      <c r="T57" s="84" t="s">
        <v>96</v>
      </c>
      <c r="U57" s="84" t="s">
        <v>96</v>
      </c>
      <c r="V57" s="84" t="s">
        <v>4</v>
      </c>
      <c r="W57" s="84">
        <v>367871818</v>
      </c>
      <c r="X57" s="84">
        <v>513057289</v>
      </c>
      <c r="Y57" s="84">
        <v>406053874</v>
      </c>
      <c r="Z57" s="84">
        <v>435494871</v>
      </c>
      <c r="AA57" s="84">
        <v>169943932</v>
      </c>
      <c r="AB57" s="84">
        <v>277681873</v>
      </c>
      <c r="AC57" s="84">
        <v>140120267</v>
      </c>
      <c r="AD57" s="84">
        <v>271934902</v>
      </c>
      <c r="AE57" s="84">
        <v>233429180</v>
      </c>
      <c r="AF57" s="84" t="s">
        <v>96</v>
      </c>
      <c r="AG57" s="84">
        <v>164197635</v>
      </c>
      <c r="AH57" s="84" t="s">
        <v>130</v>
      </c>
      <c r="AI57" s="84">
        <v>120266224</v>
      </c>
      <c r="AJ57" s="84">
        <v>86132555</v>
      </c>
      <c r="AK57" s="84">
        <v>110807749</v>
      </c>
      <c r="AL57" s="84">
        <v>1390608224</v>
      </c>
      <c r="AM57" s="84" t="s">
        <v>4</v>
      </c>
      <c r="AN57" s="84">
        <v>383166968</v>
      </c>
      <c r="AO57" s="84">
        <v>586284857</v>
      </c>
      <c r="AP57" s="84">
        <v>610543304</v>
      </c>
      <c r="AQ57" s="84" t="s">
        <v>4</v>
      </c>
      <c r="AR57" s="84">
        <v>1035017080</v>
      </c>
      <c r="AS57" s="84">
        <v>909755862</v>
      </c>
      <c r="AT57" s="84" t="s">
        <v>96</v>
      </c>
      <c r="AU57" s="84">
        <v>772634896</v>
      </c>
      <c r="AV57" s="84">
        <v>86635056</v>
      </c>
      <c r="AW57" s="84">
        <v>135752711</v>
      </c>
      <c r="AX57" s="84" t="s">
        <v>4</v>
      </c>
      <c r="AY57" s="84" t="s">
        <v>96</v>
      </c>
      <c r="AZ57" s="84">
        <v>291668540</v>
      </c>
      <c r="BA57" s="84" t="s">
        <v>130</v>
      </c>
      <c r="BB57" s="84">
        <v>17125413</v>
      </c>
      <c r="BC57" s="84" t="s">
        <v>4</v>
      </c>
      <c r="BD57" s="84" t="s">
        <v>96</v>
      </c>
      <c r="BE57" s="84">
        <v>151689486</v>
      </c>
      <c r="BF57" s="84" t="s">
        <v>96</v>
      </c>
      <c r="BG57" s="84"/>
      <c r="BH57" s="84">
        <v>63219229</v>
      </c>
      <c r="BI57" s="84">
        <v>113945225</v>
      </c>
      <c r="BJ57" s="84">
        <v>389812925</v>
      </c>
      <c r="BK57" s="84">
        <v>831543355</v>
      </c>
      <c r="BL57" s="84">
        <v>173236137</v>
      </c>
      <c r="BM57" s="84">
        <v>1472086916</v>
      </c>
      <c r="BN57" s="84">
        <v>39277811</v>
      </c>
      <c r="BO57" s="84" t="s">
        <v>96</v>
      </c>
      <c r="BP57" s="84" t="s">
        <v>96</v>
      </c>
      <c r="BQ57" s="84" t="s">
        <v>4</v>
      </c>
      <c r="BR57" s="84">
        <v>2977994484</v>
      </c>
      <c r="BS57" s="84" t="s">
        <v>4</v>
      </c>
      <c r="BT57" s="84" t="s">
        <v>96</v>
      </c>
      <c r="BU57" s="85">
        <v>320695933</v>
      </c>
      <c r="BV57" s="84">
        <v>271010183</v>
      </c>
      <c r="BW57" s="84">
        <v>227159335</v>
      </c>
      <c r="BX57" s="84">
        <v>333195346</v>
      </c>
      <c r="BY57" s="84">
        <v>1045521466</v>
      </c>
      <c r="BZ57" s="84">
        <v>223800371</v>
      </c>
      <c r="CA57" s="84">
        <v>3387110675</v>
      </c>
      <c r="CB57" s="84">
        <v>266123402</v>
      </c>
      <c r="CC57" s="84">
        <v>138567215</v>
      </c>
      <c r="CD57" s="84">
        <v>138646095</v>
      </c>
      <c r="CE57" s="84" t="s">
        <v>96</v>
      </c>
      <c r="CF57" s="84" t="s">
        <v>96</v>
      </c>
      <c r="CG57" s="84">
        <v>158901931</v>
      </c>
      <c r="CH57" s="84">
        <v>186154376</v>
      </c>
      <c r="CI57" s="84" t="s">
        <v>96</v>
      </c>
      <c r="CJ57" s="84">
        <v>4155959</v>
      </c>
      <c r="CK57" s="84">
        <v>177498874</v>
      </c>
      <c r="CL57" s="84">
        <v>36822625</v>
      </c>
      <c r="CM57" s="84">
        <v>1346819491</v>
      </c>
      <c r="CN57" s="84">
        <v>223481434</v>
      </c>
      <c r="CO57" s="84">
        <v>43652663</v>
      </c>
      <c r="CP57" s="84" t="s">
        <v>96</v>
      </c>
      <c r="CQ57" s="84" t="s">
        <v>96</v>
      </c>
      <c r="CR57" s="84">
        <v>102966772</v>
      </c>
      <c r="CS57" s="84" t="s">
        <v>96</v>
      </c>
      <c r="CT57" s="84">
        <v>7903771303</v>
      </c>
      <c r="CU57" s="84">
        <v>3230160859</v>
      </c>
      <c r="CV57" s="84">
        <v>13129129</v>
      </c>
      <c r="CW57" s="84" t="s">
        <v>96</v>
      </c>
      <c r="CX57" s="84">
        <v>2555131773</v>
      </c>
      <c r="CY57" s="84" t="s">
        <v>96</v>
      </c>
      <c r="CZ57" s="84">
        <v>396245996</v>
      </c>
      <c r="DA57" s="84" t="s">
        <v>96</v>
      </c>
      <c r="DB57" s="86">
        <v>102995669</v>
      </c>
      <c r="DC57" s="84">
        <v>64467645</v>
      </c>
      <c r="DD57" s="84" t="s">
        <v>96</v>
      </c>
      <c r="DE57" s="84">
        <v>243956088</v>
      </c>
      <c r="DF57" s="84">
        <v>6587383</v>
      </c>
      <c r="DG57" s="84">
        <v>1452938754</v>
      </c>
      <c r="DH57" s="84">
        <v>139651564</v>
      </c>
      <c r="DI57" s="84">
        <v>512424734</v>
      </c>
      <c r="DJ57" s="84">
        <v>195548144</v>
      </c>
      <c r="DK57" s="84" t="s">
        <v>96</v>
      </c>
      <c r="DL57" s="84">
        <v>585354264</v>
      </c>
      <c r="DM57" s="84">
        <v>81454935</v>
      </c>
      <c r="DN57" s="84">
        <v>213590107</v>
      </c>
      <c r="DO57" s="84">
        <v>19629451</v>
      </c>
      <c r="DP57" s="84">
        <v>321681751</v>
      </c>
      <c r="DQ57" s="84">
        <v>23207569</v>
      </c>
      <c r="DR57" s="84">
        <v>563560074</v>
      </c>
      <c r="DS57" s="84">
        <v>240921327</v>
      </c>
      <c r="DT57" s="84">
        <v>2020271364</v>
      </c>
      <c r="DU57" s="84">
        <v>245281782</v>
      </c>
      <c r="DV57" s="84">
        <v>134802648</v>
      </c>
      <c r="DW57" s="84">
        <v>248010027</v>
      </c>
      <c r="DX57" s="84">
        <v>8025322325</v>
      </c>
      <c r="DY57" s="84">
        <v>172655230</v>
      </c>
      <c r="DZ57" s="84">
        <v>27620161</v>
      </c>
      <c r="EA57" s="84">
        <v>16514261</v>
      </c>
      <c r="EB57" s="84">
        <v>1463198717</v>
      </c>
      <c r="EC57" s="84">
        <v>241100747</v>
      </c>
      <c r="ED57" s="84">
        <v>62172390</v>
      </c>
      <c r="EE57" s="84">
        <v>67713604</v>
      </c>
      <c r="EF57" s="84">
        <v>118235177</v>
      </c>
      <c r="EG57" s="96">
        <v>3193907080</v>
      </c>
      <c r="EH57" s="99">
        <v>61553563</v>
      </c>
      <c r="EI57" s="97">
        <v>1090026203</v>
      </c>
      <c r="EJ57" s="84">
        <v>264871444</v>
      </c>
      <c r="EK57" s="84">
        <v>1562572273</v>
      </c>
      <c r="EL57" s="84">
        <v>163385270</v>
      </c>
      <c r="EM57" s="84">
        <v>46849769</v>
      </c>
      <c r="EN57" s="84">
        <v>2453048239</v>
      </c>
      <c r="EO57" s="84">
        <v>-3645083447</v>
      </c>
      <c r="EP57" s="84">
        <v>233309429</v>
      </c>
      <c r="EQ57" s="84">
        <v>888526844</v>
      </c>
      <c r="ER57" s="84">
        <v>1030663819</v>
      </c>
      <c r="ES57" s="84">
        <v>215478698</v>
      </c>
      <c r="ET57" s="84">
        <v>9828887545</v>
      </c>
      <c r="EU57" s="84">
        <v>1667691251</v>
      </c>
      <c r="EV57" s="84">
        <v>64462010</v>
      </c>
      <c r="EW57" s="84">
        <v>218695497</v>
      </c>
      <c r="EX57" s="84">
        <v>3392929712</v>
      </c>
      <c r="EY57" s="84">
        <v>1542715928</v>
      </c>
      <c r="EZ57" s="84">
        <v>482542777</v>
      </c>
      <c r="FA57" s="84">
        <v>108425885</v>
      </c>
      <c r="FB57" s="84">
        <v>90709272</v>
      </c>
      <c r="FC57" s="84">
        <v>327187909</v>
      </c>
      <c r="FD57" s="84">
        <v>132231042</v>
      </c>
      <c r="FE57" s="84">
        <v>5452759096</v>
      </c>
      <c r="FF57" s="84">
        <v>219052098</v>
      </c>
      <c r="FG57" s="84" t="s">
        <v>96</v>
      </c>
      <c r="FH57" s="84">
        <v>568348305</v>
      </c>
      <c r="FI57" s="84" t="s">
        <v>96</v>
      </c>
      <c r="FJ57" s="84">
        <v>230401857</v>
      </c>
      <c r="FK57" s="84">
        <v>831625637</v>
      </c>
      <c r="FL57" s="84">
        <v>237110760</v>
      </c>
      <c r="FM57" s="84" t="s">
        <v>130</v>
      </c>
      <c r="FN57" s="84">
        <v>3662545852</v>
      </c>
      <c r="FO57" s="84" t="s">
        <v>96</v>
      </c>
      <c r="FP57" s="84" t="s">
        <v>96</v>
      </c>
      <c r="FQ57" s="84">
        <v>11453661</v>
      </c>
      <c r="FR57" s="84">
        <v>164875308</v>
      </c>
      <c r="FS57" s="86">
        <v>710634783</v>
      </c>
      <c r="FT57" s="84">
        <v>2336295932</v>
      </c>
      <c r="FU57" s="84">
        <v>76663310</v>
      </c>
      <c r="FV57" s="84" t="s">
        <v>96</v>
      </c>
      <c r="FW57" s="84">
        <v>19586897</v>
      </c>
      <c r="FX57" s="84">
        <v>86653471</v>
      </c>
      <c r="FY57" s="84" t="s">
        <v>96</v>
      </c>
      <c r="FZ57" s="84" t="s">
        <v>4</v>
      </c>
      <c r="GA57" s="84">
        <v>1731739412</v>
      </c>
      <c r="GB57" s="84">
        <v>104230690</v>
      </c>
      <c r="GC57" s="84">
        <v>76206913</v>
      </c>
      <c r="GD57" s="84" t="s">
        <v>96</v>
      </c>
      <c r="GE57" s="84" t="s">
        <v>4</v>
      </c>
      <c r="GF57" s="84">
        <v>541219624</v>
      </c>
      <c r="GG57" s="84">
        <v>1479869090</v>
      </c>
      <c r="GH57" s="84" t="s">
        <v>4</v>
      </c>
      <c r="GI57" s="84">
        <v>55770396</v>
      </c>
      <c r="GJ57" s="84" t="s">
        <v>96</v>
      </c>
      <c r="GK57" s="84">
        <v>174808521</v>
      </c>
      <c r="GL57" s="84" t="s">
        <v>96</v>
      </c>
      <c r="GM57" s="84">
        <v>396482908</v>
      </c>
      <c r="GN57" s="84">
        <v>172098219</v>
      </c>
      <c r="GO57" s="84" t="s">
        <v>96</v>
      </c>
      <c r="GP57" s="84">
        <v>499773086</v>
      </c>
      <c r="GQ57" s="84">
        <v>55667406</v>
      </c>
      <c r="GR57" s="84">
        <v>641726483</v>
      </c>
      <c r="GS57" s="84">
        <v>197496385</v>
      </c>
      <c r="GT57" s="84" t="s">
        <v>130</v>
      </c>
      <c r="GU57" s="84">
        <v>78825120</v>
      </c>
      <c r="GV57" s="84">
        <v>1375375384</v>
      </c>
      <c r="GW57" s="84">
        <v>2834359445</v>
      </c>
      <c r="GX57" s="84">
        <v>251882564</v>
      </c>
      <c r="GY57" s="84">
        <v>267388460</v>
      </c>
      <c r="GZ57" s="84">
        <v>401546207</v>
      </c>
      <c r="HA57" s="84" t="s">
        <v>96</v>
      </c>
      <c r="HB57" s="84">
        <v>513583791</v>
      </c>
      <c r="HC57" s="84" t="s">
        <v>130</v>
      </c>
      <c r="HD57" s="84">
        <v>292582385</v>
      </c>
      <c r="HE57" s="84" t="s">
        <v>96</v>
      </c>
      <c r="HF57" s="84">
        <v>543444015</v>
      </c>
      <c r="HG57" s="84">
        <v>303442940</v>
      </c>
      <c r="HH57" s="84" t="s">
        <v>96</v>
      </c>
      <c r="HI57" s="84">
        <v>1968218506</v>
      </c>
      <c r="HJ57" s="84" t="s">
        <v>96</v>
      </c>
      <c r="HK57" s="84">
        <v>552610812</v>
      </c>
      <c r="HL57" s="84">
        <v>37425067</v>
      </c>
      <c r="HM57" s="84">
        <v>280049635</v>
      </c>
      <c r="HN57" s="84">
        <v>19717953</v>
      </c>
      <c r="HO57" s="84">
        <v>96355335</v>
      </c>
      <c r="HP57" s="84">
        <v>595542647</v>
      </c>
      <c r="HQ57" s="84">
        <v>218174669</v>
      </c>
      <c r="HR57" s="84">
        <v>73344102</v>
      </c>
      <c r="HS57" s="84">
        <v>505196639</v>
      </c>
      <c r="HT57" s="84">
        <v>31133495</v>
      </c>
      <c r="HU57" s="84" t="s">
        <v>130</v>
      </c>
      <c r="HV57" s="84">
        <v>189319299</v>
      </c>
      <c r="HW57" s="84" t="s">
        <v>96</v>
      </c>
      <c r="HX57" s="84">
        <v>531954854</v>
      </c>
      <c r="HY57" s="84" t="s">
        <v>114</v>
      </c>
      <c r="HZ57" s="84">
        <v>345884811</v>
      </c>
      <c r="IA57" s="84">
        <v>127130891</v>
      </c>
      <c r="IB57" s="84">
        <v>784762611</v>
      </c>
      <c r="IC57" s="84">
        <v>3546587480</v>
      </c>
      <c r="ID57" s="84">
        <v>37068025</v>
      </c>
      <c r="IE57" s="84" t="s">
        <v>96</v>
      </c>
      <c r="IF57" s="84">
        <v>12706874</v>
      </c>
      <c r="IG57" s="84">
        <v>63415208</v>
      </c>
      <c r="IH57" s="84">
        <v>634218296</v>
      </c>
      <c r="II57" s="84">
        <v>0</v>
      </c>
      <c r="IJ57" s="84">
        <v>182768162</v>
      </c>
      <c r="IK57" s="84">
        <v>140866788</v>
      </c>
      <c r="IL57" s="84">
        <v>286289054</v>
      </c>
      <c r="IM57" s="84">
        <v>1240657787</v>
      </c>
      <c r="IN57" s="84">
        <v>4320986557</v>
      </c>
      <c r="IO57" s="84">
        <v>1142753607</v>
      </c>
      <c r="IP57" s="84">
        <v>624960079</v>
      </c>
      <c r="IQ57" s="84">
        <v>1103672239</v>
      </c>
      <c r="IR57" s="84">
        <v>496873523</v>
      </c>
      <c r="IS57" s="96">
        <v>259144236</v>
      </c>
      <c r="IT57" s="99">
        <v>219234161</v>
      </c>
      <c r="IU57" s="84">
        <v>814237841</v>
      </c>
      <c r="IV57" s="84">
        <v>365443320</v>
      </c>
      <c r="IW57" s="84">
        <v>116027969</v>
      </c>
      <c r="IX57" s="84">
        <v>366123196</v>
      </c>
      <c r="IY57" s="68">
        <v>1275840627</v>
      </c>
      <c r="IZ57" s="68">
        <v>92124641</v>
      </c>
      <c r="JA57" s="68">
        <v>1282249405</v>
      </c>
      <c r="JB57" s="68">
        <v>450975820</v>
      </c>
      <c r="JC57" s="68">
        <v>22391208</v>
      </c>
      <c r="JD57" s="68">
        <v>527396090</v>
      </c>
      <c r="JE57" s="68">
        <v>160436349</v>
      </c>
      <c r="JF57" s="68">
        <v>381936800</v>
      </c>
      <c r="JG57" s="68">
        <v>42874033</v>
      </c>
      <c r="JH57" s="68">
        <v>130171323</v>
      </c>
      <c r="JI57" s="68">
        <v>72946023</v>
      </c>
      <c r="JJ57" s="68">
        <v>66330177</v>
      </c>
      <c r="JK57" s="68">
        <v>113191760</v>
      </c>
      <c r="JL57" s="68">
        <v>713182628</v>
      </c>
      <c r="JM57" s="68">
        <v>828519981</v>
      </c>
      <c r="JN57" s="68">
        <v>350163768</v>
      </c>
      <c r="JO57" s="68">
        <v>106756544</v>
      </c>
      <c r="JP57" s="68">
        <v>103881174</v>
      </c>
      <c r="JQ57" s="68" t="s">
        <v>4</v>
      </c>
      <c r="JR57" s="68">
        <v>487538534</v>
      </c>
      <c r="JS57" s="68">
        <v>157109279</v>
      </c>
      <c r="JT57" s="68">
        <v>103765524</v>
      </c>
      <c r="JU57" s="68">
        <v>59886154</v>
      </c>
      <c r="JV57" s="68">
        <v>772572678</v>
      </c>
      <c r="JW57" s="68">
        <v>1126565421</v>
      </c>
      <c r="JX57" s="68">
        <v>213021160</v>
      </c>
      <c r="JY57" s="68">
        <v>883229271</v>
      </c>
      <c r="JZ57" s="68">
        <v>31911254</v>
      </c>
      <c r="KA57" s="68">
        <v>171284915</v>
      </c>
      <c r="KB57" s="68">
        <v>479150085</v>
      </c>
      <c r="KC57" s="68">
        <v>199714300</v>
      </c>
      <c r="KD57" s="68">
        <v>424972887</v>
      </c>
      <c r="KE57" s="68">
        <v>21161096</v>
      </c>
      <c r="KF57" s="68">
        <v>257956425</v>
      </c>
      <c r="KG57" s="68">
        <v>1040763720</v>
      </c>
      <c r="KH57" s="68">
        <v>174662531</v>
      </c>
      <c r="KI57" s="68">
        <v>203043504</v>
      </c>
      <c r="KJ57" s="68">
        <v>439130249</v>
      </c>
      <c r="KK57" s="68">
        <v>768979271</v>
      </c>
      <c r="KL57" s="68">
        <v>10469564000</v>
      </c>
      <c r="KM57" s="68">
        <v>182497391</v>
      </c>
      <c r="KN57" s="68">
        <v>2172724230</v>
      </c>
      <c r="KO57" s="68">
        <v>333525399</v>
      </c>
      <c r="KP57" s="68">
        <v>122708661</v>
      </c>
      <c r="KQ57" s="68">
        <v>22055225</v>
      </c>
      <c r="KR57" s="68">
        <v>169016887</v>
      </c>
      <c r="KS57" s="68">
        <v>94407069</v>
      </c>
      <c r="KT57" s="68">
        <v>131460674</v>
      </c>
      <c r="KU57" s="68">
        <v>332454705</v>
      </c>
      <c r="KV57" s="68">
        <v>209707542</v>
      </c>
      <c r="KW57" s="68">
        <v>64304202</v>
      </c>
      <c r="KX57" s="68">
        <v>131224018</v>
      </c>
      <c r="KY57" s="68">
        <v>145788340</v>
      </c>
      <c r="KZ57" s="68">
        <v>64663377</v>
      </c>
      <c r="LA57" s="68">
        <v>109043127</v>
      </c>
      <c r="LB57" s="68">
        <v>322559887</v>
      </c>
      <c r="LC57" s="104">
        <v>358487159</v>
      </c>
      <c r="LD57" s="104">
        <v>333694524</v>
      </c>
      <c r="LE57" s="104">
        <v>145092156</v>
      </c>
      <c r="LF57" s="104">
        <v>138445406</v>
      </c>
      <c r="LG57" s="104">
        <v>156526878</v>
      </c>
      <c r="LH57" s="102" t="s">
        <v>187</v>
      </c>
      <c r="LI57" s="104">
        <v>232183537</v>
      </c>
      <c r="LJ57" s="102" t="s">
        <v>187</v>
      </c>
      <c r="LK57" s="104">
        <v>403783657</v>
      </c>
      <c r="LL57" s="102" t="s">
        <v>187</v>
      </c>
    </row>
    <row r="58" spans="1:324">
      <c r="A58" s="69" t="s">
        <v>185</v>
      </c>
      <c r="B58" s="92" t="s">
        <v>87</v>
      </c>
      <c r="C58" s="84">
        <v>-36988003</v>
      </c>
      <c r="D58" s="84">
        <v>-1297645240</v>
      </c>
      <c r="E58" s="84">
        <v>23728326</v>
      </c>
      <c r="F58" s="84">
        <v>45016873</v>
      </c>
      <c r="G58" s="84" t="s">
        <v>130</v>
      </c>
      <c r="H58" s="84">
        <v>-120358490</v>
      </c>
      <c r="I58" s="84">
        <v>-874004525</v>
      </c>
      <c r="J58" s="84" t="s">
        <v>4</v>
      </c>
      <c r="K58" s="84">
        <v>-884596163</v>
      </c>
      <c r="L58" s="84" t="s">
        <v>96</v>
      </c>
      <c r="M58" s="84" t="s">
        <v>96</v>
      </c>
      <c r="N58" s="84">
        <v>-636547003</v>
      </c>
      <c r="O58" s="84">
        <v>5054706</v>
      </c>
      <c r="P58" s="84">
        <v>-78640161</v>
      </c>
      <c r="Q58" s="84">
        <v>6376595</v>
      </c>
      <c r="R58" s="84" t="s">
        <v>130</v>
      </c>
      <c r="S58" s="84">
        <v>822907893</v>
      </c>
      <c r="T58" s="84" t="s">
        <v>96</v>
      </c>
      <c r="U58" s="84" t="s">
        <v>96</v>
      </c>
      <c r="V58" s="84" t="s">
        <v>4</v>
      </c>
      <c r="W58" s="84">
        <v>-235905481</v>
      </c>
      <c r="X58" s="84">
        <v>454131453</v>
      </c>
      <c r="Y58" s="84">
        <v>-128605253</v>
      </c>
      <c r="Z58" s="84">
        <v>115590845</v>
      </c>
      <c r="AA58" s="84">
        <v>310651227</v>
      </c>
      <c r="AB58" s="84">
        <v>-124103085</v>
      </c>
      <c r="AC58" s="84">
        <v>537000484</v>
      </c>
      <c r="AD58" s="84">
        <v>166903383</v>
      </c>
      <c r="AE58" s="84">
        <v>-51878475</v>
      </c>
      <c r="AF58" s="84" t="s">
        <v>96</v>
      </c>
      <c r="AG58" s="84">
        <v>-276964242</v>
      </c>
      <c r="AH58" s="84" t="s">
        <v>130</v>
      </c>
      <c r="AI58" s="84">
        <v>-63369881</v>
      </c>
      <c r="AJ58" s="84">
        <v>1463669</v>
      </c>
      <c r="AK58" s="84">
        <v>-128193302</v>
      </c>
      <c r="AL58" s="84">
        <v>-1286141564</v>
      </c>
      <c r="AM58" s="84" t="s">
        <v>4</v>
      </c>
      <c r="AN58" s="84">
        <v>69090249</v>
      </c>
      <c r="AO58" s="84">
        <v>-251173071</v>
      </c>
      <c r="AP58" s="84">
        <v>-231937645</v>
      </c>
      <c r="AQ58" s="84" t="s">
        <v>4</v>
      </c>
      <c r="AR58" s="84">
        <v>-824525845</v>
      </c>
      <c r="AS58" s="84">
        <v>199072312</v>
      </c>
      <c r="AT58" s="84" t="s">
        <v>96</v>
      </c>
      <c r="AU58" s="84">
        <v>2864177032</v>
      </c>
      <c r="AV58" s="84">
        <v>78168877</v>
      </c>
      <c r="AW58" s="84">
        <v>50338340</v>
      </c>
      <c r="AX58" s="84" t="s">
        <v>4</v>
      </c>
      <c r="AY58" s="84" t="s">
        <v>96</v>
      </c>
      <c r="AZ58" s="84">
        <v>123724820</v>
      </c>
      <c r="BA58" s="84" t="s">
        <v>130</v>
      </c>
      <c r="BB58" s="84">
        <v>-22692827</v>
      </c>
      <c r="BC58" s="84" t="s">
        <v>4</v>
      </c>
      <c r="BD58" s="84" t="s">
        <v>96</v>
      </c>
      <c r="BE58" s="84">
        <v>114663923</v>
      </c>
      <c r="BF58" s="84" t="s">
        <v>96</v>
      </c>
      <c r="BG58" s="84">
        <v>23389671</v>
      </c>
      <c r="BH58" s="84">
        <v>-70224791</v>
      </c>
      <c r="BI58" s="84">
        <v>-122799481</v>
      </c>
      <c r="BJ58" s="84">
        <v>-33923239</v>
      </c>
      <c r="BK58" s="84">
        <v>244997463</v>
      </c>
      <c r="BL58" s="84">
        <v>-153012060</v>
      </c>
      <c r="BM58" s="84">
        <v>-141709421</v>
      </c>
      <c r="BN58" s="84">
        <v>-39647148</v>
      </c>
      <c r="BO58" s="84" t="s">
        <v>96</v>
      </c>
      <c r="BP58" s="84" t="s">
        <v>96</v>
      </c>
      <c r="BQ58" s="84" t="s">
        <v>4</v>
      </c>
      <c r="BR58" s="84">
        <v>-728600579</v>
      </c>
      <c r="BS58" s="84" t="s">
        <v>4</v>
      </c>
      <c r="BT58" s="84" t="s">
        <v>96</v>
      </c>
      <c r="BU58" s="85">
        <v>126564214</v>
      </c>
      <c r="BV58" s="84">
        <f>BV50-BV51</f>
        <v>6163914</v>
      </c>
      <c r="BW58" s="84">
        <v>5248705</v>
      </c>
      <c r="BX58" s="84">
        <v>-69448784</v>
      </c>
      <c r="BY58" s="84">
        <v>-1148911637</v>
      </c>
      <c r="BZ58" s="84">
        <v>370566555</v>
      </c>
      <c r="CA58" s="84">
        <v>331221400</v>
      </c>
      <c r="CB58" s="84">
        <v>91132374</v>
      </c>
      <c r="CC58" s="84">
        <v>-72158171</v>
      </c>
      <c r="CD58" s="84">
        <v>-59705629</v>
      </c>
      <c r="CE58" s="84" t="s">
        <v>96</v>
      </c>
      <c r="CF58" s="84" t="s">
        <v>96</v>
      </c>
      <c r="CG58" s="84">
        <v>-52998843</v>
      </c>
      <c r="CH58" s="84">
        <v>-23822403</v>
      </c>
      <c r="CI58" s="84" t="s">
        <v>96</v>
      </c>
      <c r="CJ58" s="84">
        <v>8489888</v>
      </c>
      <c r="CK58" s="84">
        <v>-315718218</v>
      </c>
      <c r="CL58" s="84">
        <v>78827325</v>
      </c>
      <c r="CM58" s="84">
        <v>403193306</v>
      </c>
      <c r="CN58" s="84">
        <v>-75930854</v>
      </c>
      <c r="CO58" s="84">
        <v>-55706258</v>
      </c>
      <c r="CP58" s="84" t="s">
        <v>96</v>
      </c>
      <c r="CQ58" s="84" t="s">
        <v>96</v>
      </c>
      <c r="CR58" s="84">
        <v>74707855</v>
      </c>
      <c r="CS58" s="84" t="s">
        <v>96</v>
      </c>
      <c r="CT58" s="84">
        <v>-6593359196</v>
      </c>
      <c r="CU58" s="84">
        <v>-219856218</v>
      </c>
      <c r="CV58" s="84">
        <v>-27908180</v>
      </c>
      <c r="CW58" s="84" t="s">
        <v>96</v>
      </c>
      <c r="CX58" s="84">
        <v>-3487200718</v>
      </c>
      <c r="CY58" s="84" t="s">
        <v>96</v>
      </c>
      <c r="CZ58" s="84">
        <v>361185198</v>
      </c>
      <c r="DA58" s="84" t="s">
        <v>96</v>
      </c>
      <c r="DB58" s="86">
        <v>37557173</v>
      </c>
      <c r="DC58" s="84">
        <v>-16822605</v>
      </c>
      <c r="DD58" s="84" t="s">
        <v>96</v>
      </c>
      <c r="DE58" s="84">
        <v>42944445</v>
      </c>
      <c r="DF58" s="84">
        <v>-36759835</v>
      </c>
      <c r="DG58" s="84">
        <v>-184425693</v>
      </c>
      <c r="DH58" s="84">
        <v>100074004</v>
      </c>
      <c r="DI58" s="84">
        <v>251707219</v>
      </c>
      <c r="DJ58" s="84">
        <v>-76946429</v>
      </c>
      <c r="DK58" s="84" t="s">
        <v>96</v>
      </c>
      <c r="DL58" s="84">
        <v>152148718</v>
      </c>
      <c r="DM58" s="84">
        <v>-123507515</v>
      </c>
      <c r="DN58" s="84">
        <v>-482601497</v>
      </c>
      <c r="DO58" s="84">
        <v>-20566022</v>
      </c>
      <c r="DP58" s="84">
        <v>80413876</v>
      </c>
      <c r="DQ58" s="84">
        <v>16489578</v>
      </c>
      <c r="DR58" s="84">
        <v>193837592</v>
      </c>
      <c r="DS58" s="84">
        <v>-244666945</v>
      </c>
      <c r="DT58" s="84">
        <v>221772004</v>
      </c>
      <c r="DU58" s="84">
        <v>-118905423</v>
      </c>
      <c r="DV58" s="84">
        <v>302302453</v>
      </c>
      <c r="DW58" s="84">
        <v>-77227196</v>
      </c>
      <c r="DX58" s="84">
        <v>-2300139328</v>
      </c>
      <c r="DY58" s="84">
        <v>83096089</v>
      </c>
      <c r="DZ58" s="84">
        <v>56991588</v>
      </c>
      <c r="EA58" s="84">
        <v>-6721363</v>
      </c>
      <c r="EB58" s="84">
        <v>1033405761</v>
      </c>
      <c r="EC58" s="84">
        <v>50484670</v>
      </c>
      <c r="ED58" s="84">
        <v>-250673822</v>
      </c>
      <c r="EE58" s="84">
        <v>194275679</v>
      </c>
      <c r="EF58" s="84">
        <v>110283635</v>
      </c>
      <c r="EG58" s="96">
        <v>-1428996494</v>
      </c>
      <c r="EH58" s="99">
        <v>-55487875</v>
      </c>
      <c r="EI58" s="97">
        <v>1125410779</v>
      </c>
      <c r="EJ58" s="84">
        <v>-332314697</v>
      </c>
      <c r="EK58" s="84">
        <v>-868068446</v>
      </c>
      <c r="EL58" s="84">
        <v>-1038627355</v>
      </c>
      <c r="EM58" s="84">
        <v>-3663297</v>
      </c>
      <c r="EN58" s="84">
        <v>-20714136</v>
      </c>
      <c r="EO58" s="84">
        <v>-165959733</v>
      </c>
      <c r="EP58" s="84">
        <v>-268891334</v>
      </c>
      <c r="EQ58" s="84">
        <v>45296603</v>
      </c>
      <c r="ER58" s="84">
        <v>-181294348</v>
      </c>
      <c r="ES58" s="84">
        <v>62006766</v>
      </c>
      <c r="ET58" s="84">
        <v>-6995463200</v>
      </c>
      <c r="EU58" s="84">
        <v>916203851</v>
      </c>
      <c r="EV58" s="84">
        <v>-36424651</v>
      </c>
      <c r="EW58" s="84">
        <v>-42677429</v>
      </c>
      <c r="EX58" s="84">
        <v>137229723</v>
      </c>
      <c r="EY58" s="84">
        <v>154515999</v>
      </c>
      <c r="EZ58" s="84">
        <v>-98001945</v>
      </c>
      <c r="FA58" s="84">
        <v>-106881522</v>
      </c>
      <c r="FB58" s="84">
        <v>-30027139</v>
      </c>
      <c r="FC58" s="84">
        <v>32931692</v>
      </c>
      <c r="FD58" s="84">
        <v>-109762435</v>
      </c>
      <c r="FE58" s="84">
        <v>671004900</v>
      </c>
      <c r="FF58" s="84">
        <v>10093978</v>
      </c>
      <c r="FG58" s="84" t="s">
        <v>96</v>
      </c>
      <c r="FH58" s="84">
        <v>55259464</v>
      </c>
      <c r="FI58" s="84" t="s">
        <v>96</v>
      </c>
      <c r="FJ58" s="84">
        <v>27763086</v>
      </c>
      <c r="FK58" s="84">
        <v>-219500982</v>
      </c>
      <c r="FL58" s="84">
        <v>-157029653</v>
      </c>
      <c r="FM58" s="84" t="s">
        <v>130</v>
      </c>
      <c r="FN58" s="84">
        <v>-4509646360</v>
      </c>
      <c r="FO58" s="84" t="s">
        <v>96</v>
      </c>
      <c r="FP58" s="84" t="s">
        <v>96</v>
      </c>
      <c r="FQ58" s="84">
        <v>-36127109</v>
      </c>
      <c r="FR58" s="84">
        <v>107420231</v>
      </c>
      <c r="FS58" s="86">
        <v>-677851312</v>
      </c>
      <c r="FT58" s="84">
        <v>1254598582</v>
      </c>
      <c r="FU58" s="84">
        <v>-2302190</v>
      </c>
      <c r="FV58" s="84" t="s">
        <v>96</v>
      </c>
      <c r="FW58" s="84">
        <v>-28984680</v>
      </c>
      <c r="FX58" s="84">
        <v>-66709421</v>
      </c>
      <c r="FY58" s="84" t="s">
        <v>96</v>
      </c>
      <c r="FZ58" s="84" t="s">
        <v>4</v>
      </c>
      <c r="GA58" s="84">
        <v>-1008877016</v>
      </c>
      <c r="GB58" s="84">
        <v>-15516743</v>
      </c>
      <c r="GC58" s="84">
        <v>-19143348</v>
      </c>
      <c r="GD58" s="84" t="s">
        <v>96</v>
      </c>
      <c r="GE58" s="84" t="s">
        <v>4</v>
      </c>
      <c r="GF58" s="84">
        <v>-99067768</v>
      </c>
      <c r="GG58" s="84">
        <v>-1107144706</v>
      </c>
      <c r="GH58" s="84" t="s">
        <v>4</v>
      </c>
      <c r="GI58" s="84">
        <v>-8827722</v>
      </c>
      <c r="GJ58" s="84" t="s">
        <v>96</v>
      </c>
      <c r="GK58" s="84">
        <v>-142904148</v>
      </c>
      <c r="GL58" s="84" t="s">
        <v>96</v>
      </c>
      <c r="GM58" s="84">
        <v>18052861</v>
      </c>
      <c r="GN58" s="84">
        <v>92812304</v>
      </c>
      <c r="GO58" s="84" t="s">
        <v>96</v>
      </c>
      <c r="GP58" s="84">
        <v>256086392</v>
      </c>
      <c r="GQ58" s="84">
        <v>22848546</v>
      </c>
      <c r="GR58" s="84">
        <v>-729571585</v>
      </c>
      <c r="GS58" s="84">
        <v>-225911029</v>
      </c>
      <c r="GT58" s="84" t="s">
        <v>130</v>
      </c>
      <c r="GU58" s="84">
        <v>-831084</v>
      </c>
      <c r="GV58" s="84">
        <v>102480240</v>
      </c>
      <c r="GW58" s="84">
        <v>2741914171</v>
      </c>
      <c r="GX58" s="84">
        <v>52658838</v>
      </c>
      <c r="GY58" s="84">
        <v>-1114340031</v>
      </c>
      <c r="GZ58" s="84">
        <v>131047031</v>
      </c>
      <c r="HA58" s="84" t="s">
        <v>96</v>
      </c>
      <c r="HB58" s="84">
        <v>-606503772</v>
      </c>
      <c r="HC58" s="84" t="s">
        <v>130</v>
      </c>
      <c r="HD58" s="84">
        <v>-366071416</v>
      </c>
      <c r="HE58" s="84" t="s">
        <v>96</v>
      </c>
      <c r="HF58" s="84">
        <v>3420118</v>
      </c>
      <c r="HG58" s="84">
        <v>717630913</v>
      </c>
      <c r="HH58" s="84" t="s">
        <v>96</v>
      </c>
      <c r="HI58" s="84">
        <v>-2728732981</v>
      </c>
      <c r="HJ58" s="84" t="s">
        <v>96</v>
      </c>
      <c r="HK58" s="84">
        <v>-299471860</v>
      </c>
      <c r="HL58" s="84">
        <v>669488366</v>
      </c>
      <c r="HM58" s="84">
        <v>33781236</v>
      </c>
      <c r="HN58" s="84">
        <v>-36824743</v>
      </c>
      <c r="HO58" s="84">
        <v>73914600</v>
      </c>
      <c r="HP58" s="84">
        <v>-1111307609</v>
      </c>
      <c r="HQ58" s="84">
        <v>-9672909</v>
      </c>
      <c r="HR58" s="84">
        <v>-71111571</v>
      </c>
      <c r="HS58" s="84">
        <v>86720408</v>
      </c>
      <c r="HT58" s="84">
        <v>4122411</v>
      </c>
      <c r="HU58" s="84" t="s">
        <v>130</v>
      </c>
      <c r="HV58" s="84">
        <v>-33522074</v>
      </c>
      <c r="HW58" s="84" t="s">
        <v>96</v>
      </c>
      <c r="HX58" s="84">
        <v>628157338</v>
      </c>
      <c r="HY58" s="84" t="s">
        <v>114</v>
      </c>
      <c r="HZ58" s="84">
        <v>866242479</v>
      </c>
      <c r="IA58" s="84">
        <v>111523288</v>
      </c>
      <c r="IB58" s="84">
        <v>-1095956821</v>
      </c>
      <c r="IC58" s="84">
        <v>-165703743</v>
      </c>
      <c r="ID58" s="84">
        <v>-78647028</v>
      </c>
      <c r="IE58" s="84" t="s">
        <v>96</v>
      </c>
      <c r="IF58" s="84">
        <v>-7465485</v>
      </c>
      <c r="IG58" s="84">
        <v>-12787790</v>
      </c>
      <c r="IH58" s="84">
        <v>-408039713</v>
      </c>
      <c r="II58" s="84">
        <v>0</v>
      </c>
      <c r="IJ58" s="84">
        <v>-61717553</v>
      </c>
      <c r="IK58" s="84">
        <v>32622180</v>
      </c>
      <c r="IL58" s="84">
        <v>75087023</v>
      </c>
      <c r="IM58" s="84">
        <v>-1543366364</v>
      </c>
      <c r="IN58" s="84">
        <v>-4384871814</v>
      </c>
      <c r="IO58" s="84">
        <v>-556241833</v>
      </c>
      <c r="IP58" s="84">
        <v>-163764203</v>
      </c>
      <c r="IQ58" s="84">
        <v>114291339</v>
      </c>
      <c r="IR58" s="84">
        <v>60691799</v>
      </c>
      <c r="IS58" s="96">
        <v>104471880</v>
      </c>
      <c r="IT58" s="99">
        <v>-58832916</v>
      </c>
      <c r="IU58" s="84">
        <v>41065991</v>
      </c>
      <c r="IV58" s="84">
        <v>-149482098</v>
      </c>
      <c r="IW58" s="84">
        <v>-33954359</v>
      </c>
      <c r="IX58" s="84">
        <v>23414463</v>
      </c>
      <c r="IY58" s="68">
        <v>-957748225</v>
      </c>
      <c r="IZ58" s="68">
        <v>28215647</v>
      </c>
      <c r="JA58" s="68">
        <v>30974000</v>
      </c>
      <c r="JB58" s="68">
        <v>-95501002</v>
      </c>
      <c r="JC58" s="68">
        <v>18569125</v>
      </c>
      <c r="JD58" s="68">
        <v>-103906614</v>
      </c>
      <c r="JE58" s="68">
        <v>-401412</v>
      </c>
      <c r="JF58" s="68">
        <v>161163997</v>
      </c>
      <c r="JG58" s="68">
        <v>-5390552</v>
      </c>
      <c r="JH58" s="68">
        <v>18804656</v>
      </c>
      <c r="JI58" s="68">
        <v>-86438229</v>
      </c>
      <c r="JJ58" s="68">
        <v>-70432983</v>
      </c>
      <c r="JK58" s="68">
        <v>-137725484</v>
      </c>
      <c r="JL58" s="68">
        <v>27470886</v>
      </c>
      <c r="JM58" s="68">
        <v>35728210</v>
      </c>
      <c r="JN58" s="68">
        <v>278164076</v>
      </c>
      <c r="JO58" s="68">
        <v>-68690463</v>
      </c>
      <c r="JP58" s="68">
        <v>-61494500</v>
      </c>
      <c r="JQ58" s="68" t="s">
        <v>4</v>
      </c>
      <c r="JR58" s="68">
        <v>-717145052</v>
      </c>
      <c r="JS58" s="68">
        <v>-205926401</v>
      </c>
      <c r="JT58" s="68">
        <v>15047055</v>
      </c>
      <c r="JU58" s="68">
        <v>36248011</v>
      </c>
      <c r="JV58" s="68">
        <v>-55491651</v>
      </c>
      <c r="JW58" s="68">
        <v>-89906110</v>
      </c>
      <c r="JX58" s="68">
        <v>44730667</v>
      </c>
      <c r="JY58" s="68">
        <v>-100976966</v>
      </c>
      <c r="JZ58" s="68">
        <v>-40519027</v>
      </c>
      <c r="KA58" s="68">
        <v>-55290157</v>
      </c>
      <c r="KB58" s="68">
        <v>780764208</v>
      </c>
      <c r="KC58" s="68">
        <v>-133797042</v>
      </c>
      <c r="KD58" s="68">
        <v>5732504</v>
      </c>
      <c r="KE58" s="68">
        <v>-76035447</v>
      </c>
      <c r="KF58" s="68">
        <v>-1473221380</v>
      </c>
      <c r="KG58" s="68">
        <v>50433469</v>
      </c>
      <c r="KH58" s="68">
        <v>16615333</v>
      </c>
      <c r="KI58" s="68">
        <v>-42580409</v>
      </c>
      <c r="KJ58" s="68">
        <v>46260361</v>
      </c>
      <c r="KK58" s="68">
        <v>-2612051476</v>
      </c>
      <c r="KL58" s="68">
        <v>-16138743216</v>
      </c>
      <c r="KM58" s="68">
        <v>80116845</v>
      </c>
      <c r="KN58" s="68">
        <v>-4164075811</v>
      </c>
      <c r="KO58" s="68">
        <v>-926503818</v>
      </c>
      <c r="KP58" s="68">
        <v>-30133298</v>
      </c>
      <c r="KQ58" s="68">
        <v>-29253162</v>
      </c>
      <c r="KR58" s="68">
        <v>59052849</v>
      </c>
      <c r="KS58" s="68">
        <v>5187631</v>
      </c>
      <c r="KT58" s="68">
        <v>38871161</v>
      </c>
      <c r="KU58" s="68">
        <v>214110834</v>
      </c>
      <c r="KV58" s="68">
        <v>-25942128</v>
      </c>
      <c r="KW58" s="68">
        <v>-70384518</v>
      </c>
      <c r="KX58" s="68">
        <v>-195692886</v>
      </c>
      <c r="KY58" s="68">
        <v>133703730</v>
      </c>
      <c r="KZ58" s="68">
        <v>0</v>
      </c>
      <c r="LA58" s="68">
        <v>243654071</v>
      </c>
      <c r="LB58" s="68">
        <v>-118064596</v>
      </c>
      <c r="LC58" s="105">
        <v>94010355</v>
      </c>
      <c r="LD58" s="105">
        <v>-10962007</v>
      </c>
      <c r="LE58" s="105">
        <v>-673286435</v>
      </c>
      <c r="LF58" s="105">
        <v>-17074387</v>
      </c>
      <c r="LG58" s="105">
        <v>23266273</v>
      </c>
      <c r="LH58" s="102" t="s">
        <v>187</v>
      </c>
      <c r="LI58" s="105">
        <v>55645284</v>
      </c>
      <c r="LJ58" s="102" t="s">
        <v>187</v>
      </c>
      <c r="LK58" s="105">
        <v>598716606</v>
      </c>
      <c r="LL58" s="102" t="s">
        <v>187</v>
      </c>
    </row>
    <row r="59" spans="1:324">
      <c r="A59" s="69" t="s">
        <v>185</v>
      </c>
      <c r="B59" s="92" t="s">
        <v>16</v>
      </c>
      <c r="C59" s="84">
        <v>42933668</v>
      </c>
      <c r="D59" s="84">
        <v>4594904834</v>
      </c>
      <c r="E59" s="84">
        <v>134366109</v>
      </c>
      <c r="F59" s="84">
        <v>148962718</v>
      </c>
      <c r="G59" s="84" t="s">
        <v>130</v>
      </c>
      <c r="H59" s="84">
        <v>339137480</v>
      </c>
      <c r="I59" s="84">
        <v>373390546</v>
      </c>
      <c r="J59" s="84" t="s">
        <v>4</v>
      </c>
      <c r="K59" s="84">
        <v>924327016</v>
      </c>
      <c r="L59" s="84" t="s">
        <v>96</v>
      </c>
      <c r="M59" s="84" t="s">
        <v>96</v>
      </c>
      <c r="N59" s="84">
        <v>926326628</v>
      </c>
      <c r="O59" s="84">
        <v>13203986</v>
      </c>
      <c r="P59" s="84">
        <v>12336962</v>
      </c>
      <c r="Q59" s="84">
        <v>10444455</v>
      </c>
      <c r="R59" s="84" t="s">
        <v>130</v>
      </c>
      <c r="S59" s="84">
        <v>59409798</v>
      </c>
      <c r="T59" s="84" t="s">
        <v>96</v>
      </c>
      <c r="U59" s="84" t="s">
        <v>96</v>
      </c>
      <c r="V59" s="84" t="s">
        <v>4</v>
      </c>
      <c r="W59" s="84">
        <v>47325042</v>
      </c>
      <c r="X59" s="84">
        <v>89727670</v>
      </c>
      <c r="Y59" s="84">
        <v>8279035</v>
      </c>
      <c r="Z59" s="84">
        <v>14607</v>
      </c>
      <c r="AA59" s="84">
        <v>142554506</v>
      </c>
      <c r="AB59" s="84">
        <v>98980799</v>
      </c>
      <c r="AC59" s="84">
        <v>15115923</v>
      </c>
      <c r="AD59" s="84">
        <v>31663675</v>
      </c>
      <c r="AE59" s="84">
        <v>160960038</v>
      </c>
      <c r="AF59" s="84" t="s">
        <v>96</v>
      </c>
      <c r="AG59" s="84">
        <v>5335619</v>
      </c>
      <c r="AH59" s="84" t="s">
        <v>130</v>
      </c>
      <c r="AI59" s="84">
        <v>7546340</v>
      </c>
      <c r="AJ59" s="84">
        <v>6048557</v>
      </c>
      <c r="AK59" s="84">
        <v>153081666</v>
      </c>
      <c r="AL59" s="84">
        <v>408757016</v>
      </c>
      <c r="AM59" s="84" t="s">
        <v>4</v>
      </c>
      <c r="AN59" s="84">
        <v>25004969</v>
      </c>
      <c r="AO59" s="84">
        <v>16552866</v>
      </c>
      <c r="AP59" s="84">
        <v>207871203</v>
      </c>
      <c r="AQ59" s="84" t="s">
        <v>4</v>
      </c>
      <c r="AR59" s="84">
        <v>29815994</v>
      </c>
      <c r="AS59" s="84">
        <v>56901659</v>
      </c>
      <c r="AT59" s="84" t="s">
        <v>96</v>
      </c>
      <c r="AU59" s="84">
        <v>387252280</v>
      </c>
      <c r="AV59" s="84">
        <v>8557017</v>
      </c>
      <c r="AW59" s="84">
        <v>5007671</v>
      </c>
      <c r="AX59" s="84" t="s">
        <v>4</v>
      </c>
      <c r="AY59" s="84" t="s">
        <v>96</v>
      </c>
      <c r="AZ59" s="84">
        <v>22058657</v>
      </c>
      <c r="BA59" s="84" t="s">
        <v>130</v>
      </c>
      <c r="BB59" s="84">
        <v>7106930</v>
      </c>
      <c r="BC59" s="84" t="s">
        <v>4</v>
      </c>
      <c r="BD59" s="84" t="s">
        <v>96</v>
      </c>
      <c r="BE59" s="84">
        <v>5621241</v>
      </c>
      <c r="BF59" s="84" t="s">
        <v>96</v>
      </c>
      <c r="BG59" s="84">
        <v>38300169</v>
      </c>
      <c r="BH59" s="84">
        <v>29337504</v>
      </c>
      <c r="BI59" s="84">
        <v>110968395</v>
      </c>
      <c r="BJ59" s="84">
        <v>1009256</v>
      </c>
      <c r="BK59" s="84">
        <v>38929223</v>
      </c>
      <c r="BL59" s="84">
        <v>83095619</v>
      </c>
      <c r="BM59" s="84">
        <v>202602909</v>
      </c>
      <c r="BN59" s="84">
        <v>5633588</v>
      </c>
      <c r="BO59" s="84" t="s">
        <v>96</v>
      </c>
      <c r="BP59" s="84" t="s">
        <v>96</v>
      </c>
      <c r="BQ59" s="84" t="s">
        <v>4</v>
      </c>
      <c r="BR59" s="84">
        <v>441786360</v>
      </c>
      <c r="BS59" s="84" t="s">
        <v>4</v>
      </c>
      <c r="BT59" s="84" t="s">
        <v>96</v>
      </c>
      <c r="BU59" s="85">
        <v>12420057</v>
      </c>
      <c r="BV59" s="84">
        <v>66874808</v>
      </c>
      <c r="BW59" s="84">
        <v>15493060</v>
      </c>
      <c r="BX59" s="84">
        <v>8033638</v>
      </c>
      <c r="BY59" s="84">
        <v>1448978231</v>
      </c>
      <c r="BZ59" s="84">
        <v>123523048</v>
      </c>
      <c r="CA59" s="84">
        <v>44257896</v>
      </c>
      <c r="CB59" s="84">
        <v>16685982</v>
      </c>
      <c r="CC59" s="84">
        <v>46611160</v>
      </c>
      <c r="CD59" s="84">
        <v>127518816</v>
      </c>
      <c r="CE59" s="84" t="s">
        <v>96</v>
      </c>
      <c r="CF59" s="84" t="s">
        <v>96</v>
      </c>
      <c r="CG59" s="84">
        <v>74800248</v>
      </c>
      <c r="CH59" s="84">
        <v>77072778</v>
      </c>
      <c r="CI59" s="84" t="s">
        <v>96</v>
      </c>
      <c r="CJ59" s="84">
        <v>5244229</v>
      </c>
      <c r="CK59" s="84">
        <v>24335714</v>
      </c>
      <c r="CL59" s="84">
        <v>43892149</v>
      </c>
      <c r="CM59" s="84">
        <v>202892674</v>
      </c>
      <c r="CN59" s="84">
        <v>5194196</v>
      </c>
      <c r="CO59" s="84">
        <v>12015799</v>
      </c>
      <c r="CP59" s="84" t="s">
        <v>96</v>
      </c>
      <c r="CQ59" s="84" t="s">
        <v>96</v>
      </c>
      <c r="CR59" s="84">
        <v>15703750</v>
      </c>
      <c r="CS59" s="84" t="s">
        <v>96</v>
      </c>
      <c r="CT59" s="84">
        <v>474944848</v>
      </c>
      <c r="CU59" s="84">
        <v>127370461</v>
      </c>
      <c r="CV59" s="84">
        <v>21463270</v>
      </c>
      <c r="CW59" s="84" t="s">
        <v>96</v>
      </c>
      <c r="CX59" s="84">
        <v>209241575</v>
      </c>
      <c r="CY59" s="84" t="s">
        <v>96</v>
      </c>
      <c r="CZ59" s="84">
        <v>24177272</v>
      </c>
      <c r="DA59" s="84" t="s">
        <v>96</v>
      </c>
      <c r="DB59" s="86">
        <v>4608642</v>
      </c>
      <c r="DC59" s="84">
        <v>5022533</v>
      </c>
      <c r="DD59" s="84" t="s">
        <v>96</v>
      </c>
      <c r="DE59" s="84">
        <v>103891522</v>
      </c>
      <c r="DF59" s="84">
        <v>9982159</v>
      </c>
      <c r="DG59" s="84">
        <v>71305401</v>
      </c>
      <c r="DH59" s="84">
        <v>91807654</v>
      </c>
      <c r="DI59" s="84">
        <v>38432750</v>
      </c>
      <c r="DJ59" s="84">
        <v>149727652</v>
      </c>
      <c r="DK59" s="84" t="s">
        <v>96</v>
      </c>
      <c r="DL59" s="84">
        <v>126858491</v>
      </c>
      <c r="DM59" s="84">
        <v>12917614</v>
      </c>
      <c r="DN59" s="84">
        <v>67222205</v>
      </c>
      <c r="DO59" s="84">
        <v>5003098</v>
      </c>
      <c r="DP59" s="84">
        <v>20926675</v>
      </c>
      <c r="DQ59" s="84">
        <v>12896</v>
      </c>
      <c r="DR59" s="84">
        <v>11226678</v>
      </c>
      <c r="DS59" s="84">
        <v>16640999</v>
      </c>
      <c r="DT59" s="84">
        <v>54513454</v>
      </c>
      <c r="DU59" s="84">
        <v>423914</v>
      </c>
      <c r="DV59" s="84">
        <v>217575297</v>
      </c>
      <c r="DW59" s="84">
        <v>103686674</v>
      </c>
      <c r="DX59" s="84">
        <v>641570291</v>
      </c>
      <c r="DY59" s="84">
        <v>26628400</v>
      </c>
      <c r="DZ59" s="84">
        <v>6270158</v>
      </c>
      <c r="EA59" s="84">
        <v>308848</v>
      </c>
      <c r="EB59" s="84">
        <v>213377752</v>
      </c>
      <c r="EC59" s="84">
        <v>12849178</v>
      </c>
      <c r="ED59" s="84">
        <v>385988250</v>
      </c>
      <c r="EE59" s="84">
        <v>45181554</v>
      </c>
      <c r="EF59" s="84">
        <v>32289378</v>
      </c>
      <c r="EG59" s="96">
        <v>1798728373</v>
      </c>
      <c r="EH59" s="99">
        <v>5111284</v>
      </c>
      <c r="EI59" s="97">
        <v>168872642</v>
      </c>
      <c r="EJ59" s="84">
        <v>301137657</v>
      </c>
      <c r="EK59" s="84">
        <v>124913324</v>
      </c>
      <c r="EL59" s="84">
        <v>501308021</v>
      </c>
      <c r="EM59" s="84">
        <v>52488434</v>
      </c>
      <c r="EN59" s="84">
        <v>1087210707</v>
      </c>
      <c r="EO59" s="84">
        <v>17306822</v>
      </c>
      <c r="EP59" s="84">
        <v>38515776</v>
      </c>
      <c r="EQ59" s="84">
        <v>88266980</v>
      </c>
      <c r="ER59" s="84">
        <v>103807748</v>
      </c>
      <c r="ES59" s="84">
        <v>11351911</v>
      </c>
      <c r="ET59" s="84">
        <v>424047904</v>
      </c>
      <c r="EU59" s="84">
        <v>331841470</v>
      </c>
      <c r="EV59" s="84">
        <v>9208297</v>
      </c>
      <c r="EW59" s="84">
        <v>76292236</v>
      </c>
      <c r="EX59" s="84">
        <v>68607244</v>
      </c>
      <c r="EY59" s="84">
        <v>77031758</v>
      </c>
      <c r="EZ59" s="84">
        <v>112395376</v>
      </c>
      <c r="FA59" s="84">
        <v>18279118</v>
      </c>
      <c r="FB59" s="84">
        <v>57942307</v>
      </c>
      <c r="FC59" s="84">
        <v>137990451</v>
      </c>
      <c r="FD59" s="84">
        <v>31518275</v>
      </c>
      <c r="FE59" s="84">
        <v>292742413</v>
      </c>
      <c r="FF59" s="84">
        <v>514328</v>
      </c>
      <c r="FG59" s="84" t="s">
        <v>96</v>
      </c>
      <c r="FH59" s="84">
        <v>15891202</v>
      </c>
      <c r="FI59" s="84" t="s">
        <v>96</v>
      </c>
      <c r="FJ59" s="84">
        <v>14246182</v>
      </c>
      <c r="FK59" s="84">
        <v>269013561</v>
      </c>
      <c r="FL59" s="84">
        <v>56289218</v>
      </c>
      <c r="FM59" s="84" t="s">
        <v>130</v>
      </c>
      <c r="FN59" s="84">
        <v>344080586</v>
      </c>
      <c r="FO59" s="84" t="s">
        <v>96</v>
      </c>
      <c r="FP59" s="84" t="s">
        <v>96</v>
      </c>
      <c r="FQ59" s="84">
        <v>5042519</v>
      </c>
      <c r="FR59" s="84">
        <v>480997</v>
      </c>
      <c r="FS59" s="86">
        <v>338298548</v>
      </c>
      <c r="FT59" s="84">
        <v>49521010</v>
      </c>
      <c r="FU59" s="84">
        <v>5068695</v>
      </c>
      <c r="FV59" s="84" t="s">
        <v>96</v>
      </c>
      <c r="FW59" s="84">
        <v>5029995</v>
      </c>
      <c r="FX59" s="84">
        <v>5070031</v>
      </c>
      <c r="FY59" s="84" t="s">
        <v>96</v>
      </c>
      <c r="FZ59" s="84" t="s">
        <v>4</v>
      </c>
      <c r="GA59" s="84">
        <v>1477519</v>
      </c>
      <c r="GB59" s="84">
        <v>19472938</v>
      </c>
      <c r="GC59" s="84">
        <v>80146475</v>
      </c>
      <c r="GD59" s="84" t="s">
        <v>96</v>
      </c>
      <c r="GE59" s="84" t="s">
        <v>4</v>
      </c>
      <c r="GF59" s="84">
        <v>151597075</v>
      </c>
      <c r="GG59" s="84">
        <v>365850793</v>
      </c>
      <c r="GH59" s="84" t="s">
        <v>4</v>
      </c>
      <c r="GI59" s="84">
        <v>5707455</v>
      </c>
      <c r="GJ59" s="84" t="s">
        <v>96</v>
      </c>
      <c r="GK59" s="84">
        <v>43798437</v>
      </c>
      <c r="GL59" s="84" t="s">
        <v>96</v>
      </c>
      <c r="GM59" s="84">
        <v>57744443</v>
      </c>
      <c r="GN59" s="84">
        <v>48171195</v>
      </c>
      <c r="GO59" s="84" t="s">
        <v>96</v>
      </c>
      <c r="GP59" s="84">
        <v>97783023</v>
      </c>
      <c r="GQ59" s="84">
        <v>36241067</v>
      </c>
      <c r="GR59" s="84">
        <v>591805291</v>
      </c>
      <c r="GS59" s="84">
        <v>215421034</v>
      </c>
      <c r="GT59" s="84" t="s">
        <v>130</v>
      </c>
      <c r="GU59" s="84">
        <v>36857</v>
      </c>
      <c r="GV59" s="84">
        <v>251833598</v>
      </c>
      <c r="GW59" s="84">
        <v>850515396</v>
      </c>
      <c r="GX59" s="84">
        <v>72973719</v>
      </c>
      <c r="GY59" s="84">
        <v>1049482396</v>
      </c>
      <c r="GZ59" s="84">
        <v>3811355</v>
      </c>
      <c r="HA59" s="84" t="s">
        <v>96</v>
      </c>
      <c r="HB59" s="84">
        <v>821367570</v>
      </c>
      <c r="HC59" s="84" t="s">
        <v>130</v>
      </c>
      <c r="HD59" s="84">
        <v>256068593</v>
      </c>
      <c r="HE59" s="84" t="s">
        <v>96</v>
      </c>
      <c r="HF59" s="84">
        <v>85147200</v>
      </c>
      <c r="HG59" s="84">
        <v>312722687</v>
      </c>
      <c r="HH59" s="84" t="s">
        <v>96</v>
      </c>
      <c r="HI59" s="84">
        <v>1035243768</v>
      </c>
      <c r="HJ59" s="84" t="s">
        <v>96</v>
      </c>
      <c r="HK59" s="84">
        <v>221215198</v>
      </c>
      <c r="HL59" s="84">
        <v>83450823</v>
      </c>
      <c r="HM59" s="84">
        <v>171304387</v>
      </c>
      <c r="HN59" s="84">
        <v>70526558</v>
      </c>
      <c r="HO59" s="84">
        <v>112215360</v>
      </c>
      <c r="HP59" s="84">
        <v>1901058233</v>
      </c>
      <c r="HQ59" s="84">
        <v>25386449</v>
      </c>
      <c r="HR59" s="84">
        <v>74953783</v>
      </c>
      <c r="HS59" s="84">
        <v>8540291</v>
      </c>
      <c r="HT59" s="84">
        <v>5011161</v>
      </c>
      <c r="HU59" s="84" t="s">
        <v>130</v>
      </c>
      <c r="HV59" s="84">
        <v>40590070</v>
      </c>
      <c r="HW59" s="84" t="s">
        <v>96</v>
      </c>
      <c r="HX59" s="84">
        <v>35895628</v>
      </c>
      <c r="HY59" s="84" t="s">
        <v>114</v>
      </c>
      <c r="HZ59" s="84">
        <v>393861581</v>
      </c>
      <c r="IA59" s="84">
        <v>1883263</v>
      </c>
      <c r="IB59" s="84">
        <v>88139797</v>
      </c>
      <c r="IC59" s="84">
        <v>41089334</v>
      </c>
      <c r="ID59" s="84">
        <v>52435883</v>
      </c>
      <c r="IE59" s="84" t="s">
        <v>96</v>
      </c>
      <c r="IF59" s="84">
        <v>0</v>
      </c>
      <c r="IG59" s="84">
        <v>12007133</v>
      </c>
      <c r="IH59" s="84">
        <v>160174172</v>
      </c>
      <c r="II59" s="84">
        <v>0</v>
      </c>
      <c r="IJ59" s="84">
        <v>32267520</v>
      </c>
      <c r="IK59" s="84">
        <v>9746862</v>
      </c>
      <c r="IL59" s="84">
        <v>3644824</v>
      </c>
      <c r="IM59" s="84">
        <v>139461560</v>
      </c>
      <c r="IN59" s="84">
        <v>9940807</v>
      </c>
      <c r="IO59" s="84">
        <v>9089293</v>
      </c>
      <c r="IP59" s="84">
        <v>213335018</v>
      </c>
      <c r="IQ59" s="84">
        <v>2274859</v>
      </c>
      <c r="IR59" s="84">
        <v>30946872</v>
      </c>
      <c r="IS59" s="96">
        <v>249694502</v>
      </c>
      <c r="IT59" s="99">
        <v>2617521</v>
      </c>
      <c r="IU59" s="84">
        <v>238513590</v>
      </c>
      <c r="IV59" s="84">
        <v>66519628</v>
      </c>
      <c r="IW59" s="84">
        <v>155559329</v>
      </c>
      <c r="IX59" s="84">
        <v>59070282</v>
      </c>
      <c r="IY59" s="68">
        <v>1287025568</v>
      </c>
      <c r="IZ59" s="68">
        <v>17530376</v>
      </c>
      <c r="JA59" s="68">
        <v>59670171</v>
      </c>
      <c r="JB59" s="68">
        <v>185571780</v>
      </c>
      <c r="JC59" s="68">
        <v>6954433</v>
      </c>
      <c r="JD59" s="68">
        <v>53424595</v>
      </c>
      <c r="JE59" s="68">
        <v>86622080</v>
      </c>
      <c r="JF59" s="68">
        <v>3103315</v>
      </c>
      <c r="JG59" s="68">
        <v>6504668</v>
      </c>
      <c r="JH59" s="68">
        <v>5143049</v>
      </c>
      <c r="JI59" s="68">
        <v>736368</v>
      </c>
      <c r="JJ59" s="68">
        <v>167104250</v>
      </c>
      <c r="JK59" s="68">
        <v>126591381</v>
      </c>
      <c r="JL59" s="68">
        <v>268642890</v>
      </c>
      <c r="JM59" s="68">
        <v>5249564</v>
      </c>
      <c r="JN59" s="68">
        <v>32248229</v>
      </c>
      <c r="JO59" s="68">
        <v>43031275</v>
      </c>
      <c r="JP59" s="68">
        <v>11198580</v>
      </c>
      <c r="JQ59" s="68" t="s">
        <v>4</v>
      </c>
      <c r="JR59" s="68">
        <v>792731464</v>
      </c>
      <c r="JS59" s="68">
        <v>262472719</v>
      </c>
      <c r="JT59" s="68">
        <v>5209632</v>
      </c>
      <c r="JU59" s="68">
        <v>36863208</v>
      </c>
      <c r="JV59" s="68">
        <v>95851134</v>
      </c>
      <c r="JW59" s="68">
        <v>131735023</v>
      </c>
      <c r="JX59" s="68">
        <v>73725897</v>
      </c>
      <c r="JY59" s="68">
        <v>12124692</v>
      </c>
      <c r="JZ59" s="68">
        <v>10229659</v>
      </c>
      <c r="KA59" s="68">
        <v>164961927</v>
      </c>
      <c r="KB59" s="68">
        <v>10552572</v>
      </c>
      <c r="KC59" s="68">
        <v>50106720</v>
      </c>
      <c r="KD59" s="68">
        <v>311425</v>
      </c>
      <c r="KE59" s="68">
        <v>23235654</v>
      </c>
      <c r="KF59" s="68">
        <v>108995354</v>
      </c>
      <c r="KG59" s="68">
        <v>34694190</v>
      </c>
      <c r="KH59" s="68">
        <v>22062637</v>
      </c>
      <c r="KI59" s="68">
        <v>31370940</v>
      </c>
      <c r="KJ59" s="68">
        <v>1254443</v>
      </c>
      <c r="KK59" s="68">
        <v>694780218</v>
      </c>
      <c r="KL59" s="68">
        <v>572016000</v>
      </c>
      <c r="KM59" s="68">
        <v>15826628</v>
      </c>
      <c r="KN59" s="68">
        <v>1883737832</v>
      </c>
      <c r="KO59" s="68">
        <v>139196705</v>
      </c>
      <c r="KP59" s="68">
        <v>10176214</v>
      </c>
      <c r="KQ59" s="68">
        <v>28967718</v>
      </c>
      <c r="KR59" s="68">
        <v>5077495</v>
      </c>
      <c r="KS59" s="68">
        <v>62986940</v>
      </c>
      <c r="KT59" s="68">
        <v>9678691</v>
      </c>
      <c r="KU59" s="68">
        <v>22136145</v>
      </c>
      <c r="KV59" s="68">
        <v>748030</v>
      </c>
      <c r="KW59" s="68">
        <v>96111306</v>
      </c>
      <c r="KX59" s="68">
        <v>107069220</v>
      </c>
      <c r="KY59" s="68">
        <v>22785872</v>
      </c>
      <c r="KZ59" s="68">
        <v>86387134</v>
      </c>
      <c r="LA59" s="68">
        <v>2159162</v>
      </c>
      <c r="LB59" s="68">
        <v>84169016</v>
      </c>
      <c r="LC59" s="104">
        <v>19226938</v>
      </c>
      <c r="LD59" s="104">
        <v>491034</v>
      </c>
      <c r="LE59" s="104">
        <v>905780321</v>
      </c>
      <c r="LF59" s="104">
        <v>219119</v>
      </c>
      <c r="LG59" s="104">
        <v>3631407</v>
      </c>
      <c r="LH59" s="102" t="s">
        <v>187</v>
      </c>
      <c r="LI59" s="104">
        <v>50748</v>
      </c>
      <c r="LJ59" s="102" t="s">
        <v>187</v>
      </c>
      <c r="LK59" s="104">
        <v>15933171</v>
      </c>
      <c r="LL59" s="102" t="s">
        <v>187</v>
      </c>
    </row>
    <row r="60" spans="1:324">
      <c r="A60" s="69" t="s">
        <v>185</v>
      </c>
      <c r="B60" s="93" t="s">
        <v>177</v>
      </c>
      <c r="C60" s="84">
        <v>44309</v>
      </c>
      <c r="D60" s="84">
        <v>862086</v>
      </c>
      <c r="E60" s="84">
        <v>650315</v>
      </c>
      <c r="F60" s="84">
        <v>27587379</v>
      </c>
      <c r="G60" s="84" t="s">
        <v>130</v>
      </c>
      <c r="H60" s="84">
        <v>16427322</v>
      </c>
      <c r="I60" s="84">
        <v>380600</v>
      </c>
      <c r="J60" s="84" t="s">
        <v>4</v>
      </c>
      <c r="K60" s="84">
        <v>564428</v>
      </c>
      <c r="L60" s="84" t="s">
        <v>96</v>
      </c>
      <c r="M60" s="84" t="s">
        <v>96</v>
      </c>
      <c r="N60" s="84">
        <v>187663</v>
      </c>
      <c r="O60" s="84">
        <v>5483667</v>
      </c>
      <c r="P60" s="84">
        <v>322742</v>
      </c>
      <c r="Q60" s="84">
        <v>4951232</v>
      </c>
      <c r="R60" s="84" t="s">
        <v>130</v>
      </c>
      <c r="S60" s="84">
        <v>27054741</v>
      </c>
      <c r="T60" s="84" t="s">
        <v>96</v>
      </c>
      <c r="U60" s="84" t="s">
        <v>96</v>
      </c>
      <c r="V60" s="84" t="s">
        <v>4</v>
      </c>
      <c r="W60" s="84">
        <v>45762</v>
      </c>
      <c r="X60" s="84">
        <v>6103791</v>
      </c>
      <c r="Y60" s="84">
        <v>3171922</v>
      </c>
      <c r="Z60" s="84">
        <v>14606</v>
      </c>
      <c r="AA60" s="84">
        <v>268059</v>
      </c>
      <c r="AB60" s="84">
        <v>1512310</v>
      </c>
      <c r="AC60" s="84">
        <v>533275</v>
      </c>
      <c r="AD60" s="84">
        <v>412728</v>
      </c>
      <c r="AE60" s="84">
        <v>93922</v>
      </c>
      <c r="AF60" s="84" t="s">
        <v>96</v>
      </c>
      <c r="AG60" s="84">
        <v>20972</v>
      </c>
      <c r="AH60" s="84" t="s">
        <v>130</v>
      </c>
      <c r="AI60" s="84">
        <v>4970</v>
      </c>
      <c r="AJ60" s="84">
        <v>18866</v>
      </c>
      <c r="AK60" s="84">
        <v>36727843</v>
      </c>
      <c r="AL60" s="84">
        <v>426055</v>
      </c>
      <c r="AM60" s="84" t="s">
        <v>4</v>
      </c>
      <c r="AN60" s="84">
        <v>151135</v>
      </c>
      <c r="AO60" s="84">
        <v>1810578</v>
      </c>
      <c r="AP60" s="84">
        <v>386087</v>
      </c>
      <c r="AQ60" s="84" t="s">
        <v>4</v>
      </c>
      <c r="AR60" s="84">
        <v>237591</v>
      </c>
      <c r="AS60" s="84">
        <v>109775</v>
      </c>
      <c r="AT60" s="84" t="s">
        <v>96</v>
      </c>
      <c r="AU60" s="84">
        <v>11686370</v>
      </c>
      <c r="AV60" s="84">
        <v>3322600</v>
      </c>
      <c r="AW60" s="84">
        <v>7632</v>
      </c>
      <c r="AX60" s="84" t="s">
        <v>4</v>
      </c>
      <c r="AY60" s="84" t="s">
        <v>96</v>
      </c>
      <c r="AZ60" s="84">
        <v>146087</v>
      </c>
      <c r="BA60" s="84" t="s">
        <v>130</v>
      </c>
      <c r="BB60" s="84">
        <v>4964</v>
      </c>
      <c r="BC60" s="84" t="s">
        <v>4</v>
      </c>
      <c r="BD60" s="84" t="s">
        <v>96</v>
      </c>
      <c r="BE60" s="84">
        <v>111642</v>
      </c>
      <c r="BF60" s="84" t="s">
        <v>96</v>
      </c>
      <c r="BG60" s="84">
        <v>19084014</v>
      </c>
      <c r="BH60" s="84">
        <v>103351</v>
      </c>
      <c r="BI60" s="84">
        <v>116723</v>
      </c>
      <c r="BJ60" s="84">
        <v>19769</v>
      </c>
      <c r="BK60" s="84">
        <v>297333</v>
      </c>
      <c r="BL60" s="84">
        <v>5675026</v>
      </c>
      <c r="BM60" s="84">
        <v>4574301</v>
      </c>
      <c r="BN60" s="84">
        <v>18068</v>
      </c>
      <c r="BO60" s="84" t="s">
        <v>96</v>
      </c>
      <c r="BP60" s="84" t="s">
        <v>96</v>
      </c>
      <c r="BQ60" s="84" t="s">
        <v>4</v>
      </c>
      <c r="BR60" s="84">
        <v>8754042</v>
      </c>
      <c r="BS60" s="84" t="s">
        <v>4</v>
      </c>
      <c r="BT60" s="84" t="s">
        <v>96</v>
      </c>
      <c r="BU60" s="85">
        <v>6666</v>
      </c>
      <c r="BV60" s="84">
        <v>26246</v>
      </c>
      <c r="BW60" s="84">
        <v>34494</v>
      </c>
      <c r="BX60" s="84">
        <v>825147</v>
      </c>
      <c r="BY60" s="84">
        <v>290321</v>
      </c>
      <c r="BZ60" s="84">
        <v>118080529</v>
      </c>
      <c r="CA60" s="84">
        <v>740342</v>
      </c>
      <c r="CB60" s="84">
        <v>37057</v>
      </c>
      <c r="CC60" s="84">
        <v>55208</v>
      </c>
      <c r="CD60" s="84">
        <v>8587785</v>
      </c>
      <c r="CE60" s="84" t="s">
        <v>96</v>
      </c>
      <c r="CF60" s="84" t="s">
        <v>96</v>
      </c>
      <c r="CG60" s="84">
        <v>1025171</v>
      </c>
      <c r="CH60" s="84">
        <v>287596</v>
      </c>
      <c r="CI60" s="84" t="s">
        <v>96</v>
      </c>
      <c r="CJ60" s="84">
        <v>1409</v>
      </c>
      <c r="CK60" s="84">
        <v>15104325</v>
      </c>
      <c r="CL60" s="84">
        <v>1525</v>
      </c>
      <c r="CM60" s="84">
        <v>108053236</v>
      </c>
      <c r="CN60" s="84">
        <v>248864</v>
      </c>
      <c r="CO60" s="84">
        <v>7840</v>
      </c>
      <c r="CP60" s="84" t="s">
        <v>96</v>
      </c>
      <c r="CQ60" s="84" t="s">
        <v>96</v>
      </c>
      <c r="CR60" s="84">
        <v>9907380</v>
      </c>
      <c r="CS60" s="84" t="s">
        <v>96</v>
      </c>
      <c r="CT60" s="84">
        <v>122198837</v>
      </c>
      <c r="CU60" s="84">
        <v>7278360</v>
      </c>
      <c r="CV60" s="84">
        <v>10600</v>
      </c>
      <c r="CW60" s="84" t="s">
        <v>96</v>
      </c>
      <c r="CX60" s="84">
        <v>174725880</v>
      </c>
      <c r="CY60" s="84" t="s">
        <v>96</v>
      </c>
      <c r="CZ60" s="84">
        <v>10238184</v>
      </c>
      <c r="DA60" s="84" t="s">
        <v>96</v>
      </c>
      <c r="DB60" s="86">
        <v>45914</v>
      </c>
      <c r="DC60" s="84">
        <v>20590</v>
      </c>
      <c r="DD60" s="84" t="s">
        <v>96</v>
      </c>
      <c r="DE60" s="84">
        <v>37631</v>
      </c>
      <c r="DF60" s="84">
        <v>3064</v>
      </c>
      <c r="DG60" s="84">
        <v>22759</v>
      </c>
      <c r="DH60" s="84">
        <v>263153</v>
      </c>
      <c r="DI60" s="84">
        <v>545602</v>
      </c>
      <c r="DJ60" s="84">
        <v>151556</v>
      </c>
      <c r="DK60" s="84" t="s">
        <v>96</v>
      </c>
      <c r="DL60" s="84">
        <v>435889</v>
      </c>
      <c r="DM60" s="84">
        <v>7917599</v>
      </c>
      <c r="DN60" s="84">
        <v>15819</v>
      </c>
      <c r="DO60" s="84">
        <v>204</v>
      </c>
      <c r="DP60" s="84">
        <v>1596465</v>
      </c>
      <c r="DQ60" s="84">
        <v>5746</v>
      </c>
      <c r="DR60" s="84">
        <v>206734</v>
      </c>
      <c r="DS60" s="84">
        <v>724648</v>
      </c>
      <c r="DT60" s="84">
        <v>603084</v>
      </c>
      <c r="DU60" s="84">
        <v>19112</v>
      </c>
      <c r="DV60" s="84">
        <v>3851649</v>
      </c>
      <c r="DW60" s="84">
        <v>4209521</v>
      </c>
      <c r="DX60" s="84">
        <v>202039178</v>
      </c>
      <c r="DY60" s="84">
        <v>410</v>
      </c>
      <c r="DZ60" s="84">
        <v>46940</v>
      </c>
      <c r="EA60" s="84">
        <v>308797</v>
      </c>
      <c r="EB60" s="84">
        <v>7699524</v>
      </c>
      <c r="EC60" s="84">
        <v>21618</v>
      </c>
      <c r="ED60" s="84">
        <v>140953</v>
      </c>
      <c r="EE60" s="84">
        <v>17729336</v>
      </c>
      <c r="EF60" s="84">
        <v>64848</v>
      </c>
      <c r="EG60" s="96">
        <v>342525034</v>
      </c>
      <c r="EH60" s="99">
        <v>912</v>
      </c>
      <c r="EI60" s="97">
        <v>21625402</v>
      </c>
      <c r="EJ60" s="84">
        <v>951452</v>
      </c>
      <c r="EK60" s="84"/>
      <c r="EL60" s="84">
        <v>27962093</v>
      </c>
      <c r="EM60" s="84">
        <v>15627137</v>
      </c>
      <c r="EN60" s="84">
        <v>14180719</v>
      </c>
      <c r="EO60" s="84">
        <v>64815</v>
      </c>
      <c r="EP60" s="84">
        <v>33234</v>
      </c>
      <c r="EQ60" s="84">
        <v>1037142</v>
      </c>
      <c r="ER60" s="84">
        <v>526471</v>
      </c>
      <c r="ES60" s="84">
        <v>6351911</v>
      </c>
      <c r="ET60" s="84">
        <v>355580572</v>
      </c>
      <c r="EU60" s="84">
        <v>1754130</v>
      </c>
      <c r="EV60" s="84">
        <v>37991</v>
      </c>
      <c r="EW60" s="84">
        <v>11902</v>
      </c>
      <c r="EX60" s="84">
        <v>523883</v>
      </c>
      <c r="EY60" s="84">
        <v>25566775</v>
      </c>
      <c r="EZ60" s="84">
        <v>305749</v>
      </c>
      <c r="FA60" s="84">
        <v>60641</v>
      </c>
      <c r="FB60" s="84">
        <v>21287</v>
      </c>
      <c r="FC60" s="84">
        <v>48025</v>
      </c>
      <c r="FD60" s="84">
        <v>4857</v>
      </c>
      <c r="FE60" s="84">
        <v>45492574</v>
      </c>
      <c r="FF60" s="84">
        <v>4333</v>
      </c>
      <c r="FG60" s="84" t="s">
        <v>96</v>
      </c>
      <c r="FH60" s="84">
        <v>96102</v>
      </c>
      <c r="FI60" s="84" t="s">
        <v>96</v>
      </c>
      <c r="FJ60" s="84">
        <v>1424584</v>
      </c>
      <c r="FK60" s="84">
        <v>608486</v>
      </c>
      <c r="FL60" s="84">
        <v>114202</v>
      </c>
      <c r="FM60" s="84" t="s">
        <v>130</v>
      </c>
      <c r="FN60" s="84">
        <v>151339066</v>
      </c>
      <c r="FO60" s="84" t="s">
        <v>96</v>
      </c>
      <c r="FP60" s="84" t="s">
        <v>96</v>
      </c>
      <c r="FQ60" s="84">
        <v>42515</v>
      </c>
      <c r="FR60" s="84">
        <v>202462</v>
      </c>
      <c r="FS60" s="86">
        <v>24102</v>
      </c>
      <c r="FT60" s="84">
        <v>4672394</v>
      </c>
      <c r="FU60" s="84">
        <v>68691</v>
      </c>
      <c r="FV60" s="84" t="s">
        <v>96</v>
      </c>
      <c r="FW60" s="84">
        <v>384</v>
      </c>
      <c r="FX60" s="84">
        <v>45256</v>
      </c>
      <c r="FY60" s="84" t="s">
        <v>96</v>
      </c>
      <c r="FZ60" s="84" t="s">
        <v>4</v>
      </c>
      <c r="GA60" s="84">
        <v>969754</v>
      </c>
      <c r="GB60" s="84">
        <v>93948</v>
      </c>
      <c r="GC60" s="84">
        <v>146141</v>
      </c>
      <c r="GD60" s="84" t="s">
        <v>96</v>
      </c>
      <c r="GE60" s="84" t="s">
        <v>4</v>
      </c>
      <c r="GF60" s="84">
        <v>131096</v>
      </c>
      <c r="GG60" s="84">
        <v>632246</v>
      </c>
      <c r="GH60" s="84" t="s">
        <v>4</v>
      </c>
      <c r="GI60" s="84">
        <v>10634</v>
      </c>
      <c r="GJ60" s="84" t="s">
        <v>96</v>
      </c>
      <c r="GK60" s="84">
        <v>12778</v>
      </c>
      <c r="GL60" s="84" t="s">
        <v>96</v>
      </c>
      <c r="GM60" s="84">
        <v>105509</v>
      </c>
      <c r="GN60" s="84">
        <v>24176</v>
      </c>
      <c r="GO60" s="84" t="s">
        <v>96</v>
      </c>
      <c r="GP60" s="84">
        <v>12487633</v>
      </c>
      <c r="GQ60" s="84">
        <v>383545</v>
      </c>
      <c r="GR60" s="84">
        <v>220592</v>
      </c>
      <c r="GS60" s="84">
        <v>38832</v>
      </c>
      <c r="GT60" s="84" t="s">
        <v>130</v>
      </c>
      <c r="GU60" s="84">
        <v>36750</v>
      </c>
      <c r="GV60" s="84">
        <v>900620</v>
      </c>
      <c r="GW60" s="84">
        <v>58675919</v>
      </c>
      <c r="GX60" s="84">
        <v>83708</v>
      </c>
      <c r="GY60" s="84">
        <v>353013</v>
      </c>
      <c r="GZ60" s="84">
        <v>69157</v>
      </c>
      <c r="HA60" s="84" t="s">
        <v>96</v>
      </c>
      <c r="HB60" s="84">
        <v>587093</v>
      </c>
      <c r="HC60" s="84" t="s">
        <v>130</v>
      </c>
      <c r="HD60" s="84">
        <v>17722997</v>
      </c>
      <c r="HE60" s="84" t="s">
        <v>96</v>
      </c>
      <c r="HF60" s="84">
        <v>490053</v>
      </c>
      <c r="HG60" s="84">
        <v>602782</v>
      </c>
      <c r="HH60" s="84" t="s">
        <v>96</v>
      </c>
      <c r="HI60" s="84">
        <v>9860181</v>
      </c>
      <c r="HJ60" s="84" t="s">
        <v>96</v>
      </c>
      <c r="HK60" s="84">
        <v>900618</v>
      </c>
      <c r="HL60" s="84">
        <v>12508859</v>
      </c>
      <c r="HM60" s="84">
        <v>25921</v>
      </c>
      <c r="HN60" s="84">
        <v>12007014</v>
      </c>
      <c r="HO60" s="84">
        <v>15476061</v>
      </c>
      <c r="HP60" s="84">
        <v>182113</v>
      </c>
      <c r="HQ60" s="84">
        <v>1875586</v>
      </c>
      <c r="HR60" s="84">
        <v>30184</v>
      </c>
      <c r="HS60" s="84">
        <v>554152</v>
      </c>
      <c r="HT60" s="84">
        <v>6845</v>
      </c>
      <c r="HU60" s="84" t="s">
        <v>130</v>
      </c>
      <c r="HV60" s="84">
        <v>63041</v>
      </c>
      <c r="HW60" s="84" t="s">
        <v>96</v>
      </c>
      <c r="HX60" s="84">
        <v>564536</v>
      </c>
      <c r="HY60" s="84" t="s">
        <v>114</v>
      </c>
      <c r="HZ60" s="84">
        <v>49713664</v>
      </c>
      <c r="IA60" s="84">
        <v>106070</v>
      </c>
      <c r="IB60" s="84">
        <v>95990</v>
      </c>
      <c r="IC60" s="84">
        <v>3256325</v>
      </c>
      <c r="ID60" s="84">
        <v>18973</v>
      </c>
      <c r="IE60" s="84" t="s">
        <v>96</v>
      </c>
      <c r="IF60" s="84"/>
      <c r="IG60" s="84">
        <v>7113</v>
      </c>
      <c r="IH60" s="84">
        <v>1895156</v>
      </c>
      <c r="II60" s="84">
        <v>0</v>
      </c>
      <c r="IJ60" s="84">
        <v>304761</v>
      </c>
      <c r="IK60" s="84">
        <v>3447804</v>
      </c>
      <c r="IL60" s="84">
        <v>56651</v>
      </c>
      <c r="IM60" s="84">
        <v>5767810</v>
      </c>
      <c r="IN60" s="84">
        <v>854451</v>
      </c>
      <c r="IO60" s="84">
        <v>3996861</v>
      </c>
      <c r="IP60" s="84">
        <v>32699</v>
      </c>
      <c r="IQ60" s="84">
        <v>384254</v>
      </c>
      <c r="IR60" s="84">
        <v>8522881</v>
      </c>
      <c r="IS60" s="96">
        <v>421439</v>
      </c>
      <c r="IT60" s="99">
        <v>2150134</v>
      </c>
      <c r="IU60" s="84">
        <v>1737775</v>
      </c>
      <c r="IV60" s="84">
        <v>94183</v>
      </c>
      <c r="IW60" s="84">
        <v>2907769</v>
      </c>
      <c r="IX60" s="84">
        <v>55929</v>
      </c>
      <c r="IY60" s="68">
        <v>636724</v>
      </c>
      <c r="IZ60" s="68">
        <v>2722907</v>
      </c>
      <c r="JA60" s="68">
        <v>1566909</v>
      </c>
      <c r="JB60" s="68">
        <v>22959</v>
      </c>
      <c r="JC60" s="68">
        <v>5349</v>
      </c>
      <c r="JD60" s="68">
        <v>5152083</v>
      </c>
      <c r="JE60" s="68">
        <v>95783</v>
      </c>
      <c r="JF60" s="68">
        <v>3103023</v>
      </c>
      <c r="JG60" s="68">
        <v>2521</v>
      </c>
      <c r="JH60" s="68">
        <v>109629</v>
      </c>
      <c r="JI60" s="68">
        <v>3474</v>
      </c>
      <c r="JJ60" s="68">
        <v>27589</v>
      </c>
      <c r="JK60" s="68">
        <v>7287</v>
      </c>
      <c r="JL60" s="68">
        <v>197566</v>
      </c>
      <c r="JM60" s="68">
        <v>48209</v>
      </c>
      <c r="JN60" s="68">
        <v>1055841</v>
      </c>
      <c r="JO60" s="68">
        <v>9157</v>
      </c>
      <c r="JP60" s="68">
        <v>1014067</v>
      </c>
      <c r="JQ60" s="68" t="s">
        <v>4</v>
      </c>
      <c r="JR60" s="68">
        <v>454185</v>
      </c>
      <c r="JS60" s="68">
        <v>32984</v>
      </c>
      <c r="JT60" s="68">
        <v>3561</v>
      </c>
      <c r="JU60" s="68">
        <v>47086</v>
      </c>
      <c r="JV60" s="68">
        <v>397151</v>
      </c>
      <c r="JW60" s="68">
        <v>428735</v>
      </c>
      <c r="JX60" s="68">
        <v>21763911</v>
      </c>
      <c r="JY60" s="68">
        <v>494645</v>
      </c>
      <c r="JZ60" s="68">
        <v>9326</v>
      </c>
      <c r="KA60" s="68">
        <v>17286557</v>
      </c>
      <c r="KB60" s="68">
        <v>968034</v>
      </c>
      <c r="KC60" s="68">
        <v>151908</v>
      </c>
      <c r="KD60" s="68">
        <v>176253</v>
      </c>
      <c r="KE60" s="68">
        <v>9064</v>
      </c>
      <c r="KF60" s="68">
        <v>14047086</v>
      </c>
      <c r="KG60" s="68">
        <v>131566</v>
      </c>
      <c r="KH60" s="68">
        <v>7276</v>
      </c>
      <c r="KI60" s="68">
        <v>12416155</v>
      </c>
      <c r="KJ60" s="68">
        <v>52227</v>
      </c>
      <c r="KK60" s="68">
        <v>10488391</v>
      </c>
      <c r="KL60" s="68">
        <v>506590000</v>
      </c>
      <c r="KM60" s="68">
        <v>6714735</v>
      </c>
      <c r="KN60" s="68">
        <v>213462471</v>
      </c>
      <c r="KO60" s="68">
        <v>11453170</v>
      </c>
      <c r="KP60" s="68">
        <v>379567</v>
      </c>
      <c r="KQ60" s="68">
        <v>52841</v>
      </c>
      <c r="KR60" s="68">
        <v>1071903</v>
      </c>
      <c r="KS60" s="68">
        <v>18228</v>
      </c>
      <c r="KT60" s="68">
        <v>17906</v>
      </c>
      <c r="KU60" s="68">
        <v>876176</v>
      </c>
      <c r="KV60" s="68">
        <v>105574</v>
      </c>
      <c r="KW60" s="68">
        <v>34344</v>
      </c>
      <c r="KX60" s="68">
        <v>91093</v>
      </c>
      <c r="KY60" s="68">
        <v>44248</v>
      </c>
      <c r="KZ60" s="68">
        <v>129975</v>
      </c>
      <c r="LA60" s="68">
        <v>8376</v>
      </c>
      <c r="LB60" s="68">
        <v>37465</v>
      </c>
      <c r="LC60" s="104">
        <v>3363862</v>
      </c>
      <c r="LD60" s="104">
        <v>81510</v>
      </c>
      <c r="LE60" s="104">
        <v>1301441</v>
      </c>
      <c r="LF60" s="104">
        <v>73868</v>
      </c>
      <c r="LG60" s="104">
        <v>15220</v>
      </c>
      <c r="LH60" s="102" t="s">
        <v>187</v>
      </c>
      <c r="LI60" s="104">
        <v>50251</v>
      </c>
      <c r="LJ60" s="102" t="s">
        <v>187</v>
      </c>
      <c r="LK60" s="104">
        <v>13899891</v>
      </c>
      <c r="LL60" s="102" t="s">
        <v>187</v>
      </c>
    </row>
    <row r="61" spans="1:324">
      <c r="A61" s="69" t="s">
        <v>185</v>
      </c>
      <c r="B61" s="93" t="s">
        <v>62</v>
      </c>
      <c r="C61" s="84"/>
      <c r="D61" s="84">
        <v>3099000</v>
      </c>
      <c r="E61" s="84">
        <v>28418</v>
      </c>
      <c r="F61" s="84">
        <v>27557348</v>
      </c>
      <c r="G61" s="84" t="s">
        <v>130</v>
      </c>
      <c r="H61" s="84"/>
      <c r="I61" s="84"/>
      <c r="J61" s="84" t="s">
        <v>4</v>
      </c>
      <c r="K61" s="84">
        <v>899000</v>
      </c>
      <c r="L61" s="84" t="s">
        <v>96</v>
      </c>
      <c r="M61" s="84" t="s">
        <v>96</v>
      </c>
      <c r="N61" s="84"/>
      <c r="O61" s="84"/>
      <c r="P61" s="84"/>
      <c r="Q61" s="84">
        <v>181597</v>
      </c>
      <c r="R61" s="84" t="s">
        <v>130</v>
      </c>
      <c r="S61" s="84"/>
      <c r="T61" s="84" t="s">
        <v>96</v>
      </c>
      <c r="U61" s="84" t="s">
        <v>96</v>
      </c>
      <c r="V61" s="84" t="s">
        <v>4</v>
      </c>
      <c r="W61" s="84">
        <v>21627273</v>
      </c>
      <c r="X61" s="84"/>
      <c r="Y61" s="84"/>
      <c r="Z61" s="84"/>
      <c r="AA61" s="84">
        <v>4201818</v>
      </c>
      <c r="AB61" s="84"/>
      <c r="AC61" s="84"/>
      <c r="AD61" s="84">
        <v>4197553</v>
      </c>
      <c r="AE61" s="84"/>
      <c r="AF61" s="84" t="s">
        <v>96</v>
      </c>
      <c r="AG61" s="84">
        <v>5000000</v>
      </c>
      <c r="AH61" s="84" t="s">
        <v>130</v>
      </c>
      <c r="AI61" s="84"/>
      <c r="AJ61" s="84"/>
      <c r="AK61" s="84">
        <v>582559</v>
      </c>
      <c r="AL61" s="84"/>
      <c r="AM61" s="84" t="s">
        <v>4</v>
      </c>
      <c r="AN61" s="84"/>
      <c r="AO61" s="84">
        <v>27708</v>
      </c>
      <c r="AP61" s="84"/>
      <c r="AQ61" s="84" t="s">
        <v>4</v>
      </c>
      <c r="AR61" s="84"/>
      <c r="AS61" s="84"/>
      <c r="AT61" s="84" t="s">
        <v>96</v>
      </c>
      <c r="AU61" s="84"/>
      <c r="AV61" s="84"/>
      <c r="AW61" s="84"/>
      <c r="AX61" s="84" t="s">
        <v>4</v>
      </c>
      <c r="AY61" s="84" t="s">
        <v>96</v>
      </c>
      <c r="AZ61" s="84"/>
      <c r="BA61" s="84" t="s">
        <v>130</v>
      </c>
      <c r="BB61" s="84"/>
      <c r="BC61" s="84" t="s">
        <v>4</v>
      </c>
      <c r="BD61" s="84" t="s">
        <v>96</v>
      </c>
      <c r="BE61" s="84">
        <v>2726272</v>
      </c>
      <c r="BF61" s="84" t="s">
        <v>96</v>
      </c>
      <c r="BG61" s="84">
        <v>4090</v>
      </c>
      <c r="BH61" s="84"/>
      <c r="BI61" s="84"/>
      <c r="BJ61" s="84"/>
      <c r="BK61" s="84"/>
      <c r="BL61" s="84"/>
      <c r="BM61" s="84"/>
      <c r="BN61" s="84"/>
      <c r="BO61" s="84" t="s">
        <v>96</v>
      </c>
      <c r="BP61" s="84" t="s">
        <v>96</v>
      </c>
      <c r="BQ61" s="84" t="s">
        <v>4</v>
      </c>
      <c r="BR61" s="84">
        <v>180</v>
      </c>
      <c r="BS61" s="84" t="s">
        <v>4</v>
      </c>
      <c r="BT61" s="84" t="s">
        <v>96</v>
      </c>
      <c r="BU61" s="85">
        <v>56805</v>
      </c>
      <c r="BV61" s="84"/>
      <c r="BW61" s="84"/>
      <c r="BX61" s="84"/>
      <c r="BY61" s="84">
        <v>11491663</v>
      </c>
      <c r="BZ61" s="84"/>
      <c r="CA61" s="84"/>
      <c r="CB61" s="84"/>
      <c r="CC61" s="84"/>
      <c r="CD61" s="84">
        <v>15941729</v>
      </c>
      <c r="CE61" s="84" t="s">
        <v>96</v>
      </c>
      <c r="CF61" s="84" t="s">
        <v>96</v>
      </c>
      <c r="CG61" s="84">
        <v>0</v>
      </c>
      <c r="CH61" s="84">
        <v>0</v>
      </c>
      <c r="CI61" s="84" t="s">
        <v>96</v>
      </c>
      <c r="CJ61" s="84"/>
      <c r="CK61" s="84">
        <v>0</v>
      </c>
      <c r="CL61" s="84"/>
      <c r="CM61" s="84"/>
      <c r="CN61" s="84"/>
      <c r="CO61" s="84"/>
      <c r="CP61" s="84" t="s">
        <v>96</v>
      </c>
      <c r="CQ61" s="84" t="s">
        <v>96</v>
      </c>
      <c r="CR61" s="84"/>
      <c r="CS61" s="84" t="s">
        <v>96</v>
      </c>
      <c r="CT61" s="84">
        <v>68971055</v>
      </c>
      <c r="CU61" s="84"/>
      <c r="CV61" s="84"/>
      <c r="CW61" s="84" t="s">
        <v>96</v>
      </c>
      <c r="CX61" s="84">
        <v>18792766</v>
      </c>
      <c r="CY61" s="84" t="s">
        <v>96</v>
      </c>
      <c r="CZ61" s="84">
        <v>12842216</v>
      </c>
      <c r="DA61" s="84" t="s">
        <v>96</v>
      </c>
      <c r="DB61" s="86"/>
      <c r="DC61" s="84"/>
      <c r="DD61" s="84" t="s">
        <v>96</v>
      </c>
      <c r="DE61" s="84"/>
      <c r="DF61" s="84"/>
      <c r="DG61" s="84"/>
      <c r="DH61" s="84"/>
      <c r="DI61" s="84">
        <v>908091</v>
      </c>
      <c r="DJ61" s="84"/>
      <c r="DK61" s="84" t="s">
        <v>96</v>
      </c>
      <c r="DL61" s="84"/>
      <c r="DM61" s="84"/>
      <c r="DN61" s="84">
        <v>66214815</v>
      </c>
      <c r="DO61" s="84"/>
      <c r="DP61" s="84"/>
      <c r="DQ61" s="84"/>
      <c r="DR61" s="84"/>
      <c r="DS61" s="84"/>
      <c r="DT61" s="84"/>
      <c r="DU61" s="84"/>
      <c r="DV61" s="84"/>
      <c r="DW61" s="84"/>
      <c r="DX61" s="84"/>
      <c r="DY61" s="84"/>
      <c r="DZ61" s="84">
        <v>663172</v>
      </c>
      <c r="EA61" s="84"/>
      <c r="EB61" s="84">
        <v>0</v>
      </c>
      <c r="EC61" s="84"/>
      <c r="ED61" s="84"/>
      <c r="EE61" s="84">
        <v>0</v>
      </c>
      <c r="EF61" s="84">
        <v>0</v>
      </c>
      <c r="EG61" s="96">
        <v>1042483</v>
      </c>
      <c r="EH61" s="99"/>
      <c r="EI61" s="97"/>
      <c r="EJ61" s="84"/>
      <c r="EK61" s="84"/>
      <c r="EL61" s="84">
        <v>0</v>
      </c>
      <c r="EM61" s="84">
        <v>283909</v>
      </c>
      <c r="EN61" s="84"/>
      <c r="EO61" s="84"/>
      <c r="EP61" s="84"/>
      <c r="EQ61" s="84"/>
      <c r="ER61" s="84"/>
      <c r="ES61" s="84"/>
      <c r="ET61" s="84">
        <v>54155824</v>
      </c>
      <c r="EU61" s="84"/>
      <c r="EV61" s="84"/>
      <c r="EW61" s="84">
        <v>500000</v>
      </c>
      <c r="EX61" s="84">
        <v>3232363</v>
      </c>
      <c r="EY61" s="84"/>
      <c r="EZ61" s="84"/>
      <c r="FA61" s="84"/>
      <c r="FB61" s="84"/>
      <c r="FC61" s="84"/>
      <c r="FD61" s="84"/>
      <c r="FE61" s="84"/>
      <c r="FF61" s="84"/>
      <c r="FG61" s="84" t="s">
        <v>96</v>
      </c>
      <c r="FH61" s="84">
        <v>1745364</v>
      </c>
      <c r="FI61" s="84" t="s">
        <v>96</v>
      </c>
      <c r="FJ61" s="84"/>
      <c r="FK61" s="84"/>
      <c r="FL61" s="84"/>
      <c r="FM61" s="84" t="s">
        <v>130</v>
      </c>
      <c r="FN61" s="84"/>
      <c r="FO61" s="84" t="s">
        <v>96</v>
      </c>
      <c r="FP61" s="84" t="s">
        <v>96</v>
      </c>
      <c r="FQ61" s="84"/>
      <c r="FR61" s="84"/>
      <c r="FS61" s="86"/>
      <c r="FT61" s="84"/>
      <c r="FU61" s="84"/>
      <c r="FV61" s="84" t="s">
        <v>96</v>
      </c>
      <c r="FW61" s="84"/>
      <c r="FX61" s="84"/>
      <c r="FY61" s="84" t="s">
        <v>96</v>
      </c>
      <c r="FZ61" s="84" t="s">
        <v>4</v>
      </c>
      <c r="GA61" s="84"/>
      <c r="GB61" s="84"/>
      <c r="GC61" s="84"/>
      <c r="GD61" s="84" t="s">
        <v>96</v>
      </c>
      <c r="GE61" s="84" t="s">
        <v>4</v>
      </c>
      <c r="GF61" s="84">
        <v>9254348</v>
      </c>
      <c r="GG61" s="84"/>
      <c r="GH61" s="84" t="s">
        <v>4</v>
      </c>
      <c r="GI61" s="84"/>
      <c r="GJ61" s="84" t="s">
        <v>96</v>
      </c>
      <c r="GK61" s="84"/>
      <c r="GL61" s="84" t="s">
        <v>96</v>
      </c>
      <c r="GM61" s="84"/>
      <c r="GN61" s="84"/>
      <c r="GO61" s="84" t="s">
        <v>96</v>
      </c>
      <c r="GP61" s="84"/>
      <c r="GQ61" s="84"/>
      <c r="GR61" s="84"/>
      <c r="GS61" s="84"/>
      <c r="GT61" s="84" t="s">
        <v>130</v>
      </c>
      <c r="GU61" s="84"/>
      <c r="GV61" s="84">
        <v>0</v>
      </c>
      <c r="GW61" s="84"/>
      <c r="GX61" s="84"/>
      <c r="GY61" s="84"/>
      <c r="GZ61" s="84"/>
      <c r="HA61" s="84" t="s">
        <v>96</v>
      </c>
      <c r="HB61" s="84">
        <v>0</v>
      </c>
      <c r="HC61" s="84" t="s">
        <v>130</v>
      </c>
      <c r="HD61" s="84"/>
      <c r="HE61" s="84" t="s">
        <v>96</v>
      </c>
      <c r="HF61" s="84"/>
      <c r="HG61" s="84"/>
      <c r="HH61" s="84" t="s">
        <v>96</v>
      </c>
      <c r="HI61" s="84">
        <v>2709</v>
      </c>
      <c r="HJ61" s="84" t="s">
        <v>96</v>
      </c>
      <c r="HK61" s="84"/>
      <c r="HL61" s="84"/>
      <c r="HM61" s="84">
        <v>982229</v>
      </c>
      <c r="HN61" s="84"/>
      <c r="HO61" s="84"/>
      <c r="HP61" s="84">
        <v>4259566</v>
      </c>
      <c r="HQ61" s="84"/>
      <c r="HR61" s="84"/>
      <c r="HS61" s="84"/>
      <c r="HT61" s="84"/>
      <c r="HU61" s="84" t="s">
        <v>130</v>
      </c>
      <c r="HV61" s="84"/>
      <c r="HW61" s="84" t="s">
        <v>96</v>
      </c>
      <c r="HX61" s="84"/>
      <c r="HY61" s="84" t="s">
        <v>114</v>
      </c>
      <c r="HZ61" s="84"/>
      <c r="IA61" s="84"/>
      <c r="IB61" s="84">
        <v>3952850</v>
      </c>
      <c r="IC61" s="84"/>
      <c r="ID61" s="84"/>
      <c r="IE61" s="84" t="s">
        <v>96</v>
      </c>
      <c r="IF61" s="84"/>
      <c r="IG61" s="84"/>
      <c r="IH61" s="84"/>
      <c r="II61" s="84"/>
      <c r="IJ61" s="84"/>
      <c r="IK61" s="84"/>
      <c r="IL61" s="84"/>
      <c r="IM61" s="84"/>
      <c r="IN61" s="84"/>
      <c r="IO61" s="84"/>
      <c r="IP61" s="84"/>
      <c r="IQ61" s="84"/>
      <c r="IR61" s="84"/>
      <c r="IS61" s="96"/>
      <c r="IT61" s="99">
        <v>0</v>
      </c>
      <c r="IU61" s="84"/>
      <c r="IV61" s="84"/>
      <c r="IW61" s="84"/>
      <c r="IX61" s="84"/>
      <c r="IY61" s="68"/>
      <c r="IZ61" s="68"/>
      <c r="JA61" s="68"/>
      <c r="JB61" s="68"/>
      <c r="JC61" s="68"/>
      <c r="JD61" s="68">
        <v>0</v>
      </c>
      <c r="JE61" s="68"/>
      <c r="JF61" s="68"/>
      <c r="JG61" s="68"/>
      <c r="JH61" s="68"/>
      <c r="JI61" s="68"/>
      <c r="JJ61" s="68"/>
      <c r="JK61" s="68"/>
      <c r="JL61" s="68"/>
      <c r="JM61" s="68"/>
      <c r="JN61" s="68">
        <v>5444809</v>
      </c>
      <c r="JO61" s="68"/>
      <c r="JP61" s="68"/>
      <c r="JQ61" s="68" t="s">
        <v>4</v>
      </c>
      <c r="JR61" s="68"/>
      <c r="JS61" s="68"/>
      <c r="JT61" s="68"/>
      <c r="JU61" s="68"/>
      <c r="JV61" s="68"/>
      <c r="JW61" s="68"/>
      <c r="JX61" s="68"/>
      <c r="JY61" s="68"/>
      <c r="JZ61" s="68"/>
      <c r="KA61" s="68"/>
      <c r="KB61" s="68">
        <v>5226381</v>
      </c>
      <c r="KC61" s="68"/>
      <c r="KD61" s="68"/>
      <c r="KE61" s="68"/>
      <c r="KF61" s="68">
        <v>41095000</v>
      </c>
      <c r="KG61" s="68"/>
      <c r="KH61" s="68"/>
      <c r="KI61" s="68"/>
      <c r="KJ61" s="68"/>
      <c r="KK61" s="68"/>
      <c r="KL61" s="68">
        <v>37120000</v>
      </c>
      <c r="KM61" s="68"/>
      <c r="KN61" s="68"/>
      <c r="KO61" s="68">
        <v>45920000</v>
      </c>
      <c r="KP61" s="68"/>
      <c r="KQ61" s="68"/>
      <c r="KR61" s="68">
        <v>3836331</v>
      </c>
      <c r="KS61" s="68"/>
      <c r="KT61" s="68"/>
      <c r="KU61" s="68">
        <v>5058757</v>
      </c>
      <c r="KV61" s="68"/>
      <c r="KW61" s="68">
        <v>0</v>
      </c>
      <c r="KX61" s="68"/>
      <c r="KY61" s="68">
        <v>4956190</v>
      </c>
      <c r="KZ61" s="68"/>
      <c r="LA61" s="68"/>
      <c r="LB61" s="68"/>
      <c r="LC61" s="104"/>
      <c r="LD61" s="104"/>
      <c r="LE61" s="104"/>
      <c r="LF61" s="104"/>
      <c r="LG61" s="104"/>
      <c r="LH61" s="102" t="s">
        <v>187</v>
      </c>
      <c r="LI61" s="104"/>
      <c r="LJ61" s="102" t="s">
        <v>187</v>
      </c>
      <c r="LK61" s="104">
        <v>89982</v>
      </c>
      <c r="LL61" s="102" t="s">
        <v>187</v>
      </c>
    </row>
    <row r="62" spans="1:324">
      <c r="A62" s="69" t="s">
        <v>185</v>
      </c>
      <c r="B62" s="93" t="s">
        <v>20</v>
      </c>
      <c r="C62" s="84">
        <v>42889359</v>
      </c>
      <c r="D62" s="84">
        <v>2207301605</v>
      </c>
      <c r="E62" s="84">
        <v>13315136</v>
      </c>
      <c r="F62" s="84"/>
      <c r="G62" s="84" t="s">
        <v>130</v>
      </c>
      <c r="H62" s="84">
        <v>146867814</v>
      </c>
      <c r="I62" s="84"/>
      <c r="J62" s="84" t="s">
        <v>4</v>
      </c>
      <c r="K62" s="84">
        <v>1102872</v>
      </c>
      <c r="L62" s="84" t="s">
        <v>96</v>
      </c>
      <c r="M62" s="84" t="s">
        <v>96</v>
      </c>
      <c r="N62" s="84">
        <v>22620239</v>
      </c>
      <c r="O62" s="84">
        <v>7573257</v>
      </c>
      <c r="P62" s="84">
        <v>12014220</v>
      </c>
      <c r="Q62" s="84">
        <v>74492</v>
      </c>
      <c r="R62" s="84" t="s">
        <v>130</v>
      </c>
      <c r="S62" s="84">
        <v>30570068</v>
      </c>
      <c r="T62" s="84" t="s">
        <v>96</v>
      </c>
      <c r="U62" s="84" t="s">
        <v>96</v>
      </c>
      <c r="V62" s="84" t="s">
        <v>4</v>
      </c>
      <c r="W62" s="84">
        <v>18652007</v>
      </c>
      <c r="X62" s="84">
        <v>83623879</v>
      </c>
      <c r="Y62" s="84">
        <v>107113</v>
      </c>
      <c r="Z62" s="84">
        <v>1</v>
      </c>
      <c r="AA62" s="84">
        <v>80503209</v>
      </c>
      <c r="AB62" s="84">
        <v>97468489</v>
      </c>
      <c r="AC62" s="84"/>
      <c r="AD62" s="84">
        <v>7854687</v>
      </c>
      <c r="AE62" s="84"/>
      <c r="AF62" s="84" t="s">
        <v>96</v>
      </c>
      <c r="AG62" s="84">
        <v>314647</v>
      </c>
      <c r="AH62" s="84" t="s">
        <v>130</v>
      </c>
      <c r="AI62" s="84">
        <v>2541370</v>
      </c>
      <c r="AJ62" s="84"/>
      <c r="AK62" s="84">
        <v>4853289</v>
      </c>
      <c r="AL62" s="84">
        <v>8991371</v>
      </c>
      <c r="AM62" s="84" t="s">
        <v>4</v>
      </c>
      <c r="AN62" s="84">
        <v>806143</v>
      </c>
      <c r="AO62" s="84">
        <v>13564617</v>
      </c>
      <c r="AP62" s="84">
        <v>11000000</v>
      </c>
      <c r="AQ62" s="84" t="s">
        <v>4</v>
      </c>
      <c r="AR62" s="84">
        <v>29578403</v>
      </c>
      <c r="AS62" s="84">
        <v>56791884</v>
      </c>
      <c r="AT62" s="84" t="s">
        <v>96</v>
      </c>
      <c r="AU62" s="84">
        <v>373037135</v>
      </c>
      <c r="AV62" s="84">
        <v>234417</v>
      </c>
      <c r="AW62" s="84">
        <v>39</v>
      </c>
      <c r="AX62" s="84" t="s">
        <v>4</v>
      </c>
      <c r="AY62" s="84" t="s">
        <v>96</v>
      </c>
      <c r="AZ62" s="84">
        <v>16912570</v>
      </c>
      <c r="BA62" s="84" t="s">
        <v>130</v>
      </c>
      <c r="BB62" s="84">
        <v>7101966</v>
      </c>
      <c r="BC62" s="84" t="s">
        <v>4</v>
      </c>
      <c r="BD62" s="84" t="s">
        <v>96</v>
      </c>
      <c r="BE62" s="84">
        <v>2783327</v>
      </c>
      <c r="BF62" s="84" t="s">
        <v>96</v>
      </c>
      <c r="BG62" s="84">
        <v>462892</v>
      </c>
      <c r="BH62" s="84">
        <v>24234153</v>
      </c>
      <c r="BI62" s="84">
        <v>4480</v>
      </c>
      <c r="BJ62" s="84">
        <v>941572</v>
      </c>
      <c r="BK62" s="84">
        <v>3234037</v>
      </c>
      <c r="BL62" s="84">
        <v>77420593</v>
      </c>
      <c r="BM62" s="84">
        <v>8334150</v>
      </c>
      <c r="BN62" s="84">
        <v>614040</v>
      </c>
      <c r="BO62" s="84" t="s">
        <v>96</v>
      </c>
      <c r="BP62" s="84" t="s">
        <v>96</v>
      </c>
      <c r="BQ62" s="84" t="s">
        <v>4</v>
      </c>
      <c r="BR62" s="84">
        <v>39833941</v>
      </c>
      <c r="BS62" s="84" t="s">
        <v>4</v>
      </c>
      <c r="BT62" s="84" t="s">
        <v>96</v>
      </c>
      <c r="BU62" s="85">
        <v>7356586</v>
      </c>
      <c r="BV62" s="84">
        <v>1532562</v>
      </c>
      <c r="BW62" s="84">
        <v>122111</v>
      </c>
      <c r="BX62" s="84">
        <v>7208491</v>
      </c>
      <c r="BY62" s="84">
        <v>60692705</v>
      </c>
      <c r="BZ62" s="84">
        <v>442519</v>
      </c>
      <c r="CA62" s="84">
        <v>43237554</v>
      </c>
      <c r="CB62" s="84">
        <v>8648925</v>
      </c>
      <c r="CC62" s="84">
        <v>36791502</v>
      </c>
      <c r="CD62" s="84">
        <v>4326904</v>
      </c>
      <c r="CE62" s="84" t="s">
        <v>96</v>
      </c>
      <c r="CF62" s="84" t="s">
        <v>96</v>
      </c>
      <c r="CG62" s="84">
        <v>3441167</v>
      </c>
      <c r="CH62" s="84">
        <v>72744</v>
      </c>
      <c r="CI62" s="84" t="s">
        <v>96</v>
      </c>
      <c r="CJ62" s="84">
        <v>5001191</v>
      </c>
      <c r="CK62" s="84">
        <v>4231389</v>
      </c>
      <c r="CL62" s="84">
        <v>423349</v>
      </c>
      <c r="CM62" s="84">
        <v>6043188</v>
      </c>
      <c r="CN62" s="84"/>
      <c r="CO62" s="84">
        <v>5007959</v>
      </c>
      <c r="CP62" s="84" t="s">
        <v>96</v>
      </c>
      <c r="CQ62" s="84" t="s">
        <v>96</v>
      </c>
      <c r="CR62" s="84">
        <v>5276190</v>
      </c>
      <c r="CS62" s="84" t="s">
        <v>96</v>
      </c>
      <c r="CT62" s="84">
        <v>283671395</v>
      </c>
      <c r="CU62" s="84"/>
      <c r="CV62" s="84">
        <v>21452670</v>
      </c>
      <c r="CW62" s="84" t="s">
        <v>96</v>
      </c>
      <c r="CX62" s="84">
        <v>5426529</v>
      </c>
      <c r="CY62" s="84" t="s">
        <v>96</v>
      </c>
      <c r="CZ62" s="84">
        <v>1096872</v>
      </c>
      <c r="DA62" s="84" t="s">
        <v>96</v>
      </c>
      <c r="DB62" s="86">
        <v>1017428</v>
      </c>
      <c r="DC62" s="84">
        <v>1943</v>
      </c>
      <c r="DD62" s="84" t="s">
        <v>96</v>
      </c>
      <c r="DE62" s="84">
        <v>5103891</v>
      </c>
      <c r="DF62" s="84">
        <v>4979095</v>
      </c>
      <c r="DG62" s="84">
        <v>2716593</v>
      </c>
      <c r="DH62" s="84">
        <v>19092299</v>
      </c>
      <c r="DI62" s="84">
        <v>36979057</v>
      </c>
      <c r="DJ62" s="84">
        <v>24576096</v>
      </c>
      <c r="DK62" s="84" t="s">
        <v>96</v>
      </c>
      <c r="DL62" s="84">
        <v>13395134</v>
      </c>
      <c r="DM62" s="84">
        <v>5000015</v>
      </c>
      <c r="DN62" s="84">
        <v>991571</v>
      </c>
      <c r="DO62" s="84">
        <v>5002894</v>
      </c>
      <c r="DP62" s="84">
        <v>619811</v>
      </c>
      <c r="DQ62" s="84">
        <v>7150</v>
      </c>
      <c r="DR62" s="84">
        <v>55666</v>
      </c>
      <c r="DS62" s="84">
        <v>9316351</v>
      </c>
      <c r="DT62" s="84">
        <v>53910370</v>
      </c>
      <c r="DU62" s="84">
        <v>404802</v>
      </c>
      <c r="DV62" s="84">
        <v>14454311</v>
      </c>
      <c r="DW62" s="84"/>
      <c r="DX62" s="84">
        <v>71601620</v>
      </c>
      <c r="DY62" s="84">
        <v>14941830</v>
      </c>
      <c r="DZ62" s="84">
        <v>46</v>
      </c>
      <c r="EA62" s="84"/>
      <c r="EB62" s="84">
        <v>19444260</v>
      </c>
      <c r="EC62" s="84">
        <v>2274343</v>
      </c>
      <c r="ED62" s="84">
        <v>494488</v>
      </c>
      <c r="EE62" s="84">
        <v>2793</v>
      </c>
      <c r="EF62" s="84">
        <v>32176436</v>
      </c>
      <c r="EG62" s="96"/>
      <c r="EH62" s="99"/>
      <c r="EI62" s="97">
        <v>147247240</v>
      </c>
      <c r="EJ62" s="84">
        <v>713232</v>
      </c>
      <c r="EK62" s="84"/>
      <c r="EL62" s="84">
        <v>22585004</v>
      </c>
      <c r="EM62" s="84">
        <v>284566</v>
      </c>
      <c r="EN62" s="84">
        <v>54368776</v>
      </c>
      <c r="EO62" s="84">
        <v>196881</v>
      </c>
      <c r="EP62" s="84">
        <v>18122042</v>
      </c>
      <c r="EQ62" s="84">
        <v>87229838</v>
      </c>
      <c r="ER62" s="84">
        <v>21666655</v>
      </c>
      <c r="ES62" s="84"/>
      <c r="ET62" s="84">
        <v>14311508</v>
      </c>
      <c r="EU62" s="84">
        <v>1541859</v>
      </c>
      <c r="EV62" s="84">
        <v>2961542</v>
      </c>
      <c r="EW62" s="84">
        <v>1091395</v>
      </c>
      <c r="EX62" s="84">
        <v>1352094</v>
      </c>
      <c r="EY62" s="84">
        <v>390707</v>
      </c>
      <c r="EZ62" s="84">
        <v>327241</v>
      </c>
      <c r="FA62" s="84">
        <v>18218477</v>
      </c>
      <c r="FB62" s="84">
        <v>3616020</v>
      </c>
      <c r="FC62" s="84">
        <v>231864</v>
      </c>
      <c r="FD62" s="84">
        <v>47274</v>
      </c>
      <c r="FE62" s="84">
        <v>3361383</v>
      </c>
      <c r="FF62" s="84">
        <v>509995</v>
      </c>
      <c r="FG62" s="84" t="s">
        <v>96</v>
      </c>
      <c r="FH62" s="84">
        <v>14049736</v>
      </c>
      <c r="FI62" s="84" t="s">
        <v>96</v>
      </c>
      <c r="FJ62" s="84">
        <v>7821598</v>
      </c>
      <c r="FK62" s="84">
        <v>27769616</v>
      </c>
      <c r="FL62" s="84">
        <v>56175016</v>
      </c>
      <c r="FM62" s="84" t="s">
        <v>130</v>
      </c>
      <c r="FN62" s="84">
        <v>8104449</v>
      </c>
      <c r="FO62" s="84" t="s">
        <v>96</v>
      </c>
      <c r="FP62" s="84" t="s">
        <v>96</v>
      </c>
      <c r="FQ62" s="84">
        <v>5000004</v>
      </c>
      <c r="FR62" s="84">
        <v>278535</v>
      </c>
      <c r="FS62" s="86">
        <v>579667</v>
      </c>
      <c r="FT62" s="84">
        <v>2570280</v>
      </c>
      <c r="FU62" s="84">
        <v>5000004</v>
      </c>
      <c r="FV62" s="84" t="s">
        <v>96</v>
      </c>
      <c r="FW62" s="84">
        <v>29611</v>
      </c>
      <c r="FX62" s="84">
        <v>24775</v>
      </c>
      <c r="FY62" s="84" t="s">
        <v>96</v>
      </c>
      <c r="FZ62" s="84" t="s">
        <v>4</v>
      </c>
      <c r="GA62" s="84">
        <v>500026</v>
      </c>
      <c r="GB62" s="84"/>
      <c r="GC62" s="84"/>
      <c r="GD62" s="84" t="s">
        <v>96</v>
      </c>
      <c r="GE62" s="84" t="s">
        <v>4</v>
      </c>
      <c r="GF62" s="84">
        <v>25859112</v>
      </c>
      <c r="GG62" s="84">
        <v>280640463</v>
      </c>
      <c r="GH62" s="84" t="s">
        <v>4</v>
      </c>
      <c r="GI62" s="84">
        <v>535413</v>
      </c>
      <c r="GJ62" s="84" t="s">
        <v>96</v>
      </c>
      <c r="GK62" s="84">
        <v>28647</v>
      </c>
      <c r="GL62" s="84" t="s">
        <v>96</v>
      </c>
      <c r="GM62" s="84">
        <v>38061434</v>
      </c>
      <c r="GN62" s="84">
        <v>48147019</v>
      </c>
      <c r="GO62" s="84" t="s">
        <v>96</v>
      </c>
      <c r="GP62" s="84">
        <v>33452010</v>
      </c>
      <c r="GQ62" s="84">
        <v>250330</v>
      </c>
      <c r="GR62" s="84">
        <v>585048474</v>
      </c>
      <c r="GS62" s="84">
        <v>463009</v>
      </c>
      <c r="GT62" s="84" t="s">
        <v>130</v>
      </c>
      <c r="GU62" s="84">
        <v>107</v>
      </c>
      <c r="GV62" s="84">
        <v>140537452</v>
      </c>
      <c r="GW62" s="84">
        <v>791248500</v>
      </c>
      <c r="GX62" s="84">
        <v>188576</v>
      </c>
      <c r="GY62" s="84"/>
      <c r="GZ62" s="84">
        <v>3742198</v>
      </c>
      <c r="HA62" s="84" t="s">
        <v>96</v>
      </c>
      <c r="HB62" s="84">
        <v>160</v>
      </c>
      <c r="HC62" s="84" t="s">
        <v>130</v>
      </c>
      <c r="HD62" s="84">
        <v>3127246</v>
      </c>
      <c r="HE62" s="84" t="s">
        <v>96</v>
      </c>
      <c r="HF62" s="84"/>
      <c r="HG62" s="84"/>
      <c r="HH62" s="84" t="s">
        <v>96</v>
      </c>
      <c r="HI62" s="84"/>
      <c r="HJ62" s="84" t="s">
        <v>96</v>
      </c>
      <c r="HK62" s="84">
        <v>1020659</v>
      </c>
      <c r="HL62" s="84">
        <v>70941964</v>
      </c>
      <c r="HM62" s="84">
        <v>170296237</v>
      </c>
      <c r="HN62" s="84">
        <v>125610</v>
      </c>
      <c r="HO62" s="84">
        <v>32635171</v>
      </c>
      <c r="HP62" s="84">
        <v>4861307</v>
      </c>
      <c r="HQ62" s="84"/>
      <c r="HR62" s="84"/>
      <c r="HS62" s="84">
        <v>2986139</v>
      </c>
      <c r="HT62" s="84">
        <v>4316</v>
      </c>
      <c r="HU62" s="84" t="s">
        <v>130</v>
      </c>
      <c r="HV62" s="84">
        <v>538944</v>
      </c>
      <c r="HW62" s="84" t="s">
        <v>96</v>
      </c>
      <c r="HX62" s="84">
        <v>2750947</v>
      </c>
      <c r="HY62" s="84" t="s">
        <v>114</v>
      </c>
      <c r="HZ62" s="84">
        <v>4303451</v>
      </c>
      <c r="IA62" s="84">
        <v>21293</v>
      </c>
      <c r="IB62" s="84"/>
      <c r="IC62" s="84">
        <v>862444</v>
      </c>
      <c r="ID62" s="84">
        <v>52416910</v>
      </c>
      <c r="IE62" s="84" t="s">
        <v>96</v>
      </c>
      <c r="IF62" s="84"/>
      <c r="IG62" s="84">
        <v>20</v>
      </c>
      <c r="IH62" s="84">
        <v>2291989</v>
      </c>
      <c r="II62" s="84">
        <v>0</v>
      </c>
      <c r="IJ62" s="84">
        <v>23367839</v>
      </c>
      <c r="IK62" s="84"/>
      <c r="IL62" s="84"/>
      <c r="IM62" s="84">
        <v>12607571</v>
      </c>
      <c r="IN62" s="84">
        <v>9086356</v>
      </c>
      <c r="IO62" s="84">
        <v>4020564</v>
      </c>
      <c r="IP62" s="84">
        <v>1033809</v>
      </c>
      <c r="IQ62" s="84">
        <v>1890605</v>
      </c>
      <c r="IR62" s="84">
        <v>9845948</v>
      </c>
      <c r="IS62" s="96">
        <v>16151746</v>
      </c>
      <c r="IT62" s="99">
        <v>58508</v>
      </c>
      <c r="IU62" s="84">
        <v>2124403</v>
      </c>
      <c r="IV62" s="84">
        <v>39977235</v>
      </c>
      <c r="IW62" s="84">
        <v>4077035</v>
      </c>
      <c r="IX62" s="84">
        <v>23174738</v>
      </c>
      <c r="IY62" s="68">
        <v>5058405</v>
      </c>
      <c r="IZ62" s="68">
        <v>14807469</v>
      </c>
      <c r="JA62" s="68"/>
      <c r="JB62" s="68">
        <v>185460745</v>
      </c>
      <c r="JC62" s="68"/>
      <c r="JD62" s="68">
        <v>1647592</v>
      </c>
      <c r="JE62" s="68">
        <v>42798590</v>
      </c>
      <c r="JF62" s="68">
        <v>292</v>
      </c>
      <c r="JG62" s="68">
        <v>6502147</v>
      </c>
      <c r="JH62" s="68">
        <v>33420</v>
      </c>
      <c r="JI62" s="68">
        <v>732894</v>
      </c>
      <c r="JJ62" s="68">
        <v>167076661</v>
      </c>
      <c r="JK62" s="68">
        <v>1506785</v>
      </c>
      <c r="JL62" s="68">
        <v>9481275</v>
      </c>
      <c r="JM62" s="68">
        <v>5201355</v>
      </c>
      <c r="JN62" s="68">
        <v>10393692</v>
      </c>
      <c r="JO62" s="68">
        <v>3022118</v>
      </c>
      <c r="JP62" s="68">
        <v>10184513</v>
      </c>
      <c r="JQ62" s="68" t="s">
        <v>4</v>
      </c>
      <c r="JR62" s="68">
        <v>792277279</v>
      </c>
      <c r="JS62" s="68">
        <v>3139309</v>
      </c>
      <c r="JT62" s="68">
        <v>5206071</v>
      </c>
      <c r="JU62" s="68">
        <v>36816122</v>
      </c>
      <c r="JV62" s="68">
        <v>7459251</v>
      </c>
      <c r="JW62" s="68">
        <v>107403288</v>
      </c>
      <c r="JX62" s="68">
        <v>51961986</v>
      </c>
      <c r="JY62" s="68">
        <v>11630047</v>
      </c>
      <c r="JZ62" s="68">
        <v>10220333</v>
      </c>
      <c r="KA62" s="68">
        <v>147675370</v>
      </c>
      <c r="KB62" s="68">
        <v>180208</v>
      </c>
      <c r="KC62" s="68">
        <v>2089898</v>
      </c>
      <c r="KD62" s="68">
        <v>135172</v>
      </c>
      <c r="KE62" s="68">
        <v>23226590</v>
      </c>
      <c r="KF62" s="68">
        <v>1753283</v>
      </c>
      <c r="KG62" s="68">
        <v>4512624</v>
      </c>
      <c r="KH62" s="68">
        <v>22055361</v>
      </c>
      <c r="KI62" s="68">
        <v>3516778</v>
      </c>
      <c r="KJ62" s="68">
        <v>1202216</v>
      </c>
      <c r="KK62" s="68">
        <v>633046</v>
      </c>
      <c r="KL62" s="68"/>
      <c r="KM62" s="68">
        <v>9111893</v>
      </c>
      <c r="KN62" s="68">
        <v>10295972</v>
      </c>
      <c r="KO62" s="68"/>
      <c r="KP62" s="68">
        <v>476647</v>
      </c>
      <c r="KQ62" s="68">
        <v>6990637</v>
      </c>
      <c r="KR62" s="68">
        <v>169261</v>
      </c>
      <c r="KS62" s="68">
        <v>3068712</v>
      </c>
      <c r="KT62" s="68">
        <v>9660785</v>
      </c>
      <c r="KU62" s="68">
        <v>8719897</v>
      </c>
      <c r="KV62" s="68">
        <v>642456</v>
      </c>
      <c r="KW62" s="68">
        <v>181418</v>
      </c>
      <c r="KX62" s="68">
        <v>292000</v>
      </c>
      <c r="KY62" s="68">
        <v>181924</v>
      </c>
      <c r="KZ62" s="68">
        <v>8081959</v>
      </c>
      <c r="LA62" s="68">
        <v>561286</v>
      </c>
      <c r="LB62" s="68">
        <v>13944</v>
      </c>
      <c r="LC62" s="104">
        <v>15863076</v>
      </c>
      <c r="LD62" s="104">
        <v>409524</v>
      </c>
      <c r="LE62" s="104">
        <v>7396470</v>
      </c>
      <c r="LF62" s="104">
        <v>62337</v>
      </c>
      <c r="LG62" s="104">
        <v>3616187</v>
      </c>
      <c r="LH62" s="102" t="s">
        <v>187</v>
      </c>
      <c r="LI62" s="104">
        <v>497</v>
      </c>
      <c r="LJ62" s="102" t="s">
        <v>187</v>
      </c>
      <c r="LK62" s="104">
        <v>730745</v>
      </c>
      <c r="LL62" s="102" t="s">
        <v>187</v>
      </c>
    </row>
    <row r="63" spans="1:324">
      <c r="A63" s="69" t="s">
        <v>185</v>
      </c>
      <c r="B63" s="93" t="s">
        <v>145</v>
      </c>
      <c r="C63" s="84"/>
      <c r="D63" s="84"/>
      <c r="E63" s="84"/>
      <c r="F63" s="84"/>
      <c r="G63" s="84" t="s">
        <v>130</v>
      </c>
      <c r="H63" s="84"/>
      <c r="I63" s="84"/>
      <c r="J63" s="84" t="s">
        <v>4</v>
      </c>
      <c r="K63" s="84"/>
      <c r="L63" s="84" t="s">
        <v>96</v>
      </c>
      <c r="M63" s="84" t="s">
        <v>96</v>
      </c>
      <c r="N63" s="84"/>
      <c r="O63" s="84"/>
      <c r="P63" s="84"/>
      <c r="Q63" s="84"/>
      <c r="R63" s="84" t="s">
        <v>130</v>
      </c>
      <c r="S63" s="84">
        <v>1784989</v>
      </c>
      <c r="T63" s="84" t="s">
        <v>96</v>
      </c>
      <c r="U63" s="84" t="s">
        <v>96</v>
      </c>
      <c r="V63" s="84" t="s">
        <v>4</v>
      </c>
      <c r="W63" s="84"/>
      <c r="X63" s="84"/>
      <c r="Y63" s="84"/>
      <c r="Z63" s="84"/>
      <c r="AA63" s="84"/>
      <c r="AB63" s="84"/>
      <c r="AC63" s="84"/>
      <c r="AD63" s="84">
        <v>17008340</v>
      </c>
      <c r="AE63" s="84"/>
      <c r="AF63" s="84" t="s">
        <v>96</v>
      </c>
      <c r="AG63" s="84"/>
      <c r="AH63" s="84" t="s">
        <v>130</v>
      </c>
      <c r="AI63" s="84"/>
      <c r="AJ63" s="84"/>
      <c r="AK63" s="84"/>
      <c r="AL63" s="84"/>
      <c r="AM63" s="84" t="s">
        <v>4</v>
      </c>
      <c r="AN63" s="84"/>
      <c r="AO63" s="84"/>
      <c r="AP63" s="84"/>
      <c r="AQ63" s="84" t="s">
        <v>4</v>
      </c>
      <c r="AR63" s="84"/>
      <c r="AS63" s="84"/>
      <c r="AT63" s="84" t="s">
        <v>96</v>
      </c>
      <c r="AU63" s="84"/>
      <c r="AV63" s="84"/>
      <c r="AW63" s="84"/>
      <c r="AX63" s="84" t="s">
        <v>4</v>
      </c>
      <c r="AY63" s="84" t="s">
        <v>96</v>
      </c>
      <c r="AZ63" s="84"/>
      <c r="BA63" s="84" t="s">
        <v>130</v>
      </c>
      <c r="BB63" s="84"/>
      <c r="BC63" s="84" t="s">
        <v>4</v>
      </c>
      <c r="BD63" s="84" t="s">
        <v>96</v>
      </c>
      <c r="BE63" s="84"/>
      <c r="BF63" s="84" t="s">
        <v>96</v>
      </c>
      <c r="BG63" s="84"/>
      <c r="BH63" s="84"/>
      <c r="BI63" s="84"/>
      <c r="BJ63" s="84"/>
      <c r="BK63" s="84"/>
      <c r="BL63" s="84"/>
      <c r="BM63" s="84"/>
      <c r="BN63" s="84"/>
      <c r="BO63" s="84" t="s">
        <v>96</v>
      </c>
      <c r="BP63" s="84" t="s">
        <v>96</v>
      </c>
      <c r="BQ63" s="84" t="s">
        <v>4</v>
      </c>
      <c r="BR63" s="84"/>
      <c r="BS63" s="84" t="s">
        <v>4</v>
      </c>
      <c r="BT63" s="84" t="s">
        <v>96</v>
      </c>
      <c r="BU63" s="85"/>
      <c r="BV63" s="84"/>
      <c r="BW63" s="84"/>
      <c r="BX63" s="84"/>
      <c r="BY63" s="84"/>
      <c r="BZ63" s="84"/>
      <c r="CA63" s="84"/>
      <c r="CB63" s="84"/>
      <c r="CC63" s="84"/>
      <c r="CD63" s="84"/>
      <c r="CE63" s="84" t="s">
        <v>96</v>
      </c>
      <c r="CF63" s="84" t="s">
        <v>96</v>
      </c>
      <c r="CG63" s="84"/>
      <c r="CH63" s="84"/>
      <c r="CI63" s="84" t="s">
        <v>96</v>
      </c>
      <c r="CJ63" s="84"/>
      <c r="CK63" s="84"/>
      <c r="CL63" s="84"/>
      <c r="CM63" s="84"/>
      <c r="CN63" s="84"/>
      <c r="CO63" s="84"/>
      <c r="CP63" s="84" t="s">
        <v>96</v>
      </c>
      <c r="CQ63" s="84" t="s">
        <v>96</v>
      </c>
      <c r="CR63" s="84"/>
      <c r="CS63" s="84" t="s">
        <v>96</v>
      </c>
      <c r="CT63" s="84"/>
      <c r="CU63" s="84"/>
      <c r="CV63" s="84"/>
      <c r="CW63" s="84" t="s">
        <v>96</v>
      </c>
      <c r="CX63" s="84"/>
      <c r="CY63" s="84" t="s">
        <v>96</v>
      </c>
      <c r="CZ63" s="84"/>
      <c r="DA63" s="84" t="s">
        <v>96</v>
      </c>
      <c r="DB63" s="86"/>
      <c r="DC63" s="84"/>
      <c r="DD63" s="84" t="s">
        <v>96</v>
      </c>
      <c r="DE63" s="84"/>
      <c r="DF63" s="84"/>
      <c r="DG63" s="84"/>
      <c r="DH63" s="84"/>
      <c r="DI63" s="84"/>
      <c r="DJ63" s="84"/>
      <c r="DK63" s="84" t="s">
        <v>96</v>
      </c>
      <c r="DL63" s="84"/>
      <c r="DM63" s="84"/>
      <c r="DN63" s="84"/>
      <c r="DO63" s="84"/>
      <c r="DP63" s="84"/>
      <c r="DQ63" s="84"/>
      <c r="DR63" s="84"/>
      <c r="DS63" s="84"/>
      <c r="DT63" s="84"/>
      <c r="DU63" s="84"/>
      <c r="DV63" s="84"/>
      <c r="DW63" s="84"/>
      <c r="DX63" s="84"/>
      <c r="DY63" s="84"/>
      <c r="DZ63" s="84"/>
      <c r="EA63" s="84"/>
      <c r="EB63" s="84"/>
      <c r="EC63" s="84"/>
      <c r="ED63" s="84"/>
      <c r="EE63" s="84"/>
      <c r="EF63" s="84"/>
      <c r="EG63" s="96"/>
      <c r="EH63" s="99"/>
      <c r="EI63" s="97"/>
      <c r="EJ63" s="84"/>
      <c r="EK63" s="84"/>
      <c r="EL63" s="84"/>
      <c r="EM63" s="84"/>
      <c r="EN63" s="84"/>
      <c r="EO63" s="84"/>
      <c r="EP63" s="84"/>
      <c r="EQ63" s="84"/>
      <c r="ER63" s="84"/>
      <c r="ES63" s="84"/>
      <c r="ET63" s="84"/>
      <c r="EU63" s="84">
        <v>6001487</v>
      </c>
      <c r="EV63" s="84"/>
      <c r="EW63" s="84"/>
      <c r="EX63" s="84"/>
      <c r="EY63" s="84"/>
      <c r="EZ63" s="84"/>
      <c r="FA63" s="84"/>
      <c r="FB63" s="84"/>
      <c r="FC63" s="84"/>
      <c r="FD63" s="84"/>
      <c r="FE63" s="84"/>
      <c r="FF63" s="84"/>
      <c r="FG63" s="84" t="s">
        <v>96</v>
      </c>
      <c r="FH63" s="84"/>
      <c r="FI63" s="84" t="s">
        <v>96</v>
      </c>
      <c r="FJ63" s="84"/>
      <c r="FK63" s="84"/>
      <c r="FL63" s="84"/>
      <c r="FM63" s="84" t="s">
        <v>130</v>
      </c>
      <c r="FN63" s="84"/>
      <c r="FO63" s="84" t="s">
        <v>96</v>
      </c>
      <c r="FP63" s="84" t="s">
        <v>96</v>
      </c>
      <c r="FQ63" s="84"/>
      <c r="FR63" s="84"/>
      <c r="FS63" s="86"/>
      <c r="FT63" s="84"/>
      <c r="FU63" s="84"/>
      <c r="FV63" s="84" t="s">
        <v>96</v>
      </c>
      <c r="FW63" s="84"/>
      <c r="FX63" s="84"/>
      <c r="FY63" s="84" t="s">
        <v>96</v>
      </c>
      <c r="FZ63" s="84" t="s">
        <v>4</v>
      </c>
      <c r="GA63" s="84"/>
      <c r="GB63" s="84"/>
      <c r="GC63" s="84"/>
      <c r="GD63" s="84" t="s">
        <v>96</v>
      </c>
      <c r="GE63" s="84" t="s">
        <v>4</v>
      </c>
      <c r="GF63" s="84"/>
      <c r="GG63" s="84"/>
      <c r="GH63" s="84" t="s">
        <v>4</v>
      </c>
      <c r="GI63" s="84"/>
      <c r="GJ63" s="84" t="s">
        <v>96</v>
      </c>
      <c r="GK63" s="84"/>
      <c r="GL63" s="84" t="s">
        <v>96</v>
      </c>
      <c r="GM63" s="84"/>
      <c r="GN63" s="84"/>
      <c r="GO63" s="84" t="s">
        <v>96</v>
      </c>
      <c r="GP63" s="84"/>
      <c r="GQ63" s="84"/>
      <c r="GR63" s="84"/>
      <c r="GS63" s="84"/>
      <c r="GT63" s="84" t="s">
        <v>130</v>
      </c>
      <c r="GU63" s="84"/>
      <c r="GV63" s="84"/>
      <c r="GW63" s="84"/>
      <c r="GX63" s="84"/>
      <c r="GY63" s="84"/>
      <c r="GZ63" s="84"/>
      <c r="HA63" s="84" t="s">
        <v>96</v>
      </c>
      <c r="HB63" s="84">
        <v>0</v>
      </c>
      <c r="HC63" s="84" t="s">
        <v>130</v>
      </c>
      <c r="HD63" s="84"/>
      <c r="HE63" s="84" t="s">
        <v>96</v>
      </c>
      <c r="HF63" s="84"/>
      <c r="HG63" s="84"/>
      <c r="HH63" s="84" t="s">
        <v>96</v>
      </c>
      <c r="HI63" s="84"/>
      <c r="HJ63" s="84" t="s">
        <v>96</v>
      </c>
      <c r="HK63" s="84"/>
      <c r="HL63" s="84"/>
      <c r="HM63" s="84"/>
      <c r="HN63" s="84"/>
      <c r="HO63" s="84"/>
      <c r="HP63" s="84"/>
      <c r="HQ63" s="84"/>
      <c r="HR63" s="84"/>
      <c r="HS63" s="84"/>
      <c r="HT63" s="84"/>
      <c r="HU63" s="84" t="s">
        <v>130</v>
      </c>
      <c r="HV63" s="84"/>
      <c r="HW63" s="84" t="s">
        <v>96</v>
      </c>
      <c r="HX63" s="84"/>
      <c r="HY63" s="84" t="s">
        <v>114</v>
      </c>
      <c r="HZ63" s="84"/>
      <c r="IA63" s="84"/>
      <c r="IB63" s="84"/>
      <c r="IC63" s="84">
        <v>1920784</v>
      </c>
      <c r="ID63" s="84"/>
      <c r="IE63" s="84" t="s">
        <v>96</v>
      </c>
      <c r="IF63" s="84"/>
      <c r="IG63" s="84"/>
      <c r="IH63" s="84"/>
      <c r="II63" s="84"/>
      <c r="IJ63" s="84"/>
      <c r="IK63" s="84"/>
      <c r="IL63" s="84"/>
      <c r="IM63" s="84"/>
      <c r="IN63" s="84"/>
      <c r="IO63" s="84"/>
      <c r="IP63" s="84"/>
      <c r="IQ63" s="84"/>
      <c r="IR63" s="84"/>
      <c r="IS63" s="96"/>
      <c r="IT63" s="99">
        <v>284539</v>
      </c>
      <c r="IU63" s="84"/>
      <c r="IV63" s="84"/>
      <c r="IW63" s="84"/>
      <c r="IX63" s="84"/>
      <c r="IY63" s="68"/>
      <c r="IZ63" s="68"/>
      <c r="JA63" s="68"/>
      <c r="JB63" s="68"/>
      <c r="JC63" s="68"/>
      <c r="JD63" s="68"/>
      <c r="JE63" s="68"/>
      <c r="JF63" s="68"/>
      <c r="JG63" s="68"/>
      <c r="JH63" s="68"/>
      <c r="JI63" s="68"/>
      <c r="JJ63" s="68"/>
      <c r="JK63" s="68"/>
      <c r="JL63" s="68"/>
      <c r="JM63" s="68"/>
      <c r="JN63" s="68"/>
      <c r="JO63" s="68"/>
      <c r="JP63" s="68"/>
      <c r="JQ63" s="68" t="s">
        <v>4</v>
      </c>
      <c r="JR63" s="68"/>
      <c r="JS63" s="68"/>
      <c r="JT63" s="68"/>
      <c r="JU63" s="68"/>
      <c r="JV63" s="68"/>
      <c r="JW63" s="68"/>
      <c r="JX63" s="68"/>
      <c r="JY63" s="68"/>
      <c r="JZ63" s="68"/>
      <c r="KA63" s="68"/>
      <c r="KB63" s="68"/>
      <c r="KC63" s="68"/>
      <c r="KD63" s="68"/>
      <c r="KE63" s="68"/>
      <c r="KF63" s="68"/>
      <c r="KG63" s="68"/>
      <c r="KH63" s="68"/>
      <c r="KI63" s="68"/>
      <c r="KJ63" s="68"/>
      <c r="KK63" s="68"/>
      <c r="KL63" s="68"/>
      <c r="KM63" s="68"/>
      <c r="KN63" s="68"/>
      <c r="KO63" s="68"/>
      <c r="KP63" s="68"/>
      <c r="KQ63" s="68"/>
      <c r="KR63" s="68"/>
      <c r="KS63" s="68"/>
      <c r="KT63" s="68"/>
      <c r="KU63" s="68"/>
      <c r="KV63" s="68"/>
      <c r="KW63" s="68"/>
      <c r="KX63" s="68"/>
      <c r="KY63" s="68"/>
      <c r="KZ63" s="68"/>
      <c r="LA63" s="68"/>
      <c r="LB63" s="68"/>
      <c r="LC63" s="104"/>
      <c r="LD63" s="104"/>
      <c r="LE63" s="104"/>
      <c r="LF63" s="104"/>
      <c r="LG63" s="104"/>
      <c r="LH63" s="102" t="s">
        <v>187</v>
      </c>
      <c r="LI63" s="104"/>
      <c r="LJ63" s="102" t="s">
        <v>187</v>
      </c>
      <c r="LK63" s="104"/>
      <c r="LL63" s="102" t="s">
        <v>187</v>
      </c>
    </row>
    <row r="64" spans="1:324">
      <c r="A64" s="69" t="s">
        <v>185</v>
      </c>
      <c r="B64" s="94" t="s">
        <v>78</v>
      </c>
      <c r="C64" s="84">
        <v>0</v>
      </c>
      <c r="D64" s="84">
        <v>0</v>
      </c>
      <c r="E64" s="84">
        <v>86095250</v>
      </c>
      <c r="F64" s="84">
        <v>93277991</v>
      </c>
      <c r="G64" s="84" t="s">
        <v>130</v>
      </c>
      <c r="H64" s="84">
        <v>136508144</v>
      </c>
      <c r="I64" s="84"/>
      <c r="J64" s="84" t="s">
        <v>4</v>
      </c>
      <c r="K64" s="84">
        <v>921760716</v>
      </c>
      <c r="L64" s="84" t="s">
        <v>96</v>
      </c>
      <c r="M64" s="84" t="s">
        <v>96</v>
      </c>
      <c r="N64" s="84">
        <v>73825000</v>
      </c>
      <c r="O64" s="84"/>
      <c r="P64" s="84"/>
      <c r="Q64" s="84">
        <v>5000000</v>
      </c>
      <c r="R64" s="84" t="s">
        <v>130</v>
      </c>
      <c r="S64" s="84">
        <v>0</v>
      </c>
      <c r="T64" s="84" t="s">
        <v>96</v>
      </c>
      <c r="U64" s="84" t="s">
        <v>96</v>
      </c>
      <c r="V64" s="84" t="s">
        <v>4</v>
      </c>
      <c r="W64" s="84">
        <v>7000000</v>
      </c>
      <c r="X64" s="84"/>
      <c r="Y64" s="84">
        <v>5000000</v>
      </c>
      <c r="Z64" s="84"/>
      <c r="AA64" s="84">
        <v>57581420</v>
      </c>
      <c r="AB64" s="84"/>
      <c r="AC64" s="84"/>
      <c r="AD64" s="84"/>
      <c r="AE64" s="84">
        <v>154597351</v>
      </c>
      <c r="AF64" s="84" t="s">
        <v>96</v>
      </c>
      <c r="AG64" s="84">
        <v>0</v>
      </c>
      <c r="AH64" s="84" t="s">
        <v>130</v>
      </c>
      <c r="AI64" s="84"/>
      <c r="AJ64" s="84">
        <v>161392</v>
      </c>
      <c r="AK64" s="84">
        <v>110576000</v>
      </c>
      <c r="AL64" s="84">
        <v>399339590</v>
      </c>
      <c r="AM64" s="84" t="s">
        <v>4</v>
      </c>
      <c r="AN64" s="84">
        <v>24047691</v>
      </c>
      <c r="AO64" s="84">
        <v>0</v>
      </c>
      <c r="AP64" s="84">
        <v>196485116</v>
      </c>
      <c r="AQ64" s="84" t="s">
        <v>4</v>
      </c>
      <c r="AR64" s="84"/>
      <c r="AS64" s="84"/>
      <c r="AT64" s="84" t="s">
        <v>96</v>
      </c>
      <c r="AU64" s="84"/>
      <c r="AV64" s="84">
        <v>5000000</v>
      </c>
      <c r="AW64" s="84">
        <v>5000000</v>
      </c>
      <c r="AX64" s="84" t="s">
        <v>4</v>
      </c>
      <c r="AY64" s="84" t="s">
        <v>96</v>
      </c>
      <c r="AZ64" s="84">
        <v>5000000</v>
      </c>
      <c r="BA64" s="84" t="s">
        <v>130</v>
      </c>
      <c r="BB64" s="84"/>
      <c r="BC64" s="84" t="s">
        <v>4</v>
      </c>
      <c r="BD64" s="84" t="s">
        <v>96</v>
      </c>
      <c r="BE64" s="84"/>
      <c r="BF64" s="84" t="s">
        <v>96</v>
      </c>
      <c r="BG64" s="84">
        <v>10100365</v>
      </c>
      <c r="BH64" s="84">
        <v>5000000</v>
      </c>
      <c r="BI64" s="84">
        <v>107284570</v>
      </c>
      <c r="BJ64" s="84"/>
      <c r="BK64" s="84">
        <v>25227273</v>
      </c>
      <c r="BL64" s="84">
        <v>0</v>
      </c>
      <c r="BM64" s="84">
        <v>189154458</v>
      </c>
      <c r="BN64" s="84">
        <v>5000000</v>
      </c>
      <c r="BO64" s="84" t="s">
        <v>96</v>
      </c>
      <c r="BP64" s="84" t="s">
        <v>96</v>
      </c>
      <c r="BQ64" s="84" t="s">
        <v>4</v>
      </c>
      <c r="BR64" s="84">
        <v>393159440</v>
      </c>
      <c r="BS64" s="84" t="s">
        <v>4</v>
      </c>
      <c r="BT64" s="84" t="s">
        <v>96</v>
      </c>
      <c r="BU64" s="85">
        <v>0</v>
      </c>
      <c r="BV64" s="84">
        <v>65316000</v>
      </c>
      <c r="BW64" s="84">
        <v>15336455</v>
      </c>
      <c r="BX64" s="84"/>
      <c r="BY64" s="84">
        <v>1376503542</v>
      </c>
      <c r="BZ64" s="84">
        <v>5000000</v>
      </c>
      <c r="CA64" s="84"/>
      <c r="CB64" s="84">
        <v>8000000</v>
      </c>
      <c r="CC64" s="84">
        <v>0</v>
      </c>
      <c r="CD64" s="84">
        <v>98662398</v>
      </c>
      <c r="CE64" s="84" t="s">
        <v>96</v>
      </c>
      <c r="CF64" s="84" t="s">
        <v>96</v>
      </c>
      <c r="CG64" s="84">
        <v>69068910</v>
      </c>
      <c r="CH64" s="84">
        <v>76682486</v>
      </c>
      <c r="CI64" s="84" t="s">
        <v>96</v>
      </c>
      <c r="CJ64" s="84"/>
      <c r="CK64" s="84">
        <v>5000000</v>
      </c>
      <c r="CL64" s="84">
        <v>43467275</v>
      </c>
      <c r="CM64" s="84">
        <v>88796250</v>
      </c>
      <c r="CN64" s="84"/>
      <c r="CO64" s="84">
        <v>7000000</v>
      </c>
      <c r="CP64" s="84" t="s">
        <v>96</v>
      </c>
      <c r="CQ64" s="84" t="s">
        <v>96</v>
      </c>
      <c r="CR64" s="84">
        <v>0</v>
      </c>
      <c r="CS64" s="84" t="s">
        <v>96</v>
      </c>
      <c r="CT64" s="84"/>
      <c r="CU64" s="84"/>
      <c r="CV64" s="84"/>
      <c r="CW64" s="84" t="s">
        <v>96</v>
      </c>
      <c r="CX64" s="84">
        <v>10296400</v>
      </c>
      <c r="CY64" s="84" t="s">
        <v>96</v>
      </c>
      <c r="CZ64" s="84"/>
      <c r="DA64" s="84" t="s">
        <v>96</v>
      </c>
      <c r="DB64" s="86"/>
      <c r="DC64" s="84">
        <v>5000000</v>
      </c>
      <c r="DD64" s="84" t="s">
        <v>96</v>
      </c>
      <c r="DE64" s="84">
        <v>98750000</v>
      </c>
      <c r="DF64" s="84">
        <v>5000000</v>
      </c>
      <c r="DG64" s="84">
        <v>68566049</v>
      </c>
      <c r="DH64" s="84">
        <v>70023445</v>
      </c>
      <c r="DI64" s="84"/>
      <c r="DJ64" s="84">
        <v>125000000</v>
      </c>
      <c r="DK64" s="84" t="s">
        <v>96</v>
      </c>
      <c r="DL64" s="84">
        <v>113027468</v>
      </c>
      <c r="DM64" s="84"/>
      <c r="DN64" s="84">
        <v>0</v>
      </c>
      <c r="DO64" s="84"/>
      <c r="DP64" s="84">
        <v>18339150</v>
      </c>
      <c r="DQ64" s="84"/>
      <c r="DR64" s="84">
        <v>10244460</v>
      </c>
      <c r="DS64" s="84"/>
      <c r="DT64" s="84"/>
      <c r="DU64" s="84"/>
      <c r="DV64" s="84">
        <v>140244622</v>
      </c>
      <c r="DW64" s="84">
        <v>99477153</v>
      </c>
      <c r="DX64" s="84">
        <v>361187548</v>
      </c>
      <c r="DY64" s="84">
        <v>11686160</v>
      </c>
      <c r="DZ64" s="84">
        <v>5000000</v>
      </c>
      <c r="EA64" s="84"/>
      <c r="EB64" s="84">
        <v>185251312</v>
      </c>
      <c r="EC64" s="84">
        <v>10553217</v>
      </c>
      <c r="ED64" s="84">
        <v>385352809</v>
      </c>
      <c r="EE64" s="84">
        <v>27449425</v>
      </c>
      <c r="EF64" s="84">
        <v>0</v>
      </c>
      <c r="EG64" s="96"/>
      <c r="EH64" s="99"/>
      <c r="EI64" s="97"/>
      <c r="EJ64" s="84">
        <v>191849000</v>
      </c>
      <c r="EK64" s="84"/>
      <c r="EL64" s="84">
        <v>450760924</v>
      </c>
      <c r="EM64" s="84">
        <v>36292822</v>
      </c>
      <c r="EN64" s="84">
        <v>138425081</v>
      </c>
      <c r="EO64" s="84">
        <v>17045126</v>
      </c>
      <c r="EP64" s="84">
        <v>20360500</v>
      </c>
      <c r="EQ64" s="84"/>
      <c r="ER64" s="84">
        <v>75614622</v>
      </c>
      <c r="ES64" s="84">
        <v>5000000</v>
      </c>
      <c r="ET64" s="84"/>
      <c r="EU64" s="84">
        <v>74042510</v>
      </c>
      <c r="EV64" s="84">
        <v>5963799</v>
      </c>
      <c r="EW64" s="84">
        <v>2967640</v>
      </c>
      <c r="EX64" s="84">
        <v>63498904</v>
      </c>
      <c r="EY64" s="84">
        <v>51074276</v>
      </c>
      <c r="EZ64" s="84">
        <v>111762386</v>
      </c>
      <c r="FA64" s="84"/>
      <c r="FB64" s="84">
        <v>54305000</v>
      </c>
      <c r="FC64" s="84">
        <v>75640562</v>
      </c>
      <c r="FD64" s="84">
        <v>19727904</v>
      </c>
      <c r="FE64" s="84">
        <v>243888456</v>
      </c>
      <c r="FF64" s="84"/>
      <c r="FG64" s="84" t="s">
        <v>96</v>
      </c>
      <c r="FH64" s="84"/>
      <c r="FI64" s="84" t="s">
        <v>96</v>
      </c>
      <c r="FJ64" s="84">
        <v>5000000</v>
      </c>
      <c r="FK64" s="84">
        <v>240635459</v>
      </c>
      <c r="FL64" s="84"/>
      <c r="FM64" s="84" t="s">
        <v>130</v>
      </c>
      <c r="FN64" s="84"/>
      <c r="FO64" s="84" t="s">
        <v>96</v>
      </c>
      <c r="FP64" s="84" t="s">
        <v>96</v>
      </c>
      <c r="FQ64" s="84"/>
      <c r="FR64" s="84"/>
      <c r="FS64" s="86"/>
      <c r="FT64" s="84"/>
      <c r="FU64" s="84"/>
      <c r="FV64" s="84" t="s">
        <v>96</v>
      </c>
      <c r="FW64" s="84"/>
      <c r="FX64" s="84"/>
      <c r="FY64" s="84" t="s">
        <v>96</v>
      </c>
      <c r="FZ64" s="84" t="s">
        <v>4</v>
      </c>
      <c r="GA64" s="84"/>
      <c r="GB64" s="84"/>
      <c r="GC64" s="84"/>
      <c r="GD64" s="84" t="s">
        <v>96</v>
      </c>
      <c r="GE64" s="84" t="s">
        <v>4</v>
      </c>
      <c r="GF64" s="84"/>
      <c r="GG64" s="84"/>
      <c r="GH64" s="84" t="s">
        <v>4</v>
      </c>
      <c r="GI64" s="84"/>
      <c r="GJ64" s="84" t="s">
        <v>96</v>
      </c>
      <c r="GK64" s="84"/>
      <c r="GL64" s="84" t="s">
        <v>96</v>
      </c>
      <c r="GM64" s="84"/>
      <c r="GN64" s="84"/>
      <c r="GO64" s="84" t="s">
        <v>96</v>
      </c>
      <c r="GP64" s="84"/>
      <c r="GQ64" s="84"/>
      <c r="GR64" s="84"/>
      <c r="GS64" s="84"/>
      <c r="GT64" s="84" t="s">
        <v>130</v>
      </c>
      <c r="GU64" s="84"/>
      <c r="GV64" s="84"/>
      <c r="GW64" s="84"/>
      <c r="GX64" s="84">
        <v>72701435</v>
      </c>
      <c r="GY64" s="84">
        <v>1047177795</v>
      </c>
      <c r="GZ64" s="84"/>
      <c r="HA64" s="84" t="s">
        <v>96</v>
      </c>
      <c r="HB64" s="84">
        <v>708497123</v>
      </c>
      <c r="HC64" s="84" t="s">
        <v>130</v>
      </c>
      <c r="HD64" s="84">
        <v>229554549</v>
      </c>
      <c r="HE64" s="84" t="s">
        <v>96</v>
      </c>
      <c r="HF64" s="84">
        <v>84657147</v>
      </c>
      <c r="HG64" s="84"/>
      <c r="HH64" s="84" t="s">
        <v>96</v>
      </c>
      <c r="HI64" s="84">
        <v>1010464219</v>
      </c>
      <c r="HJ64" s="84" t="s">
        <v>96</v>
      </c>
      <c r="HK64" s="84">
        <v>210057339</v>
      </c>
      <c r="HL64" s="84"/>
      <c r="HM64" s="84"/>
      <c r="HN64" s="84">
        <v>15191594</v>
      </c>
      <c r="HO64" s="84">
        <v>16598020</v>
      </c>
      <c r="HP64" s="84">
        <v>1891755247</v>
      </c>
      <c r="HQ64" s="84"/>
      <c r="HR64" s="84"/>
      <c r="HS64" s="84">
        <v>5000000</v>
      </c>
      <c r="HT64" s="84">
        <v>5000000</v>
      </c>
      <c r="HU64" s="84" t="s">
        <v>130</v>
      </c>
      <c r="HV64" s="84">
        <v>39984740</v>
      </c>
      <c r="HW64" s="84" t="s">
        <v>96</v>
      </c>
      <c r="HX64" s="84">
        <v>23734236</v>
      </c>
      <c r="HY64" s="84" t="s">
        <v>114</v>
      </c>
      <c r="HZ64" s="84">
        <v>248512909</v>
      </c>
      <c r="IA64" s="84">
        <v>1755900</v>
      </c>
      <c r="IB64" s="84">
        <v>66872316</v>
      </c>
      <c r="IC64" s="84">
        <v>35049781</v>
      </c>
      <c r="ID64" s="84"/>
      <c r="IE64" s="84" t="s">
        <v>96</v>
      </c>
      <c r="IF64" s="84"/>
      <c r="IG64" s="84">
        <v>0</v>
      </c>
      <c r="IH64" s="84">
        <v>155987027</v>
      </c>
      <c r="II64" s="84">
        <v>0</v>
      </c>
      <c r="IJ64" s="84">
        <v>5713260</v>
      </c>
      <c r="IK64" s="84"/>
      <c r="IL64" s="84"/>
      <c r="IM64" s="84">
        <v>121086179</v>
      </c>
      <c r="IN64" s="84"/>
      <c r="IO64" s="84"/>
      <c r="IP64" s="84">
        <v>212268510</v>
      </c>
      <c r="IQ64" s="84"/>
      <c r="IR64" s="84">
        <v>12578043</v>
      </c>
      <c r="IS64" s="96">
        <v>233121317</v>
      </c>
      <c r="IT64" s="99"/>
      <c r="IU64" s="84">
        <v>234651412</v>
      </c>
      <c r="IV64" s="84"/>
      <c r="IW64" s="84">
        <v>148574525</v>
      </c>
      <c r="IX64" s="84">
        <v>35839615</v>
      </c>
      <c r="IY64" s="68">
        <v>1271140491</v>
      </c>
      <c r="IZ64" s="68">
        <v>0</v>
      </c>
      <c r="JA64" s="68"/>
      <c r="JB64" s="68"/>
      <c r="JC64" s="68">
        <v>6949084</v>
      </c>
      <c r="JD64" s="68">
        <v>46624920</v>
      </c>
      <c r="JE64" s="68">
        <v>43345460</v>
      </c>
      <c r="JF64" s="68"/>
      <c r="JG64" s="68"/>
      <c r="JH64" s="68">
        <v>5000000</v>
      </c>
      <c r="JI64" s="68"/>
      <c r="JJ64" s="68"/>
      <c r="JK64" s="68">
        <v>0</v>
      </c>
      <c r="JL64" s="68">
        <v>258964049</v>
      </c>
      <c r="JM64" s="68"/>
      <c r="JN64" s="68">
        <v>9534608</v>
      </c>
      <c r="JO64" s="68">
        <v>40000000</v>
      </c>
      <c r="JP64" s="68">
        <v>0</v>
      </c>
      <c r="JQ64" s="68" t="s">
        <v>4</v>
      </c>
      <c r="JR64" s="68"/>
      <c r="JS64" s="68">
        <v>197799314</v>
      </c>
      <c r="JT64" s="68"/>
      <c r="JU64" s="68"/>
      <c r="JV64" s="68">
        <v>82469732</v>
      </c>
      <c r="JW64" s="68">
        <v>23903000</v>
      </c>
      <c r="JX64" s="68"/>
      <c r="JY64" s="68"/>
      <c r="JZ64" s="68"/>
      <c r="KA64" s="68"/>
      <c r="KB64" s="68">
        <v>0</v>
      </c>
      <c r="KC64" s="68">
        <v>47864914</v>
      </c>
      <c r="KD64" s="68"/>
      <c r="KE64" s="68"/>
      <c r="KF64" s="68">
        <v>48459985</v>
      </c>
      <c r="KG64" s="68">
        <v>30050000</v>
      </c>
      <c r="KH64" s="68"/>
      <c r="KI64" s="68">
        <v>15438007</v>
      </c>
      <c r="KJ64" s="68"/>
      <c r="KK64" s="68">
        <v>683658781</v>
      </c>
      <c r="KL64" s="68"/>
      <c r="KM64" s="68"/>
      <c r="KN64" s="68">
        <v>1659979389</v>
      </c>
      <c r="KO64" s="68">
        <v>81660044</v>
      </c>
      <c r="KP64" s="68">
        <v>0</v>
      </c>
      <c r="KQ64" s="68">
        <v>21924240</v>
      </c>
      <c r="KR64" s="68"/>
      <c r="KS64" s="68">
        <v>59900000</v>
      </c>
      <c r="KT64" s="68"/>
      <c r="KU64" s="68"/>
      <c r="KV64" s="68">
        <v>0</v>
      </c>
      <c r="KW64" s="68">
        <v>95895544</v>
      </c>
      <c r="KX64" s="68">
        <v>106686127</v>
      </c>
      <c r="KY64" s="68">
        <v>8000000</v>
      </c>
      <c r="KZ64" s="68">
        <v>78175200</v>
      </c>
      <c r="LA64" s="68"/>
      <c r="LB64" s="68">
        <v>84117607</v>
      </c>
      <c r="LC64" s="104"/>
      <c r="LD64" s="104"/>
      <c r="LE64" s="104">
        <v>834338880</v>
      </c>
      <c r="LF64" s="104"/>
      <c r="LG64" s="104"/>
      <c r="LH64" s="102" t="s">
        <v>187</v>
      </c>
      <c r="LI64" s="104"/>
      <c r="LJ64" s="102" t="s">
        <v>187</v>
      </c>
      <c r="LK64" s="104"/>
      <c r="LL64" s="102" t="s">
        <v>187</v>
      </c>
    </row>
    <row r="65" spans="1:324">
      <c r="A65" s="69" t="s">
        <v>185</v>
      </c>
      <c r="B65" s="95" t="s">
        <v>178</v>
      </c>
      <c r="C65" s="84"/>
      <c r="D65" s="84"/>
      <c r="E65" s="84"/>
      <c r="F65" s="84"/>
      <c r="G65" s="84" t="s">
        <v>130</v>
      </c>
      <c r="H65" s="84"/>
      <c r="I65" s="84"/>
      <c r="J65" s="84" t="s">
        <v>4</v>
      </c>
      <c r="K65" s="84"/>
      <c r="L65" s="84" t="s">
        <v>96</v>
      </c>
      <c r="M65" s="84" t="s">
        <v>96</v>
      </c>
      <c r="N65" s="84"/>
      <c r="O65" s="84"/>
      <c r="P65" s="84"/>
      <c r="Q65" s="84">
        <v>0</v>
      </c>
      <c r="R65" s="84" t="s">
        <v>130</v>
      </c>
      <c r="S65" s="84">
        <v>0</v>
      </c>
      <c r="T65" s="84" t="s">
        <v>96</v>
      </c>
      <c r="U65" s="84" t="s">
        <v>96</v>
      </c>
      <c r="V65" s="84" t="s">
        <v>4</v>
      </c>
      <c r="W65" s="84">
        <v>2000000</v>
      </c>
      <c r="X65" s="84"/>
      <c r="Y65" s="84"/>
      <c r="Z65" s="84"/>
      <c r="AA65" s="84">
        <v>52581420</v>
      </c>
      <c r="AB65" s="84"/>
      <c r="AC65" s="84"/>
      <c r="AD65" s="84"/>
      <c r="AE65" s="84"/>
      <c r="AF65" s="84" t="s">
        <v>96</v>
      </c>
      <c r="AG65" s="84"/>
      <c r="AH65" s="84" t="s">
        <v>130</v>
      </c>
      <c r="AI65" s="84"/>
      <c r="AJ65" s="84">
        <v>161392</v>
      </c>
      <c r="AK65" s="84"/>
      <c r="AL65" s="84"/>
      <c r="AM65" s="84" t="s">
        <v>4</v>
      </c>
      <c r="AN65" s="84"/>
      <c r="AO65" s="84">
        <v>0</v>
      </c>
      <c r="AP65" s="84">
        <v>196485116</v>
      </c>
      <c r="AQ65" s="84" t="s">
        <v>4</v>
      </c>
      <c r="AR65" s="84"/>
      <c r="AS65" s="84"/>
      <c r="AT65" s="84" t="s">
        <v>96</v>
      </c>
      <c r="AU65" s="84"/>
      <c r="AV65" s="84"/>
      <c r="AW65" s="84"/>
      <c r="AX65" s="84" t="s">
        <v>4</v>
      </c>
      <c r="AY65" s="84" t="s">
        <v>96</v>
      </c>
      <c r="AZ65" s="84"/>
      <c r="BA65" s="84" t="s">
        <v>130</v>
      </c>
      <c r="BB65" s="84"/>
      <c r="BC65" s="84" t="s">
        <v>4</v>
      </c>
      <c r="BD65" s="84" t="s">
        <v>96</v>
      </c>
      <c r="BE65" s="84"/>
      <c r="BF65" s="84" t="s">
        <v>96</v>
      </c>
      <c r="BG65" s="84"/>
      <c r="BH65" s="84"/>
      <c r="BI65" s="84"/>
      <c r="BJ65" s="84"/>
      <c r="BK65" s="84"/>
      <c r="BL65" s="84"/>
      <c r="BM65" s="84"/>
      <c r="BN65" s="84"/>
      <c r="BO65" s="84" t="s">
        <v>96</v>
      </c>
      <c r="BP65" s="84" t="s">
        <v>96</v>
      </c>
      <c r="BQ65" s="84" t="s">
        <v>4</v>
      </c>
      <c r="BR65" s="84"/>
      <c r="BS65" s="84" t="s">
        <v>4</v>
      </c>
      <c r="BT65" s="84" t="s">
        <v>96</v>
      </c>
      <c r="BU65" s="85"/>
      <c r="BV65" s="84"/>
      <c r="BW65" s="84"/>
      <c r="BX65" s="84"/>
      <c r="BY65" s="84">
        <v>1376503542</v>
      </c>
      <c r="BZ65" s="84"/>
      <c r="CA65" s="84"/>
      <c r="CB65" s="84"/>
      <c r="CC65" s="84"/>
      <c r="CD65" s="84"/>
      <c r="CE65" s="84" t="s">
        <v>96</v>
      </c>
      <c r="CF65" s="84" t="s">
        <v>96</v>
      </c>
      <c r="CG65" s="84"/>
      <c r="CH65" s="84"/>
      <c r="CI65" s="84" t="s">
        <v>96</v>
      </c>
      <c r="CJ65" s="84"/>
      <c r="CK65" s="84">
        <v>0</v>
      </c>
      <c r="CL65" s="84"/>
      <c r="CM65" s="84"/>
      <c r="CN65" s="84"/>
      <c r="CO65" s="84"/>
      <c r="CP65" s="84" t="s">
        <v>96</v>
      </c>
      <c r="CQ65" s="84" t="s">
        <v>96</v>
      </c>
      <c r="CR65" s="84">
        <v>0</v>
      </c>
      <c r="CS65" s="84" t="s">
        <v>96</v>
      </c>
      <c r="CT65" s="84"/>
      <c r="CU65" s="84"/>
      <c r="CV65" s="84"/>
      <c r="CW65" s="84" t="s">
        <v>96</v>
      </c>
      <c r="CX65" s="84"/>
      <c r="CY65" s="84" t="s">
        <v>96</v>
      </c>
      <c r="CZ65" s="84"/>
      <c r="DA65" s="84" t="s">
        <v>96</v>
      </c>
      <c r="DB65" s="86"/>
      <c r="DC65" s="84">
        <v>5000000</v>
      </c>
      <c r="DD65" s="84" t="s">
        <v>96</v>
      </c>
      <c r="DE65" s="84"/>
      <c r="DF65" s="84"/>
      <c r="DG65" s="84"/>
      <c r="DH65" s="84"/>
      <c r="DI65" s="84"/>
      <c r="DJ65" s="84"/>
      <c r="DK65" s="84" t="s">
        <v>96</v>
      </c>
      <c r="DL65" s="84"/>
      <c r="DM65" s="84"/>
      <c r="DN65" s="84"/>
      <c r="DO65" s="84"/>
      <c r="DP65" s="84">
        <v>-150000</v>
      </c>
      <c r="DQ65" s="84"/>
      <c r="DR65" s="84"/>
      <c r="DS65" s="84"/>
      <c r="DT65" s="84"/>
      <c r="DU65" s="84"/>
      <c r="DV65" s="84"/>
      <c r="DW65" s="84">
        <v>99477153</v>
      </c>
      <c r="DX65" s="84">
        <v>361187548</v>
      </c>
      <c r="DY65" s="84"/>
      <c r="DZ65" s="84"/>
      <c r="EA65" s="84"/>
      <c r="EB65" s="84"/>
      <c r="EC65" s="84">
        <v>0</v>
      </c>
      <c r="ED65" s="84">
        <v>276965316</v>
      </c>
      <c r="EE65" s="84"/>
      <c r="EF65" s="84">
        <v>0</v>
      </c>
      <c r="EG65" s="96"/>
      <c r="EH65" s="99"/>
      <c r="EI65" s="97"/>
      <c r="EJ65" s="84">
        <v>76200000</v>
      </c>
      <c r="EK65" s="84"/>
      <c r="EL65" s="84"/>
      <c r="EM65" s="84"/>
      <c r="EN65" s="84">
        <v>0</v>
      </c>
      <c r="EO65" s="84">
        <v>0</v>
      </c>
      <c r="EP65" s="84"/>
      <c r="EQ65" s="84"/>
      <c r="ER65" s="84"/>
      <c r="ES65" s="84"/>
      <c r="ET65" s="84"/>
      <c r="EU65" s="84"/>
      <c r="EV65" s="84"/>
      <c r="EW65" s="84"/>
      <c r="EX65" s="84"/>
      <c r="EY65" s="84"/>
      <c r="EZ65" s="84"/>
      <c r="FA65" s="84"/>
      <c r="FB65" s="84">
        <v>1835000</v>
      </c>
      <c r="FC65" s="84"/>
      <c r="FD65" s="84"/>
      <c r="FE65" s="84"/>
      <c r="FF65" s="84"/>
      <c r="FG65" s="84" t="s">
        <v>96</v>
      </c>
      <c r="FH65" s="84"/>
      <c r="FI65" s="84" t="s">
        <v>96</v>
      </c>
      <c r="FJ65" s="84"/>
      <c r="FK65" s="84">
        <v>161427940</v>
      </c>
      <c r="FL65" s="84"/>
      <c r="FM65" s="84" t="s">
        <v>130</v>
      </c>
      <c r="FN65" s="84">
        <v>184637069</v>
      </c>
      <c r="FO65" s="84" t="s">
        <v>96</v>
      </c>
      <c r="FP65" s="84" t="s">
        <v>96</v>
      </c>
      <c r="FQ65" s="84"/>
      <c r="FR65" s="84"/>
      <c r="FS65" s="86">
        <v>337653296</v>
      </c>
      <c r="FT65" s="84"/>
      <c r="FU65" s="84"/>
      <c r="FV65" s="84" t="s">
        <v>96</v>
      </c>
      <c r="FW65" s="84"/>
      <c r="FX65" s="84"/>
      <c r="FY65" s="84" t="s">
        <v>96</v>
      </c>
      <c r="FZ65" s="84" t="s">
        <v>4</v>
      </c>
      <c r="GA65" s="84"/>
      <c r="GB65" s="84"/>
      <c r="GC65" s="84"/>
      <c r="GD65" s="84" t="s">
        <v>96</v>
      </c>
      <c r="GE65" s="84" t="s">
        <v>4</v>
      </c>
      <c r="GF65" s="84"/>
      <c r="GG65" s="84"/>
      <c r="GH65" s="84" t="s">
        <v>4</v>
      </c>
      <c r="GI65" s="84"/>
      <c r="GJ65" s="84" t="s">
        <v>96</v>
      </c>
      <c r="GK65" s="84"/>
      <c r="GL65" s="84" t="s">
        <v>96</v>
      </c>
      <c r="GM65" s="84">
        <v>5640000</v>
      </c>
      <c r="GN65" s="84"/>
      <c r="GO65" s="84" t="s">
        <v>96</v>
      </c>
      <c r="GP65" s="84">
        <v>35383040</v>
      </c>
      <c r="GQ65" s="84">
        <v>35607192</v>
      </c>
      <c r="GR65" s="84"/>
      <c r="GS65" s="84">
        <v>170500458</v>
      </c>
      <c r="GT65" s="84" t="s">
        <v>130</v>
      </c>
      <c r="GU65" s="84"/>
      <c r="GV65" s="84"/>
      <c r="GW65" s="84"/>
      <c r="GX65" s="84">
        <v>66474000</v>
      </c>
      <c r="GY65" s="84">
        <v>1047177795</v>
      </c>
      <c r="GZ65" s="84"/>
      <c r="HA65" s="84" t="s">
        <v>96</v>
      </c>
      <c r="HB65" s="84"/>
      <c r="HC65" s="84" t="s">
        <v>130</v>
      </c>
      <c r="HD65" s="84">
        <v>90294344</v>
      </c>
      <c r="HE65" s="84" t="s">
        <v>96</v>
      </c>
      <c r="HF65" s="84"/>
      <c r="HG65" s="84"/>
      <c r="HH65" s="84" t="s">
        <v>96</v>
      </c>
      <c r="HI65" s="84">
        <v>983981324</v>
      </c>
      <c r="HJ65" s="84" t="s">
        <v>96</v>
      </c>
      <c r="HK65" s="84">
        <v>700000</v>
      </c>
      <c r="HL65" s="84"/>
      <c r="HM65" s="84"/>
      <c r="HN65" s="84"/>
      <c r="HO65" s="84">
        <v>16598020</v>
      </c>
      <c r="HP65" s="84"/>
      <c r="HQ65" s="84"/>
      <c r="HR65" s="84"/>
      <c r="HS65" s="84"/>
      <c r="HT65" s="84"/>
      <c r="HU65" s="84" t="s">
        <v>130</v>
      </c>
      <c r="HV65" s="84"/>
      <c r="HW65" s="84" t="s">
        <v>96</v>
      </c>
      <c r="HX65" s="84">
        <v>23734236</v>
      </c>
      <c r="HY65" s="84" t="s">
        <v>114</v>
      </c>
      <c r="HZ65" s="84"/>
      <c r="IA65" s="84"/>
      <c r="IB65" s="84">
        <v>66872316</v>
      </c>
      <c r="IC65" s="84">
        <v>35049781</v>
      </c>
      <c r="ID65" s="84"/>
      <c r="IE65" s="84" t="s">
        <v>96</v>
      </c>
      <c r="IF65" s="84"/>
      <c r="IG65" s="84"/>
      <c r="IH65" s="84">
        <v>5275000</v>
      </c>
      <c r="II65" s="84"/>
      <c r="IJ65" s="84"/>
      <c r="IK65" s="84"/>
      <c r="IL65" s="84"/>
      <c r="IM65" s="84"/>
      <c r="IN65" s="84"/>
      <c r="IO65" s="84"/>
      <c r="IP65" s="84">
        <v>151408000</v>
      </c>
      <c r="IQ65" s="84"/>
      <c r="IR65" s="84"/>
      <c r="IS65" s="96"/>
      <c r="IT65" s="99"/>
      <c r="IU65" s="84"/>
      <c r="IV65" s="84"/>
      <c r="IW65" s="84">
        <v>148574525</v>
      </c>
      <c r="IX65" s="84"/>
      <c r="IY65" s="68">
        <v>1271140491</v>
      </c>
      <c r="IZ65" s="68">
        <v>0</v>
      </c>
      <c r="JA65" s="68"/>
      <c r="JB65" s="68"/>
      <c r="JC65" s="68"/>
      <c r="JD65" s="68"/>
      <c r="JE65" s="68">
        <v>43345460</v>
      </c>
      <c r="JF65" s="68"/>
      <c r="JG65" s="68"/>
      <c r="JH65" s="68">
        <v>0</v>
      </c>
      <c r="JI65" s="68"/>
      <c r="JJ65" s="68"/>
      <c r="JK65" s="68">
        <v>0</v>
      </c>
      <c r="JL65" s="68"/>
      <c r="JM65" s="68"/>
      <c r="JN65" s="68">
        <v>9534608</v>
      </c>
      <c r="JO65" s="68"/>
      <c r="JP65" s="68"/>
      <c r="JQ65" s="68" t="s">
        <v>4</v>
      </c>
      <c r="JR65" s="68"/>
      <c r="JS65" s="68"/>
      <c r="JT65" s="68"/>
      <c r="JU65" s="68"/>
      <c r="JV65" s="68"/>
      <c r="JW65" s="68"/>
      <c r="JX65" s="68"/>
      <c r="JY65" s="68"/>
      <c r="JZ65" s="68"/>
      <c r="KA65" s="68"/>
      <c r="KB65" s="68">
        <v>0</v>
      </c>
      <c r="KC65" s="68">
        <v>47864914</v>
      </c>
      <c r="KD65" s="68"/>
      <c r="KE65" s="68"/>
      <c r="KF65" s="68">
        <v>48459985</v>
      </c>
      <c r="KG65" s="68">
        <v>30050000</v>
      </c>
      <c r="KH65" s="68"/>
      <c r="KI65" s="68">
        <v>0</v>
      </c>
      <c r="KJ65" s="68"/>
      <c r="KK65" s="68">
        <v>668695081</v>
      </c>
      <c r="KL65" s="68"/>
      <c r="KM65" s="68"/>
      <c r="KN65" s="68">
        <v>1659979389</v>
      </c>
      <c r="KO65" s="68"/>
      <c r="KP65" s="68"/>
      <c r="KQ65" s="68">
        <v>21924240</v>
      </c>
      <c r="KR65" s="68"/>
      <c r="KS65" s="68">
        <v>59900000</v>
      </c>
      <c r="KT65" s="68"/>
      <c r="KU65" s="68"/>
      <c r="KV65" s="68">
        <v>0</v>
      </c>
      <c r="KW65" s="68">
        <v>91045544</v>
      </c>
      <c r="KX65" s="68"/>
      <c r="KY65" s="68">
        <v>8000000</v>
      </c>
      <c r="KZ65" s="68">
        <v>78175200</v>
      </c>
      <c r="LA65" s="68"/>
      <c r="LB65" s="68">
        <v>76644880</v>
      </c>
      <c r="LC65" s="104"/>
      <c r="LD65" s="104"/>
      <c r="LE65" s="104">
        <v>442150</v>
      </c>
      <c r="LF65" s="104"/>
      <c r="LG65" s="104"/>
      <c r="LH65" s="102" t="s">
        <v>187</v>
      </c>
      <c r="LI65" s="104"/>
      <c r="LJ65" s="102" t="s">
        <v>187</v>
      </c>
      <c r="LK65" s="104"/>
      <c r="LL65" s="102" t="s">
        <v>187</v>
      </c>
    </row>
    <row r="66" spans="1:324">
      <c r="A66" s="69" t="s">
        <v>185</v>
      </c>
      <c r="B66" s="95" t="s">
        <v>7</v>
      </c>
      <c r="C66" s="84"/>
      <c r="D66" s="84"/>
      <c r="E66" s="84"/>
      <c r="F66" s="84"/>
      <c r="G66" s="84" t="s">
        <v>130</v>
      </c>
      <c r="H66" s="84"/>
      <c r="I66" s="84"/>
      <c r="J66" s="84" t="s">
        <v>4</v>
      </c>
      <c r="K66" s="84"/>
      <c r="L66" s="84" t="s">
        <v>96</v>
      </c>
      <c r="M66" s="84" t="s">
        <v>96</v>
      </c>
      <c r="N66" s="84"/>
      <c r="O66" s="84"/>
      <c r="P66" s="84"/>
      <c r="Q66" s="84"/>
      <c r="R66" s="84" t="s">
        <v>130</v>
      </c>
      <c r="S66" s="84"/>
      <c r="T66" s="84" t="s">
        <v>96</v>
      </c>
      <c r="U66" s="84" t="s">
        <v>96</v>
      </c>
      <c r="V66" s="84" t="s">
        <v>4</v>
      </c>
      <c r="W66" s="84"/>
      <c r="X66" s="84"/>
      <c r="Y66" s="84"/>
      <c r="Z66" s="84"/>
      <c r="AA66" s="84"/>
      <c r="AB66" s="84"/>
      <c r="AC66" s="84"/>
      <c r="AD66" s="84"/>
      <c r="AE66" s="84">
        <v>154597351</v>
      </c>
      <c r="AF66" s="84" t="s">
        <v>96</v>
      </c>
      <c r="AG66" s="84">
        <v>0</v>
      </c>
      <c r="AH66" s="84" t="s">
        <v>130</v>
      </c>
      <c r="AI66" s="84"/>
      <c r="AJ66" s="84"/>
      <c r="AK66" s="84">
        <v>110576000</v>
      </c>
      <c r="AL66" s="84"/>
      <c r="AM66" s="84" t="s">
        <v>4</v>
      </c>
      <c r="AN66" s="84"/>
      <c r="AO66" s="84"/>
      <c r="AP66" s="84"/>
      <c r="AQ66" s="84" t="s">
        <v>4</v>
      </c>
      <c r="AR66" s="84"/>
      <c r="AS66" s="84"/>
      <c r="AT66" s="84" t="s">
        <v>96</v>
      </c>
      <c r="AU66" s="84"/>
      <c r="AV66" s="84"/>
      <c r="AW66" s="84"/>
      <c r="AX66" s="84" t="s">
        <v>4</v>
      </c>
      <c r="AY66" s="84" t="s">
        <v>96</v>
      </c>
      <c r="AZ66" s="84"/>
      <c r="BA66" s="84" t="s">
        <v>130</v>
      </c>
      <c r="BB66" s="84"/>
      <c r="BC66" s="84" t="s">
        <v>4</v>
      </c>
      <c r="BD66" s="84" t="s">
        <v>96</v>
      </c>
      <c r="BE66" s="84"/>
      <c r="BF66" s="84" t="s">
        <v>96</v>
      </c>
      <c r="BG66" s="84"/>
      <c r="BH66" s="84"/>
      <c r="BI66" s="84">
        <v>107284570</v>
      </c>
      <c r="BJ66" s="84"/>
      <c r="BK66" s="84">
        <v>25227273</v>
      </c>
      <c r="BL66" s="84"/>
      <c r="BM66" s="84">
        <v>189154458</v>
      </c>
      <c r="BN66" s="84"/>
      <c r="BO66" s="84" t="s">
        <v>96</v>
      </c>
      <c r="BP66" s="84" t="s">
        <v>96</v>
      </c>
      <c r="BQ66" s="84" t="s">
        <v>4</v>
      </c>
      <c r="BR66" s="84">
        <v>393159440</v>
      </c>
      <c r="BS66" s="84" t="s">
        <v>4</v>
      </c>
      <c r="BT66" s="84" t="s">
        <v>96</v>
      </c>
      <c r="BU66" s="85"/>
      <c r="BV66" s="84">
        <v>60316000</v>
      </c>
      <c r="BW66" s="84"/>
      <c r="BX66" s="84"/>
      <c r="BY66" s="84"/>
      <c r="BZ66" s="84"/>
      <c r="CA66" s="84"/>
      <c r="CB66" s="84">
        <v>8000000</v>
      </c>
      <c r="CC66" s="84"/>
      <c r="CD66" s="84">
        <v>9400000</v>
      </c>
      <c r="CE66" s="84" t="s">
        <v>96</v>
      </c>
      <c r="CF66" s="84" t="s">
        <v>96</v>
      </c>
      <c r="CG66" s="84"/>
      <c r="CH66" s="84">
        <v>56256166</v>
      </c>
      <c r="CI66" s="84" t="s">
        <v>96</v>
      </c>
      <c r="CJ66" s="84"/>
      <c r="CK66" s="84"/>
      <c r="CL66" s="84"/>
      <c r="CM66" s="84"/>
      <c r="CN66" s="84"/>
      <c r="CO66" s="84">
        <v>7000000</v>
      </c>
      <c r="CP66" s="84" t="s">
        <v>96</v>
      </c>
      <c r="CQ66" s="84" t="s">
        <v>96</v>
      </c>
      <c r="CR66" s="84"/>
      <c r="CS66" s="84" t="s">
        <v>96</v>
      </c>
      <c r="CT66" s="84"/>
      <c r="CU66" s="84"/>
      <c r="CV66" s="84"/>
      <c r="CW66" s="84" t="s">
        <v>96</v>
      </c>
      <c r="CX66" s="84">
        <v>10296400</v>
      </c>
      <c r="CY66" s="84" t="s">
        <v>96</v>
      </c>
      <c r="CZ66" s="84"/>
      <c r="DA66" s="84" t="s">
        <v>96</v>
      </c>
      <c r="DB66" s="86"/>
      <c r="DC66" s="84"/>
      <c r="DD66" s="84" t="s">
        <v>96</v>
      </c>
      <c r="DE66" s="84">
        <v>98750000</v>
      </c>
      <c r="DF66" s="84"/>
      <c r="DG66" s="84"/>
      <c r="DH66" s="84"/>
      <c r="DI66" s="84"/>
      <c r="DJ66" s="84">
        <v>0</v>
      </c>
      <c r="DK66" s="84" t="s">
        <v>96</v>
      </c>
      <c r="DL66" s="84"/>
      <c r="DM66" s="84"/>
      <c r="DN66" s="84"/>
      <c r="DO66" s="84"/>
      <c r="DP66" s="84"/>
      <c r="DQ66" s="84"/>
      <c r="DR66" s="84">
        <v>10244460</v>
      </c>
      <c r="DS66" s="84"/>
      <c r="DT66" s="84"/>
      <c r="DU66" s="84"/>
      <c r="DV66" s="84"/>
      <c r="DW66" s="84"/>
      <c r="DX66" s="84"/>
      <c r="DY66" s="84">
        <v>6686160</v>
      </c>
      <c r="DZ66" s="84"/>
      <c r="EA66" s="84"/>
      <c r="EB66" s="84">
        <v>55475900</v>
      </c>
      <c r="EC66" s="84"/>
      <c r="ED66" s="84">
        <v>49827000</v>
      </c>
      <c r="EE66" s="84">
        <v>27449425</v>
      </c>
      <c r="EF66" s="84"/>
      <c r="EG66" s="96"/>
      <c r="EH66" s="99"/>
      <c r="EI66" s="97"/>
      <c r="EJ66" s="84"/>
      <c r="EK66" s="84"/>
      <c r="EL66" s="84">
        <v>450760924</v>
      </c>
      <c r="EM66" s="84">
        <v>36292822</v>
      </c>
      <c r="EN66" s="84">
        <v>116393351</v>
      </c>
      <c r="EO66" s="84"/>
      <c r="EP66" s="84"/>
      <c r="EQ66" s="84"/>
      <c r="ER66" s="84">
        <v>8130400</v>
      </c>
      <c r="ES66" s="84"/>
      <c r="ET66" s="84"/>
      <c r="EU66" s="84">
        <v>74042510</v>
      </c>
      <c r="EV66" s="84"/>
      <c r="EW66" s="84">
        <v>2967640</v>
      </c>
      <c r="EX66" s="84"/>
      <c r="EY66" s="84"/>
      <c r="EZ66" s="84"/>
      <c r="FA66" s="84"/>
      <c r="FB66" s="84">
        <v>0</v>
      </c>
      <c r="FC66" s="84">
        <v>75640562</v>
      </c>
      <c r="FD66" s="84">
        <v>19727904</v>
      </c>
      <c r="FE66" s="84"/>
      <c r="FF66" s="84"/>
      <c r="FG66" s="84" t="s">
        <v>96</v>
      </c>
      <c r="FH66" s="84"/>
      <c r="FI66" s="84" t="s">
        <v>96</v>
      </c>
      <c r="FJ66" s="84"/>
      <c r="FK66" s="84"/>
      <c r="FL66" s="84"/>
      <c r="FM66" s="84" t="s">
        <v>130</v>
      </c>
      <c r="FN66" s="84"/>
      <c r="FO66" s="84" t="s">
        <v>96</v>
      </c>
      <c r="FP66" s="84" t="s">
        <v>96</v>
      </c>
      <c r="FQ66" s="84"/>
      <c r="FR66" s="84">
        <v>0</v>
      </c>
      <c r="FS66" s="86"/>
      <c r="FT66" s="84"/>
      <c r="FU66" s="84"/>
      <c r="FV66" s="84" t="s">
        <v>96</v>
      </c>
      <c r="FW66" s="84"/>
      <c r="FX66" s="84"/>
      <c r="FY66" s="84" t="s">
        <v>96</v>
      </c>
      <c r="FZ66" s="84" t="s">
        <v>4</v>
      </c>
      <c r="GA66" s="84"/>
      <c r="GB66" s="84">
        <v>19378990</v>
      </c>
      <c r="GC66" s="84"/>
      <c r="GD66" s="84" t="s">
        <v>96</v>
      </c>
      <c r="GE66" s="84" t="s">
        <v>4</v>
      </c>
      <c r="GF66" s="84">
        <v>0</v>
      </c>
      <c r="GG66" s="84"/>
      <c r="GH66" s="84" t="s">
        <v>4</v>
      </c>
      <c r="GI66" s="84">
        <v>5000000</v>
      </c>
      <c r="GJ66" s="84" t="s">
        <v>96</v>
      </c>
      <c r="GK66" s="84">
        <v>43757012</v>
      </c>
      <c r="GL66" s="84" t="s">
        <v>96</v>
      </c>
      <c r="GM66" s="84"/>
      <c r="GN66" s="84"/>
      <c r="GO66" s="84" t="s">
        <v>96</v>
      </c>
      <c r="GP66" s="84"/>
      <c r="GQ66" s="84"/>
      <c r="GR66" s="84"/>
      <c r="GS66" s="84"/>
      <c r="GT66" s="84" t="s">
        <v>130</v>
      </c>
      <c r="GU66" s="84"/>
      <c r="GV66" s="84"/>
      <c r="GW66" s="84"/>
      <c r="GX66" s="84"/>
      <c r="GY66" s="84"/>
      <c r="GZ66" s="84"/>
      <c r="HA66" s="84" t="s">
        <v>96</v>
      </c>
      <c r="HB66" s="84">
        <v>588761777</v>
      </c>
      <c r="HC66" s="84" t="s">
        <v>130</v>
      </c>
      <c r="HD66" s="84">
        <v>139260205</v>
      </c>
      <c r="HE66" s="84" t="s">
        <v>96</v>
      </c>
      <c r="HF66" s="84"/>
      <c r="HG66" s="84"/>
      <c r="HH66" s="84" t="s">
        <v>96</v>
      </c>
      <c r="HI66" s="84"/>
      <c r="HJ66" s="84" t="s">
        <v>96</v>
      </c>
      <c r="HK66" s="84"/>
      <c r="HL66" s="84"/>
      <c r="HM66" s="84"/>
      <c r="HN66" s="84"/>
      <c r="HO66" s="84"/>
      <c r="HP66" s="84"/>
      <c r="HQ66" s="84"/>
      <c r="HR66" s="84"/>
      <c r="HS66" s="84">
        <v>5000000</v>
      </c>
      <c r="HT66" s="84">
        <v>5000000</v>
      </c>
      <c r="HU66" s="84" t="s">
        <v>130</v>
      </c>
      <c r="HV66" s="84"/>
      <c r="HW66" s="84" t="s">
        <v>96</v>
      </c>
      <c r="HX66" s="84"/>
      <c r="HY66" s="84" t="s">
        <v>114</v>
      </c>
      <c r="HZ66" s="84">
        <v>206335354</v>
      </c>
      <c r="IA66" s="84"/>
      <c r="IB66" s="84"/>
      <c r="IC66" s="84"/>
      <c r="ID66" s="84"/>
      <c r="IE66" s="84" t="s">
        <v>96</v>
      </c>
      <c r="IF66" s="84"/>
      <c r="IG66" s="84"/>
      <c r="IH66" s="84"/>
      <c r="II66" s="84"/>
      <c r="IJ66" s="84"/>
      <c r="IK66" s="84"/>
      <c r="IL66" s="84"/>
      <c r="IM66" s="84"/>
      <c r="IN66" s="84"/>
      <c r="IO66" s="84"/>
      <c r="IP66" s="84"/>
      <c r="IQ66" s="84"/>
      <c r="IR66" s="84">
        <v>12578043</v>
      </c>
      <c r="IS66" s="96">
        <v>52735000</v>
      </c>
      <c r="IT66" s="99"/>
      <c r="IU66" s="84"/>
      <c r="IV66" s="84"/>
      <c r="IW66" s="84"/>
      <c r="IX66" s="84">
        <v>29000000</v>
      </c>
      <c r="IY66" s="68"/>
      <c r="IZ66" s="68"/>
      <c r="JA66" s="68"/>
      <c r="JB66" s="68"/>
      <c r="JC66" s="68">
        <v>6949084</v>
      </c>
      <c r="JD66" s="68">
        <v>46624920</v>
      </c>
      <c r="JE66" s="68"/>
      <c r="JF66" s="68"/>
      <c r="JG66" s="68"/>
      <c r="JH66" s="68"/>
      <c r="JI66" s="68"/>
      <c r="JJ66" s="68"/>
      <c r="JK66" s="68"/>
      <c r="JL66" s="68">
        <v>126289027</v>
      </c>
      <c r="JM66" s="68"/>
      <c r="JN66" s="68"/>
      <c r="JO66" s="68"/>
      <c r="JP66" s="68"/>
      <c r="JQ66" s="68" t="s">
        <v>4</v>
      </c>
      <c r="JR66" s="68"/>
      <c r="JS66" s="68">
        <v>161502194</v>
      </c>
      <c r="JT66" s="68"/>
      <c r="JU66" s="68"/>
      <c r="JV66" s="68"/>
      <c r="JW66" s="68"/>
      <c r="JX66" s="68"/>
      <c r="JY66" s="68"/>
      <c r="JZ66" s="68"/>
      <c r="KA66" s="68"/>
      <c r="KB66" s="68"/>
      <c r="KC66" s="68"/>
      <c r="KD66" s="68"/>
      <c r="KE66" s="68"/>
      <c r="KF66" s="68"/>
      <c r="KG66" s="68"/>
      <c r="KH66" s="68"/>
      <c r="KI66" s="68"/>
      <c r="KJ66" s="68"/>
      <c r="KK66" s="68"/>
      <c r="KL66" s="68"/>
      <c r="KM66" s="68"/>
      <c r="KN66" s="68"/>
      <c r="KO66" s="68"/>
      <c r="KP66" s="68">
        <v>0</v>
      </c>
      <c r="KQ66" s="68"/>
      <c r="KR66" s="68"/>
      <c r="KS66" s="68"/>
      <c r="KT66" s="68"/>
      <c r="KU66" s="68"/>
      <c r="KV66" s="68"/>
      <c r="KW66" s="68"/>
      <c r="KX66" s="68">
        <v>106686127</v>
      </c>
      <c r="KY66" s="68"/>
      <c r="KZ66" s="68"/>
      <c r="LA66" s="68"/>
      <c r="LB66" s="68">
        <v>7472727</v>
      </c>
      <c r="LC66" s="104"/>
      <c r="LD66" s="104"/>
      <c r="LE66" s="104">
        <v>832886730</v>
      </c>
      <c r="LF66" s="104"/>
      <c r="LG66" s="104"/>
      <c r="LH66" s="102" t="s">
        <v>187</v>
      </c>
      <c r="LI66" s="104"/>
      <c r="LJ66" s="102" t="s">
        <v>187</v>
      </c>
      <c r="LK66" s="104"/>
      <c r="LL66" s="102" t="s">
        <v>187</v>
      </c>
    </row>
    <row r="67" spans="1:324">
      <c r="A67" s="69" t="s">
        <v>185</v>
      </c>
      <c r="B67" s="95" t="s">
        <v>25</v>
      </c>
      <c r="C67" s="84"/>
      <c r="D67" s="84"/>
      <c r="E67" s="84"/>
      <c r="F67" s="84"/>
      <c r="G67" s="84" t="s">
        <v>130</v>
      </c>
      <c r="H67" s="84">
        <v>136508144</v>
      </c>
      <c r="I67" s="84"/>
      <c r="J67" s="84" t="s">
        <v>4</v>
      </c>
      <c r="K67" s="84">
        <v>921760716</v>
      </c>
      <c r="L67" s="84" t="s">
        <v>96</v>
      </c>
      <c r="M67" s="84" t="s">
        <v>96</v>
      </c>
      <c r="N67" s="84">
        <v>73825000</v>
      </c>
      <c r="O67" s="84"/>
      <c r="P67" s="84"/>
      <c r="Q67" s="84"/>
      <c r="R67" s="84" t="s">
        <v>130</v>
      </c>
      <c r="S67" s="84"/>
      <c r="T67" s="84" t="s">
        <v>96</v>
      </c>
      <c r="U67" s="84" t="s">
        <v>96</v>
      </c>
      <c r="V67" s="84" t="s">
        <v>4</v>
      </c>
      <c r="W67" s="84">
        <v>5000000</v>
      </c>
      <c r="X67" s="84"/>
      <c r="Y67" s="84"/>
      <c r="Z67" s="84"/>
      <c r="AA67" s="84">
        <v>5000000</v>
      </c>
      <c r="AB67" s="84"/>
      <c r="AC67" s="84"/>
      <c r="AD67" s="84"/>
      <c r="AE67" s="84"/>
      <c r="AF67" s="84" t="s">
        <v>96</v>
      </c>
      <c r="AG67" s="84"/>
      <c r="AH67" s="84" t="s">
        <v>130</v>
      </c>
      <c r="AI67" s="84"/>
      <c r="AJ67" s="84"/>
      <c r="AK67" s="84"/>
      <c r="AL67" s="84">
        <v>381530600</v>
      </c>
      <c r="AM67" s="84" t="s">
        <v>4</v>
      </c>
      <c r="AN67" s="84"/>
      <c r="AO67" s="84"/>
      <c r="AP67" s="84"/>
      <c r="AQ67" s="84" t="s">
        <v>4</v>
      </c>
      <c r="AR67" s="84"/>
      <c r="AS67" s="84"/>
      <c r="AT67" s="84" t="s">
        <v>96</v>
      </c>
      <c r="AU67" s="84"/>
      <c r="AV67" s="84"/>
      <c r="AW67" s="84"/>
      <c r="AX67" s="84" t="s">
        <v>4</v>
      </c>
      <c r="AY67" s="84" t="s">
        <v>96</v>
      </c>
      <c r="AZ67" s="84">
        <v>5000000</v>
      </c>
      <c r="BA67" s="84" t="s">
        <v>130</v>
      </c>
      <c r="BB67" s="84"/>
      <c r="BC67" s="84" t="s">
        <v>4</v>
      </c>
      <c r="BD67" s="84" t="s">
        <v>96</v>
      </c>
      <c r="BE67" s="84"/>
      <c r="BF67" s="84" t="s">
        <v>96</v>
      </c>
      <c r="BG67" s="84">
        <v>10100365</v>
      </c>
      <c r="BH67" s="84">
        <v>5000000</v>
      </c>
      <c r="BI67" s="84"/>
      <c r="BJ67" s="84"/>
      <c r="BK67" s="84"/>
      <c r="BL67" s="84"/>
      <c r="BM67" s="84"/>
      <c r="BN67" s="84">
        <v>5000000</v>
      </c>
      <c r="BO67" s="84" t="s">
        <v>96</v>
      </c>
      <c r="BP67" s="84" t="s">
        <v>96</v>
      </c>
      <c r="BQ67" s="84" t="s">
        <v>4</v>
      </c>
      <c r="BR67" s="84"/>
      <c r="BS67" s="84" t="s">
        <v>4</v>
      </c>
      <c r="BT67" s="84" t="s">
        <v>96</v>
      </c>
      <c r="BU67" s="85"/>
      <c r="BV67" s="84">
        <v>5000000</v>
      </c>
      <c r="BW67" s="84">
        <v>15336455</v>
      </c>
      <c r="BX67" s="84"/>
      <c r="BY67" s="84"/>
      <c r="BZ67" s="84">
        <v>5000000</v>
      </c>
      <c r="CA67" s="84"/>
      <c r="CB67" s="84"/>
      <c r="CC67" s="84">
        <v>0</v>
      </c>
      <c r="CD67" s="84"/>
      <c r="CE67" s="84" t="s">
        <v>96</v>
      </c>
      <c r="CF67" s="84" t="s">
        <v>96</v>
      </c>
      <c r="CG67" s="84">
        <v>37000000</v>
      </c>
      <c r="CH67" s="84"/>
      <c r="CI67" s="84" t="s">
        <v>96</v>
      </c>
      <c r="CJ67" s="84"/>
      <c r="CK67" s="84"/>
      <c r="CL67" s="84"/>
      <c r="CM67" s="84">
        <v>11579750</v>
      </c>
      <c r="CN67" s="84"/>
      <c r="CO67" s="84"/>
      <c r="CP67" s="84" t="s">
        <v>96</v>
      </c>
      <c r="CQ67" s="84" t="s">
        <v>96</v>
      </c>
      <c r="CR67" s="84"/>
      <c r="CS67" s="84" t="s">
        <v>96</v>
      </c>
      <c r="CT67" s="84"/>
      <c r="CU67" s="84"/>
      <c r="CV67" s="84"/>
      <c r="CW67" s="84" t="s">
        <v>96</v>
      </c>
      <c r="CX67" s="84"/>
      <c r="CY67" s="84" t="s">
        <v>96</v>
      </c>
      <c r="CZ67" s="84"/>
      <c r="DA67" s="84" t="s">
        <v>96</v>
      </c>
      <c r="DB67" s="86"/>
      <c r="DC67" s="84"/>
      <c r="DD67" s="84" t="s">
        <v>96</v>
      </c>
      <c r="DE67" s="84"/>
      <c r="DF67" s="84"/>
      <c r="DG67" s="84"/>
      <c r="DH67" s="84">
        <v>70023445</v>
      </c>
      <c r="DI67" s="84"/>
      <c r="DJ67" s="84">
        <v>120000000</v>
      </c>
      <c r="DK67" s="84" t="s">
        <v>96</v>
      </c>
      <c r="DL67" s="84"/>
      <c r="DM67" s="84"/>
      <c r="DN67" s="84">
        <v>0</v>
      </c>
      <c r="DO67" s="84"/>
      <c r="DP67" s="84"/>
      <c r="DQ67" s="84"/>
      <c r="DR67" s="84">
        <v>0</v>
      </c>
      <c r="DS67" s="84"/>
      <c r="DT67" s="84"/>
      <c r="DU67" s="84"/>
      <c r="DV67" s="84"/>
      <c r="DW67" s="84"/>
      <c r="DX67" s="84"/>
      <c r="DY67" s="84">
        <v>5000000</v>
      </c>
      <c r="DZ67" s="84">
        <v>5000000</v>
      </c>
      <c r="EA67" s="84"/>
      <c r="EB67" s="84">
        <v>129775412</v>
      </c>
      <c r="EC67" s="84">
        <v>10553217</v>
      </c>
      <c r="ED67" s="84">
        <v>58560493</v>
      </c>
      <c r="EE67" s="84"/>
      <c r="EF67" s="84">
        <v>0</v>
      </c>
      <c r="EG67" s="96"/>
      <c r="EH67" s="99"/>
      <c r="EI67" s="97"/>
      <c r="EJ67" s="84">
        <v>115649000</v>
      </c>
      <c r="EK67" s="84"/>
      <c r="EL67" s="84"/>
      <c r="EM67" s="84"/>
      <c r="EN67" s="84"/>
      <c r="EO67" s="84">
        <v>11541617</v>
      </c>
      <c r="EP67" s="84">
        <v>20360500</v>
      </c>
      <c r="EQ67" s="84"/>
      <c r="ER67" s="84">
        <v>24756310</v>
      </c>
      <c r="ES67" s="84">
        <v>5000000</v>
      </c>
      <c r="ET67" s="84"/>
      <c r="EU67" s="84"/>
      <c r="EV67" s="84"/>
      <c r="EW67" s="84"/>
      <c r="EX67" s="84"/>
      <c r="EY67" s="84"/>
      <c r="EZ67" s="84"/>
      <c r="FA67" s="84"/>
      <c r="FB67" s="84">
        <v>52470000</v>
      </c>
      <c r="FC67" s="84"/>
      <c r="FD67" s="84"/>
      <c r="FE67" s="84">
        <v>24146268</v>
      </c>
      <c r="FF67" s="84"/>
      <c r="FG67" s="84" t="s">
        <v>96</v>
      </c>
      <c r="FH67" s="84"/>
      <c r="FI67" s="84" t="s">
        <v>96</v>
      </c>
      <c r="FJ67" s="84">
        <v>5000000</v>
      </c>
      <c r="FK67" s="84"/>
      <c r="FL67" s="84"/>
      <c r="FM67" s="84" t="s">
        <v>130</v>
      </c>
      <c r="FN67" s="84"/>
      <c r="FO67" s="84" t="s">
        <v>96</v>
      </c>
      <c r="FP67" s="84" t="s">
        <v>96</v>
      </c>
      <c r="FQ67" s="84"/>
      <c r="FR67" s="84"/>
      <c r="FS67" s="86"/>
      <c r="FT67" s="84"/>
      <c r="FU67" s="84"/>
      <c r="FV67" s="84" t="s">
        <v>96</v>
      </c>
      <c r="FW67" s="84"/>
      <c r="FX67" s="84"/>
      <c r="FY67" s="84" t="s">
        <v>96</v>
      </c>
      <c r="FZ67" s="84" t="s">
        <v>4</v>
      </c>
      <c r="GA67" s="84"/>
      <c r="GB67" s="84"/>
      <c r="GC67" s="84"/>
      <c r="GD67" s="84" t="s">
        <v>96</v>
      </c>
      <c r="GE67" s="84" t="s">
        <v>4</v>
      </c>
      <c r="GF67" s="84"/>
      <c r="GG67" s="84">
        <v>29763002</v>
      </c>
      <c r="GH67" s="84" t="s">
        <v>4</v>
      </c>
      <c r="GI67" s="84"/>
      <c r="GJ67" s="84" t="s">
        <v>96</v>
      </c>
      <c r="GK67" s="84"/>
      <c r="GL67" s="84" t="s">
        <v>96</v>
      </c>
      <c r="GM67" s="84">
        <v>13937500</v>
      </c>
      <c r="GN67" s="84"/>
      <c r="GO67" s="84" t="s">
        <v>96</v>
      </c>
      <c r="GP67" s="84"/>
      <c r="GQ67" s="84"/>
      <c r="GR67" s="84"/>
      <c r="GS67" s="84"/>
      <c r="GT67" s="84" t="s">
        <v>130</v>
      </c>
      <c r="GU67" s="84"/>
      <c r="GV67" s="84">
        <v>82195526</v>
      </c>
      <c r="GW67" s="84"/>
      <c r="GX67" s="84">
        <v>5000000</v>
      </c>
      <c r="GY67" s="84"/>
      <c r="GZ67" s="84"/>
      <c r="HA67" s="84" t="s">
        <v>96</v>
      </c>
      <c r="HB67" s="84">
        <v>119735346</v>
      </c>
      <c r="HC67" s="84" t="s">
        <v>130</v>
      </c>
      <c r="HD67" s="84">
        <v>0</v>
      </c>
      <c r="HE67" s="84" t="s">
        <v>96</v>
      </c>
      <c r="HF67" s="84"/>
      <c r="HG67" s="84"/>
      <c r="HH67" s="84" t="s">
        <v>96</v>
      </c>
      <c r="HI67" s="84"/>
      <c r="HJ67" s="84" t="s">
        <v>96</v>
      </c>
      <c r="HK67" s="84"/>
      <c r="HL67" s="84"/>
      <c r="HM67" s="84"/>
      <c r="HN67" s="84"/>
      <c r="HO67" s="84"/>
      <c r="HP67" s="84">
        <v>1749186407</v>
      </c>
      <c r="HQ67" s="84"/>
      <c r="HR67" s="84"/>
      <c r="HS67" s="84"/>
      <c r="HT67" s="84"/>
      <c r="HU67" s="84" t="s">
        <v>130</v>
      </c>
      <c r="HV67" s="84"/>
      <c r="HW67" s="84" t="s">
        <v>96</v>
      </c>
      <c r="HX67" s="84"/>
      <c r="HY67" s="84" t="s">
        <v>114</v>
      </c>
      <c r="HZ67" s="84">
        <v>42177555</v>
      </c>
      <c r="IA67" s="84">
        <v>450000</v>
      </c>
      <c r="IB67" s="84"/>
      <c r="IC67" s="84">
        <v>0</v>
      </c>
      <c r="ID67" s="84"/>
      <c r="IE67" s="84" t="s">
        <v>96</v>
      </c>
      <c r="IF67" s="84"/>
      <c r="IG67" s="84"/>
      <c r="IH67" s="84">
        <v>150712027</v>
      </c>
      <c r="II67" s="84"/>
      <c r="IJ67" s="84">
        <v>5713260</v>
      </c>
      <c r="IK67" s="84"/>
      <c r="IL67" s="84"/>
      <c r="IM67" s="84">
        <v>102614179</v>
      </c>
      <c r="IN67" s="84"/>
      <c r="IO67" s="84"/>
      <c r="IP67" s="84"/>
      <c r="IQ67" s="84"/>
      <c r="IR67" s="84"/>
      <c r="IS67" s="96">
        <v>180386317</v>
      </c>
      <c r="IT67" s="99"/>
      <c r="IU67" s="84">
        <v>218693812</v>
      </c>
      <c r="IV67" s="84"/>
      <c r="IW67" s="84"/>
      <c r="IX67" s="84">
        <v>6839615</v>
      </c>
      <c r="IY67" s="68"/>
      <c r="IZ67" s="68"/>
      <c r="JA67" s="68"/>
      <c r="JB67" s="68"/>
      <c r="JC67" s="68"/>
      <c r="JD67" s="68"/>
      <c r="JE67" s="68"/>
      <c r="JF67" s="68"/>
      <c r="JG67" s="68"/>
      <c r="JH67" s="68">
        <v>5000000</v>
      </c>
      <c r="JI67" s="68"/>
      <c r="JJ67" s="68"/>
      <c r="JK67" s="68"/>
      <c r="JL67" s="68">
        <v>115673053</v>
      </c>
      <c r="JM67" s="68"/>
      <c r="JN67" s="68"/>
      <c r="JO67" s="68"/>
      <c r="JP67" s="68"/>
      <c r="JQ67" s="68" t="s">
        <v>4</v>
      </c>
      <c r="JR67" s="68"/>
      <c r="JS67" s="68">
        <v>9942000</v>
      </c>
      <c r="JT67" s="68"/>
      <c r="JU67" s="68"/>
      <c r="JV67" s="68">
        <v>82469732</v>
      </c>
      <c r="JW67" s="68"/>
      <c r="JX67" s="68"/>
      <c r="JY67" s="68"/>
      <c r="JZ67" s="68"/>
      <c r="KA67" s="68"/>
      <c r="KB67" s="68"/>
      <c r="KC67" s="68"/>
      <c r="KD67" s="68"/>
      <c r="KE67" s="68"/>
      <c r="KF67" s="68"/>
      <c r="KG67" s="68"/>
      <c r="KH67" s="68"/>
      <c r="KI67" s="68">
        <v>15438007</v>
      </c>
      <c r="KJ67" s="68"/>
      <c r="KK67" s="68"/>
      <c r="KL67" s="68"/>
      <c r="KM67" s="68"/>
      <c r="KN67" s="68"/>
      <c r="KO67" s="68"/>
      <c r="KP67" s="68"/>
      <c r="KQ67" s="68"/>
      <c r="KR67" s="68"/>
      <c r="KS67" s="68"/>
      <c r="KT67" s="68"/>
      <c r="KU67" s="68"/>
      <c r="KV67" s="68"/>
      <c r="KW67" s="68">
        <v>4850000</v>
      </c>
      <c r="KX67" s="68"/>
      <c r="KY67" s="68"/>
      <c r="KZ67" s="68"/>
      <c r="LA67" s="68"/>
      <c r="LB67" s="68"/>
      <c r="LC67" s="104"/>
      <c r="LD67" s="104"/>
      <c r="LE67" s="104">
        <v>1010000</v>
      </c>
      <c r="LF67" s="104"/>
      <c r="LG67" s="104"/>
      <c r="LH67" s="102" t="s">
        <v>187</v>
      </c>
      <c r="LI67" s="104"/>
      <c r="LJ67" s="102" t="s">
        <v>187</v>
      </c>
      <c r="LK67" s="104"/>
      <c r="LL67" s="102" t="s">
        <v>187</v>
      </c>
    </row>
    <row r="68" spans="1:324">
      <c r="A68" s="69" t="s">
        <v>185</v>
      </c>
      <c r="B68" s="95" t="s">
        <v>17</v>
      </c>
      <c r="C68" s="84"/>
      <c r="D68" s="84"/>
      <c r="E68" s="84">
        <v>86095250</v>
      </c>
      <c r="F68" s="84">
        <v>93277991</v>
      </c>
      <c r="G68" s="84" t="s">
        <v>130</v>
      </c>
      <c r="H68" s="84"/>
      <c r="I68" s="84"/>
      <c r="J68" s="84" t="s">
        <v>4</v>
      </c>
      <c r="K68" s="84"/>
      <c r="L68" s="84" t="s">
        <v>96</v>
      </c>
      <c r="M68" s="84" t="s">
        <v>96</v>
      </c>
      <c r="N68" s="84"/>
      <c r="O68" s="84"/>
      <c r="P68" s="84"/>
      <c r="Q68" s="84">
        <v>5000000</v>
      </c>
      <c r="R68" s="84" t="s">
        <v>130</v>
      </c>
      <c r="S68" s="84"/>
      <c r="T68" s="84" t="s">
        <v>96</v>
      </c>
      <c r="U68" s="84" t="s">
        <v>96</v>
      </c>
      <c r="V68" s="84" t="s">
        <v>4</v>
      </c>
      <c r="W68" s="84"/>
      <c r="X68" s="84"/>
      <c r="Y68" s="84">
        <v>5000000</v>
      </c>
      <c r="Z68" s="84"/>
      <c r="AA68" s="84"/>
      <c r="AB68" s="84"/>
      <c r="AC68" s="84"/>
      <c r="AD68" s="84"/>
      <c r="AE68" s="84"/>
      <c r="AF68" s="84" t="s">
        <v>96</v>
      </c>
      <c r="AG68" s="84"/>
      <c r="AH68" s="84" t="s">
        <v>130</v>
      </c>
      <c r="AI68" s="84"/>
      <c r="AJ68" s="84"/>
      <c r="AK68" s="84"/>
      <c r="AL68" s="84">
        <v>17808990</v>
      </c>
      <c r="AM68" s="84" t="s">
        <v>4</v>
      </c>
      <c r="AN68" s="84">
        <v>24047691</v>
      </c>
      <c r="AO68" s="84"/>
      <c r="AP68" s="84"/>
      <c r="AQ68" s="84" t="s">
        <v>4</v>
      </c>
      <c r="AR68" s="84"/>
      <c r="AS68" s="84"/>
      <c r="AT68" s="84" t="s">
        <v>96</v>
      </c>
      <c r="AU68" s="84"/>
      <c r="AV68" s="84">
        <v>5000000</v>
      </c>
      <c r="AW68" s="84">
        <v>5000000</v>
      </c>
      <c r="AX68" s="84" t="s">
        <v>4</v>
      </c>
      <c r="AY68" s="84" t="s">
        <v>96</v>
      </c>
      <c r="AZ68" s="84"/>
      <c r="BA68" s="84" t="s">
        <v>130</v>
      </c>
      <c r="BB68" s="84"/>
      <c r="BC68" s="84" t="s">
        <v>4</v>
      </c>
      <c r="BD68" s="84" t="s">
        <v>96</v>
      </c>
      <c r="BE68" s="84"/>
      <c r="BF68" s="84" t="s">
        <v>96</v>
      </c>
      <c r="BG68" s="84"/>
      <c r="BH68" s="84"/>
      <c r="BI68" s="84"/>
      <c r="BJ68" s="84"/>
      <c r="BK68" s="84"/>
      <c r="BL68" s="84"/>
      <c r="BM68" s="84"/>
      <c r="BN68" s="84"/>
      <c r="BO68" s="84" t="s">
        <v>96</v>
      </c>
      <c r="BP68" s="84" t="s">
        <v>96</v>
      </c>
      <c r="BQ68" s="84" t="s">
        <v>4</v>
      </c>
      <c r="BR68" s="84"/>
      <c r="BS68" s="84" t="s">
        <v>4</v>
      </c>
      <c r="BT68" s="84" t="s">
        <v>96</v>
      </c>
      <c r="BU68" s="85"/>
      <c r="BV68" s="84"/>
      <c r="BW68" s="84"/>
      <c r="BX68" s="84"/>
      <c r="BY68" s="84"/>
      <c r="BZ68" s="84"/>
      <c r="CA68" s="84"/>
      <c r="CB68" s="84"/>
      <c r="CC68" s="84"/>
      <c r="CD68" s="84">
        <v>89262398</v>
      </c>
      <c r="CE68" s="84" t="s">
        <v>96</v>
      </c>
      <c r="CF68" s="84" t="s">
        <v>96</v>
      </c>
      <c r="CG68" s="84">
        <v>32068910</v>
      </c>
      <c r="CH68" s="84">
        <v>20426320</v>
      </c>
      <c r="CI68" s="84" t="s">
        <v>96</v>
      </c>
      <c r="CJ68" s="84"/>
      <c r="CK68" s="84">
        <v>5000000</v>
      </c>
      <c r="CL68" s="84">
        <v>43467275</v>
      </c>
      <c r="CM68" s="84">
        <v>77216500</v>
      </c>
      <c r="CN68" s="84"/>
      <c r="CO68" s="84"/>
      <c r="CP68" s="84" t="s">
        <v>96</v>
      </c>
      <c r="CQ68" s="84" t="s">
        <v>96</v>
      </c>
      <c r="CR68" s="84"/>
      <c r="CS68" s="84" t="s">
        <v>96</v>
      </c>
      <c r="CT68" s="84"/>
      <c r="CU68" s="84"/>
      <c r="CV68" s="84"/>
      <c r="CW68" s="84" t="s">
        <v>96</v>
      </c>
      <c r="CX68" s="84"/>
      <c r="CY68" s="84" t="s">
        <v>96</v>
      </c>
      <c r="CZ68" s="84"/>
      <c r="DA68" s="84" t="s">
        <v>96</v>
      </c>
      <c r="DB68" s="86"/>
      <c r="DC68" s="84"/>
      <c r="DD68" s="84" t="s">
        <v>96</v>
      </c>
      <c r="DE68" s="84"/>
      <c r="DF68" s="84">
        <v>5000000</v>
      </c>
      <c r="DG68" s="84">
        <v>68566049</v>
      </c>
      <c r="DH68" s="84"/>
      <c r="DI68" s="84"/>
      <c r="DJ68" s="84">
        <v>5000000</v>
      </c>
      <c r="DK68" s="84" t="s">
        <v>96</v>
      </c>
      <c r="DL68" s="84">
        <v>113027468</v>
      </c>
      <c r="DM68" s="84"/>
      <c r="DN68" s="84"/>
      <c r="DO68" s="84"/>
      <c r="DP68" s="84">
        <v>18489150</v>
      </c>
      <c r="DQ68" s="84"/>
      <c r="DR68" s="84"/>
      <c r="DS68" s="84"/>
      <c r="DT68" s="84"/>
      <c r="DU68" s="84"/>
      <c r="DV68" s="84">
        <v>140244622</v>
      </c>
      <c r="DW68" s="84"/>
      <c r="DX68" s="84"/>
      <c r="DY68" s="84"/>
      <c r="DZ68" s="84">
        <v>0</v>
      </c>
      <c r="EA68" s="84"/>
      <c r="EB68" s="84"/>
      <c r="EC68" s="84"/>
      <c r="ED68" s="84"/>
      <c r="EE68" s="84"/>
      <c r="EF68" s="84">
        <v>0</v>
      </c>
      <c r="EG68" s="96"/>
      <c r="EH68" s="99"/>
      <c r="EI68" s="97"/>
      <c r="EJ68" s="84"/>
      <c r="EK68" s="84"/>
      <c r="EL68" s="84"/>
      <c r="EM68" s="84"/>
      <c r="EN68" s="84">
        <v>22031730</v>
      </c>
      <c r="EO68" s="84">
        <v>5503509</v>
      </c>
      <c r="EP68" s="84"/>
      <c r="EQ68" s="84"/>
      <c r="ER68" s="84">
        <v>42727912</v>
      </c>
      <c r="ES68" s="84"/>
      <c r="ET68" s="84"/>
      <c r="EU68" s="84"/>
      <c r="EV68" s="84">
        <v>5963799</v>
      </c>
      <c r="EW68" s="84">
        <v>0</v>
      </c>
      <c r="EX68" s="84">
        <v>63498904</v>
      </c>
      <c r="EY68" s="84">
        <v>51074276</v>
      </c>
      <c r="EZ68" s="84">
        <v>111762386</v>
      </c>
      <c r="FA68" s="84"/>
      <c r="FB68" s="84"/>
      <c r="FC68" s="84"/>
      <c r="FD68" s="84"/>
      <c r="FE68" s="84">
        <v>219742188</v>
      </c>
      <c r="FF68" s="84"/>
      <c r="FG68" s="84" t="s">
        <v>96</v>
      </c>
      <c r="FH68" s="84"/>
      <c r="FI68" s="84" t="s">
        <v>96</v>
      </c>
      <c r="FJ68" s="84"/>
      <c r="FK68" s="84">
        <v>79207519</v>
      </c>
      <c r="FL68" s="84"/>
      <c r="FM68" s="84" t="s">
        <v>130</v>
      </c>
      <c r="FN68" s="84"/>
      <c r="FO68" s="84" t="s">
        <v>96</v>
      </c>
      <c r="FP68" s="84" t="s">
        <v>96</v>
      </c>
      <c r="FQ68" s="84"/>
      <c r="FR68" s="84"/>
      <c r="FS68" s="86"/>
      <c r="FT68" s="84"/>
      <c r="FU68" s="84"/>
      <c r="FV68" s="84" t="s">
        <v>96</v>
      </c>
      <c r="FW68" s="84">
        <v>5000000</v>
      </c>
      <c r="FX68" s="84">
        <v>5000000</v>
      </c>
      <c r="FY68" s="84" t="s">
        <v>96</v>
      </c>
      <c r="FZ68" s="84" t="s">
        <v>4</v>
      </c>
      <c r="GA68" s="84"/>
      <c r="GB68" s="84"/>
      <c r="GC68" s="84"/>
      <c r="GD68" s="84" t="s">
        <v>96</v>
      </c>
      <c r="GE68" s="84" t="s">
        <v>4</v>
      </c>
      <c r="GF68" s="84">
        <v>116352519</v>
      </c>
      <c r="GG68" s="84">
        <v>51392766</v>
      </c>
      <c r="GH68" s="84" t="s">
        <v>4</v>
      </c>
      <c r="GI68" s="84"/>
      <c r="GJ68" s="84" t="s">
        <v>96</v>
      </c>
      <c r="GK68" s="84"/>
      <c r="GL68" s="84" t="s">
        <v>96</v>
      </c>
      <c r="GM68" s="84"/>
      <c r="GN68" s="84"/>
      <c r="GO68" s="84" t="s">
        <v>96</v>
      </c>
      <c r="GP68" s="84"/>
      <c r="GQ68" s="84"/>
      <c r="GR68" s="84"/>
      <c r="GS68" s="84">
        <v>44418735</v>
      </c>
      <c r="GT68" s="84" t="s">
        <v>130</v>
      </c>
      <c r="GU68" s="84"/>
      <c r="GV68" s="84"/>
      <c r="GW68" s="84"/>
      <c r="GX68" s="84">
        <v>1227435</v>
      </c>
      <c r="GY68" s="84"/>
      <c r="GZ68" s="84"/>
      <c r="HA68" s="84" t="s">
        <v>96</v>
      </c>
      <c r="HB68" s="84"/>
      <c r="HC68" s="84" t="s">
        <v>130</v>
      </c>
      <c r="HD68" s="84"/>
      <c r="HE68" s="84" t="s">
        <v>96</v>
      </c>
      <c r="HF68" s="84">
        <v>84657147</v>
      </c>
      <c r="HG68" s="84"/>
      <c r="HH68" s="84" t="s">
        <v>96</v>
      </c>
      <c r="HI68" s="84">
        <v>26482895</v>
      </c>
      <c r="HJ68" s="84" t="s">
        <v>96</v>
      </c>
      <c r="HK68" s="84">
        <v>209357339</v>
      </c>
      <c r="HL68" s="84"/>
      <c r="HM68" s="84"/>
      <c r="HN68" s="84">
        <v>15191594</v>
      </c>
      <c r="HO68" s="84"/>
      <c r="HP68" s="84">
        <v>142568840</v>
      </c>
      <c r="HQ68" s="84"/>
      <c r="HR68" s="84"/>
      <c r="HS68" s="84"/>
      <c r="HT68" s="84"/>
      <c r="HU68" s="84" t="s">
        <v>130</v>
      </c>
      <c r="HV68" s="84">
        <v>39984740</v>
      </c>
      <c r="HW68" s="84" t="s">
        <v>96</v>
      </c>
      <c r="HX68" s="84"/>
      <c r="HY68" s="84" t="s">
        <v>114</v>
      </c>
      <c r="HZ68" s="84"/>
      <c r="IA68" s="84">
        <v>1305900</v>
      </c>
      <c r="IB68" s="84"/>
      <c r="IC68" s="84"/>
      <c r="ID68" s="84"/>
      <c r="IE68" s="84" t="s">
        <v>96</v>
      </c>
      <c r="IF68" s="84"/>
      <c r="IG68" s="84">
        <v>0</v>
      </c>
      <c r="IH68" s="84"/>
      <c r="II68" s="84"/>
      <c r="IJ68" s="84"/>
      <c r="IK68" s="84"/>
      <c r="IL68" s="84"/>
      <c r="IM68" s="84">
        <v>18472000</v>
      </c>
      <c r="IN68" s="84"/>
      <c r="IO68" s="84"/>
      <c r="IP68" s="84">
        <v>60860510</v>
      </c>
      <c r="IQ68" s="84"/>
      <c r="IR68" s="84"/>
      <c r="IS68" s="96"/>
      <c r="IT68" s="99"/>
      <c r="IU68" s="84">
        <v>15957600</v>
      </c>
      <c r="IV68" s="84"/>
      <c r="IW68" s="84"/>
      <c r="IX68" s="84"/>
      <c r="IY68" s="68"/>
      <c r="IZ68" s="68">
        <v>0</v>
      </c>
      <c r="JA68" s="68"/>
      <c r="JB68" s="68"/>
      <c r="JC68" s="68"/>
      <c r="JD68" s="68"/>
      <c r="JE68" s="68"/>
      <c r="JF68" s="68"/>
      <c r="JG68" s="68"/>
      <c r="JH68" s="68"/>
      <c r="JI68" s="68"/>
      <c r="JJ68" s="68"/>
      <c r="JK68" s="68"/>
      <c r="JL68" s="68">
        <v>17001969</v>
      </c>
      <c r="JM68" s="68"/>
      <c r="JN68" s="68"/>
      <c r="JO68" s="68">
        <v>40000000</v>
      </c>
      <c r="JP68" s="68">
        <v>0</v>
      </c>
      <c r="JQ68" s="68" t="s">
        <v>4</v>
      </c>
      <c r="JR68" s="68"/>
      <c r="JS68" s="68">
        <v>26355120</v>
      </c>
      <c r="JT68" s="68"/>
      <c r="JU68" s="68"/>
      <c r="JV68" s="68"/>
      <c r="JW68" s="68">
        <v>23903000</v>
      </c>
      <c r="JX68" s="68"/>
      <c r="JY68" s="68"/>
      <c r="JZ68" s="68"/>
      <c r="KA68" s="68"/>
      <c r="KB68" s="68"/>
      <c r="KC68" s="68"/>
      <c r="KD68" s="68"/>
      <c r="KE68" s="68"/>
      <c r="KF68" s="68"/>
      <c r="KG68" s="68"/>
      <c r="KH68" s="68"/>
      <c r="KI68" s="68"/>
      <c r="KJ68" s="68"/>
      <c r="KK68" s="68">
        <v>14963700</v>
      </c>
      <c r="KL68" s="68"/>
      <c r="KM68" s="68"/>
      <c r="KN68" s="68"/>
      <c r="KO68" s="68">
        <v>81660044</v>
      </c>
      <c r="KP68" s="68"/>
      <c r="KQ68" s="68"/>
      <c r="KR68" s="68"/>
      <c r="KS68" s="68"/>
      <c r="KT68" s="68"/>
      <c r="KU68" s="68"/>
      <c r="KV68" s="68"/>
      <c r="KW68" s="68"/>
      <c r="KX68" s="68"/>
      <c r="KY68" s="68">
        <v>0</v>
      </c>
      <c r="KZ68" s="68"/>
      <c r="LA68" s="68"/>
      <c r="LB68" s="68"/>
      <c r="LC68" s="104"/>
      <c r="LD68" s="104"/>
      <c r="LE68" s="104"/>
      <c r="LF68" s="104"/>
      <c r="LG68" s="104"/>
      <c r="LH68" s="102" t="s">
        <v>187</v>
      </c>
      <c r="LI68" s="104"/>
      <c r="LJ68" s="102" t="s">
        <v>187</v>
      </c>
      <c r="LK68" s="104"/>
      <c r="LL68" s="102" t="s">
        <v>187</v>
      </c>
    </row>
    <row r="69" spans="1:324">
      <c r="A69" s="69" t="s">
        <v>185</v>
      </c>
      <c r="B69" s="93" t="s">
        <v>41</v>
      </c>
      <c r="C69" s="84"/>
      <c r="D69" s="84">
        <v>2383642143</v>
      </c>
      <c r="E69" s="84">
        <v>34276990</v>
      </c>
      <c r="F69" s="84">
        <v>540000</v>
      </c>
      <c r="G69" s="84" t="s">
        <v>130</v>
      </c>
      <c r="H69" s="84">
        <v>39334200</v>
      </c>
      <c r="I69" s="84">
        <v>373009946</v>
      </c>
      <c r="J69" s="84" t="s">
        <v>4</v>
      </c>
      <c r="K69" s="84"/>
      <c r="L69" s="84" t="s">
        <v>96</v>
      </c>
      <c r="M69" s="84" t="s">
        <v>96</v>
      </c>
      <c r="N69" s="84">
        <v>829693726</v>
      </c>
      <c r="O69" s="84">
        <v>147062</v>
      </c>
      <c r="P69" s="84"/>
      <c r="Q69" s="84">
        <v>237134</v>
      </c>
      <c r="R69" s="84" t="s">
        <v>130</v>
      </c>
      <c r="S69" s="84"/>
      <c r="T69" s="84" t="s">
        <v>96</v>
      </c>
      <c r="U69" s="84" t="s">
        <v>96</v>
      </c>
      <c r="V69" s="84" t="s">
        <v>4</v>
      </c>
      <c r="W69" s="84"/>
      <c r="X69" s="84"/>
      <c r="Y69" s="84"/>
      <c r="Z69" s="84"/>
      <c r="AA69" s="84"/>
      <c r="AB69" s="84"/>
      <c r="AC69" s="84">
        <v>14582648</v>
      </c>
      <c r="AD69" s="84">
        <v>2190367</v>
      </c>
      <c r="AE69" s="84">
        <v>6268765</v>
      </c>
      <c r="AF69" s="84" t="s">
        <v>96</v>
      </c>
      <c r="AG69" s="84"/>
      <c r="AH69" s="84" t="s">
        <v>130</v>
      </c>
      <c r="AI69" s="84">
        <v>5000000</v>
      </c>
      <c r="AJ69" s="84">
        <v>5868299</v>
      </c>
      <c r="AK69" s="84">
        <v>341975</v>
      </c>
      <c r="AL69" s="84"/>
      <c r="AM69" s="84" t="s">
        <v>4</v>
      </c>
      <c r="AN69" s="84"/>
      <c r="AO69" s="84">
        <v>1149963</v>
      </c>
      <c r="AP69" s="84"/>
      <c r="AQ69" s="84" t="s">
        <v>4</v>
      </c>
      <c r="AR69" s="84"/>
      <c r="AS69" s="84"/>
      <c r="AT69" s="84" t="s">
        <v>96</v>
      </c>
      <c r="AU69" s="84">
        <v>2528775</v>
      </c>
      <c r="AV69" s="84"/>
      <c r="AW69" s="84"/>
      <c r="AX69" s="84" t="s">
        <v>4</v>
      </c>
      <c r="AY69" s="84" t="s">
        <v>96</v>
      </c>
      <c r="AZ69" s="84"/>
      <c r="BA69" s="84" t="s">
        <v>130</v>
      </c>
      <c r="BB69" s="84"/>
      <c r="BC69" s="84" t="s">
        <v>4</v>
      </c>
      <c r="BD69" s="84" t="s">
        <v>96</v>
      </c>
      <c r="BE69" s="84"/>
      <c r="BF69" s="84" t="s">
        <v>96</v>
      </c>
      <c r="BG69" s="84">
        <v>8648808</v>
      </c>
      <c r="BH69" s="84"/>
      <c r="BI69" s="84">
        <v>3562622</v>
      </c>
      <c r="BJ69" s="84">
        <v>47915</v>
      </c>
      <c r="BK69" s="84">
        <v>10170580</v>
      </c>
      <c r="BL69" s="84"/>
      <c r="BM69" s="84">
        <v>540000</v>
      </c>
      <c r="BN69" s="84">
        <v>1480</v>
      </c>
      <c r="BO69" s="84" t="s">
        <v>96</v>
      </c>
      <c r="BP69" s="84" t="s">
        <v>96</v>
      </c>
      <c r="BQ69" s="84" t="s">
        <v>4</v>
      </c>
      <c r="BR69" s="84">
        <v>38757</v>
      </c>
      <c r="BS69" s="84" t="s">
        <v>4</v>
      </c>
      <c r="BT69" s="84" t="s">
        <v>96</v>
      </c>
      <c r="BU69" s="85">
        <v>5000000</v>
      </c>
      <c r="BV69" s="84"/>
      <c r="BW69" s="84"/>
      <c r="BX69" s="84"/>
      <c r="BY69" s="84"/>
      <c r="BZ69" s="84"/>
      <c r="CA69" s="84">
        <v>280000</v>
      </c>
      <c r="CB69" s="84"/>
      <c r="CC69" s="84">
        <v>9764450</v>
      </c>
      <c r="CD69" s="84"/>
      <c r="CE69" s="84" t="s">
        <v>96</v>
      </c>
      <c r="CF69" s="84" t="s">
        <v>96</v>
      </c>
      <c r="CG69" s="84">
        <v>1265000</v>
      </c>
      <c r="CH69" s="84">
        <v>29952</v>
      </c>
      <c r="CI69" s="84" t="s">
        <v>96</v>
      </c>
      <c r="CJ69" s="84">
        <v>241629</v>
      </c>
      <c r="CK69" s="84"/>
      <c r="CL69" s="84"/>
      <c r="CM69" s="84"/>
      <c r="CN69" s="84">
        <v>4945332</v>
      </c>
      <c r="CO69" s="84"/>
      <c r="CP69" s="84" t="s">
        <v>96</v>
      </c>
      <c r="CQ69" s="84" t="s">
        <v>96</v>
      </c>
      <c r="CR69" s="84">
        <v>520180</v>
      </c>
      <c r="CS69" s="84" t="s">
        <v>96</v>
      </c>
      <c r="CT69" s="84">
        <v>103561</v>
      </c>
      <c r="CU69" s="84">
        <v>120092101</v>
      </c>
      <c r="CV69" s="84"/>
      <c r="CW69" s="84" t="s">
        <v>96</v>
      </c>
      <c r="CX69" s="84"/>
      <c r="CY69" s="84" t="s">
        <v>96</v>
      </c>
      <c r="CZ69" s="84"/>
      <c r="DA69" s="84" t="s">
        <v>96</v>
      </c>
      <c r="DB69" s="86">
        <v>3545300</v>
      </c>
      <c r="DC69" s="84"/>
      <c r="DD69" s="84" t="s">
        <v>96</v>
      </c>
      <c r="DE69" s="84"/>
      <c r="DF69" s="84"/>
      <c r="DG69" s="84">
        <v>0</v>
      </c>
      <c r="DH69" s="84">
        <v>2428757</v>
      </c>
      <c r="DI69" s="84"/>
      <c r="DJ69" s="84"/>
      <c r="DK69" s="84" t="s">
        <v>96</v>
      </c>
      <c r="DL69" s="84">
        <v>0</v>
      </c>
      <c r="DM69" s="84"/>
      <c r="DN69" s="84"/>
      <c r="DO69" s="84"/>
      <c r="DP69" s="84">
        <v>371249</v>
      </c>
      <c r="DQ69" s="84"/>
      <c r="DR69" s="84">
        <v>719818</v>
      </c>
      <c r="DS69" s="84">
        <v>6600000</v>
      </c>
      <c r="DT69" s="84"/>
      <c r="DU69" s="84"/>
      <c r="DV69" s="84">
        <v>59024715</v>
      </c>
      <c r="DW69" s="84"/>
      <c r="DX69" s="84">
        <v>6741945</v>
      </c>
      <c r="DY69" s="84"/>
      <c r="DZ69" s="84">
        <v>560000</v>
      </c>
      <c r="EA69" s="84">
        <v>51</v>
      </c>
      <c r="EB69" s="84">
        <v>982656</v>
      </c>
      <c r="EC69" s="84"/>
      <c r="ED69" s="84"/>
      <c r="EE69" s="84"/>
      <c r="EF69" s="84">
        <v>48094</v>
      </c>
      <c r="EG69" s="96">
        <v>1455160856</v>
      </c>
      <c r="EH69" s="99">
        <v>5110372</v>
      </c>
      <c r="EI69" s="97"/>
      <c r="EJ69" s="84">
        <v>107623973</v>
      </c>
      <c r="EK69" s="84">
        <v>124913324</v>
      </c>
      <c r="EL69" s="84"/>
      <c r="EM69" s="84"/>
      <c r="EN69" s="84">
        <v>880236131</v>
      </c>
      <c r="EO69" s="84"/>
      <c r="EP69" s="84"/>
      <c r="EQ69" s="84"/>
      <c r="ER69" s="84">
        <v>6000000</v>
      </c>
      <c r="ES69" s="84"/>
      <c r="ET69" s="84"/>
      <c r="EU69" s="84">
        <v>248501484</v>
      </c>
      <c r="EV69" s="84">
        <v>244965</v>
      </c>
      <c r="EW69" s="84">
        <v>71721299</v>
      </c>
      <c r="EX69" s="84"/>
      <c r="EY69" s="84">
        <v>0</v>
      </c>
      <c r="EZ69" s="84"/>
      <c r="FA69" s="84">
        <v>0</v>
      </c>
      <c r="FB69" s="84"/>
      <c r="FC69" s="84">
        <v>62070000</v>
      </c>
      <c r="FD69" s="84">
        <v>11738240</v>
      </c>
      <c r="FE69" s="84"/>
      <c r="FF69" s="84"/>
      <c r="FG69" s="84" t="s">
        <v>96</v>
      </c>
      <c r="FH69" s="84"/>
      <c r="FI69" s="84" t="s">
        <v>96</v>
      </c>
      <c r="FJ69" s="84"/>
      <c r="FK69" s="84"/>
      <c r="FL69" s="84"/>
      <c r="FM69" s="84" t="s">
        <v>130</v>
      </c>
      <c r="FN69" s="84">
        <v>2</v>
      </c>
      <c r="FO69" s="84" t="s">
        <v>96</v>
      </c>
      <c r="FP69" s="84" t="s">
        <v>96</v>
      </c>
      <c r="FQ69" s="84"/>
      <c r="FR69" s="84"/>
      <c r="FS69" s="86">
        <v>41483</v>
      </c>
      <c r="FT69" s="84">
        <v>42278336</v>
      </c>
      <c r="FU69" s="84"/>
      <c r="FV69" s="84" t="s">
        <v>96</v>
      </c>
      <c r="FW69" s="84"/>
      <c r="FX69" s="84"/>
      <c r="FY69" s="84" t="s">
        <v>96</v>
      </c>
      <c r="FZ69" s="84" t="s">
        <v>4</v>
      </c>
      <c r="GA69" s="84">
        <v>7739</v>
      </c>
      <c r="GB69" s="84"/>
      <c r="GC69" s="84">
        <v>80000334</v>
      </c>
      <c r="GD69" s="84" t="s">
        <v>96</v>
      </c>
      <c r="GE69" s="84" t="s">
        <v>4</v>
      </c>
      <c r="GF69" s="84"/>
      <c r="GG69" s="84">
        <v>3422316</v>
      </c>
      <c r="GH69" s="84" t="s">
        <v>4</v>
      </c>
      <c r="GI69" s="84">
        <v>161408</v>
      </c>
      <c r="GJ69" s="84" t="s">
        <v>96</v>
      </c>
      <c r="GK69" s="84"/>
      <c r="GL69" s="84" t="s">
        <v>96</v>
      </c>
      <c r="GM69" s="84"/>
      <c r="GN69" s="84"/>
      <c r="GO69" s="84" t="s">
        <v>96</v>
      </c>
      <c r="GP69" s="84">
        <v>16460340</v>
      </c>
      <c r="GQ69" s="84"/>
      <c r="GR69" s="84">
        <v>6536225</v>
      </c>
      <c r="GS69" s="84"/>
      <c r="GT69" s="84" t="s">
        <v>130</v>
      </c>
      <c r="GU69" s="84"/>
      <c r="GV69" s="84">
        <v>28200000</v>
      </c>
      <c r="GW69" s="84">
        <v>590977</v>
      </c>
      <c r="GX69" s="84"/>
      <c r="GY69" s="84">
        <v>1951588</v>
      </c>
      <c r="GZ69" s="84"/>
      <c r="HA69" s="84" t="s">
        <v>96</v>
      </c>
      <c r="HB69" s="84">
        <v>112283194</v>
      </c>
      <c r="HC69" s="84" t="s">
        <v>130</v>
      </c>
      <c r="HD69" s="84">
        <v>5663801</v>
      </c>
      <c r="HE69" s="84" t="s">
        <v>96</v>
      </c>
      <c r="HF69" s="84"/>
      <c r="HG69" s="84">
        <v>312119905</v>
      </c>
      <c r="HH69" s="84" t="s">
        <v>96</v>
      </c>
      <c r="HI69" s="84">
        <v>14916659</v>
      </c>
      <c r="HJ69" s="84" t="s">
        <v>96</v>
      </c>
      <c r="HK69" s="84">
        <v>9236582</v>
      </c>
      <c r="HL69" s="84"/>
      <c r="HM69" s="84"/>
      <c r="HN69" s="84">
        <v>43202340</v>
      </c>
      <c r="HO69" s="84">
        <v>47506108</v>
      </c>
      <c r="HP69" s="84"/>
      <c r="HQ69" s="84">
        <v>23510863</v>
      </c>
      <c r="HR69" s="84">
        <v>74923599</v>
      </c>
      <c r="HS69" s="84"/>
      <c r="HT69" s="84"/>
      <c r="HU69" s="84" t="s">
        <v>130</v>
      </c>
      <c r="HV69" s="84">
        <v>3345</v>
      </c>
      <c r="HW69" s="84" t="s">
        <v>96</v>
      </c>
      <c r="HX69" s="84">
        <v>8845909</v>
      </c>
      <c r="HY69" s="84" t="s">
        <v>114</v>
      </c>
      <c r="HZ69" s="84">
        <v>91331557</v>
      </c>
      <c r="IA69" s="84"/>
      <c r="IB69" s="84">
        <v>17218641</v>
      </c>
      <c r="IC69" s="84"/>
      <c r="ID69" s="84"/>
      <c r="IE69" s="84" t="s">
        <v>96</v>
      </c>
      <c r="IF69" s="84"/>
      <c r="IG69" s="84">
        <v>12000000</v>
      </c>
      <c r="IH69" s="84"/>
      <c r="II69" s="84"/>
      <c r="IJ69" s="84">
        <v>2881660</v>
      </c>
      <c r="IK69" s="84">
        <v>6299058</v>
      </c>
      <c r="IL69" s="84">
        <v>3588173</v>
      </c>
      <c r="IM69" s="84"/>
      <c r="IN69" s="84"/>
      <c r="IO69" s="84">
        <v>1071868</v>
      </c>
      <c r="IP69" s="84"/>
      <c r="IQ69" s="84"/>
      <c r="IR69" s="84"/>
      <c r="IS69" s="96"/>
      <c r="IT69" s="99">
        <v>124340</v>
      </c>
      <c r="IU69" s="84"/>
      <c r="IV69" s="84">
        <v>26448210</v>
      </c>
      <c r="IW69" s="84"/>
      <c r="IX69" s="84"/>
      <c r="IY69" s="68">
        <v>10189948</v>
      </c>
      <c r="IZ69" s="68">
        <v>0</v>
      </c>
      <c r="JA69" s="68">
        <v>58103262</v>
      </c>
      <c r="JB69" s="68">
        <v>88076</v>
      </c>
      <c r="JC69" s="68"/>
      <c r="JD69" s="68"/>
      <c r="JE69" s="68">
        <v>382247</v>
      </c>
      <c r="JF69" s="68"/>
      <c r="JG69" s="68"/>
      <c r="JH69" s="68"/>
      <c r="JI69" s="68"/>
      <c r="JJ69" s="68"/>
      <c r="JK69" s="68">
        <v>125077309</v>
      </c>
      <c r="JL69" s="68"/>
      <c r="JM69" s="68"/>
      <c r="JN69" s="68">
        <v>5819279</v>
      </c>
      <c r="JO69" s="68"/>
      <c r="JP69" s="68"/>
      <c r="JQ69" s="68" t="s">
        <v>4</v>
      </c>
      <c r="JR69" s="68"/>
      <c r="JS69" s="68">
        <v>61501112</v>
      </c>
      <c r="JT69" s="68"/>
      <c r="JU69" s="68"/>
      <c r="JV69" s="68">
        <v>5525000</v>
      </c>
      <c r="JW69" s="68"/>
      <c r="JX69" s="68"/>
      <c r="JY69" s="68"/>
      <c r="JZ69" s="68"/>
      <c r="KA69" s="68"/>
      <c r="KB69" s="68">
        <v>4177949</v>
      </c>
      <c r="KC69" s="68"/>
      <c r="KD69" s="68"/>
      <c r="KE69" s="68"/>
      <c r="KF69" s="68">
        <v>3640000</v>
      </c>
      <c r="KG69" s="68"/>
      <c r="KH69" s="68"/>
      <c r="KI69" s="68"/>
      <c r="KJ69" s="68">
        <v>0</v>
      </c>
      <c r="KK69" s="68">
        <v>0</v>
      </c>
      <c r="KL69" s="68">
        <v>28306000</v>
      </c>
      <c r="KM69" s="68"/>
      <c r="KN69" s="68"/>
      <c r="KO69" s="68">
        <v>163491</v>
      </c>
      <c r="KP69" s="68">
        <v>9320000</v>
      </c>
      <c r="KQ69" s="68"/>
      <c r="KR69" s="68"/>
      <c r="KS69" s="68"/>
      <c r="KT69" s="68"/>
      <c r="KU69" s="68">
        <v>7481315</v>
      </c>
      <c r="KV69" s="68"/>
      <c r="KW69" s="68"/>
      <c r="KX69" s="68"/>
      <c r="KY69" s="68">
        <v>9603510</v>
      </c>
      <c r="KZ69" s="68"/>
      <c r="LA69" s="68">
        <v>1589500</v>
      </c>
      <c r="LB69" s="68"/>
      <c r="LC69" s="104"/>
      <c r="LD69" s="104"/>
      <c r="LE69" s="104">
        <v>62743530</v>
      </c>
      <c r="LF69" s="104">
        <v>82914</v>
      </c>
      <c r="LG69" s="104"/>
      <c r="LH69" s="102" t="s">
        <v>187</v>
      </c>
      <c r="LI69" s="104"/>
      <c r="LJ69" s="102" t="s">
        <v>187</v>
      </c>
      <c r="LK69" s="104">
        <v>1212553</v>
      </c>
      <c r="LL69" s="102" t="s">
        <v>187</v>
      </c>
    </row>
    <row r="70" spans="1:324">
      <c r="A70" s="69" t="s">
        <v>185</v>
      </c>
      <c r="B70" s="92" t="s">
        <v>10</v>
      </c>
      <c r="C70" s="84">
        <v>2</v>
      </c>
      <c r="D70" s="84">
        <v>1632564407</v>
      </c>
      <c r="E70" s="84">
        <v>23456365</v>
      </c>
      <c r="F70" s="84">
        <v>64032929</v>
      </c>
      <c r="G70" s="84" t="s">
        <v>130</v>
      </c>
      <c r="H70" s="84">
        <v>279174666</v>
      </c>
      <c r="I70" s="84">
        <v>278598872</v>
      </c>
      <c r="J70" s="84" t="s">
        <v>4</v>
      </c>
      <c r="K70" s="84">
        <v>431806</v>
      </c>
      <c r="L70" s="84" t="s">
        <v>96</v>
      </c>
      <c r="M70" s="84" t="s">
        <v>96</v>
      </c>
      <c r="N70" s="84">
        <v>337967571</v>
      </c>
      <c r="O70" s="84">
        <v>182336484</v>
      </c>
      <c r="P70" s="84">
        <v>196244777</v>
      </c>
      <c r="Q70" s="84">
        <v>4159266</v>
      </c>
      <c r="R70" s="84" t="s">
        <v>130</v>
      </c>
      <c r="S70" s="84">
        <v>459911618</v>
      </c>
      <c r="T70" s="84" t="s">
        <v>96</v>
      </c>
      <c r="U70" s="84" t="s">
        <v>96</v>
      </c>
      <c r="V70" s="84" t="s">
        <v>4</v>
      </c>
      <c r="W70" s="84">
        <v>51556996</v>
      </c>
      <c r="X70" s="84">
        <v>220084025</v>
      </c>
      <c r="Y70" s="84">
        <v>612630</v>
      </c>
      <c r="Z70" s="84">
        <v>86888004</v>
      </c>
      <c r="AA70" s="84">
        <v>154143673</v>
      </c>
      <c r="AB70" s="84">
        <v>5710085</v>
      </c>
      <c r="AC70" s="84">
        <v>8067274</v>
      </c>
      <c r="AD70" s="84">
        <v>107575228</v>
      </c>
      <c r="AE70" s="84">
        <v>70433297</v>
      </c>
      <c r="AF70" s="84" t="s">
        <v>96</v>
      </c>
      <c r="AG70" s="84">
        <v>49007824</v>
      </c>
      <c r="AH70" s="84" t="s">
        <v>130</v>
      </c>
      <c r="AI70" s="84">
        <v>66109138</v>
      </c>
      <c r="AJ70" s="84">
        <v>22313549</v>
      </c>
      <c r="AK70" s="84">
        <v>17528537</v>
      </c>
      <c r="AL70" s="84">
        <v>21400376</v>
      </c>
      <c r="AM70" s="84" t="s">
        <v>4</v>
      </c>
      <c r="AN70" s="84">
        <v>48520285</v>
      </c>
      <c r="AO70" s="84">
        <v>39370322</v>
      </c>
      <c r="AP70" s="84">
        <v>1200000</v>
      </c>
      <c r="AQ70" s="84" t="s">
        <v>4</v>
      </c>
      <c r="AR70" s="84">
        <v>91032006</v>
      </c>
      <c r="AS70" s="84">
        <v>119648706</v>
      </c>
      <c r="AT70" s="84" t="s">
        <v>96</v>
      </c>
      <c r="AU70" s="84">
        <v>1072420740</v>
      </c>
      <c r="AV70" s="84">
        <v>4704992</v>
      </c>
      <c r="AW70" s="84">
        <v>19216079</v>
      </c>
      <c r="AX70" s="84" t="s">
        <v>4</v>
      </c>
      <c r="AY70" s="84" t="s">
        <v>96</v>
      </c>
      <c r="AZ70" s="84">
        <v>21127445</v>
      </c>
      <c r="BA70" s="84" t="s">
        <v>130</v>
      </c>
      <c r="BB70" s="84">
        <v>4843004</v>
      </c>
      <c r="BC70" s="84" t="s">
        <v>4</v>
      </c>
      <c r="BD70" s="84" t="s">
        <v>96</v>
      </c>
      <c r="BE70" s="84">
        <v>94933437</v>
      </c>
      <c r="BF70" s="84" t="s">
        <v>96</v>
      </c>
      <c r="BG70" s="84">
        <v>34648022</v>
      </c>
      <c r="BH70" s="84">
        <v>47459041</v>
      </c>
      <c r="BI70" s="84">
        <v>3895487</v>
      </c>
      <c r="BJ70" s="84">
        <v>32661927</v>
      </c>
      <c r="BK70" s="84">
        <v>127838400</v>
      </c>
      <c r="BL70" s="84">
        <v>1936120</v>
      </c>
      <c r="BM70" s="84">
        <v>52693504</v>
      </c>
      <c r="BN70" s="84">
        <v>53262</v>
      </c>
      <c r="BO70" s="84" t="s">
        <v>96</v>
      </c>
      <c r="BP70" s="84" t="s">
        <v>96</v>
      </c>
      <c r="BQ70" s="84" t="s">
        <v>4</v>
      </c>
      <c r="BR70" s="84">
        <v>418792119</v>
      </c>
      <c r="BS70" s="84" t="s">
        <v>4</v>
      </c>
      <c r="BT70" s="84" t="s">
        <v>96</v>
      </c>
      <c r="BU70" s="85">
        <v>59260770</v>
      </c>
      <c r="BV70" s="84">
        <v>60209056</v>
      </c>
      <c r="BW70" s="84">
        <v>6242730</v>
      </c>
      <c r="BX70" s="84">
        <v>5351511</v>
      </c>
      <c r="BY70" s="84">
        <v>95484304</v>
      </c>
      <c r="BZ70" s="84">
        <v>168349836</v>
      </c>
      <c r="CA70" s="84">
        <v>269330781</v>
      </c>
      <c r="CB70" s="84">
        <v>53685124</v>
      </c>
      <c r="CC70" s="84">
        <v>426930</v>
      </c>
      <c r="CD70" s="84">
        <v>10050691</v>
      </c>
      <c r="CE70" s="84" t="s">
        <v>96</v>
      </c>
      <c r="CF70" s="84" t="s">
        <v>96</v>
      </c>
      <c r="CG70" s="84">
        <v>8636950</v>
      </c>
      <c r="CH70" s="84">
        <v>86597351</v>
      </c>
      <c r="CI70" s="84" t="s">
        <v>96</v>
      </c>
      <c r="CJ70" s="84">
        <v>9381058</v>
      </c>
      <c r="CK70" s="84">
        <v>240667921</v>
      </c>
      <c r="CL70" s="84">
        <v>113935110</v>
      </c>
      <c r="CM70" s="84">
        <v>214403756</v>
      </c>
      <c r="CN70" s="84">
        <v>650407</v>
      </c>
      <c r="CO70" s="84">
        <v>0</v>
      </c>
      <c r="CP70" s="84" t="s">
        <v>96</v>
      </c>
      <c r="CQ70" s="84" t="s">
        <v>96</v>
      </c>
      <c r="CR70" s="84">
        <v>43352668</v>
      </c>
      <c r="CS70" s="84" t="s">
        <v>96</v>
      </c>
      <c r="CT70" s="84">
        <v>227646913</v>
      </c>
      <c r="CU70" s="84">
        <v>0</v>
      </c>
      <c r="CV70" s="84">
        <v>4248856</v>
      </c>
      <c r="CW70" s="84" t="s">
        <v>96</v>
      </c>
      <c r="CX70" s="84">
        <v>24038000</v>
      </c>
      <c r="CY70" s="84" t="s">
        <v>96</v>
      </c>
      <c r="CZ70" s="84">
        <v>233361192</v>
      </c>
      <c r="DA70" s="84" t="s">
        <v>96</v>
      </c>
      <c r="DB70" s="86">
        <v>3446131</v>
      </c>
      <c r="DC70" s="84">
        <v>255536</v>
      </c>
      <c r="DD70" s="84" t="s">
        <v>96</v>
      </c>
      <c r="DE70" s="84">
        <v>140000000</v>
      </c>
      <c r="DF70" s="84">
        <v>0</v>
      </c>
      <c r="DG70" s="84">
        <v>47988615</v>
      </c>
      <c r="DH70" s="84">
        <v>16454246</v>
      </c>
      <c r="DI70" s="84">
        <v>173742782</v>
      </c>
      <c r="DJ70" s="84">
        <v>7426764</v>
      </c>
      <c r="DK70" s="84" t="s">
        <v>96</v>
      </c>
      <c r="DL70" s="84">
        <v>34369905</v>
      </c>
      <c r="DM70" s="84">
        <v>72322152</v>
      </c>
      <c r="DN70" s="84">
        <v>73488474</v>
      </c>
      <c r="DO70" s="84">
        <v>5560250</v>
      </c>
      <c r="DP70" s="84">
        <v>95825025</v>
      </c>
      <c r="DQ70" s="84">
        <v>16126449</v>
      </c>
      <c r="DR70" s="84">
        <v>246157681</v>
      </c>
      <c r="DS70" s="84">
        <v>130000</v>
      </c>
      <c r="DT70" s="84">
        <v>88069331</v>
      </c>
      <c r="DU70" s="84">
        <v>1832392</v>
      </c>
      <c r="DV70" s="84">
        <v>52621807</v>
      </c>
      <c r="DW70" s="84">
        <v>13189495</v>
      </c>
      <c r="DX70" s="84">
        <v>98523354</v>
      </c>
      <c r="DY70" s="84">
        <v>45270263</v>
      </c>
      <c r="DZ70" s="84">
        <v>10204749</v>
      </c>
      <c r="EA70" s="84">
        <v>0</v>
      </c>
      <c r="EB70" s="84">
        <v>915216855</v>
      </c>
      <c r="EC70" s="84">
        <v>61581659</v>
      </c>
      <c r="ED70" s="84">
        <v>3106994</v>
      </c>
      <c r="EE70" s="84">
        <v>10000300</v>
      </c>
      <c r="EF70" s="84">
        <v>315525998</v>
      </c>
      <c r="EG70" s="96">
        <v>146532521</v>
      </c>
      <c r="EH70" s="99">
        <v>85537531</v>
      </c>
      <c r="EI70" s="97">
        <v>281933724</v>
      </c>
      <c r="EJ70" s="84">
        <v>2921207</v>
      </c>
      <c r="EK70" s="84">
        <v>2294718</v>
      </c>
      <c r="EL70" s="84">
        <v>1100000</v>
      </c>
      <c r="EM70" s="84">
        <v>6859468</v>
      </c>
      <c r="EN70" s="84">
        <v>1088177097</v>
      </c>
      <c r="EO70" s="84">
        <v>1926719</v>
      </c>
      <c r="EP70" s="84">
        <v>0</v>
      </c>
      <c r="EQ70" s="84">
        <v>924000</v>
      </c>
      <c r="ER70" s="84">
        <v>57685030</v>
      </c>
      <c r="ES70" s="84">
        <v>10782869</v>
      </c>
      <c r="ET70" s="84">
        <v>108220155</v>
      </c>
      <c r="EU70" s="84">
        <v>1548137</v>
      </c>
      <c r="EV70" s="84">
        <v>12834506</v>
      </c>
      <c r="EW70" s="84">
        <v>44129314</v>
      </c>
      <c r="EX70" s="84">
        <v>80712612</v>
      </c>
      <c r="EY70" s="84">
        <v>88064200</v>
      </c>
      <c r="EZ70" s="84">
        <v>31681612</v>
      </c>
      <c r="FA70" s="84">
        <v>61526422</v>
      </c>
      <c r="FB70" s="84">
        <v>10272098</v>
      </c>
      <c r="FC70" s="84">
        <v>89926681</v>
      </c>
      <c r="FD70" s="84">
        <v>45678464</v>
      </c>
      <c r="FE70" s="84">
        <v>367434004</v>
      </c>
      <c r="FF70" s="84">
        <v>4950893</v>
      </c>
      <c r="FG70" s="84" t="s">
        <v>96</v>
      </c>
      <c r="FH70" s="84">
        <v>66528484</v>
      </c>
      <c r="FI70" s="84" t="s">
        <v>96</v>
      </c>
      <c r="FJ70" s="84">
        <v>919769</v>
      </c>
      <c r="FK70" s="84">
        <v>17251079</v>
      </c>
      <c r="FL70" s="84">
        <v>17441799</v>
      </c>
      <c r="FM70" s="84" t="s">
        <v>130</v>
      </c>
      <c r="FN70" s="84">
        <v>225582145</v>
      </c>
      <c r="FO70" s="84" t="s">
        <v>96</v>
      </c>
      <c r="FP70" s="84" t="s">
        <v>96</v>
      </c>
      <c r="FQ70" s="84">
        <v>10442783</v>
      </c>
      <c r="FR70" s="84">
        <v>10957910</v>
      </c>
      <c r="FS70" s="86">
        <v>51529523</v>
      </c>
      <c r="FT70" s="84">
        <v>51086442</v>
      </c>
      <c r="FU70" s="84">
        <v>25617</v>
      </c>
      <c r="FV70" s="84" t="s">
        <v>96</v>
      </c>
      <c r="FW70" s="84">
        <v>68839</v>
      </c>
      <c r="FX70" s="84">
        <v>11781056</v>
      </c>
      <c r="FY70" s="84" t="s">
        <v>96</v>
      </c>
      <c r="FZ70" s="84" t="s">
        <v>4</v>
      </c>
      <c r="GA70" s="84">
        <v>28488589</v>
      </c>
      <c r="GB70" s="84">
        <v>18673585</v>
      </c>
      <c r="GC70" s="84">
        <v>32000</v>
      </c>
      <c r="GD70" s="84" t="s">
        <v>96</v>
      </c>
      <c r="GE70" s="84" t="s">
        <v>4</v>
      </c>
      <c r="GF70" s="84">
        <v>46638236</v>
      </c>
      <c r="GG70" s="84">
        <v>163770158</v>
      </c>
      <c r="GH70" s="84" t="s">
        <v>4</v>
      </c>
      <c r="GI70" s="84">
        <v>6279737</v>
      </c>
      <c r="GJ70" s="84" t="s">
        <v>96</v>
      </c>
      <c r="GK70" s="84">
        <v>8374956</v>
      </c>
      <c r="GL70" s="84" t="s">
        <v>96</v>
      </c>
      <c r="GM70" s="84">
        <v>39060230</v>
      </c>
      <c r="GN70" s="84">
        <v>144687436</v>
      </c>
      <c r="GO70" s="84" t="s">
        <v>96</v>
      </c>
      <c r="GP70" s="84">
        <v>253821929</v>
      </c>
      <c r="GQ70" s="84">
        <v>67488</v>
      </c>
      <c r="GR70" s="84">
        <v>65007600</v>
      </c>
      <c r="GS70" s="84">
        <v>2705667</v>
      </c>
      <c r="GT70" s="84" t="s">
        <v>130</v>
      </c>
      <c r="GU70" s="84">
        <v>26</v>
      </c>
      <c r="GV70" s="84">
        <v>55471541</v>
      </c>
      <c r="GW70" s="84">
        <v>675766957</v>
      </c>
      <c r="GX70" s="84">
        <v>93113488</v>
      </c>
      <c r="GY70" s="84">
        <v>64803500</v>
      </c>
      <c r="GZ70" s="84">
        <v>92779895</v>
      </c>
      <c r="HA70" s="84" t="s">
        <v>96</v>
      </c>
      <c r="HB70" s="84">
        <v>9401487</v>
      </c>
      <c r="HC70" s="84" t="s">
        <v>130</v>
      </c>
      <c r="HD70" s="84">
        <v>103761130</v>
      </c>
      <c r="HE70" s="84" t="s">
        <v>96</v>
      </c>
      <c r="HF70" s="84">
        <v>31019332</v>
      </c>
      <c r="HG70" s="84">
        <v>508530651</v>
      </c>
      <c r="HH70" s="84" t="s">
        <v>96</v>
      </c>
      <c r="HI70" s="84">
        <v>28286481</v>
      </c>
      <c r="HJ70" s="84" t="s">
        <v>96</v>
      </c>
      <c r="HK70" s="84">
        <v>49229810</v>
      </c>
      <c r="HL70" s="84">
        <v>195022</v>
      </c>
      <c r="HM70" s="84">
        <v>47440235</v>
      </c>
      <c r="HN70" s="84">
        <v>718415</v>
      </c>
      <c r="HO70" s="84">
        <v>69663621</v>
      </c>
      <c r="HP70" s="84">
        <v>826869578</v>
      </c>
      <c r="HQ70" s="84">
        <v>2374650</v>
      </c>
      <c r="HR70" s="84">
        <v>1052893</v>
      </c>
      <c r="HS70" s="84">
        <v>22326573</v>
      </c>
      <c r="HT70" s="84">
        <v>7872065</v>
      </c>
      <c r="HU70" s="84" t="s">
        <v>130</v>
      </c>
      <c r="HV70" s="84">
        <v>1535837</v>
      </c>
      <c r="HW70" s="84" t="s">
        <v>96</v>
      </c>
      <c r="HX70" s="84">
        <v>153023566</v>
      </c>
      <c r="HY70" s="84" t="s">
        <v>114</v>
      </c>
      <c r="HZ70" s="84">
        <v>293058199</v>
      </c>
      <c r="IA70" s="84">
        <v>10098803</v>
      </c>
      <c r="IB70" s="84">
        <v>774419364</v>
      </c>
      <c r="IC70" s="84">
        <v>77026164</v>
      </c>
      <c r="ID70" s="84">
        <v>1290717</v>
      </c>
      <c r="IE70" s="84" t="s">
        <v>96</v>
      </c>
      <c r="IF70" s="84">
        <v>2076</v>
      </c>
      <c r="IG70" s="84">
        <v>8792852</v>
      </c>
      <c r="IH70" s="84">
        <v>13520795</v>
      </c>
      <c r="II70" s="84">
        <v>0</v>
      </c>
      <c r="IJ70" s="84">
        <v>12283286</v>
      </c>
      <c r="IK70" s="84">
        <v>27718898</v>
      </c>
      <c r="IL70" s="84">
        <v>35126551</v>
      </c>
      <c r="IM70" s="84">
        <v>31738873</v>
      </c>
      <c r="IN70" s="84">
        <v>32348805</v>
      </c>
      <c r="IO70" s="84">
        <v>84814308</v>
      </c>
      <c r="IP70" s="84">
        <v>38864815</v>
      </c>
      <c r="IQ70" s="84">
        <v>6369734</v>
      </c>
      <c r="IR70" s="84">
        <v>17793686</v>
      </c>
      <c r="IS70" s="96">
        <v>179333607</v>
      </c>
      <c r="IT70" s="99">
        <v>24728179</v>
      </c>
      <c r="IU70" s="84">
        <v>7220500</v>
      </c>
      <c r="IV70" s="84">
        <v>23088411</v>
      </c>
      <c r="IW70" s="84">
        <v>14004166</v>
      </c>
      <c r="IX70" s="84">
        <v>81310301</v>
      </c>
      <c r="IY70" s="68">
        <v>254636914</v>
      </c>
      <c r="IZ70" s="68">
        <v>11968513</v>
      </c>
      <c r="JA70" s="68">
        <v>13437872</v>
      </c>
      <c r="JB70" s="68">
        <v>54010325</v>
      </c>
      <c r="JC70" s="68">
        <v>6380284</v>
      </c>
      <c r="JD70" s="68">
        <v>2655849</v>
      </c>
      <c r="JE70" s="68">
        <v>7302910</v>
      </c>
      <c r="JF70" s="68">
        <v>34946263</v>
      </c>
      <c r="JG70" s="68">
        <v>2665079</v>
      </c>
      <c r="JH70" s="68">
        <v>2092538</v>
      </c>
      <c r="JI70" s="68">
        <v>7015424</v>
      </c>
      <c r="JJ70" s="68">
        <v>2117385</v>
      </c>
      <c r="JK70" s="68">
        <v>16749032</v>
      </c>
      <c r="JL70" s="68">
        <v>191774970</v>
      </c>
      <c r="JM70" s="68">
        <v>10261568</v>
      </c>
      <c r="JN70" s="68">
        <v>129680156</v>
      </c>
      <c r="JO70" s="68">
        <v>2833477</v>
      </c>
      <c r="JP70" s="68">
        <v>3644937</v>
      </c>
      <c r="JQ70" s="68" t="s">
        <v>4</v>
      </c>
      <c r="JR70" s="68">
        <v>29702450</v>
      </c>
      <c r="JS70" s="68">
        <v>70072524</v>
      </c>
      <c r="JT70" s="68">
        <v>3913988</v>
      </c>
      <c r="JU70" s="68">
        <v>7227161</v>
      </c>
      <c r="JV70" s="68">
        <v>10936689</v>
      </c>
      <c r="JW70" s="68">
        <v>721223</v>
      </c>
      <c r="JX70" s="68">
        <v>6100010</v>
      </c>
      <c r="JY70" s="68">
        <v>8595078</v>
      </c>
      <c r="JZ70" s="68">
        <v>3891527</v>
      </c>
      <c r="KA70" s="68">
        <v>192403</v>
      </c>
      <c r="KB70" s="68">
        <v>286281305</v>
      </c>
      <c r="KC70" s="68">
        <v>19715893</v>
      </c>
      <c r="KD70" s="68">
        <v>2952351</v>
      </c>
      <c r="KE70" s="68">
        <v>613955</v>
      </c>
      <c r="KF70" s="68">
        <v>555879421</v>
      </c>
      <c r="KG70" s="68">
        <v>21573959</v>
      </c>
      <c r="KH70" s="68">
        <v>24299960</v>
      </c>
      <c r="KI70" s="68">
        <v>1410</v>
      </c>
      <c r="KJ70" s="68">
        <v>38376798</v>
      </c>
      <c r="KK70" s="68">
        <v>343192767</v>
      </c>
      <c r="KL70" s="68">
        <v>514758000</v>
      </c>
      <c r="KM70" s="68">
        <v>10902101</v>
      </c>
      <c r="KN70" s="68">
        <v>9639720</v>
      </c>
      <c r="KO70" s="68">
        <v>287382705</v>
      </c>
      <c r="KP70" s="68">
        <v>78937247</v>
      </c>
      <c r="KQ70" s="68">
        <v>2449086</v>
      </c>
      <c r="KR70" s="68">
        <v>16190696</v>
      </c>
      <c r="KS70" s="68">
        <v>14763168</v>
      </c>
      <c r="KT70" s="68">
        <v>52517287</v>
      </c>
      <c r="KU70" s="68">
        <v>230782358</v>
      </c>
      <c r="KV70" s="68">
        <v>1303685</v>
      </c>
      <c r="KW70" s="68">
        <v>2081369</v>
      </c>
      <c r="KX70" s="68">
        <v>3421495</v>
      </c>
      <c r="KY70" s="68">
        <v>56890984</v>
      </c>
      <c r="KZ70" s="68">
        <v>24436287</v>
      </c>
      <c r="LA70" s="68">
        <v>3659977</v>
      </c>
      <c r="LB70" s="68">
        <v>1872626</v>
      </c>
      <c r="LC70" s="104">
        <v>4093210</v>
      </c>
      <c r="LD70" s="104">
        <v>68336276</v>
      </c>
      <c r="LE70" s="104">
        <v>78269067</v>
      </c>
      <c r="LF70" s="104">
        <v>16593221</v>
      </c>
      <c r="LG70" s="104">
        <v>13272432</v>
      </c>
      <c r="LH70" s="102" t="s">
        <v>187</v>
      </c>
      <c r="LI70" s="104">
        <v>27601143</v>
      </c>
      <c r="LJ70" s="102" t="s">
        <v>187</v>
      </c>
      <c r="LK70" s="104">
        <v>28379326</v>
      </c>
      <c r="LL70" s="102" t="s">
        <v>187</v>
      </c>
    </row>
    <row r="71" spans="1:324">
      <c r="A71" s="69" t="s">
        <v>185</v>
      </c>
      <c r="B71" s="93" t="s">
        <v>60</v>
      </c>
      <c r="C71" s="84"/>
      <c r="D71" s="84">
        <v>5650030</v>
      </c>
      <c r="E71" s="84">
        <v>4192329</v>
      </c>
      <c r="F71" s="84">
        <v>20689053</v>
      </c>
      <c r="G71" s="84" t="s">
        <v>130</v>
      </c>
      <c r="H71" s="84">
        <v>110301566</v>
      </c>
      <c r="I71" s="84">
        <v>94353071</v>
      </c>
      <c r="J71" s="84" t="s">
        <v>4</v>
      </c>
      <c r="K71" s="84">
        <v>278504</v>
      </c>
      <c r="L71" s="84" t="s">
        <v>96</v>
      </c>
      <c r="M71" s="84" t="s">
        <v>96</v>
      </c>
      <c r="N71" s="84">
        <v>4817822</v>
      </c>
      <c r="O71" s="84">
        <v>178894166</v>
      </c>
      <c r="P71" s="84">
        <v>172139595</v>
      </c>
      <c r="Q71" s="84">
        <v>3358705</v>
      </c>
      <c r="R71" s="84" t="s">
        <v>130</v>
      </c>
      <c r="S71" s="84">
        <v>418818183</v>
      </c>
      <c r="T71" s="84" t="s">
        <v>96</v>
      </c>
      <c r="U71" s="84" t="s">
        <v>96</v>
      </c>
      <c r="V71" s="84" t="s">
        <v>4</v>
      </c>
      <c r="W71" s="84">
        <v>45753244</v>
      </c>
      <c r="X71" s="84">
        <v>157829772</v>
      </c>
      <c r="Y71" s="84">
        <v>612630</v>
      </c>
      <c r="Z71" s="84">
        <v>85540796</v>
      </c>
      <c r="AA71" s="84">
        <v>149027436</v>
      </c>
      <c r="AB71" s="84"/>
      <c r="AC71" s="84">
        <v>2815907</v>
      </c>
      <c r="AD71" s="84">
        <v>60038481</v>
      </c>
      <c r="AE71" s="84">
        <v>66173297</v>
      </c>
      <c r="AF71" s="84" t="s">
        <v>96</v>
      </c>
      <c r="AG71" s="84">
        <v>39336052</v>
      </c>
      <c r="AH71" s="84" t="s">
        <v>130</v>
      </c>
      <c r="AI71" s="84">
        <v>65999541</v>
      </c>
      <c r="AJ71" s="84">
        <v>11036324</v>
      </c>
      <c r="AK71" s="84">
        <v>16010225</v>
      </c>
      <c r="AL71" s="84">
        <v>16902186</v>
      </c>
      <c r="AM71" s="84" t="s">
        <v>4</v>
      </c>
      <c r="AN71" s="84">
        <v>45417106</v>
      </c>
      <c r="AO71" s="84">
        <v>34567533</v>
      </c>
      <c r="AP71" s="84"/>
      <c r="AQ71" s="84" t="s">
        <v>4</v>
      </c>
      <c r="AR71" s="84">
        <v>1769100</v>
      </c>
      <c r="AS71" s="84">
        <v>61483329</v>
      </c>
      <c r="AT71" s="84" t="s">
        <v>96</v>
      </c>
      <c r="AU71" s="84">
        <v>106108989</v>
      </c>
      <c r="AV71" s="84"/>
      <c r="AW71" s="84">
        <v>12680255</v>
      </c>
      <c r="AX71" s="84" t="s">
        <v>4</v>
      </c>
      <c r="AY71" s="84" t="s">
        <v>96</v>
      </c>
      <c r="AZ71" s="84">
        <v>11211822</v>
      </c>
      <c r="BA71" s="84" t="s">
        <v>130</v>
      </c>
      <c r="BB71" s="84">
        <v>4838606</v>
      </c>
      <c r="BC71" s="84" t="s">
        <v>4</v>
      </c>
      <c r="BD71" s="84" t="s">
        <v>96</v>
      </c>
      <c r="BE71" s="84">
        <v>76195315</v>
      </c>
      <c r="BF71" s="84" t="s">
        <v>96</v>
      </c>
      <c r="BG71" s="84">
        <v>28901637</v>
      </c>
      <c r="BH71" s="84">
        <v>40112358</v>
      </c>
      <c r="BI71" s="84"/>
      <c r="BJ71" s="84">
        <v>25962565</v>
      </c>
      <c r="BK71" s="84">
        <v>91392949</v>
      </c>
      <c r="BL71" s="84"/>
      <c r="BM71" s="84">
        <v>35089951</v>
      </c>
      <c r="BN71" s="84">
        <v>53258</v>
      </c>
      <c r="BO71" s="84" t="s">
        <v>96</v>
      </c>
      <c r="BP71" s="84" t="s">
        <v>96</v>
      </c>
      <c r="BQ71" s="84" t="s">
        <v>4</v>
      </c>
      <c r="BR71" s="84">
        <v>197507844</v>
      </c>
      <c r="BS71" s="84" t="s">
        <v>4</v>
      </c>
      <c r="BT71" s="84" t="s">
        <v>96</v>
      </c>
      <c r="BU71" s="85">
        <v>18672981</v>
      </c>
      <c r="BV71" s="84">
        <v>6297879</v>
      </c>
      <c r="BW71" s="84"/>
      <c r="BX71" s="84">
        <v>5349451</v>
      </c>
      <c r="BY71" s="84">
        <v>38284300</v>
      </c>
      <c r="BZ71" s="84"/>
      <c r="CA71" s="84">
        <v>263146961</v>
      </c>
      <c r="CB71" s="84">
        <v>37147067</v>
      </c>
      <c r="CC71" s="84"/>
      <c r="CD71" s="84"/>
      <c r="CE71" s="84" t="s">
        <v>96</v>
      </c>
      <c r="CF71" s="84" t="s">
        <v>96</v>
      </c>
      <c r="CG71" s="84"/>
      <c r="CH71" s="84"/>
      <c r="CI71" s="84" t="s">
        <v>96</v>
      </c>
      <c r="CJ71" s="84">
        <v>9067304</v>
      </c>
      <c r="CK71" s="84">
        <v>195525320</v>
      </c>
      <c r="CL71" s="84">
        <v>34530039</v>
      </c>
      <c r="CM71" s="84">
        <v>75498048</v>
      </c>
      <c r="CN71" s="84">
        <v>446384</v>
      </c>
      <c r="CO71" s="84"/>
      <c r="CP71" s="84" t="s">
        <v>96</v>
      </c>
      <c r="CQ71" s="84" t="s">
        <v>96</v>
      </c>
      <c r="CR71" s="84"/>
      <c r="CS71" s="84" t="s">
        <v>96</v>
      </c>
      <c r="CT71" s="84">
        <v>226826020</v>
      </c>
      <c r="CU71" s="84"/>
      <c r="CV71" s="84">
        <v>4248056</v>
      </c>
      <c r="CW71" s="84" t="s">
        <v>96</v>
      </c>
      <c r="CX71" s="84">
        <v>16762183</v>
      </c>
      <c r="CY71" s="84" t="s">
        <v>96</v>
      </c>
      <c r="CZ71" s="84">
        <v>210422750</v>
      </c>
      <c r="DA71" s="84" t="s">
        <v>96</v>
      </c>
      <c r="DB71" s="86">
        <v>2891031</v>
      </c>
      <c r="DC71" s="84">
        <v>243347</v>
      </c>
      <c r="DD71" s="84" t="s">
        <v>96</v>
      </c>
      <c r="DE71" s="84"/>
      <c r="DF71" s="84">
        <v>0</v>
      </c>
      <c r="DG71" s="84">
        <v>15027102</v>
      </c>
      <c r="DH71" s="84">
        <v>12505454</v>
      </c>
      <c r="DI71" s="84">
        <v>164614681</v>
      </c>
      <c r="DJ71" s="84"/>
      <c r="DK71" s="84" t="s">
        <v>96</v>
      </c>
      <c r="DL71" s="84">
        <v>15530299</v>
      </c>
      <c r="DM71" s="84">
        <v>55002152</v>
      </c>
      <c r="DN71" s="84">
        <v>29798609</v>
      </c>
      <c r="DO71" s="84">
        <v>5291282</v>
      </c>
      <c r="DP71" s="84">
        <v>95815039</v>
      </c>
      <c r="DQ71" s="84">
        <v>16068417</v>
      </c>
      <c r="DR71" s="84">
        <v>83489778</v>
      </c>
      <c r="DS71" s="84"/>
      <c r="DT71" s="84">
        <v>81320197</v>
      </c>
      <c r="DU71" s="84">
        <v>1032392</v>
      </c>
      <c r="DV71" s="84">
        <v>11910430</v>
      </c>
      <c r="DW71" s="84">
        <v>12676014</v>
      </c>
      <c r="DX71" s="84">
        <v>62133631</v>
      </c>
      <c r="DY71" s="84">
        <v>43432036</v>
      </c>
      <c r="DZ71" s="84">
        <v>10203289</v>
      </c>
      <c r="EA71" s="84"/>
      <c r="EB71" s="84">
        <v>78316408</v>
      </c>
      <c r="EC71" s="84">
        <v>19938079</v>
      </c>
      <c r="ED71" s="84">
        <v>2953616</v>
      </c>
      <c r="EE71" s="84">
        <v>0</v>
      </c>
      <c r="EF71" s="84">
        <v>123515938</v>
      </c>
      <c r="EG71" s="96">
        <v>16830604</v>
      </c>
      <c r="EH71" s="99">
        <v>83269486</v>
      </c>
      <c r="EI71" s="97">
        <v>130209189</v>
      </c>
      <c r="EJ71" s="84"/>
      <c r="EK71" s="84"/>
      <c r="EL71" s="84"/>
      <c r="EM71" s="84"/>
      <c r="EN71" s="84">
        <v>147950644</v>
      </c>
      <c r="EO71" s="84">
        <v>1924389</v>
      </c>
      <c r="EP71" s="84"/>
      <c r="EQ71" s="84"/>
      <c r="ER71" s="84">
        <v>39456717</v>
      </c>
      <c r="ES71" s="84">
        <v>6384556</v>
      </c>
      <c r="ET71" s="84">
        <v>4536</v>
      </c>
      <c r="EU71" s="84"/>
      <c r="EV71" s="84">
        <v>1720417</v>
      </c>
      <c r="EW71" s="84">
        <v>43616613</v>
      </c>
      <c r="EX71" s="84">
        <v>40056611</v>
      </c>
      <c r="EY71" s="84">
        <v>79127299</v>
      </c>
      <c r="EZ71" s="84">
        <v>3348842</v>
      </c>
      <c r="FA71" s="84">
        <v>61526319</v>
      </c>
      <c r="FB71" s="84">
        <v>8519316</v>
      </c>
      <c r="FC71" s="84">
        <v>28462233</v>
      </c>
      <c r="FD71" s="84">
        <v>43763582</v>
      </c>
      <c r="FE71" s="84">
        <v>90946015</v>
      </c>
      <c r="FF71" s="84"/>
      <c r="FG71" s="84" t="s">
        <v>96</v>
      </c>
      <c r="FH71" s="84">
        <v>60435015</v>
      </c>
      <c r="FI71" s="84" t="s">
        <v>96</v>
      </c>
      <c r="FJ71" s="84">
        <v>919769</v>
      </c>
      <c r="FK71" s="84">
        <v>10469466</v>
      </c>
      <c r="FL71" s="84">
        <v>17199448</v>
      </c>
      <c r="FM71" s="84" t="s">
        <v>130</v>
      </c>
      <c r="FN71" s="84">
        <v>217357113</v>
      </c>
      <c r="FO71" s="84" t="s">
        <v>96</v>
      </c>
      <c r="FP71" s="84" t="s">
        <v>96</v>
      </c>
      <c r="FQ71" s="84">
        <v>10427471</v>
      </c>
      <c r="FR71" s="84">
        <v>8754487</v>
      </c>
      <c r="FS71" s="86">
        <v>33213109</v>
      </c>
      <c r="FT71" s="84">
        <v>21790219</v>
      </c>
      <c r="FU71" s="84"/>
      <c r="FV71" s="84" t="s">
        <v>96</v>
      </c>
      <c r="FW71" s="84">
        <v>0</v>
      </c>
      <c r="FX71" s="84">
        <v>11741056</v>
      </c>
      <c r="FY71" s="84" t="s">
        <v>96</v>
      </c>
      <c r="FZ71" s="84" t="s">
        <v>4</v>
      </c>
      <c r="GA71" s="84">
        <v>26288467</v>
      </c>
      <c r="GB71" s="84">
        <v>18622028</v>
      </c>
      <c r="GC71" s="84"/>
      <c r="GD71" s="84" t="s">
        <v>96</v>
      </c>
      <c r="GE71" s="84" t="s">
        <v>4</v>
      </c>
      <c r="GF71" s="84">
        <v>41722617</v>
      </c>
      <c r="GG71" s="84">
        <v>48796375</v>
      </c>
      <c r="GH71" s="84" t="s">
        <v>4</v>
      </c>
      <c r="GI71" s="84">
        <v>5972751</v>
      </c>
      <c r="GJ71" s="84" t="s">
        <v>96</v>
      </c>
      <c r="GK71" s="84">
        <v>5733951</v>
      </c>
      <c r="GL71" s="84" t="s">
        <v>96</v>
      </c>
      <c r="GM71" s="84">
        <v>419391</v>
      </c>
      <c r="GN71" s="84">
        <v>105073526</v>
      </c>
      <c r="GO71" s="84" t="s">
        <v>96</v>
      </c>
      <c r="GP71" s="84">
        <v>236864971</v>
      </c>
      <c r="GQ71" s="84"/>
      <c r="GR71" s="84">
        <v>54397694</v>
      </c>
      <c r="GS71" s="84">
        <v>2658856</v>
      </c>
      <c r="GT71" s="84" t="s">
        <v>130</v>
      </c>
      <c r="GU71" s="84"/>
      <c r="GV71" s="84">
        <v>53381570</v>
      </c>
      <c r="GW71" s="84">
        <v>638561454</v>
      </c>
      <c r="GX71" s="84">
        <v>91314623</v>
      </c>
      <c r="GY71" s="84">
        <v>61480066</v>
      </c>
      <c r="GZ71" s="84">
        <v>69393010</v>
      </c>
      <c r="HA71" s="84" t="s">
        <v>96</v>
      </c>
      <c r="HB71" s="84"/>
      <c r="HC71" s="84" t="s">
        <v>130</v>
      </c>
      <c r="HD71" s="84"/>
      <c r="HE71" s="84" t="s">
        <v>96</v>
      </c>
      <c r="HF71" s="84">
        <v>25636507</v>
      </c>
      <c r="HG71" s="84">
        <v>2029800</v>
      </c>
      <c r="HH71" s="84" t="s">
        <v>96</v>
      </c>
      <c r="HI71" s="84">
        <v>23396540</v>
      </c>
      <c r="HJ71" s="84" t="s">
        <v>96</v>
      </c>
      <c r="HK71" s="84">
        <v>35353298</v>
      </c>
      <c r="HL71" s="84"/>
      <c r="HM71" s="84">
        <v>44221227</v>
      </c>
      <c r="HN71" s="84">
        <v>713315</v>
      </c>
      <c r="HO71" s="84">
        <v>8743580</v>
      </c>
      <c r="HP71" s="84">
        <v>19633193</v>
      </c>
      <c r="HQ71" s="84"/>
      <c r="HR71" s="84">
        <v>859410</v>
      </c>
      <c r="HS71" s="84">
        <v>20449269</v>
      </c>
      <c r="HT71" s="84">
        <v>6719389</v>
      </c>
      <c r="HU71" s="84" t="s">
        <v>130</v>
      </c>
      <c r="HV71" s="84">
        <v>1266806</v>
      </c>
      <c r="HW71" s="84" t="s">
        <v>96</v>
      </c>
      <c r="HX71" s="84">
        <v>116288708</v>
      </c>
      <c r="HY71" s="84" t="s">
        <v>114</v>
      </c>
      <c r="HZ71" s="84">
        <v>169416636</v>
      </c>
      <c r="IA71" s="84">
        <v>7386371</v>
      </c>
      <c r="IB71" s="84">
        <v>156682781</v>
      </c>
      <c r="IC71" s="84">
        <v>66095654</v>
      </c>
      <c r="ID71" s="84"/>
      <c r="IE71" s="84" t="s">
        <v>96</v>
      </c>
      <c r="IF71" s="84"/>
      <c r="IG71" s="84">
        <v>154540</v>
      </c>
      <c r="IH71" s="84">
        <v>8016589</v>
      </c>
      <c r="II71" s="84">
        <v>0</v>
      </c>
      <c r="IJ71" s="84">
        <v>11820376</v>
      </c>
      <c r="IK71" s="84">
        <v>17193128</v>
      </c>
      <c r="IL71" s="84">
        <v>31126760</v>
      </c>
      <c r="IM71" s="84">
        <v>29752192</v>
      </c>
      <c r="IN71" s="84">
        <v>19716769</v>
      </c>
      <c r="IO71" s="84">
        <v>53881052</v>
      </c>
      <c r="IP71" s="84">
        <v>38864815</v>
      </c>
      <c r="IQ71" s="84">
        <v>5072361</v>
      </c>
      <c r="IR71" s="84">
        <v>12348674</v>
      </c>
      <c r="IS71" s="96">
        <v>164905567</v>
      </c>
      <c r="IT71" s="99">
        <v>23944954</v>
      </c>
      <c r="IU71" s="84"/>
      <c r="IV71" s="84">
        <v>8647871</v>
      </c>
      <c r="IW71" s="84">
        <v>13987034</v>
      </c>
      <c r="IX71" s="84">
        <v>31574964</v>
      </c>
      <c r="IY71" s="68">
        <v>68982528</v>
      </c>
      <c r="IZ71" s="68">
        <v>11707885</v>
      </c>
      <c r="JA71" s="68"/>
      <c r="JB71" s="68">
        <v>17471834</v>
      </c>
      <c r="JC71" s="68"/>
      <c r="JD71" s="68"/>
      <c r="JE71" s="68"/>
      <c r="JF71" s="68">
        <v>34932363</v>
      </c>
      <c r="JG71" s="68">
        <v>2333018</v>
      </c>
      <c r="JH71" s="68">
        <v>2059897</v>
      </c>
      <c r="JI71" s="68">
        <v>6733994</v>
      </c>
      <c r="JJ71" s="68">
        <v>1781095</v>
      </c>
      <c r="JK71" s="68">
        <v>12857513</v>
      </c>
      <c r="JL71" s="68">
        <v>77047513</v>
      </c>
      <c r="JM71" s="68">
        <v>10236768</v>
      </c>
      <c r="JN71" s="68">
        <v>128504622</v>
      </c>
      <c r="JO71" s="68">
        <v>2633477</v>
      </c>
      <c r="JP71" s="68"/>
      <c r="JQ71" s="68" t="s">
        <v>4</v>
      </c>
      <c r="JR71" s="68">
        <v>28902450</v>
      </c>
      <c r="JS71" s="68">
        <v>7299882</v>
      </c>
      <c r="JT71" s="68">
        <v>1570590</v>
      </c>
      <c r="JU71" s="68">
        <v>3250868</v>
      </c>
      <c r="JV71" s="68">
        <v>6224026</v>
      </c>
      <c r="JW71" s="68">
        <v>721176</v>
      </c>
      <c r="JX71" s="68"/>
      <c r="JY71" s="68">
        <v>509339</v>
      </c>
      <c r="JZ71" s="68">
        <v>3517264</v>
      </c>
      <c r="KA71" s="68"/>
      <c r="KB71" s="68">
        <v>131700950</v>
      </c>
      <c r="KC71" s="68">
        <v>4488342</v>
      </c>
      <c r="KD71" s="68"/>
      <c r="KE71" s="68">
        <v>613522</v>
      </c>
      <c r="KF71" s="68">
        <v>22222401</v>
      </c>
      <c r="KG71" s="68">
        <v>21533938</v>
      </c>
      <c r="KH71" s="68">
        <v>24244956</v>
      </c>
      <c r="KI71" s="68"/>
      <c r="KJ71" s="68">
        <v>37126798</v>
      </c>
      <c r="KK71" s="68">
        <v>152447931</v>
      </c>
      <c r="KL71" s="68">
        <v>468892000</v>
      </c>
      <c r="KM71" s="68">
        <v>10857946</v>
      </c>
      <c r="KN71" s="68"/>
      <c r="KO71" s="68">
        <v>269732759</v>
      </c>
      <c r="KP71" s="68">
        <v>2736043</v>
      </c>
      <c r="KQ71" s="68">
        <v>2383424</v>
      </c>
      <c r="KR71" s="68">
        <v>14392223</v>
      </c>
      <c r="KS71" s="68">
        <v>14512644</v>
      </c>
      <c r="KT71" s="68">
        <v>45870821</v>
      </c>
      <c r="KU71" s="68">
        <v>197079052</v>
      </c>
      <c r="KV71" s="68">
        <v>294041</v>
      </c>
      <c r="KW71" s="68">
        <v>1992641</v>
      </c>
      <c r="KX71" s="68">
        <v>3118923</v>
      </c>
      <c r="KY71" s="68">
        <v>48624857</v>
      </c>
      <c r="KZ71" s="68">
        <v>24432895</v>
      </c>
      <c r="LA71" s="68">
        <v>1999165</v>
      </c>
      <c r="LB71" s="68">
        <v>143277</v>
      </c>
      <c r="LC71" s="104">
        <v>438210</v>
      </c>
      <c r="LD71" s="104">
        <v>13259309</v>
      </c>
      <c r="LE71" s="104"/>
      <c r="LF71" s="104">
        <v>15119759</v>
      </c>
      <c r="LG71" s="104">
        <v>12393524</v>
      </c>
      <c r="LH71" s="102" t="s">
        <v>187</v>
      </c>
      <c r="LI71" s="104">
        <v>6801142</v>
      </c>
      <c r="LJ71" s="102" t="s">
        <v>187</v>
      </c>
      <c r="LK71" s="104">
        <v>4284848</v>
      </c>
      <c r="LL71" s="102" t="s">
        <v>187</v>
      </c>
    </row>
    <row r="72" spans="1:324">
      <c r="A72" s="69" t="s">
        <v>185</v>
      </c>
      <c r="B72" s="93" t="s">
        <v>29</v>
      </c>
      <c r="C72" s="84"/>
      <c r="D72" s="84"/>
      <c r="E72" s="84">
        <v>18200000</v>
      </c>
      <c r="F72" s="84">
        <v>43200000</v>
      </c>
      <c r="G72" s="84" t="s">
        <v>130</v>
      </c>
      <c r="H72" s="84">
        <v>17601460</v>
      </c>
      <c r="I72" s="84">
        <v>2820000</v>
      </c>
      <c r="J72" s="84" t="s">
        <v>4</v>
      </c>
      <c r="K72" s="84"/>
      <c r="L72" s="84" t="s">
        <v>96</v>
      </c>
      <c r="M72" s="84" t="s">
        <v>96</v>
      </c>
      <c r="N72" s="84">
        <v>100000</v>
      </c>
      <c r="O72" s="84"/>
      <c r="P72" s="84"/>
      <c r="Q72" s="84">
        <v>800000</v>
      </c>
      <c r="R72" s="84" t="s">
        <v>130</v>
      </c>
      <c r="S72" s="84">
        <v>22318820</v>
      </c>
      <c r="T72" s="84" t="s">
        <v>96</v>
      </c>
      <c r="U72" s="84" t="s">
        <v>96</v>
      </c>
      <c r="V72" s="84" t="s">
        <v>4</v>
      </c>
      <c r="W72" s="84">
        <v>0</v>
      </c>
      <c r="X72" s="84">
        <v>60000000</v>
      </c>
      <c r="Y72" s="84"/>
      <c r="Z72" s="84">
        <v>400000</v>
      </c>
      <c r="AA72" s="84">
        <v>5053600</v>
      </c>
      <c r="AB72" s="84">
        <v>4200000</v>
      </c>
      <c r="AC72" s="84">
        <v>4230000</v>
      </c>
      <c r="AD72" s="84">
        <v>30862650</v>
      </c>
      <c r="AE72" s="84">
        <v>4260000</v>
      </c>
      <c r="AF72" s="84" t="s">
        <v>96</v>
      </c>
      <c r="AG72" s="84"/>
      <c r="AH72" s="84" t="s">
        <v>130</v>
      </c>
      <c r="AI72" s="84"/>
      <c r="AJ72" s="84"/>
      <c r="AK72" s="84">
        <v>1300000</v>
      </c>
      <c r="AL72" s="84">
        <v>0</v>
      </c>
      <c r="AM72" s="84" t="s">
        <v>4</v>
      </c>
      <c r="AN72" s="84">
        <v>1750000</v>
      </c>
      <c r="AO72" s="84"/>
      <c r="AP72" s="84"/>
      <c r="AQ72" s="84" t="s">
        <v>4</v>
      </c>
      <c r="AR72" s="84"/>
      <c r="AS72" s="84"/>
      <c r="AT72" s="84" t="s">
        <v>96</v>
      </c>
      <c r="AU72" s="84">
        <v>1200000</v>
      </c>
      <c r="AV72" s="84">
        <v>2400000</v>
      </c>
      <c r="AW72" s="84">
        <v>327000</v>
      </c>
      <c r="AX72" s="84" t="s">
        <v>4</v>
      </c>
      <c r="AY72" s="84" t="s">
        <v>96</v>
      </c>
      <c r="AZ72" s="84"/>
      <c r="BA72" s="84" t="s">
        <v>130</v>
      </c>
      <c r="BB72" s="84"/>
      <c r="BC72" s="84" t="s">
        <v>4</v>
      </c>
      <c r="BD72" s="84" t="s">
        <v>96</v>
      </c>
      <c r="BE72" s="84">
        <v>4500000</v>
      </c>
      <c r="BF72" s="84" t="s">
        <v>96</v>
      </c>
      <c r="BG72" s="84">
        <v>928695</v>
      </c>
      <c r="BH72" s="84">
        <v>7058112</v>
      </c>
      <c r="BI72" s="84">
        <v>2000000</v>
      </c>
      <c r="BJ72" s="84">
        <v>120000</v>
      </c>
      <c r="BK72" s="84">
        <v>90000</v>
      </c>
      <c r="BL72" s="84">
        <v>120000</v>
      </c>
      <c r="BM72" s="84">
        <v>9000000</v>
      </c>
      <c r="BN72" s="84">
        <v>0</v>
      </c>
      <c r="BO72" s="84" t="s">
        <v>96</v>
      </c>
      <c r="BP72" s="84" t="s">
        <v>96</v>
      </c>
      <c r="BQ72" s="84" t="s">
        <v>4</v>
      </c>
      <c r="BR72" s="84">
        <v>106206334</v>
      </c>
      <c r="BS72" s="84" t="s">
        <v>4</v>
      </c>
      <c r="BT72" s="84" t="s">
        <v>96</v>
      </c>
      <c r="BU72" s="85">
        <v>39975000</v>
      </c>
      <c r="BV72" s="84"/>
      <c r="BW72" s="84">
        <v>6224530</v>
      </c>
      <c r="BX72" s="84"/>
      <c r="BY72" s="84">
        <v>23506155</v>
      </c>
      <c r="BZ72" s="84">
        <v>168208336</v>
      </c>
      <c r="CA72" s="84">
        <v>5000000</v>
      </c>
      <c r="CB72" s="84">
        <v>15159800</v>
      </c>
      <c r="CC72" s="84"/>
      <c r="CD72" s="84">
        <v>10000000</v>
      </c>
      <c r="CE72" s="84" t="s">
        <v>96</v>
      </c>
      <c r="CF72" s="84" t="s">
        <v>96</v>
      </c>
      <c r="CG72" s="84">
        <v>940000</v>
      </c>
      <c r="CH72" s="84">
        <v>84620739</v>
      </c>
      <c r="CI72" s="84" t="s">
        <v>96</v>
      </c>
      <c r="CJ72" s="84"/>
      <c r="CK72" s="84"/>
      <c r="CL72" s="84">
        <v>79240000</v>
      </c>
      <c r="CM72" s="84">
        <v>36440000</v>
      </c>
      <c r="CN72" s="84"/>
      <c r="CO72" s="84"/>
      <c r="CP72" s="84" t="s">
        <v>96</v>
      </c>
      <c r="CQ72" s="84" t="s">
        <v>96</v>
      </c>
      <c r="CR72" s="84">
        <v>42301217</v>
      </c>
      <c r="CS72" s="84" t="s">
        <v>96</v>
      </c>
      <c r="CT72" s="84"/>
      <c r="CU72" s="84"/>
      <c r="CV72" s="84"/>
      <c r="CW72" s="84" t="s">
        <v>96</v>
      </c>
      <c r="CX72" s="84"/>
      <c r="CY72" s="84" t="s">
        <v>96</v>
      </c>
      <c r="CZ72" s="84">
        <v>16167770</v>
      </c>
      <c r="DA72" s="84" t="s">
        <v>96</v>
      </c>
      <c r="DB72" s="86"/>
      <c r="DC72" s="84"/>
      <c r="DD72" s="84" t="s">
        <v>96</v>
      </c>
      <c r="DE72" s="84"/>
      <c r="DF72" s="84"/>
      <c r="DG72" s="84"/>
      <c r="DH72" s="84">
        <v>100000</v>
      </c>
      <c r="DI72" s="84">
        <v>4765000</v>
      </c>
      <c r="DJ72" s="84">
        <v>7340000</v>
      </c>
      <c r="DK72" s="84" t="s">
        <v>96</v>
      </c>
      <c r="DL72" s="84">
        <v>3875000</v>
      </c>
      <c r="DM72" s="84">
        <v>11000000</v>
      </c>
      <c r="DN72" s="84">
        <v>7608000</v>
      </c>
      <c r="DO72" s="84">
        <v>80000</v>
      </c>
      <c r="DP72" s="84"/>
      <c r="DQ72" s="84"/>
      <c r="DR72" s="84">
        <v>156717176</v>
      </c>
      <c r="DS72" s="84"/>
      <c r="DT72" s="84">
        <v>5540000</v>
      </c>
      <c r="DU72" s="84">
        <v>800000</v>
      </c>
      <c r="DV72" s="84"/>
      <c r="DW72" s="84"/>
      <c r="DX72" s="84">
        <v>7600000</v>
      </c>
      <c r="DY72" s="84"/>
      <c r="DZ72" s="84"/>
      <c r="EA72" s="84"/>
      <c r="EB72" s="84">
        <v>176700000</v>
      </c>
      <c r="EC72" s="84">
        <v>32147840</v>
      </c>
      <c r="ED72" s="84">
        <v>96960</v>
      </c>
      <c r="EE72" s="84">
        <v>10000000</v>
      </c>
      <c r="EF72" s="84">
        <v>191868000</v>
      </c>
      <c r="EG72" s="96"/>
      <c r="EH72" s="99"/>
      <c r="EI72" s="97">
        <v>360000</v>
      </c>
      <c r="EJ72" s="84">
        <v>1600000</v>
      </c>
      <c r="EK72" s="84"/>
      <c r="EL72" s="84">
        <v>1100000</v>
      </c>
      <c r="EM72" s="84">
        <v>6610000</v>
      </c>
      <c r="EN72" s="84">
        <v>1000000</v>
      </c>
      <c r="EO72" s="84">
        <v>0</v>
      </c>
      <c r="EP72" s="84"/>
      <c r="EQ72" s="84"/>
      <c r="ER72" s="84">
        <v>17476010</v>
      </c>
      <c r="ES72" s="84">
        <v>240000</v>
      </c>
      <c r="ET72" s="84">
        <v>500000</v>
      </c>
      <c r="EU72" s="84"/>
      <c r="EV72" s="84">
        <v>3137960</v>
      </c>
      <c r="EW72" s="84">
        <v>480000</v>
      </c>
      <c r="EX72" s="84">
        <v>37500000</v>
      </c>
      <c r="EY72" s="84">
        <v>8800000</v>
      </c>
      <c r="EZ72" s="84">
        <v>100000</v>
      </c>
      <c r="FA72" s="84">
        <v>0</v>
      </c>
      <c r="FB72" s="84"/>
      <c r="FC72" s="84">
        <v>1000000</v>
      </c>
      <c r="FD72" s="84"/>
      <c r="FE72" s="84">
        <v>264420000</v>
      </c>
      <c r="FF72" s="84">
        <v>750000</v>
      </c>
      <c r="FG72" s="84" t="s">
        <v>96</v>
      </c>
      <c r="FH72" s="84">
        <v>350000</v>
      </c>
      <c r="FI72" s="84" t="s">
        <v>96</v>
      </c>
      <c r="FJ72" s="84"/>
      <c r="FK72" s="84">
        <v>1004381</v>
      </c>
      <c r="FL72" s="84"/>
      <c r="FM72" s="84" t="s">
        <v>130</v>
      </c>
      <c r="FN72" s="84">
        <v>2000000</v>
      </c>
      <c r="FO72" s="84" t="s">
        <v>96</v>
      </c>
      <c r="FP72" s="84" t="s">
        <v>96</v>
      </c>
      <c r="FQ72" s="84"/>
      <c r="FR72" s="84">
        <v>1149500</v>
      </c>
      <c r="FS72" s="86">
        <v>1000000</v>
      </c>
      <c r="FT72" s="84">
        <v>8000000</v>
      </c>
      <c r="FU72" s="84"/>
      <c r="FV72" s="84" t="s">
        <v>96</v>
      </c>
      <c r="FW72" s="84"/>
      <c r="FX72" s="84"/>
      <c r="FY72" s="84" t="s">
        <v>96</v>
      </c>
      <c r="FZ72" s="84" t="s">
        <v>4</v>
      </c>
      <c r="GA72" s="84">
        <v>1020000</v>
      </c>
      <c r="GB72" s="84"/>
      <c r="GC72" s="84"/>
      <c r="GD72" s="84" t="s">
        <v>96</v>
      </c>
      <c r="GE72" s="84" t="s">
        <v>4</v>
      </c>
      <c r="GF72" s="84"/>
      <c r="GG72" s="84">
        <v>17310510</v>
      </c>
      <c r="GH72" s="84" t="s">
        <v>4</v>
      </c>
      <c r="GI72" s="84">
        <v>150000</v>
      </c>
      <c r="GJ72" s="84" t="s">
        <v>96</v>
      </c>
      <c r="GK72" s="84">
        <v>2632200</v>
      </c>
      <c r="GL72" s="84" t="s">
        <v>96</v>
      </c>
      <c r="GM72" s="84"/>
      <c r="GN72" s="84"/>
      <c r="GO72" s="84" t="s">
        <v>96</v>
      </c>
      <c r="GP72" s="84">
        <v>1300000</v>
      </c>
      <c r="GQ72" s="84"/>
      <c r="GR72" s="84"/>
      <c r="GS72" s="84"/>
      <c r="GT72" s="84" t="s">
        <v>130</v>
      </c>
      <c r="GU72" s="84">
        <v>0</v>
      </c>
      <c r="GV72" s="84">
        <v>1380000</v>
      </c>
      <c r="GW72" s="84">
        <v>4181818</v>
      </c>
      <c r="GX72" s="84">
        <v>1550000</v>
      </c>
      <c r="GY72" s="84"/>
      <c r="GZ72" s="84">
        <v>22892133</v>
      </c>
      <c r="HA72" s="84" t="s">
        <v>96</v>
      </c>
      <c r="HB72" s="84"/>
      <c r="HC72" s="84" t="s">
        <v>130</v>
      </c>
      <c r="HD72" s="84">
        <v>76792000</v>
      </c>
      <c r="HE72" s="84" t="s">
        <v>96</v>
      </c>
      <c r="HF72" s="84">
        <v>4700000</v>
      </c>
      <c r="HG72" s="84">
        <v>6172600</v>
      </c>
      <c r="HH72" s="84" t="s">
        <v>96</v>
      </c>
      <c r="HI72" s="84"/>
      <c r="HJ72" s="84" t="s">
        <v>96</v>
      </c>
      <c r="HK72" s="84">
        <v>3650000</v>
      </c>
      <c r="HL72" s="84"/>
      <c r="HM72" s="84">
        <v>3219000</v>
      </c>
      <c r="HN72" s="84"/>
      <c r="HO72" s="84">
        <v>18900000</v>
      </c>
      <c r="HP72" s="84">
        <v>400000</v>
      </c>
      <c r="HQ72" s="84"/>
      <c r="HR72" s="84"/>
      <c r="HS72" s="84">
        <v>1021700</v>
      </c>
      <c r="HT72" s="84"/>
      <c r="HU72" s="84" t="s">
        <v>130</v>
      </c>
      <c r="HV72" s="84"/>
      <c r="HW72" s="84" t="s">
        <v>96</v>
      </c>
      <c r="HX72" s="84">
        <v>35983000</v>
      </c>
      <c r="HY72" s="84" t="s">
        <v>114</v>
      </c>
      <c r="HZ72" s="84"/>
      <c r="IA72" s="84">
        <v>2510000</v>
      </c>
      <c r="IB72" s="84"/>
      <c r="IC72" s="84"/>
      <c r="ID72" s="84">
        <v>1250000</v>
      </c>
      <c r="IE72" s="84" t="s">
        <v>96</v>
      </c>
      <c r="IF72" s="84"/>
      <c r="IG72" s="84">
        <v>8637000</v>
      </c>
      <c r="IH72" s="84">
        <v>1000000</v>
      </c>
      <c r="II72" s="84"/>
      <c r="IJ72" s="84"/>
      <c r="IK72" s="84">
        <v>10300500</v>
      </c>
      <c r="IL72" s="84"/>
      <c r="IM72" s="84">
        <v>1000000</v>
      </c>
      <c r="IN72" s="84"/>
      <c r="IO72" s="84">
        <v>30803200</v>
      </c>
      <c r="IP72" s="84"/>
      <c r="IQ72" s="84">
        <v>1000000</v>
      </c>
      <c r="IR72" s="84"/>
      <c r="IS72" s="96">
        <v>14100000</v>
      </c>
      <c r="IT72" s="99">
        <v>200000</v>
      </c>
      <c r="IU72" s="84"/>
      <c r="IV72" s="84"/>
      <c r="IW72" s="84"/>
      <c r="IX72" s="84"/>
      <c r="IY72" s="68"/>
      <c r="IZ72" s="68">
        <v>0</v>
      </c>
      <c r="JA72" s="68">
        <v>1800000</v>
      </c>
      <c r="JB72" s="68"/>
      <c r="JC72" s="68">
        <v>6000000</v>
      </c>
      <c r="JD72" s="68">
        <v>1850000</v>
      </c>
      <c r="JE72" s="68">
        <v>7300000</v>
      </c>
      <c r="JF72" s="68"/>
      <c r="JG72" s="68">
        <v>330000</v>
      </c>
      <c r="JH72" s="68"/>
      <c r="JI72" s="68"/>
      <c r="JJ72" s="68"/>
      <c r="JK72" s="68">
        <v>100000</v>
      </c>
      <c r="JL72" s="68">
        <v>1000000</v>
      </c>
      <c r="JM72" s="68"/>
      <c r="JN72" s="68"/>
      <c r="JO72" s="68">
        <v>200000</v>
      </c>
      <c r="JP72" s="68">
        <v>0</v>
      </c>
      <c r="JQ72" s="68" t="s">
        <v>4</v>
      </c>
      <c r="JR72" s="68">
        <v>800000</v>
      </c>
      <c r="JS72" s="68">
        <v>150000</v>
      </c>
      <c r="JT72" s="68">
        <v>1240000</v>
      </c>
      <c r="JU72" s="68">
        <v>3351000</v>
      </c>
      <c r="JV72" s="68"/>
      <c r="JW72" s="68"/>
      <c r="JX72" s="68">
        <v>6100000</v>
      </c>
      <c r="JY72" s="68">
        <v>3000000</v>
      </c>
      <c r="JZ72" s="68">
        <v>220000</v>
      </c>
      <c r="KA72" s="68"/>
      <c r="KB72" s="68"/>
      <c r="KC72" s="68">
        <v>15075640</v>
      </c>
      <c r="KD72" s="68">
        <v>1000000</v>
      </c>
      <c r="KE72" s="68"/>
      <c r="KF72" s="68"/>
      <c r="KG72" s="68"/>
      <c r="KH72" s="68"/>
      <c r="KI72" s="68"/>
      <c r="KJ72" s="68"/>
      <c r="KK72" s="68">
        <v>0</v>
      </c>
      <c r="KL72" s="68"/>
      <c r="KM72" s="68"/>
      <c r="KN72" s="68">
        <v>5000000</v>
      </c>
      <c r="KO72" s="68">
        <v>3960000</v>
      </c>
      <c r="KP72" s="68">
        <v>0</v>
      </c>
      <c r="KQ72" s="68"/>
      <c r="KR72" s="68">
        <v>100000</v>
      </c>
      <c r="KS72" s="68">
        <v>120000</v>
      </c>
      <c r="KT72" s="68">
        <v>100000</v>
      </c>
      <c r="KU72" s="68"/>
      <c r="KV72" s="68">
        <v>1000000</v>
      </c>
      <c r="KW72" s="68"/>
      <c r="KX72" s="68">
        <v>300000</v>
      </c>
      <c r="KY72" s="68">
        <v>5000000</v>
      </c>
      <c r="KZ72" s="68"/>
      <c r="LA72" s="68">
        <v>1650000</v>
      </c>
      <c r="LB72" s="68">
        <v>1680000</v>
      </c>
      <c r="LC72" s="104">
        <v>3655000</v>
      </c>
      <c r="LD72" s="104"/>
      <c r="LE72" s="104">
        <v>0</v>
      </c>
      <c r="LF72" s="104"/>
      <c r="LG72" s="104"/>
      <c r="LH72" s="102" t="s">
        <v>187</v>
      </c>
      <c r="LI72" s="104">
        <v>20800000</v>
      </c>
      <c r="LJ72" s="102" t="s">
        <v>187</v>
      </c>
      <c r="LK72" s="104">
        <v>23000000</v>
      </c>
      <c r="LL72" s="102" t="s">
        <v>187</v>
      </c>
    </row>
    <row r="73" spans="1:324">
      <c r="A73" s="69" t="s">
        <v>185</v>
      </c>
      <c r="B73" s="93" t="s">
        <v>57</v>
      </c>
      <c r="C73" s="84"/>
      <c r="D73" s="84">
        <v>352063513</v>
      </c>
      <c r="E73" s="84">
        <v>18939</v>
      </c>
      <c r="F73" s="84">
        <v>135496</v>
      </c>
      <c r="G73" s="84" t="s">
        <v>130</v>
      </c>
      <c r="H73" s="84"/>
      <c r="I73" s="84"/>
      <c r="J73" s="84" t="s">
        <v>4</v>
      </c>
      <c r="K73" s="84"/>
      <c r="L73" s="84" t="s">
        <v>96</v>
      </c>
      <c r="M73" s="84" t="s">
        <v>96</v>
      </c>
      <c r="N73" s="84"/>
      <c r="O73" s="84"/>
      <c r="P73" s="84">
        <v>6725434</v>
      </c>
      <c r="Q73" s="84"/>
      <c r="R73" s="84" t="s">
        <v>130</v>
      </c>
      <c r="S73" s="84">
        <v>10592492</v>
      </c>
      <c r="T73" s="84" t="s">
        <v>96</v>
      </c>
      <c r="U73" s="84" t="s">
        <v>96</v>
      </c>
      <c r="V73" s="84" t="s">
        <v>4</v>
      </c>
      <c r="W73" s="84"/>
      <c r="X73" s="84"/>
      <c r="Y73" s="84"/>
      <c r="Z73" s="84"/>
      <c r="AA73" s="84"/>
      <c r="AB73" s="84"/>
      <c r="AC73" s="84"/>
      <c r="AD73" s="84">
        <v>6076487</v>
      </c>
      <c r="AE73" s="84"/>
      <c r="AF73" s="84" t="s">
        <v>96</v>
      </c>
      <c r="AG73" s="84"/>
      <c r="AH73" s="84" t="s">
        <v>130</v>
      </c>
      <c r="AI73" s="84"/>
      <c r="AJ73" s="84"/>
      <c r="AK73" s="84">
        <v>0</v>
      </c>
      <c r="AL73" s="84">
        <v>4338200</v>
      </c>
      <c r="AM73" s="84" t="s">
        <v>4</v>
      </c>
      <c r="AN73" s="84"/>
      <c r="AO73" s="84"/>
      <c r="AP73" s="84"/>
      <c r="AQ73" s="84" t="s">
        <v>4</v>
      </c>
      <c r="AR73" s="84">
        <v>88835082</v>
      </c>
      <c r="AS73" s="84"/>
      <c r="AT73" s="84" t="s">
        <v>96</v>
      </c>
      <c r="AU73" s="84">
        <v>850231652</v>
      </c>
      <c r="AV73" s="84"/>
      <c r="AW73" s="84"/>
      <c r="AX73" s="84" t="s">
        <v>4</v>
      </c>
      <c r="AY73" s="84" t="s">
        <v>96</v>
      </c>
      <c r="AZ73" s="84">
        <v>9915607</v>
      </c>
      <c r="BA73" s="84" t="s">
        <v>130</v>
      </c>
      <c r="BB73" s="84"/>
      <c r="BC73" s="84" t="s">
        <v>4</v>
      </c>
      <c r="BD73" s="84" t="s">
        <v>96</v>
      </c>
      <c r="BE73" s="84"/>
      <c r="BF73" s="84" t="s">
        <v>96</v>
      </c>
      <c r="BG73" s="84">
        <v>2</v>
      </c>
      <c r="BH73" s="84"/>
      <c r="BI73" s="84"/>
      <c r="BJ73" s="84"/>
      <c r="BK73" s="84">
        <v>278288</v>
      </c>
      <c r="BL73" s="84"/>
      <c r="BM73" s="84"/>
      <c r="BN73" s="84"/>
      <c r="BO73" s="84" t="s">
        <v>96</v>
      </c>
      <c r="BP73" s="84" t="s">
        <v>96</v>
      </c>
      <c r="BQ73" s="84" t="s">
        <v>4</v>
      </c>
      <c r="BR73" s="84">
        <v>17080456</v>
      </c>
      <c r="BS73" s="84" t="s">
        <v>4</v>
      </c>
      <c r="BT73" s="84" t="s">
        <v>96</v>
      </c>
      <c r="BU73" s="85"/>
      <c r="BV73" s="84"/>
      <c r="BW73" s="84"/>
      <c r="BX73" s="84"/>
      <c r="BY73" s="84">
        <v>264978</v>
      </c>
      <c r="BZ73" s="84"/>
      <c r="CA73" s="84"/>
      <c r="CB73" s="84"/>
      <c r="CC73" s="84"/>
      <c r="CD73" s="84">
        <v>27000</v>
      </c>
      <c r="CE73" s="84" t="s">
        <v>96</v>
      </c>
      <c r="CF73" s="84" t="s">
        <v>96</v>
      </c>
      <c r="CG73" s="84"/>
      <c r="CH73" s="84">
        <v>293</v>
      </c>
      <c r="CI73" s="84" t="s">
        <v>96</v>
      </c>
      <c r="CJ73" s="84"/>
      <c r="CK73" s="84">
        <v>44228601</v>
      </c>
      <c r="CL73" s="84"/>
      <c r="CM73" s="84"/>
      <c r="CN73" s="84"/>
      <c r="CO73" s="84"/>
      <c r="CP73" s="84" t="s">
        <v>96</v>
      </c>
      <c r="CQ73" s="84" t="s">
        <v>96</v>
      </c>
      <c r="CR73" s="84"/>
      <c r="CS73" s="84" t="s">
        <v>96</v>
      </c>
      <c r="CT73" s="84">
        <v>53005</v>
      </c>
      <c r="CU73" s="84"/>
      <c r="CV73" s="84"/>
      <c r="CW73" s="84" t="s">
        <v>96</v>
      </c>
      <c r="CX73" s="84">
        <v>591028</v>
      </c>
      <c r="CY73" s="84" t="s">
        <v>96</v>
      </c>
      <c r="CZ73" s="84">
        <v>5251509</v>
      </c>
      <c r="DA73" s="84" t="s">
        <v>96</v>
      </c>
      <c r="DB73" s="86"/>
      <c r="DC73" s="84"/>
      <c r="DD73" s="84" t="s">
        <v>96</v>
      </c>
      <c r="DE73" s="84"/>
      <c r="DF73" s="84"/>
      <c r="DG73" s="84"/>
      <c r="DH73" s="84"/>
      <c r="DI73" s="84"/>
      <c r="DJ73" s="84"/>
      <c r="DK73" s="84" t="s">
        <v>96</v>
      </c>
      <c r="DL73" s="84"/>
      <c r="DM73" s="84">
        <v>6320000</v>
      </c>
      <c r="DN73" s="84"/>
      <c r="DO73" s="84"/>
      <c r="DP73" s="84"/>
      <c r="DQ73" s="84"/>
      <c r="DR73" s="84"/>
      <c r="DS73" s="84"/>
      <c r="DT73" s="84"/>
      <c r="DU73" s="84"/>
      <c r="DV73" s="84"/>
      <c r="DW73" s="84"/>
      <c r="DX73" s="84"/>
      <c r="DY73" s="84"/>
      <c r="DZ73" s="84"/>
      <c r="EA73" s="84"/>
      <c r="EB73" s="84">
        <v>22314460</v>
      </c>
      <c r="EC73" s="84"/>
      <c r="ED73" s="84"/>
      <c r="EE73" s="84"/>
      <c r="EF73" s="84">
        <v>0</v>
      </c>
      <c r="EG73" s="96">
        <v>48980722</v>
      </c>
      <c r="EH73" s="99"/>
      <c r="EI73" s="97">
        <v>144411489</v>
      </c>
      <c r="EJ73" s="84"/>
      <c r="EK73" s="84"/>
      <c r="EL73" s="84"/>
      <c r="EM73" s="84">
        <v>1</v>
      </c>
      <c r="EN73" s="84"/>
      <c r="EO73" s="84">
        <v>0</v>
      </c>
      <c r="EP73" s="84"/>
      <c r="EQ73" s="84"/>
      <c r="ER73" s="84"/>
      <c r="ES73" s="84"/>
      <c r="ET73" s="84">
        <v>103465796</v>
      </c>
      <c r="EU73" s="84"/>
      <c r="EV73" s="84"/>
      <c r="EW73" s="84">
        <v>0</v>
      </c>
      <c r="EX73" s="84"/>
      <c r="EY73" s="84"/>
      <c r="EZ73" s="84">
        <v>27270911</v>
      </c>
      <c r="FA73" s="84"/>
      <c r="FB73" s="84">
        <v>1520809</v>
      </c>
      <c r="FC73" s="84">
        <v>3321247</v>
      </c>
      <c r="FD73" s="84"/>
      <c r="FE73" s="84"/>
      <c r="FF73" s="84"/>
      <c r="FG73" s="84" t="s">
        <v>96</v>
      </c>
      <c r="FH73" s="84">
        <v>4186539</v>
      </c>
      <c r="FI73" s="84" t="s">
        <v>96</v>
      </c>
      <c r="FJ73" s="84"/>
      <c r="FK73" s="84"/>
      <c r="FL73" s="84"/>
      <c r="FM73" s="84" t="s">
        <v>130</v>
      </c>
      <c r="FN73" s="84">
        <v>2471876</v>
      </c>
      <c r="FO73" s="84" t="s">
        <v>96</v>
      </c>
      <c r="FP73" s="84" t="s">
        <v>96</v>
      </c>
      <c r="FQ73" s="84"/>
      <c r="FR73" s="84"/>
      <c r="FS73" s="86"/>
      <c r="FT73" s="84"/>
      <c r="FU73" s="84"/>
      <c r="FV73" s="84" t="s">
        <v>96</v>
      </c>
      <c r="FW73" s="84"/>
      <c r="FX73" s="84"/>
      <c r="FY73" s="84" t="s">
        <v>96</v>
      </c>
      <c r="FZ73" s="84" t="s">
        <v>4</v>
      </c>
      <c r="GA73" s="84">
        <v>992831</v>
      </c>
      <c r="GB73" s="84"/>
      <c r="GC73" s="84"/>
      <c r="GD73" s="84" t="s">
        <v>96</v>
      </c>
      <c r="GE73" s="84" t="s">
        <v>4</v>
      </c>
      <c r="GF73" s="84">
        <v>2266546</v>
      </c>
      <c r="GG73" s="84">
        <v>94897456</v>
      </c>
      <c r="GH73" s="84" t="s">
        <v>4</v>
      </c>
      <c r="GI73" s="84"/>
      <c r="GJ73" s="84" t="s">
        <v>96</v>
      </c>
      <c r="GK73" s="84"/>
      <c r="GL73" s="84" t="s">
        <v>96</v>
      </c>
      <c r="GM73" s="84"/>
      <c r="GN73" s="84"/>
      <c r="GO73" s="84" t="s">
        <v>96</v>
      </c>
      <c r="GP73" s="84"/>
      <c r="GQ73" s="84"/>
      <c r="GR73" s="84"/>
      <c r="GS73" s="84"/>
      <c r="GT73" s="84" t="s">
        <v>130</v>
      </c>
      <c r="GU73" s="84"/>
      <c r="GV73" s="84">
        <v>0</v>
      </c>
      <c r="GW73" s="84"/>
      <c r="GX73" s="84">
        <v>228020</v>
      </c>
      <c r="GY73" s="84"/>
      <c r="GZ73" s="84"/>
      <c r="HA73" s="84" t="s">
        <v>96</v>
      </c>
      <c r="HB73" s="84"/>
      <c r="HC73" s="84" t="s">
        <v>130</v>
      </c>
      <c r="HD73" s="84"/>
      <c r="HE73" s="84" t="s">
        <v>96</v>
      </c>
      <c r="HF73" s="84"/>
      <c r="HG73" s="84"/>
      <c r="HH73" s="84" t="s">
        <v>96</v>
      </c>
      <c r="HI73" s="84"/>
      <c r="HJ73" s="84" t="s">
        <v>96</v>
      </c>
      <c r="HK73" s="84"/>
      <c r="HL73" s="84"/>
      <c r="HM73" s="84"/>
      <c r="HN73" s="84">
        <v>2000</v>
      </c>
      <c r="HO73" s="84"/>
      <c r="HP73" s="84">
        <v>806747642</v>
      </c>
      <c r="HQ73" s="84"/>
      <c r="HR73" s="84"/>
      <c r="HS73" s="84"/>
      <c r="HT73" s="84">
        <v>1152676</v>
      </c>
      <c r="HU73" s="84" t="s">
        <v>130</v>
      </c>
      <c r="HV73" s="84"/>
      <c r="HW73" s="84" t="s">
        <v>96</v>
      </c>
      <c r="HX73" s="84"/>
      <c r="HY73" s="84" t="s">
        <v>114</v>
      </c>
      <c r="HZ73" s="84"/>
      <c r="IA73" s="84"/>
      <c r="IB73" s="84">
        <v>607773967</v>
      </c>
      <c r="IC73" s="84">
        <v>299179</v>
      </c>
      <c r="ID73" s="84"/>
      <c r="IE73" s="84" t="s">
        <v>96</v>
      </c>
      <c r="IF73" s="84"/>
      <c r="IG73" s="84"/>
      <c r="IH73" s="84"/>
      <c r="II73" s="84"/>
      <c r="IJ73" s="84"/>
      <c r="IK73" s="84"/>
      <c r="IL73" s="84"/>
      <c r="IM73" s="84"/>
      <c r="IN73" s="84"/>
      <c r="IO73" s="84"/>
      <c r="IP73" s="84"/>
      <c r="IQ73" s="84"/>
      <c r="IR73" s="84">
        <v>1321052</v>
      </c>
      <c r="IS73" s="96"/>
      <c r="IT73" s="99"/>
      <c r="IU73" s="84"/>
      <c r="IV73" s="84"/>
      <c r="IW73" s="84"/>
      <c r="IX73" s="84">
        <v>1450257</v>
      </c>
      <c r="IY73" s="68">
        <v>185546387</v>
      </c>
      <c r="IZ73" s="68"/>
      <c r="JA73" s="68"/>
      <c r="JB73" s="68"/>
      <c r="JC73" s="68">
        <v>289775</v>
      </c>
      <c r="JD73" s="68"/>
      <c r="JE73" s="68"/>
      <c r="JF73" s="68"/>
      <c r="JG73" s="68"/>
      <c r="JH73" s="68">
        <v>0</v>
      </c>
      <c r="JI73" s="68"/>
      <c r="JJ73" s="68"/>
      <c r="JK73" s="68">
        <v>3340000</v>
      </c>
      <c r="JL73" s="68"/>
      <c r="JM73" s="68"/>
      <c r="JN73" s="68"/>
      <c r="JO73" s="68"/>
      <c r="JP73" s="68"/>
      <c r="JQ73" s="68" t="s">
        <v>4</v>
      </c>
      <c r="JR73" s="68"/>
      <c r="JS73" s="68"/>
      <c r="JT73" s="68"/>
      <c r="JU73" s="68"/>
      <c r="JV73" s="68"/>
      <c r="JW73" s="68"/>
      <c r="JX73" s="68"/>
      <c r="JY73" s="68">
        <v>1894680</v>
      </c>
      <c r="JZ73" s="68"/>
      <c r="KA73" s="68"/>
      <c r="KB73" s="68">
        <v>140384693</v>
      </c>
      <c r="KC73" s="68"/>
      <c r="KD73" s="68"/>
      <c r="KE73" s="68"/>
      <c r="KF73" s="68">
        <v>175363489</v>
      </c>
      <c r="KG73" s="68"/>
      <c r="KH73" s="68"/>
      <c r="KI73" s="68"/>
      <c r="KJ73" s="68"/>
      <c r="KK73" s="68">
        <v>190743990</v>
      </c>
      <c r="KL73" s="68">
        <v>15239000</v>
      </c>
      <c r="KM73" s="68"/>
      <c r="KN73" s="68"/>
      <c r="KO73" s="68">
        <v>8106595</v>
      </c>
      <c r="KP73" s="68"/>
      <c r="KQ73" s="68"/>
      <c r="KR73" s="68">
        <v>1682653</v>
      </c>
      <c r="KS73" s="68"/>
      <c r="KT73" s="68">
        <v>1174040</v>
      </c>
      <c r="KU73" s="68">
        <v>0</v>
      </c>
      <c r="KV73" s="68"/>
      <c r="KW73" s="68"/>
      <c r="KX73" s="68"/>
      <c r="KY73" s="68">
        <v>0</v>
      </c>
      <c r="KZ73" s="68"/>
      <c r="LA73" s="68"/>
      <c r="LB73" s="68"/>
      <c r="LC73" s="104"/>
      <c r="LD73" s="104">
        <v>4766765</v>
      </c>
      <c r="LE73" s="104"/>
      <c r="LF73" s="104"/>
      <c r="LG73" s="104"/>
      <c r="LH73" s="102" t="s">
        <v>187</v>
      </c>
      <c r="LI73" s="104"/>
      <c r="LJ73" s="102" t="s">
        <v>187</v>
      </c>
      <c r="LK73" s="104">
        <v>1028544</v>
      </c>
      <c r="LL73" s="102" t="s">
        <v>187</v>
      </c>
    </row>
    <row r="74" spans="1:324">
      <c r="A74" s="69" t="s">
        <v>185</v>
      </c>
      <c r="B74" s="93" t="s">
        <v>9</v>
      </c>
      <c r="C74" s="84">
        <v>2</v>
      </c>
      <c r="D74" s="84">
        <v>26817540</v>
      </c>
      <c r="E74" s="84">
        <v>1045097</v>
      </c>
      <c r="F74" s="84">
        <v>8380</v>
      </c>
      <c r="G74" s="84" t="s">
        <v>130</v>
      </c>
      <c r="H74" s="84">
        <v>5648</v>
      </c>
      <c r="I74" s="84"/>
      <c r="J74" s="84" t="s">
        <v>4</v>
      </c>
      <c r="K74" s="84">
        <v>153302</v>
      </c>
      <c r="L74" s="84" t="s">
        <v>96</v>
      </c>
      <c r="M74" s="84" t="s">
        <v>96</v>
      </c>
      <c r="N74" s="84">
        <v>1158430</v>
      </c>
      <c r="O74" s="84">
        <v>3442318</v>
      </c>
      <c r="P74" s="84">
        <v>17379748</v>
      </c>
      <c r="Q74" s="84">
        <v>561</v>
      </c>
      <c r="R74" s="84" t="s">
        <v>130</v>
      </c>
      <c r="S74" s="84">
        <v>7336941</v>
      </c>
      <c r="T74" s="84" t="s">
        <v>96</v>
      </c>
      <c r="U74" s="84" t="s">
        <v>96</v>
      </c>
      <c r="V74" s="84" t="s">
        <v>4</v>
      </c>
      <c r="W74" s="84">
        <v>5803752</v>
      </c>
      <c r="X74" s="84">
        <v>2254253</v>
      </c>
      <c r="Y74" s="84"/>
      <c r="Z74" s="84">
        <v>947208</v>
      </c>
      <c r="AA74" s="84">
        <v>62637</v>
      </c>
      <c r="AB74" s="84"/>
      <c r="AC74" s="84"/>
      <c r="AD74" s="84">
        <v>10597610</v>
      </c>
      <c r="AE74" s="84"/>
      <c r="AF74" s="84" t="s">
        <v>96</v>
      </c>
      <c r="AG74" s="84">
        <v>9671772</v>
      </c>
      <c r="AH74" s="84" t="s">
        <v>130</v>
      </c>
      <c r="AI74" s="84">
        <v>109597</v>
      </c>
      <c r="AJ74" s="84">
        <v>11277225</v>
      </c>
      <c r="AK74" s="84">
        <v>218312</v>
      </c>
      <c r="AL74" s="84">
        <v>159990</v>
      </c>
      <c r="AM74" s="84" t="s">
        <v>4</v>
      </c>
      <c r="AN74" s="84">
        <v>1353179</v>
      </c>
      <c r="AO74" s="84">
        <v>149653</v>
      </c>
      <c r="AP74" s="84">
        <v>1200000</v>
      </c>
      <c r="AQ74" s="84" t="s">
        <v>4</v>
      </c>
      <c r="AR74" s="84">
        <v>279719</v>
      </c>
      <c r="AS74" s="84"/>
      <c r="AT74" s="84" t="s">
        <v>96</v>
      </c>
      <c r="AU74" s="84">
        <v>2039003</v>
      </c>
      <c r="AV74" s="84">
        <v>2304992</v>
      </c>
      <c r="AW74" s="84">
        <v>2236584</v>
      </c>
      <c r="AX74" s="84" t="s">
        <v>4</v>
      </c>
      <c r="AY74" s="84" t="s">
        <v>96</v>
      </c>
      <c r="AZ74" s="84">
        <v>16</v>
      </c>
      <c r="BA74" s="84" t="s">
        <v>130</v>
      </c>
      <c r="BB74" s="84">
        <v>4398</v>
      </c>
      <c r="BC74" s="84" t="s">
        <v>4</v>
      </c>
      <c r="BD74" s="84" t="s">
        <v>96</v>
      </c>
      <c r="BE74" s="84">
        <v>14238122</v>
      </c>
      <c r="BF74" s="84" t="s">
        <v>96</v>
      </c>
      <c r="BG74" s="84">
        <v>2274393</v>
      </c>
      <c r="BH74" s="84">
        <v>288571</v>
      </c>
      <c r="BI74" s="84">
        <v>1895487</v>
      </c>
      <c r="BJ74" s="84">
        <v>1890269</v>
      </c>
      <c r="BK74" s="84">
        <v>36077163</v>
      </c>
      <c r="BL74" s="84">
        <v>1816120</v>
      </c>
      <c r="BM74" s="84">
        <v>8603553</v>
      </c>
      <c r="BN74" s="84">
        <v>4</v>
      </c>
      <c r="BO74" s="84" t="s">
        <v>96</v>
      </c>
      <c r="BP74" s="84" t="s">
        <v>96</v>
      </c>
      <c r="BQ74" s="84" t="s">
        <v>4</v>
      </c>
      <c r="BR74" s="84">
        <v>97408671</v>
      </c>
      <c r="BS74" s="84" t="s">
        <v>4</v>
      </c>
      <c r="BT74" s="84" t="s">
        <v>96</v>
      </c>
      <c r="BU74" s="85">
        <v>612789</v>
      </c>
      <c r="BV74" s="84">
        <v>411177</v>
      </c>
      <c r="BW74" s="84">
        <v>18200</v>
      </c>
      <c r="BX74" s="84">
        <v>2060</v>
      </c>
      <c r="BY74" s="84">
        <v>33428871</v>
      </c>
      <c r="BZ74" s="84">
        <v>141500</v>
      </c>
      <c r="CA74" s="84">
        <v>1183820</v>
      </c>
      <c r="CB74" s="84">
        <v>1378257</v>
      </c>
      <c r="CC74" s="84">
        <v>426930</v>
      </c>
      <c r="CD74" s="84">
        <v>23691</v>
      </c>
      <c r="CE74" s="84" t="s">
        <v>96</v>
      </c>
      <c r="CF74" s="84" t="s">
        <v>96</v>
      </c>
      <c r="CG74" s="84">
        <v>985290</v>
      </c>
      <c r="CH74" s="84"/>
      <c r="CI74" s="84" t="s">
        <v>96</v>
      </c>
      <c r="CJ74" s="84">
        <v>313754</v>
      </c>
      <c r="CK74" s="84">
        <v>914000</v>
      </c>
      <c r="CL74" s="84">
        <v>165071</v>
      </c>
      <c r="CM74" s="84">
        <v>102465708</v>
      </c>
      <c r="CN74" s="84"/>
      <c r="CO74" s="84">
        <v>0</v>
      </c>
      <c r="CP74" s="84" t="s">
        <v>96</v>
      </c>
      <c r="CQ74" s="84" t="s">
        <v>96</v>
      </c>
      <c r="CR74" s="84">
        <v>1051451</v>
      </c>
      <c r="CS74" s="84" t="s">
        <v>96</v>
      </c>
      <c r="CT74" s="84">
        <v>767888</v>
      </c>
      <c r="CU74" s="84"/>
      <c r="CV74" s="84">
        <v>800</v>
      </c>
      <c r="CW74" s="84" t="s">
        <v>96</v>
      </c>
      <c r="CX74" s="84">
        <v>6684789</v>
      </c>
      <c r="CY74" s="84" t="s">
        <v>96</v>
      </c>
      <c r="CZ74" s="84">
        <v>1519163</v>
      </c>
      <c r="DA74" s="84" t="s">
        <v>96</v>
      </c>
      <c r="DB74" s="86">
        <v>555100</v>
      </c>
      <c r="DC74" s="84">
        <v>12189</v>
      </c>
      <c r="DD74" s="84" t="s">
        <v>96</v>
      </c>
      <c r="DE74" s="84"/>
      <c r="DF74" s="84">
        <v>0</v>
      </c>
      <c r="DG74" s="84">
        <v>2391513</v>
      </c>
      <c r="DH74" s="84">
        <v>3848792</v>
      </c>
      <c r="DI74" s="84">
        <v>4363101</v>
      </c>
      <c r="DJ74" s="84">
        <v>86764</v>
      </c>
      <c r="DK74" s="84" t="s">
        <v>96</v>
      </c>
      <c r="DL74" s="84">
        <v>14964606</v>
      </c>
      <c r="DM74" s="84"/>
      <c r="DN74" s="84">
        <v>10793959</v>
      </c>
      <c r="DO74" s="84">
        <v>188968</v>
      </c>
      <c r="DP74" s="84">
        <v>9986</v>
      </c>
      <c r="DQ74" s="84">
        <v>58032</v>
      </c>
      <c r="DR74" s="84">
        <v>549911</v>
      </c>
      <c r="DS74" s="84">
        <v>130000</v>
      </c>
      <c r="DT74" s="84">
        <v>1209134</v>
      </c>
      <c r="DU74" s="84"/>
      <c r="DV74" s="84">
        <v>2261377</v>
      </c>
      <c r="DW74" s="84">
        <v>513481</v>
      </c>
      <c r="DX74" s="84">
        <v>26293404</v>
      </c>
      <c r="DY74" s="84">
        <v>1838227</v>
      </c>
      <c r="DZ74" s="84">
        <v>1460</v>
      </c>
      <c r="EA74" s="84"/>
      <c r="EB74" s="84">
        <v>0</v>
      </c>
      <c r="EC74" s="84">
        <v>9495740</v>
      </c>
      <c r="ED74" s="84">
        <v>56418</v>
      </c>
      <c r="EE74" s="84">
        <v>300</v>
      </c>
      <c r="EF74" s="84">
        <v>142060</v>
      </c>
      <c r="EG74" s="96">
        <v>6075466</v>
      </c>
      <c r="EH74" s="99"/>
      <c r="EI74" s="97">
        <v>6737832</v>
      </c>
      <c r="EJ74" s="84">
        <v>1321207</v>
      </c>
      <c r="EK74" s="84"/>
      <c r="EL74" s="84">
        <v>0</v>
      </c>
      <c r="EM74" s="84">
        <v>55808</v>
      </c>
      <c r="EN74" s="84">
        <v>2988157</v>
      </c>
      <c r="EO74" s="84">
        <v>2330</v>
      </c>
      <c r="EP74" s="84"/>
      <c r="EQ74" s="84"/>
      <c r="ER74" s="84">
        <v>752303</v>
      </c>
      <c r="ES74" s="84">
        <v>325872</v>
      </c>
      <c r="ET74" s="84">
        <v>4249823</v>
      </c>
      <c r="EU74" s="84">
        <v>1548137</v>
      </c>
      <c r="EV74" s="84">
        <v>1721763</v>
      </c>
      <c r="EW74" s="84">
        <v>72</v>
      </c>
      <c r="EX74" s="84">
        <v>3156001</v>
      </c>
      <c r="EY74" s="84">
        <v>136901</v>
      </c>
      <c r="EZ74" s="84">
        <v>961859</v>
      </c>
      <c r="FA74" s="84">
        <v>103</v>
      </c>
      <c r="FB74" s="84">
        <v>231973</v>
      </c>
      <c r="FC74" s="84">
        <v>143201</v>
      </c>
      <c r="FD74" s="84">
        <v>1914882</v>
      </c>
      <c r="FE74" s="84">
        <v>12067989</v>
      </c>
      <c r="FF74" s="84">
        <v>4200893</v>
      </c>
      <c r="FG74" s="84" t="s">
        <v>96</v>
      </c>
      <c r="FH74" s="84">
        <v>1556930</v>
      </c>
      <c r="FI74" s="84" t="s">
        <v>96</v>
      </c>
      <c r="FJ74" s="84"/>
      <c r="FK74" s="84">
        <v>5777232</v>
      </c>
      <c r="FL74" s="84">
        <v>242351</v>
      </c>
      <c r="FM74" s="84" t="s">
        <v>130</v>
      </c>
      <c r="FN74" s="84">
        <v>2410704</v>
      </c>
      <c r="FO74" s="84" t="s">
        <v>96</v>
      </c>
      <c r="FP74" s="84" t="s">
        <v>96</v>
      </c>
      <c r="FQ74" s="84">
        <v>15312</v>
      </c>
      <c r="FR74" s="84">
        <v>1053923</v>
      </c>
      <c r="FS74" s="86">
        <v>2494042</v>
      </c>
      <c r="FT74" s="84">
        <v>5723</v>
      </c>
      <c r="FU74" s="84">
        <v>25617</v>
      </c>
      <c r="FV74" s="84" t="s">
        <v>96</v>
      </c>
      <c r="FW74" s="84">
        <v>68839</v>
      </c>
      <c r="FX74" s="84">
        <v>40000</v>
      </c>
      <c r="FY74" s="84" t="s">
        <v>96</v>
      </c>
      <c r="FZ74" s="84" t="s">
        <v>4</v>
      </c>
      <c r="GA74" s="84">
        <v>168340</v>
      </c>
      <c r="GB74" s="84">
        <v>23338</v>
      </c>
      <c r="GC74" s="84"/>
      <c r="GD74" s="84" t="s">
        <v>96</v>
      </c>
      <c r="GE74" s="84" t="s">
        <v>4</v>
      </c>
      <c r="GF74" s="84">
        <v>2649073</v>
      </c>
      <c r="GG74" s="84">
        <v>897270</v>
      </c>
      <c r="GH74" s="84" t="s">
        <v>4</v>
      </c>
      <c r="GI74" s="84">
        <v>85348</v>
      </c>
      <c r="GJ74" s="84" t="s">
        <v>96</v>
      </c>
      <c r="GK74" s="84">
        <v>8805</v>
      </c>
      <c r="GL74" s="84" t="s">
        <v>96</v>
      </c>
      <c r="GM74" s="84">
        <v>503779</v>
      </c>
      <c r="GN74" s="84">
        <v>39613910</v>
      </c>
      <c r="GO74" s="84" t="s">
        <v>96</v>
      </c>
      <c r="GP74" s="84">
        <v>12124520</v>
      </c>
      <c r="GQ74" s="84">
        <v>43895</v>
      </c>
      <c r="GR74" s="84">
        <v>4971182</v>
      </c>
      <c r="GS74" s="84">
        <v>46811</v>
      </c>
      <c r="GT74" s="84" t="s">
        <v>130</v>
      </c>
      <c r="GU74" s="84">
        <v>26</v>
      </c>
      <c r="GV74" s="84">
        <v>709971</v>
      </c>
      <c r="GW74" s="84">
        <v>2780885</v>
      </c>
      <c r="GX74" s="84">
        <v>20845</v>
      </c>
      <c r="GY74" s="84">
        <v>417899</v>
      </c>
      <c r="GZ74" s="84">
        <v>494752</v>
      </c>
      <c r="HA74" s="84" t="s">
        <v>96</v>
      </c>
      <c r="HB74" s="84">
        <v>101487</v>
      </c>
      <c r="HC74" s="84" t="s">
        <v>130</v>
      </c>
      <c r="HD74" s="84">
        <v>965898</v>
      </c>
      <c r="HE74" s="84" t="s">
        <v>96</v>
      </c>
      <c r="HF74" s="84">
        <v>682825</v>
      </c>
      <c r="HG74" s="84"/>
      <c r="HH74" s="84" t="s">
        <v>96</v>
      </c>
      <c r="HI74" s="84">
        <v>156531</v>
      </c>
      <c r="HJ74" s="84" t="s">
        <v>96</v>
      </c>
      <c r="HK74" s="84">
        <v>200</v>
      </c>
      <c r="HL74" s="84">
        <v>195022</v>
      </c>
      <c r="HM74" s="84">
        <v>8</v>
      </c>
      <c r="HN74" s="84">
        <v>3100</v>
      </c>
      <c r="HO74" s="84">
        <v>18589571</v>
      </c>
      <c r="HP74" s="84">
        <v>88743</v>
      </c>
      <c r="HQ74" s="84"/>
      <c r="HR74" s="84"/>
      <c r="HS74" s="84">
        <v>855604</v>
      </c>
      <c r="HT74" s="84"/>
      <c r="HU74" s="84" t="s">
        <v>130</v>
      </c>
      <c r="HV74" s="84">
        <v>269031</v>
      </c>
      <c r="HW74" s="84" t="s">
        <v>96</v>
      </c>
      <c r="HX74" s="84">
        <v>725074</v>
      </c>
      <c r="HY74" s="84" t="s">
        <v>114</v>
      </c>
      <c r="HZ74" s="84">
        <v>1715960</v>
      </c>
      <c r="IA74" s="84">
        <v>50</v>
      </c>
      <c r="IB74" s="84"/>
      <c r="IC74" s="84">
        <v>10631331</v>
      </c>
      <c r="ID74" s="84">
        <v>40717</v>
      </c>
      <c r="IE74" s="84" t="s">
        <v>96</v>
      </c>
      <c r="IF74" s="84">
        <v>2076</v>
      </c>
      <c r="IG74" s="84">
        <v>1312</v>
      </c>
      <c r="IH74" s="84">
        <v>4504206</v>
      </c>
      <c r="II74" s="84">
        <v>0</v>
      </c>
      <c r="IJ74" s="84">
        <v>462910</v>
      </c>
      <c r="IK74" s="84"/>
      <c r="IL74" s="84"/>
      <c r="IM74" s="84">
        <v>986681</v>
      </c>
      <c r="IN74" s="84">
        <v>12632036</v>
      </c>
      <c r="IO74" s="84">
        <v>130056</v>
      </c>
      <c r="IP74" s="84">
        <v>0</v>
      </c>
      <c r="IQ74" s="84">
        <v>297373</v>
      </c>
      <c r="IR74" s="84">
        <v>4123960</v>
      </c>
      <c r="IS74" s="96">
        <v>328040</v>
      </c>
      <c r="IT74" s="99">
        <v>188479</v>
      </c>
      <c r="IU74" s="84"/>
      <c r="IV74" s="84">
        <v>14440540</v>
      </c>
      <c r="IW74" s="84">
        <v>17132</v>
      </c>
      <c r="IX74" s="84">
        <v>201080</v>
      </c>
      <c r="IY74" s="68">
        <v>107999</v>
      </c>
      <c r="IZ74" s="68">
        <v>260628</v>
      </c>
      <c r="JA74" s="68"/>
      <c r="JB74" s="68">
        <v>7732661</v>
      </c>
      <c r="JC74" s="68">
        <v>90509</v>
      </c>
      <c r="JD74" s="68">
        <v>805849</v>
      </c>
      <c r="JE74" s="68">
        <v>2910</v>
      </c>
      <c r="JF74" s="68">
        <v>13900</v>
      </c>
      <c r="JG74" s="68">
        <v>2061</v>
      </c>
      <c r="JH74" s="68">
        <v>32641</v>
      </c>
      <c r="JI74" s="68">
        <v>281430</v>
      </c>
      <c r="JJ74" s="68">
        <v>336290</v>
      </c>
      <c r="JK74" s="68">
        <v>451519</v>
      </c>
      <c r="JL74" s="68">
        <v>1088054</v>
      </c>
      <c r="JM74" s="68">
        <v>24800</v>
      </c>
      <c r="JN74" s="68">
        <v>146126</v>
      </c>
      <c r="JO74" s="68"/>
      <c r="JP74" s="68">
        <v>3644937</v>
      </c>
      <c r="JQ74" s="68" t="s">
        <v>4</v>
      </c>
      <c r="JR74" s="68"/>
      <c r="JS74" s="68">
        <v>1121530</v>
      </c>
      <c r="JT74" s="68">
        <v>1103398</v>
      </c>
      <c r="JU74" s="68">
        <v>625293</v>
      </c>
      <c r="JV74" s="68">
        <v>2008663</v>
      </c>
      <c r="JW74" s="68">
        <v>47</v>
      </c>
      <c r="JX74" s="68">
        <v>10</v>
      </c>
      <c r="JY74" s="68">
        <v>3191059</v>
      </c>
      <c r="JZ74" s="68">
        <v>154263</v>
      </c>
      <c r="KA74" s="68">
        <v>192403</v>
      </c>
      <c r="KB74" s="68">
        <v>13803750</v>
      </c>
      <c r="KC74" s="68">
        <v>151911</v>
      </c>
      <c r="KD74" s="68">
        <v>1952351</v>
      </c>
      <c r="KE74" s="68">
        <v>433</v>
      </c>
      <c r="KF74" s="68">
        <v>2229988</v>
      </c>
      <c r="KG74" s="68">
        <v>40021</v>
      </c>
      <c r="KH74" s="68">
        <v>55004</v>
      </c>
      <c r="KI74" s="68">
        <v>1410</v>
      </c>
      <c r="KJ74" s="68">
        <v>250000</v>
      </c>
      <c r="KK74" s="68">
        <v>846</v>
      </c>
      <c r="KL74" s="68"/>
      <c r="KM74" s="68">
        <v>44155</v>
      </c>
      <c r="KN74" s="68">
        <v>4639720</v>
      </c>
      <c r="KO74" s="68">
        <v>5575113</v>
      </c>
      <c r="KP74" s="68">
        <v>2532104</v>
      </c>
      <c r="KQ74" s="68">
        <v>65662</v>
      </c>
      <c r="KR74" s="68">
        <v>15820</v>
      </c>
      <c r="KS74" s="68">
        <v>130524</v>
      </c>
      <c r="KT74" s="68">
        <v>5372426</v>
      </c>
      <c r="KU74" s="68">
        <v>761</v>
      </c>
      <c r="KV74" s="68">
        <v>9644</v>
      </c>
      <c r="KW74" s="68">
        <v>88728</v>
      </c>
      <c r="KX74" s="68">
        <v>2572</v>
      </c>
      <c r="KY74" s="68">
        <v>3266127</v>
      </c>
      <c r="KZ74" s="68">
        <v>3392</v>
      </c>
      <c r="LA74" s="68">
        <v>10812</v>
      </c>
      <c r="LB74" s="68">
        <v>49349</v>
      </c>
      <c r="LC74" s="104"/>
      <c r="LD74" s="104">
        <v>10202</v>
      </c>
      <c r="LE74" s="104">
        <v>185459</v>
      </c>
      <c r="LF74" s="104">
        <v>1473462</v>
      </c>
      <c r="LG74" s="104"/>
      <c r="LH74" s="102" t="s">
        <v>187</v>
      </c>
      <c r="LI74" s="104">
        <v>1</v>
      </c>
      <c r="LJ74" s="102" t="s">
        <v>187</v>
      </c>
      <c r="LK74" s="104">
        <v>65934</v>
      </c>
      <c r="LL74" s="102" t="s">
        <v>187</v>
      </c>
    </row>
    <row r="75" spans="1:324">
      <c r="A75" s="69" t="s">
        <v>185</v>
      </c>
      <c r="B75" s="93" t="s">
        <v>43</v>
      </c>
      <c r="C75" s="84"/>
      <c r="D75" s="84">
        <v>1248033324</v>
      </c>
      <c r="E75" s="84"/>
      <c r="F75" s="84"/>
      <c r="G75" s="84" t="s">
        <v>130</v>
      </c>
      <c r="H75" s="84">
        <v>151265992</v>
      </c>
      <c r="I75" s="84">
        <v>181425801</v>
      </c>
      <c r="J75" s="84" t="s">
        <v>4</v>
      </c>
      <c r="K75" s="84"/>
      <c r="L75" s="84" t="s">
        <v>96</v>
      </c>
      <c r="M75" s="84" t="s">
        <v>96</v>
      </c>
      <c r="N75" s="84">
        <v>331891319</v>
      </c>
      <c r="O75" s="84"/>
      <c r="P75" s="84"/>
      <c r="Q75" s="84"/>
      <c r="R75" s="84" t="s">
        <v>130</v>
      </c>
      <c r="S75" s="84">
        <v>845182</v>
      </c>
      <c r="T75" s="84" t="s">
        <v>96</v>
      </c>
      <c r="U75" s="84" t="s">
        <v>96</v>
      </c>
      <c r="V75" s="84" t="s">
        <v>4</v>
      </c>
      <c r="W75" s="84"/>
      <c r="X75" s="84"/>
      <c r="Y75" s="84"/>
      <c r="Z75" s="84"/>
      <c r="AA75" s="84"/>
      <c r="AB75" s="84">
        <v>1510085</v>
      </c>
      <c r="AC75" s="84">
        <v>1021367</v>
      </c>
      <c r="AD75" s="84"/>
      <c r="AE75" s="84"/>
      <c r="AF75" s="84" t="s">
        <v>96</v>
      </c>
      <c r="AG75" s="84"/>
      <c r="AH75" s="84" t="s">
        <v>130</v>
      </c>
      <c r="AI75" s="84"/>
      <c r="AJ75" s="84"/>
      <c r="AK75" s="84"/>
      <c r="AL75" s="84"/>
      <c r="AM75" s="84" t="s">
        <v>4</v>
      </c>
      <c r="AN75" s="84"/>
      <c r="AO75" s="84">
        <v>4653136</v>
      </c>
      <c r="AP75" s="84"/>
      <c r="AQ75" s="84" t="s">
        <v>4</v>
      </c>
      <c r="AR75" s="84">
        <v>148105</v>
      </c>
      <c r="AS75" s="84">
        <v>58165377</v>
      </c>
      <c r="AT75" s="84" t="s">
        <v>96</v>
      </c>
      <c r="AU75" s="84">
        <v>112841096</v>
      </c>
      <c r="AV75" s="84"/>
      <c r="AW75" s="84">
        <v>3972240</v>
      </c>
      <c r="AX75" s="84" t="s">
        <v>4</v>
      </c>
      <c r="AY75" s="84" t="s">
        <v>96</v>
      </c>
      <c r="AZ75" s="84"/>
      <c r="BA75" s="84" t="s">
        <v>130</v>
      </c>
      <c r="BB75" s="84"/>
      <c r="BC75" s="84" t="s">
        <v>4</v>
      </c>
      <c r="BD75" s="84" t="s">
        <v>96</v>
      </c>
      <c r="BE75" s="84"/>
      <c r="BF75" s="84" t="s">
        <v>96</v>
      </c>
      <c r="BG75" s="84">
        <v>2543295</v>
      </c>
      <c r="BH75" s="84"/>
      <c r="BI75" s="84"/>
      <c r="BJ75" s="84">
        <v>4689093</v>
      </c>
      <c r="BK75" s="84"/>
      <c r="BL75" s="84"/>
      <c r="BM75" s="84"/>
      <c r="BN75" s="84"/>
      <c r="BO75" s="84" t="s">
        <v>96</v>
      </c>
      <c r="BP75" s="84" t="s">
        <v>96</v>
      </c>
      <c r="BQ75" s="84" t="s">
        <v>4</v>
      </c>
      <c r="BR75" s="84">
        <v>588814</v>
      </c>
      <c r="BS75" s="84" t="s">
        <v>4</v>
      </c>
      <c r="BT75" s="84" t="s">
        <v>96</v>
      </c>
      <c r="BU75" s="85"/>
      <c r="BV75" s="84">
        <v>53500000</v>
      </c>
      <c r="BW75" s="84"/>
      <c r="BX75" s="84"/>
      <c r="BY75" s="84"/>
      <c r="BZ75" s="84"/>
      <c r="CA75" s="84"/>
      <c r="CB75" s="84"/>
      <c r="CC75" s="84"/>
      <c r="CD75" s="84"/>
      <c r="CE75" s="84" t="s">
        <v>96</v>
      </c>
      <c r="CF75" s="84" t="s">
        <v>96</v>
      </c>
      <c r="CG75" s="84">
        <v>6711660</v>
      </c>
      <c r="CH75" s="84">
        <v>1976319</v>
      </c>
      <c r="CI75" s="84" t="s">
        <v>96</v>
      </c>
      <c r="CJ75" s="84"/>
      <c r="CK75" s="84"/>
      <c r="CL75" s="84"/>
      <c r="CM75" s="84"/>
      <c r="CN75" s="84">
        <v>204023</v>
      </c>
      <c r="CO75" s="84"/>
      <c r="CP75" s="84" t="s">
        <v>96</v>
      </c>
      <c r="CQ75" s="84" t="s">
        <v>96</v>
      </c>
      <c r="CR75" s="84"/>
      <c r="CS75" s="84" t="s">
        <v>96</v>
      </c>
      <c r="CT75" s="84"/>
      <c r="CU75" s="84"/>
      <c r="CV75" s="84"/>
      <c r="CW75" s="84" t="s">
        <v>96</v>
      </c>
      <c r="CX75" s="84"/>
      <c r="CY75" s="84" t="s">
        <v>96</v>
      </c>
      <c r="CZ75" s="84"/>
      <c r="DA75" s="84" t="s">
        <v>96</v>
      </c>
      <c r="DB75" s="86"/>
      <c r="DC75" s="84"/>
      <c r="DD75" s="84" t="s">
        <v>96</v>
      </c>
      <c r="DE75" s="84">
        <v>140000000</v>
      </c>
      <c r="DF75" s="84"/>
      <c r="DG75" s="84">
        <v>30570000</v>
      </c>
      <c r="DH75" s="84"/>
      <c r="DI75" s="84"/>
      <c r="DJ75" s="84"/>
      <c r="DK75" s="84" t="s">
        <v>96</v>
      </c>
      <c r="DL75" s="84"/>
      <c r="DM75" s="84"/>
      <c r="DN75" s="84">
        <v>25287906</v>
      </c>
      <c r="DO75" s="84"/>
      <c r="DP75" s="84"/>
      <c r="DQ75" s="84"/>
      <c r="DR75" s="84">
        <v>5400816</v>
      </c>
      <c r="DS75" s="84"/>
      <c r="DT75" s="84"/>
      <c r="DU75" s="84"/>
      <c r="DV75" s="84">
        <v>38450000</v>
      </c>
      <c r="DW75" s="84"/>
      <c r="DX75" s="84">
        <v>2496319</v>
      </c>
      <c r="DY75" s="84"/>
      <c r="DZ75" s="84"/>
      <c r="EA75" s="84"/>
      <c r="EB75" s="84">
        <v>637885987</v>
      </c>
      <c r="EC75" s="84"/>
      <c r="ED75" s="84"/>
      <c r="EE75" s="84"/>
      <c r="EF75" s="84"/>
      <c r="EG75" s="96">
        <v>74645729</v>
      </c>
      <c r="EH75" s="99">
        <v>2268045</v>
      </c>
      <c r="EI75" s="97">
        <v>215214</v>
      </c>
      <c r="EJ75" s="84"/>
      <c r="EK75" s="84">
        <v>2294718</v>
      </c>
      <c r="EL75" s="84"/>
      <c r="EM75" s="84">
        <v>193659</v>
      </c>
      <c r="EN75" s="84">
        <v>936238296</v>
      </c>
      <c r="EO75" s="84"/>
      <c r="EP75" s="84"/>
      <c r="EQ75" s="84">
        <v>924000</v>
      </c>
      <c r="ER75" s="84"/>
      <c r="ES75" s="84">
        <v>3832441</v>
      </c>
      <c r="ET75" s="84"/>
      <c r="EU75" s="84"/>
      <c r="EV75" s="84">
        <v>6254366</v>
      </c>
      <c r="EW75" s="84">
        <v>32629</v>
      </c>
      <c r="EX75" s="84"/>
      <c r="EY75" s="84">
        <v>0</v>
      </c>
      <c r="EZ75" s="84"/>
      <c r="FA75" s="84"/>
      <c r="FB75" s="84"/>
      <c r="FC75" s="84">
        <v>57000000</v>
      </c>
      <c r="FD75" s="84"/>
      <c r="FE75" s="84"/>
      <c r="FF75" s="84"/>
      <c r="FG75" s="84" t="s">
        <v>96</v>
      </c>
      <c r="FH75" s="84"/>
      <c r="FI75" s="84" t="s">
        <v>96</v>
      </c>
      <c r="FJ75" s="84"/>
      <c r="FK75" s="84"/>
      <c r="FL75" s="84"/>
      <c r="FM75" s="84" t="s">
        <v>130</v>
      </c>
      <c r="FN75" s="84">
        <v>1342452</v>
      </c>
      <c r="FO75" s="84" t="s">
        <v>96</v>
      </c>
      <c r="FP75" s="84" t="s">
        <v>96</v>
      </c>
      <c r="FQ75" s="84"/>
      <c r="FR75" s="84">
        <v>0</v>
      </c>
      <c r="FS75" s="86">
        <v>14822372</v>
      </c>
      <c r="FT75" s="84">
        <v>21290500</v>
      </c>
      <c r="FU75" s="84"/>
      <c r="FV75" s="84" t="s">
        <v>96</v>
      </c>
      <c r="FW75" s="84"/>
      <c r="FX75" s="84"/>
      <c r="FY75" s="84" t="s">
        <v>96</v>
      </c>
      <c r="FZ75" s="84" t="s">
        <v>4</v>
      </c>
      <c r="GA75" s="84">
        <v>18951</v>
      </c>
      <c r="GB75" s="84">
        <v>28219</v>
      </c>
      <c r="GC75" s="84">
        <v>32000</v>
      </c>
      <c r="GD75" s="84" t="s">
        <v>96</v>
      </c>
      <c r="GE75" s="84" t="s">
        <v>4</v>
      </c>
      <c r="GF75" s="84"/>
      <c r="GG75" s="84">
        <v>1868547</v>
      </c>
      <c r="GH75" s="84" t="s">
        <v>4</v>
      </c>
      <c r="GI75" s="84">
        <v>71638</v>
      </c>
      <c r="GJ75" s="84" t="s">
        <v>96</v>
      </c>
      <c r="GK75" s="84"/>
      <c r="GL75" s="84" t="s">
        <v>96</v>
      </c>
      <c r="GM75" s="84">
        <v>38137060</v>
      </c>
      <c r="GN75" s="84"/>
      <c r="GO75" s="84" t="s">
        <v>96</v>
      </c>
      <c r="GP75" s="84">
        <v>3532438</v>
      </c>
      <c r="GQ75" s="84">
        <v>23593</v>
      </c>
      <c r="GR75" s="84">
        <v>5638724</v>
      </c>
      <c r="GS75" s="84"/>
      <c r="GT75" s="84" t="s">
        <v>130</v>
      </c>
      <c r="GU75" s="84"/>
      <c r="GV75" s="84"/>
      <c r="GW75" s="84">
        <v>30242800</v>
      </c>
      <c r="GX75" s="84"/>
      <c r="GY75" s="84">
        <v>2905535</v>
      </c>
      <c r="GZ75" s="84"/>
      <c r="HA75" s="84" t="s">
        <v>96</v>
      </c>
      <c r="HB75" s="84">
        <v>9300000</v>
      </c>
      <c r="HC75" s="84" t="s">
        <v>130</v>
      </c>
      <c r="HD75" s="84">
        <v>26003232</v>
      </c>
      <c r="HE75" s="84" t="s">
        <v>96</v>
      </c>
      <c r="HF75" s="84"/>
      <c r="HG75" s="84">
        <v>500328251</v>
      </c>
      <c r="HH75" s="84" t="s">
        <v>96</v>
      </c>
      <c r="HI75" s="84">
        <v>4733410</v>
      </c>
      <c r="HJ75" s="84" t="s">
        <v>96</v>
      </c>
      <c r="HK75" s="84">
        <v>10226312</v>
      </c>
      <c r="HL75" s="84"/>
      <c r="HM75" s="84"/>
      <c r="HN75" s="84"/>
      <c r="HO75" s="84">
        <v>23430470</v>
      </c>
      <c r="HP75" s="84"/>
      <c r="HQ75" s="84">
        <v>2374650</v>
      </c>
      <c r="HR75" s="84">
        <v>193483</v>
      </c>
      <c r="HS75" s="84"/>
      <c r="HT75" s="84"/>
      <c r="HU75" s="84" t="s">
        <v>130</v>
      </c>
      <c r="HV75" s="84"/>
      <c r="HW75" s="84" t="s">
        <v>96</v>
      </c>
      <c r="HX75" s="84">
        <v>26784</v>
      </c>
      <c r="HY75" s="84" t="s">
        <v>114</v>
      </c>
      <c r="HZ75" s="84">
        <v>121925603</v>
      </c>
      <c r="IA75" s="84">
        <v>202382</v>
      </c>
      <c r="IB75" s="84">
        <v>9962616</v>
      </c>
      <c r="IC75" s="84"/>
      <c r="ID75" s="84"/>
      <c r="IE75" s="84" t="s">
        <v>96</v>
      </c>
      <c r="IF75" s="84"/>
      <c r="IG75" s="84"/>
      <c r="IH75" s="84"/>
      <c r="II75" s="84"/>
      <c r="IJ75" s="84"/>
      <c r="IK75" s="84">
        <v>225270</v>
      </c>
      <c r="IL75" s="84">
        <v>3999791</v>
      </c>
      <c r="IM75" s="84"/>
      <c r="IN75" s="84"/>
      <c r="IO75" s="84"/>
      <c r="IP75" s="84"/>
      <c r="IQ75" s="84"/>
      <c r="IR75" s="84"/>
      <c r="IS75" s="96"/>
      <c r="IT75" s="99">
        <v>394746</v>
      </c>
      <c r="IU75" s="84">
        <v>7220500</v>
      </c>
      <c r="IV75" s="84"/>
      <c r="IW75" s="84"/>
      <c r="IX75" s="84">
        <v>48084000</v>
      </c>
      <c r="IY75" s="68"/>
      <c r="IZ75" s="68">
        <v>0</v>
      </c>
      <c r="JA75" s="68">
        <v>11637872</v>
      </c>
      <c r="JB75" s="68">
        <v>28805830</v>
      </c>
      <c r="JC75" s="68"/>
      <c r="JD75" s="68"/>
      <c r="JE75" s="68"/>
      <c r="JF75" s="68"/>
      <c r="JG75" s="68"/>
      <c r="JH75" s="68"/>
      <c r="JI75" s="68"/>
      <c r="JJ75" s="68"/>
      <c r="JK75" s="68"/>
      <c r="JL75" s="68">
        <v>112639403</v>
      </c>
      <c r="JM75" s="68"/>
      <c r="JN75" s="68">
        <v>1029408</v>
      </c>
      <c r="JO75" s="68"/>
      <c r="JP75" s="68">
        <v>0</v>
      </c>
      <c r="JQ75" s="68" t="s">
        <v>4</v>
      </c>
      <c r="JR75" s="68"/>
      <c r="JS75" s="68">
        <v>61501112</v>
      </c>
      <c r="JT75" s="68"/>
      <c r="JU75" s="68"/>
      <c r="JV75" s="68">
        <v>2704000</v>
      </c>
      <c r="JW75" s="68"/>
      <c r="JX75" s="68"/>
      <c r="JY75" s="68"/>
      <c r="JZ75" s="68"/>
      <c r="KA75" s="68"/>
      <c r="KB75" s="68">
        <v>391912</v>
      </c>
      <c r="KC75" s="68"/>
      <c r="KD75" s="68"/>
      <c r="KE75" s="68"/>
      <c r="KF75" s="68">
        <v>356063543</v>
      </c>
      <c r="KG75" s="68"/>
      <c r="KH75" s="68"/>
      <c r="KI75" s="68"/>
      <c r="KJ75" s="68">
        <v>1000000</v>
      </c>
      <c r="KK75" s="68"/>
      <c r="KL75" s="68">
        <v>30627000</v>
      </c>
      <c r="KM75" s="68"/>
      <c r="KN75" s="68"/>
      <c r="KO75" s="68">
        <v>8238</v>
      </c>
      <c r="KP75" s="68">
        <v>73669100</v>
      </c>
      <c r="KQ75" s="68"/>
      <c r="KR75" s="68"/>
      <c r="KS75" s="68"/>
      <c r="KT75" s="68"/>
      <c r="KU75" s="68">
        <v>33702545</v>
      </c>
      <c r="KV75" s="68"/>
      <c r="KW75" s="68"/>
      <c r="KX75" s="68"/>
      <c r="KY75" s="68"/>
      <c r="KZ75" s="68"/>
      <c r="LA75" s="68"/>
      <c r="LB75" s="68"/>
      <c r="LC75" s="104"/>
      <c r="LD75" s="104">
        <v>50300000</v>
      </c>
      <c r="LE75" s="104">
        <v>78083608</v>
      </c>
      <c r="LF75" s="104">
        <v>0</v>
      </c>
      <c r="LG75" s="104">
        <v>670</v>
      </c>
      <c r="LH75" s="102" t="s">
        <v>187</v>
      </c>
      <c r="LI75" s="104"/>
      <c r="LJ75" s="102" t="s">
        <v>187</v>
      </c>
      <c r="LK75" s="104"/>
      <c r="LL75" s="102" t="s">
        <v>187</v>
      </c>
    </row>
    <row r="76" spans="1:324">
      <c r="A76" s="69" t="s">
        <v>185</v>
      </c>
      <c r="B76" s="92" t="s">
        <v>65</v>
      </c>
      <c r="C76" s="84">
        <v>5945663</v>
      </c>
      <c r="D76" s="84">
        <v>1664695187</v>
      </c>
      <c r="E76" s="84">
        <v>134638070</v>
      </c>
      <c r="F76" s="84">
        <v>129946662</v>
      </c>
      <c r="G76" s="84" t="s">
        <v>130</v>
      </c>
      <c r="H76" s="84">
        <v>-60395676</v>
      </c>
      <c r="I76" s="84">
        <v>-779212851</v>
      </c>
      <c r="J76" s="84" t="s">
        <v>4</v>
      </c>
      <c r="K76" s="84">
        <v>39299047</v>
      </c>
      <c r="L76" s="84" t="s">
        <v>96</v>
      </c>
      <c r="M76" s="84" t="s">
        <v>96</v>
      </c>
      <c r="N76" s="84">
        <v>-48187946</v>
      </c>
      <c r="O76" s="84">
        <v>-164077792</v>
      </c>
      <c r="P76" s="84">
        <v>-262547976</v>
      </c>
      <c r="Q76" s="84">
        <v>12661784</v>
      </c>
      <c r="R76" s="84" t="s">
        <v>130</v>
      </c>
      <c r="S76" s="84">
        <v>422406073</v>
      </c>
      <c r="T76" s="84" t="s">
        <v>96</v>
      </c>
      <c r="U76" s="84" t="s">
        <v>96</v>
      </c>
      <c r="V76" s="84" t="s">
        <v>4</v>
      </c>
      <c r="W76" s="84">
        <v>-240137435</v>
      </c>
      <c r="X76" s="84">
        <v>323775098</v>
      </c>
      <c r="Y76" s="84">
        <v>-120938848</v>
      </c>
      <c r="Z76" s="84">
        <v>28717448</v>
      </c>
      <c r="AA76" s="84">
        <v>299062060</v>
      </c>
      <c r="AB76" s="84">
        <v>-30832371</v>
      </c>
      <c r="AC76" s="84">
        <v>544049133</v>
      </c>
      <c r="AD76" s="84">
        <v>90991830</v>
      </c>
      <c r="AE76" s="84">
        <v>38648266</v>
      </c>
      <c r="AF76" s="84" t="s">
        <v>96</v>
      </c>
      <c r="AG76" s="84">
        <v>-320636447</v>
      </c>
      <c r="AH76" s="84" t="s">
        <v>130</v>
      </c>
      <c r="AI76" s="84">
        <v>-121932679</v>
      </c>
      <c r="AJ76" s="84">
        <v>-14801323</v>
      </c>
      <c r="AK76" s="84">
        <v>7359827</v>
      </c>
      <c r="AL76" s="84">
        <v>-898784924</v>
      </c>
      <c r="AM76" s="84" t="s">
        <v>4</v>
      </c>
      <c r="AN76" s="84">
        <v>45574933</v>
      </c>
      <c r="AO76" s="84">
        <v>-273990527</v>
      </c>
      <c r="AP76" s="84">
        <v>-25266442</v>
      </c>
      <c r="AQ76" s="84" t="s">
        <v>4</v>
      </c>
      <c r="AR76" s="84">
        <v>-885741857</v>
      </c>
      <c r="AS76" s="84">
        <v>136325265</v>
      </c>
      <c r="AT76" s="84" t="s">
        <v>96</v>
      </c>
      <c r="AU76" s="84">
        <v>2179008572</v>
      </c>
      <c r="AV76" s="84">
        <v>82020902</v>
      </c>
      <c r="AW76" s="84">
        <v>36129932</v>
      </c>
      <c r="AX76" s="84" t="s">
        <v>4</v>
      </c>
      <c r="AY76" s="84" t="s">
        <v>96</v>
      </c>
      <c r="AZ76" s="84">
        <v>124656032</v>
      </c>
      <c r="BA76" s="84" t="s">
        <v>130</v>
      </c>
      <c r="BB76" s="84">
        <v>-20428901</v>
      </c>
      <c r="BC76" s="84" t="s">
        <v>4</v>
      </c>
      <c r="BD76" s="84" t="s">
        <v>96</v>
      </c>
      <c r="BE76" s="84">
        <v>25351727</v>
      </c>
      <c r="BF76" s="84" t="s">
        <v>96</v>
      </c>
      <c r="BG76" s="84">
        <v>27041818</v>
      </c>
      <c r="BH76" s="84">
        <v>-88346328</v>
      </c>
      <c r="BI76" s="84">
        <v>-15726573</v>
      </c>
      <c r="BJ76" s="84">
        <v>-65575910</v>
      </c>
      <c r="BK76" s="84">
        <v>156088286</v>
      </c>
      <c r="BL76" s="84">
        <v>-71852561</v>
      </c>
      <c r="BM76" s="84">
        <v>8199984</v>
      </c>
      <c r="BN76" s="84">
        <v>-34066822</v>
      </c>
      <c r="BO76" s="84" t="s">
        <v>96</v>
      </c>
      <c r="BP76" s="84" t="s">
        <v>96</v>
      </c>
      <c r="BQ76" s="84" t="s">
        <v>4</v>
      </c>
      <c r="BR76" s="84">
        <v>705606338</v>
      </c>
      <c r="BS76" s="84" t="s">
        <v>4</v>
      </c>
      <c r="BT76" s="84" t="s">
        <v>96</v>
      </c>
      <c r="BU76" s="85">
        <v>79723501</v>
      </c>
      <c r="BV76" s="84">
        <v>12829666</v>
      </c>
      <c r="BW76" s="84">
        <v>14499035</v>
      </c>
      <c r="BX76" s="84">
        <v>-66766657</v>
      </c>
      <c r="BY76" s="84">
        <v>204582290</v>
      </c>
      <c r="BZ76" s="84">
        <v>325739767</v>
      </c>
      <c r="CA76" s="84">
        <v>106148515</v>
      </c>
      <c r="CB76" s="84">
        <v>54133232</v>
      </c>
      <c r="CC76" s="84">
        <v>-25973941</v>
      </c>
      <c r="CD76" s="84">
        <v>57762496</v>
      </c>
      <c r="CE76" s="84" t="s">
        <v>96</v>
      </c>
      <c r="CF76" s="84" t="s">
        <v>96</v>
      </c>
      <c r="CG76" s="84">
        <v>13164455</v>
      </c>
      <c r="CH76" s="84">
        <v>-33346976</v>
      </c>
      <c r="CI76" s="84" t="s">
        <v>96</v>
      </c>
      <c r="CJ76" s="84">
        <v>4353059</v>
      </c>
      <c r="CK76" s="84">
        <v>-532050425</v>
      </c>
      <c r="CL76" s="84">
        <v>8784364</v>
      </c>
      <c r="CM76" s="84">
        <v>391682224</v>
      </c>
      <c r="CN76" s="84">
        <v>-71387065</v>
      </c>
      <c r="CO76" s="84">
        <v>-43690459</v>
      </c>
      <c r="CP76" s="84" t="s">
        <v>96</v>
      </c>
      <c r="CQ76" s="84" t="s">
        <v>96</v>
      </c>
      <c r="CR76" s="84">
        <v>47058937</v>
      </c>
      <c r="CS76" s="84" t="s">
        <v>96</v>
      </c>
      <c r="CT76" s="84">
        <v>-6346061261</v>
      </c>
      <c r="CU76" s="84">
        <v>-92485757</v>
      </c>
      <c r="CV76" s="84">
        <v>-10693766</v>
      </c>
      <c r="CW76" s="84" t="s">
        <v>96</v>
      </c>
      <c r="CX76" s="84">
        <v>-3301997143</v>
      </c>
      <c r="CY76" s="84" t="s">
        <v>96</v>
      </c>
      <c r="CZ76" s="84">
        <v>152001278</v>
      </c>
      <c r="DA76" s="84" t="s">
        <v>96</v>
      </c>
      <c r="DB76" s="86">
        <v>38719684</v>
      </c>
      <c r="DC76" s="84">
        <v>-12055608</v>
      </c>
      <c r="DD76" s="84" t="s">
        <v>96</v>
      </c>
      <c r="DE76" s="84">
        <v>6835967</v>
      </c>
      <c r="DF76" s="84">
        <v>-26777676</v>
      </c>
      <c r="DG76" s="84">
        <v>-161108907</v>
      </c>
      <c r="DH76" s="84">
        <v>175427412</v>
      </c>
      <c r="DI76" s="84">
        <v>116397187</v>
      </c>
      <c r="DJ76" s="84">
        <v>65354459</v>
      </c>
      <c r="DK76" s="84" t="s">
        <v>96</v>
      </c>
      <c r="DL76" s="84">
        <v>244637304</v>
      </c>
      <c r="DM76" s="84">
        <v>-182912053</v>
      </c>
      <c r="DN76" s="84">
        <v>-488867766</v>
      </c>
      <c r="DO76" s="84">
        <v>-21123174</v>
      </c>
      <c r="DP76" s="84">
        <v>5515526</v>
      </c>
      <c r="DQ76" s="84">
        <v>376025</v>
      </c>
      <c r="DR76" s="84">
        <v>-41093411</v>
      </c>
      <c r="DS76" s="84">
        <v>-228155946</v>
      </c>
      <c r="DT76" s="84">
        <v>188216127</v>
      </c>
      <c r="DU76" s="84">
        <v>-120313901</v>
      </c>
      <c r="DV76" s="84">
        <v>467255943</v>
      </c>
      <c r="DW76" s="84">
        <v>13269983</v>
      </c>
      <c r="DX76" s="84">
        <v>-1757092391</v>
      </c>
      <c r="DY76" s="84">
        <v>64454226</v>
      </c>
      <c r="DZ76" s="84">
        <v>53056997</v>
      </c>
      <c r="EA76" s="84">
        <v>-6412515</v>
      </c>
      <c r="EB76" s="84">
        <v>331566658</v>
      </c>
      <c r="EC76" s="84">
        <v>1752189</v>
      </c>
      <c r="ED76" s="84">
        <v>132207434</v>
      </c>
      <c r="EE76" s="84">
        <v>229456933</v>
      </c>
      <c r="EF76" s="84">
        <v>-172952985</v>
      </c>
      <c r="EG76" s="96">
        <v>223199358</v>
      </c>
      <c r="EH76" s="99">
        <v>-135914122</v>
      </c>
      <c r="EI76" s="97">
        <v>1012349697</v>
      </c>
      <c r="EJ76" s="84">
        <v>-34098247</v>
      </c>
      <c r="EK76" s="84">
        <v>-745449840</v>
      </c>
      <c r="EL76" s="84">
        <v>-538419334</v>
      </c>
      <c r="EM76" s="84">
        <v>41965669</v>
      </c>
      <c r="EN76" s="84">
        <v>-21680526</v>
      </c>
      <c r="EO76" s="84">
        <v>-150579630</v>
      </c>
      <c r="EP76" s="84">
        <v>-230375558</v>
      </c>
      <c r="EQ76" s="84">
        <v>132639583</v>
      </c>
      <c r="ER76" s="84">
        <v>-135171630</v>
      </c>
      <c r="ES76" s="84">
        <v>62575808</v>
      </c>
      <c r="ET76" s="84">
        <v>-6679635451</v>
      </c>
      <c r="EU76" s="84">
        <v>1246497184</v>
      </c>
      <c r="EV76" s="84">
        <v>-40050860</v>
      </c>
      <c r="EW76" s="84">
        <v>-10514507</v>
      </c>
      <c r="EX76" s="84">
        <v>125124355</v>
      </c>
      <c r="EY76" s="84">
        <v>143483557</v>
      </c>
      <c r="EZ76" s="84">
        <v>-17288181</v>
      </c>
      <c r="FA76" s="84">
        <v>-150128826</v>
      </c>
      <c r="FB76" s="84">
        <v>17643070</v>
      </c>
      <c r="FC76" s="84">
        <v>80995462</v>
      </c>
      <c r="FD76" s="84">
        <v>-123922624</v>
      </c>
      <c r="FE76" s="84">
        <v>596313309</v>
      </c>
      <c r="FF76" s="84">
        <v>5657413</v>
      </c>
      <c r="FG76" s="84" t="s">
        <v>96</v>
      </c>
      <c r="FH76" s="84">
        <v>4622182</v>
      </c>
      <c r="FI76" s="84" t="s">
        <v>96</v>
      </c>
      <c r="FJ76" s="84">
        <v>41089499</v>
      </c>
      <c r="FK76" s="84">
        <v>32261500</v>
      </c>
      <c r="FL76" s="84">
        <v>-118182234</v>
      </c>
      <c r="FM76" s="84" t="s">
        <v>130</v>
      </c>
      <c r="FN76" s="84">
        <v>-4391147919</v>
      </c>
      <c r="FO76" s="84" t="s">
        <v>96</v>
      </c>
      <c r="FP76" s="84" t="s">
        <v>96</v>
      </c>
      <c r="FQ76" s="84">
        <v>-41527373</v>
      </c>
      <c r="FR76" s="84">
        <v>96943318</v>
      </c>
      <c r="FS76" s="86">
        <v>-391082287</v>
      </c>
      <c r="FT76" s="84">
        <v>1253033150</v>
      </c>
      <c r="FU76" s="84">
        <v>2740888</v>
      </c>
      <c r="FV76" s="84" t="s">
        <v>96</v>
      </c>
      <c r="FW76" s="84">
        <v>-24023524</v>
      </c>
      <c r="FX76" s="84">
        <v>-73420446</v>
      </c>
      <c r="FY76" s="84" t="s">
        <v>96</v>
      </c>
      <c r="FZ76" s="84" t="s">
        <v>4</v>
      </c>
      <c r="GA76" s="84">
        <v>-1035888086</v>
      </c>
      <c r="GB76" s="84">
        <v>-14717390</v>
      </c>
      <c r="GC76" s="84">
        <v>60971127</v>
      </c>
      <c r="GD76" s="84" t="s">
        <v>96</v>
      </c>
      <c r="GE76" s="84" t="s">
        <v>4</v>
      </c>
      <c r="GF76" s="84">
        <v>5891071</v>
      </c>
      <c r="GG76" s="84">
        <v>-905064071</v>
      </c>
      <c r="GH76" s="84" t="s">
        <v>4</v>
      </c>
      <c r="GI76" s="84">
        <v>-9400004</v>
      </c>
      <c r="GJ76" s="84" t="s">
        <v>96</v>
      </c>
      <c r="GK76" s="84">
        <v>-107480667</v>
      </c>
      <c r="GL76" s="84" t="s">
        <v>96</v>
      </c>
      <c r="GM76" s="84">
        <v>36737074</v>
      </c>
      <c r="GN76" s="84">
        <v>-3703937</v>
      </c>
      <c r="GO76" s="84" t="s">
        <v>96</v>
      </c>
      <c r="GP76" s="84">
        <v>100047486</v>
      </c>
      <c r="GQ76" s="84">
        <v>59022125</v>
      </c>
      <c r="GR76" s="84">
        <v>-202773894</v>
      </c>
      <c r="GS76" s="84">
        <v>-13195662</v>
      </c>
      <c r="GT76" s="84" t="s">
        <v>130</v>
      </c>
      <c r="GU76" s="84">
        <v>-794253</v>
      </c>
      <c r="GV76" s="84">
        <v>298842297</v>
      </c>
      <c r="GW76" s="84">
        <v>2916662610</v>
      </c>
      <c r="GX76" s="84">
        <v>32519069</v>
      </c>
      <c r="GY76" s="84">
        <v>-129661135</v>
      </c>
      <c r="GZ76" s="84">
        <v>42078491</v>
      </c>
      <c r="HA76" s="84" t="s">
        <v>96</v>
      </c>
      <c r="HB76" s="84">
        <v>205462311</v>
      </c>
      <c r="HC76" s="84" t="s">
        <v>130</v>
      </c>
      <c r="HD76" s="84">
        <v>-213763953</v>
      </c>
      <c r="HE76" s="84" t="s">
        <v>96</v>
      </c>
      <c r="HF76" s="84">
        <v>57547986</v>
      </c>
      <c r="HG76" s="84">
        <v>521822949</v>
      </c>
      <c r="HH76" s="84" t="s">
        <v>96</v>
      </c>
      <c r="HI76" s="84">
        <v>-1721775694</v>
      </c>
      <c r="HJ76" s="84" t="s">
        <v>96</v>
      </c>
      <c r="HK76" s="84">
        <v>-127486472</v>
      </c>
      <c r="HL76" s="84">
        <v>752744167</v>
      </c>
      <c r="HM76" s="84">
        <v>157645388</v>
      </c>
      <c r="HN76" s="84">
        <v>32983400</v>
      </c>
      <c r="HO76" s="84">
        <v>116466339</v>
      </c>
      <c r="HP76" s="84">
        <v>-37118954</v>
      </c>
      <c r="HQ76" s="84">
        <v>13338890</v>
      </c>
      <c r="HR76" s="84">
        <v>2789319</v>
      </c>
      <c r="HS76" s="84">
        <v>72934126</v>
      </c>
      <c r="HT76" s="84">
        <v>1261507</v>
      </c>
      <c r="HU76" s="84" t="s">
        <v>130</v>
      </c>
      <c r="HV76" s="84">
        <v>5532159</v>
      </c>
      <c r="HW76" s="84" t="s">
        <v>96</v>
      </c>
      <c r="HX76" s="84">
        <v>511029400</v>
      </c>
      <c r="HY76" s="84" t="s">
        <v>114</v>
      </c>
      <c r="HZ76" s="84">
        <v>967045861</v>
      </c>
      <c r="IA76" s="84">
        <v>103307748</v>
      </c>
      <c r="IB76" s="84">
        <v>-1782236388</v>
      </c>
      <c r="IC76" s="84">
        <v>-201640573</v>
      </c>
      <c r="ID76" s="84">
        <v>-27501862</v>
      </c>
      <c r="IE76" s="84" t="s">
        <v>96</v>
      </c>
      <c r="IF76" s="84">
        <v>-7467561</v>
      </c>
      <c r="IG76" s="84">
        <v>-9573509</v>
      </c>
      <c r="IH76" s="84">
        <v>-261386336</v>
      </c>
      <c r="II76" s="84">
        <v>0</v>
      </c>
      <c r="IJ76" s="84">
        <v>-41733319</v>
      </c>
      <c r="IK76" s="84">
        <v>14650144</v>
      </c>
      <c r="IL76" s="84">
        <v>43605296</v>
      </c>
      <c r="IM76" s="84">
        <v>-1435643677</v>
      </c>
      <c r="IN76" s="84">
        <v>-4407279812</v>
      </c>
      <c r="IO76" s="84">
        <v>-631966848</v>
      </c>
      <c r="IP76" s="84">
        <v>10706000</v>
      </c>
      <c r="IQ76" s="84">
        <v>110196464</v>
      </c>
      <c r="IR76" s="84">
        <v>73844985</v>
      </c>
      <c r="IS76" s="96">
        <v>174832775</v>
      </c>
      <c r="IT76" s="99">
        <v>-80943574</v>
      </c>
      <c r="IU76" s="84">
        <v>272359081</v>
      </c>
      <c r="IV76" s="84">
        <v>-106050881</v>
      </c>
      <c r="IW76" s="84">
        <v>107600804</v>
      </c>
      <c r="IX76" s="84">
        <v>1174444</v>
      </c>
      <c r="IY76" s="68">
        <v>74640429</v>
      </c>
      <c r="IZ76" s="68">
        <v>33777510</v>
      </c>
      <c r="JA76" s="68">
        <v>77206299</v>
      </c>
      <c r="JB76" s="68">
        <v>36060453</v>
      </c>
      <c r="JC76" s="68">
        <v>19143274</v>
      </c>
      <c r="JD76" s="68">
        <v>-53137868</v>
      </c>
      <c r="JE76" s="68">
        <v>78917758</v>
      </c>
      <c r="JF76" s="68">
        <v>129321049</v>
      </c>
      <c r="JG76" s="68">
        <v>-1550963</v>
      </c>
      <c r="JH76" s="68">
        <v>21855167</v>
      </c>
      <c r="JI76" s="68">
        <v>-92717285</v>
      </c>
      <c r="JJ76" s="68">
        <v>94553882</v>
      </c>
      <c r="JK76" s="68">
        <v>-27883135</v>
      </c>
      <c r="JL76" s="68">
        <v>104338806</v>
      </c>
      <c r="JM76" s="68">
        <v>30716206</v>
      </c>
      <c r="JN76" s="68">
        <v>180732149</v>
      </c>
      <c r="JO76" s="68">
        <v>-28492665</v>
      </c>
      <c r="JP76" s="68">
        <v>-53940857</v>
      </c>
      <c r="JQ76" s="68" t="s">
        <v>4</v>
      </c>
      <c r="JR76" s="68">
        <v>45883962</v>
      </c>
      <c r="JS76" s="68">
        <v>-13526206</v>
      </c>
      <c r="JT76" s="68">
        <v>16342699</v>
      </c>
      <c r="JU76" s="68">
        <v>65884058</v>
      </c>
      <c r="JV76" s="68">
        <v>29422794</v>
      </c>
      <c r="JW76" s="68">
        <v>41107690</v>
      </c>
      <c r="JX76" s="68">
        <v>112356554</v>
      </c>
      <c r="JY76" s="68">
        <v>-97447352</v>
      </c>
      <c r="JZ76" s="68">
        <v>-34180895</v>
      </c>
      <c r="KA76" s="68">
        <v>109479367</v>
      </c>
      <c r="KB76" s="68">
        <v>505035475</v>
      </c>
      <c r="KC76" s="68">
        <v>-103406215</v>
      </c>
      <c r="KD76" s="68">
        <v>3091578</v>
      </c>
      <c r="KE76" s="68">
        <v>-53413748</v>
      </c>
      <c r="KF76" s="68">
        <v>-1920105447</v>
      </c>
      <c r="KG76" s="68">
        <v>63553700</v>
      </c>
      <c r="KH76" s="68">
        <v>14378010</v>
      </c>
      <c r="KI76" s="68">
        <v>-11210879</v>
      </c>
      <c r="KJ76" s="68">
        <v>9138006</v>
      </c>
      <c r="KK76" s="68">
        <v>-2260464025</v>
      </c>
      <c r="KL76" s="68">
        <v>-16081485216</v>
      </c>
      <c r="KM76" s="68">
        <v>85041372</v>
      </c>
      <c r="KN76" s="68">
        <v>-2289977699</v>
      </c>
      <c r="KO76" s="68">
        <v>-1074689818</v>
      </c>
      <c r="KP76" s="68">
        <v>-98894331</v>
      </c>
      <c r="KQ76" s="68">
        <v>-2734530</v>
      </c>
      <c r="KR76" s="68">
        <v>47939648</v>
      </c>
      <c r="KS76" s="68">
        <v>53411403</v>
      </c>
      <c r="KT76" s="68">
        <v>-3967435</v>
      </c>
      <c r="KU76" s="68">
        <v>5464621</v>
      </c>
      <c r="KV76" s="68">
        <v>-26497783</v>
      </c>
      <c r="KW76" s="68">
        <v>23645419</v>
      </c>
      <c r="KX76" s="68">
        <v>-92045161</v>
      </c>
      <c r="KY76" s="68">
        <v>99598618</v>
      </c>
      <c r="KZ76" s="68">
        <v>61950847</v>
      </c>
      <c r="LA76" s="68">
        <v>242153256</v>
      </c>
      <c r="LB76" s="68">
        <v>-35768206</v>
      </c>
      <c r="LC76" s="104">
        <v>109144083</v>
      </c>
      <c r="LD76" s="104">
        <v>-78807249</v>
      </c>
      <c r="LE76" s="104">
        <v>154224819</v>
      </c>
      <c r="LF76" s="104">
        <v>-33448489</v>
      </c>
      <c r="LG76" s="104">
        <v>13625248</v>
      </c>
      <c r="LH76" s="102" t="s">
        <v>187</v>
      </c>
      <c r="LI76" s="104">
        <v>28094889</v>
      </c>
      <c r="LJ76" s="102" t="s">
        <v>187</v>
      </c>
      <c r="LK76" s="104">
        <v>586270451</v>
      </c>
      <c r="LL76" s="102" t="s">
        <v>187</v>
      </c>
    </row>
    <row r="77" spans="1:324">
      <c r="A77" s="69" t="s">
        <v>185</v>
      </c>
      <c r="B77" s="92" t="s">
        <v>101</v>
      </c>
      <c r="C77" s="84"/>
      <c r="D77" s="84"/>
      <c r="E77" s="84">
        <v>1825860</v>
      </c>
      <c r="F77" s="84">
        <v>39870100</v>
      </c>
      <c r="G77" s="84" t="s">
        <v>130</v>
      </c>
      <c r="H77" s="84">
        <v>3848560</v>
      </c>
      <c r="I77" s="84">
        <v>0</v>
      </c>
      <c r="J77" s="84" t="s">
        <v>4</v>
      </c>
      <c r="K77" s="84">
        <v>0</v>
      </c>
      <c r="L77" s="84" t="s">
        <v>96</v>
      </c>
      <c r="M77" s="84" t="s">
        <v>96</v>
      </c>
      <c r="N77" s="84">
        <v>0</v>
      </c>
      <c r="O77" s="84">
        <v>0</v>
      </c>
      <c r="P77" s="84">
        <v>0</v>
      </c>
      <c r="Q77" s="84"/>
      <c r="R77" s="84" t="s">
        <v>130</v>
      </c>
      <c r="S77" s="84">
        <v>7068608</v>
      </c>
      <c r="T77" s="84" t="s">
        <v>96</v>
      </c>
      <c r="U77" s="84" t="s">
        <v>96</v>
      </c>
      <c r="V77" s="84" t="s">
        <v>4</v>
      </c>
      <c r="W77" s="84">
        <v>0</v>
      </c>
      <c r="X77" s="84">
        <v>10014700</v>
      </c>
      <c r="Y77" s="84">
        <v>0</v>
      </c>
      <c r="Z77" s="84">
        <v>0</v>
      </c>
      <c r="AA77" s="84">
        <v>28766120</v>
      </c>
      <c r="AB77" s="84">
        <v>0</v>
      </c>
      <c r="AC77" s="84">
        <v>54499140</v>
      </c>
      <c r="AD77" s="84">
        <v>9016123</v>
      </c>
      <c r="AE77" s="84">
        <v>3250768</v>
      </c>
      <c r="AF77" s="84" t="s">
        <v>96</v>
      </c>
      <c r="AG77" s="84"/>
      <c r="AH77" s="84" t="s">
        <v>130</v>
      </c>
      <c r="AI77" s="84">
        <v>0</v>
      </c>
      <c r="AJ77" s="84">
        <v>0</v>
      </c>
      <c r="AK77" s="84">
        <v>3344810</v>
      </c>
      <c r="AL77" s="84">
        <v>0</v>
      </c>
      <c r="AM77" s="84" t="s">
        <v>4</v>
      </c>
      <c r="AN77" s="84">
        <v>8370628</v>
      </c>
      <c r="AO77" s="84"/>
      <c r="AP77" s="84">
        <v>0</v>
      </c>
      <c r="AQ77" s="84" t="s">
        <v>4</v>
      </c>
      <c r="AR77" s="84">
        <v>-891496</v>
      </c>
      <c r="AS77" s="84">
        <v>0</v>
      </c>
      <c r="AT77" s="84" t="s">
        <v>96</v>
      </c>
      <c r="AU77" s="84">
        <v>227456499</v>
      </c>
      <c r="AV77" s="84">
        <v>8348263</v>
      </c>
      <c r="AW77" s="84">
        <v>1620520</v>
      </c>
      <c r="AX77" s="84" t="s">
        <v>4</v>
      </c>
      <c r="AY77" s="84" t="s">
        <v>96</v>
      </c>
      <c r="AZ77" s="84">
        <v>9895679</v>
      </c>
      <c r="BA77" s="84" t="s">
        <v>130</v>
      </c>
      <c r="BB77" s="84"/>
      <c r="BC77" s="84" t="s">
        <v>4</v>
      </c>
      <c r="BD77" s="84" t="s">
        <v>96</v>
      </c>
      <c r="BE77" s="84">
        <v>356230</v>
      </c>
      <c r="BF77" s="84" t="s">
        <v>96</v>
      </c>
      <c r="BG77" s="84">
        <v>0</v>
      </c>
      <c r="BH77" s="84">
        <v>2141500</v>
      </c>
      <c r="BI77" s="84">
        <v>0</v>
      </c>
      <c r="BJ77" s="84">
        <v>32260</v>
      </c>
      <c r="BK77" s="84"/>
      <c r="BL77" s="84"/>
      <c r="BM77" s="84">
        <v>637380</v>
      </c>
      <c r="BN77" s="84">
        <v>0</v>
      </c>
      <c r="BO77" s="84" t="s">
        <v>96</v>
      </c>
      <c r="BP77" s="84" t="s">
        <v>96</v>
      </c>
      <c r="BQ77" s="84" t="s">
        <v>4</v>
      </c>
      <c r="BR77" s="84">
        <v>-343845598</v>
      </c>
      <c r="BS77" s="84" t="s">
        <v>4</v>
      </c>
      <c r="BT77" s="84" t="s">
        <v>96</v>
      </c>
      <c r="BU77" s="85">
        <v>0</v>
      </c>
      <c r="BV77" s="84">
        <v>0</v>
      </c>
      <c r="BW77" s="84">
        <v>0</v>
      </c>
      <c r="BX77" s="84">
        <v>0</v>
      </c>
      <c r="BY77" s="84">
        <v>0</v>
      </c>
      <c r="BZ77" s="84">
        <v>52100360</v>
      </c>
      <c r="CA77" s="84"/>
      <c r="CB77" s="84">
        <v>4953680</v>
      </c>
      <c r="CC77" s="84"/>
      <c r="CD77" s="84">
        <v>1922910</v>
      </c>
      <c r="CE77" s="84" t="s">
        <v>96</v>
      </c>
      <c r="CF77" s="84" t="s">
        <v>96</v>
      </c>
      <c r="CG77" s="84"/>
      <c r="CH77" s="84">
        <v>3410391</v>
      </c>
      <c r="CI77" s="84" t="s">
        <v>96</v>
      </c>
      <c r="CJ77" s="84">
        <v>200380</v>
      </c>
      <c r="CK77" s="84">
        <v>0</v>
      </c>
      <c r="CL77" s="84">
        <v>0</v>
      </c>
      <c r="CM77" s="84">
        <v>40841380</v>
      </c>
      <c r="CN77" s="84">
        <v>0</v>
      </c>
      <c r="CO77" s="84">
        <v>875720</v>
      </c>
      <c r="CP77" s="84" t="s">
        <v>96</v>
      </c>
      <c r="CQ77" s="84" t="s">
        <v>96</v>
      </c>
      <c r="CR77" s="84">
        <v>0</v>
      </c>
      <c r="CS77" s="84" t="s">
        <v>96</v>
      </c>
      <c r="CT77" s="84">
        <v>0</v>
      </c>
      <c r="CU77" s="84">
        <v>0</v>
      </c>
      <c r="CV77" s="84"/>
      <c r="CW77" s="84" t="s">
        <v>96</v>
      </c>
      <c r="CX77" s="84">
        <v>0</v>
      </c>
      <c r="CY77" s="84" t="s">
        <v>96</v>
      </c>
      <c r="CZ77" s="84">
        <v>3940000</v>
      </c>
      <c r="DA77" s="84" t="s">
        <v>96</v>
      </c>
      <c r="DB77" s="86">
        <v>3598140</v>
      </c>
      <c r="DC77" s="84"/>
      <c r="DD77" s="84" t="s">
        <v>96</v>
      </c>
      <c r="DE77" s="84">
        <v>0</v>
      </c>
      <c r="DF77" s="84"/>
      <c r="DG77" s="84">
        <v>0</v>
      </c>
      <c r="DH77" s="84">
        <v>815065</v>
      </c>
      <c r="DI77" s="84">
        <v>2136770</v>
      </c>
      <c r="DJ77" s="84">
        <v>6481194</v>
      </c>
      <c r="DK77" s="84" t="s">
        <v>96</v>
      </c>
      <c r="DL77" s="84">
        <v>6819866</v>
      </c>
      <c r="DM77" s="84">
        <v>0</v>
      </c>
      <c r="DN77" s="84">
        <v>0</v>
      </c>
      <c r="DO77" s="84"/>
      <c r="DP77" s="84"/>
      <c r="DQ77" s="84">
        <v>42965</v>
      </c>
      <c r="DR77" s="84">
        <v>0</v>
      </c>
      <c r="DS77" s="84"/>
      <c r="DT77" s="84">
        <v>3415942</v>
      </c>
      <c r="DU77" s="84">
        <v>3501325</v>
      </c>
      <c r="DV77" s="84">
        <v>0</v>
      </c>
      <c r="DW77" s="84">
        <v>491720</v>
      </c>
      <c r="DX77" s="84"/>
      <c r="DY77" s="84">
        <v>587630</v>
      </c>
      <c r="DZ77" s="84">
        <v>3877192</v>
      </c>
      <c r="EA77" s="84">
        <v>0</v>
      </c>
      <c r="EB77" s="84">
        <v>0</v>
      </c>
      <c r="EC77" s="84">
        <v>0</v>
      </c>
      <c r="ED77" s="84">
        <v>3223730</v>
      </c>
      <c r="EE77" s="84">
        <v>20534197</v>
      </c>
      <c r="EF77" s="84">
        <v>11193459</v>
      </c>
      <c r="EG77" s="96">
        <v>0</v>
      </c>
      <c r="EH77" s="99">
        <v>0</v>
      </c>
      <c r="EI77" s="97"/>
      <c r="EJ77" s="84"/>
      <c r="EK77" s="84">
        <v>0</v>
      </c>
      <c r="EL77" s="84">
        <v>0</v>
      </c>
      <c r="EM77" s="84">
        <v>4337220</v>
      </c>
      <c r="EN77" s="84">
        <v>27706134</v>
      </c>
      <c r="EO77" s="84">
        <v>174305</v>
      </c>
      <c r="EP77" s="84">
        <v>0</v>
      </c>
      <c r="EQ77" s="84"/>
      <c r="ER77" s="84">
        <v>0</v>
      </c>
      <c r="ES77" s="84">
        <v>3070800</v>
      </c>
      <c r="ET77" s="84"/>
      <c r="EU77" s="84">
        <v>124089558</v>
      </c>
      <c r="EV77" s="84">
        <v>0</v>
      </c>
      <c r="EW77" s="84">
        <v>0</v>
      </c>
      <c r="EX77" s="84">
        <v>1883450</v>
      </c>
      <c r="EY77" s="84">
        <v>5993330</v>
      </c>
      <c r="EZ77" s="84"/>
      <c r="FA77" s="84">
        <v>0</v>
      </c>
      <c r="FB77" s="84">
        <v>0</v>
      </c>
      <c r="FC77" s="84">
        <v>6577450</v>
      </c>
      <c r="FD77" s="84">
        <v>0</v>
      </c>
      <c r="FE77" s="84">
        <v>0</v>
      </c>
      <c r="FF77" s="84">
        <v>0</v>
      </c>
      <c r="FG77" s="84" t="s">
        <v>96</v>
      </c>
      <c r="FH77" s="84">
        <v>0</v>
      </c>
      <c r="FI77" s="84" t="s">
        <v>96</v>
      </c>
      <c r="FJ77" s="84">
        <v>3336280</v>
      </c>
      <c r="FK77" s="84">
        <v>711490</v>
      </c>
      <c r="FL77" s="84">
        <v>0</v>
      </c>
      <c r="FM77" s="84" t="s">
        <v>130</v>
      </c>
      <c r="FN77" s="84"/>
      <c r="FO77" s="84" t="s">
        <v>96</v>
      </c>
      <c r="FP77" s="84" t="s">
        <v>96</v>
      </c>
      <c r="FQ77" s="84">
        <v>0</v>
      </c>
      <c r="FR77" s="84">
        <v>983920</v>
      </c>
      <c r="FS77" s="86">
        <v>0</v>
      </c>
      <c r="FT77" s="84">
        <v>97006320</v>
      </c>
      <c r="FU77" s="84">
        <v>120</v>
      </c>
      <c r="FV77" s="84" t="s">
        <v>96</v>
      </c>
      <c r="FW77" s="84">
        <v>0</v>
      </c>
      <c r="FX77" s="84">
        <v>0</v>
      </c>
      <c r="FY77" s="84" t="s">
        <v>96</v>
      </c>
      <c r="FZ77" s="84" t="s">
        <v>4</v>
      </c>
      <c r="GA77" s="84"/>
      <c r="GB77" s="84">
        <v>0</v>
      </c>
      <c r="GC77" s="84">
        <v>4756860</v>
      </c>
      <c r="GD77" s="84" t="s">
        <v>96</v>
      </c>
      <c r="GE77" s="84" t="s">
        <v>4</v>
      </c>
      <c r="GF77" s="84">
        <v>0</v>
      </c>
      <c r="GG77" s="84">
        <v>0</v>
      </c>
      <c r="GH77" s="84" t="s">
        <v>4</v>
      </c>
      <c r="GI77" s="84">
        <v>0</v>
      </c>
      <c r="GJ77" s="84" t="s">
        <v>96</v>
      </c>
      <c r="GK77" s="84">
        <v>0</v>
      </c>
      <c r="GL77" s="84" t="s">
        <v>96</v>
      </c>
      <c r="GM77" s="84"/>
      <c r="GN77" s="84">
        <v>0</v>
      </c>
      <c r="GO77" s="84" t="s">
        <v>96</v>
      </c>
      <c r="GP77" s="84">
        <v>899916</v>
      </c>
      <c r="GQ77" s="84">
        <v>531594</v>
      </c>
      <c r="GR77" s="84">
        <v>0</v>
      </c>
      <c r="GS77" s="84"/>
      <c r="GT77" s="84" t="s">
        <v>130</v>
      </c>
      <c r="GU77" s="84">
        <v>0</v>
      </c>
      <c r="GV77" s="84">
        <v>2927354</v>
      </c>
      <c r="GW77" s="84"/>
      <c r="GX77" s="84">
        <v>71810</v>
      </c>
      <c r="GY77" s="84">
        <v>0</v>
      </c>
      <c r="GZ77" s="84">
        <v>0</v>
      </c>
      <c r="HA77" s="84" t="s">
        <v>96</v>
      </c>
      <c r="HB77" s="84">
        <v>130320</v>
      </c>
      <c r="HC77" s="84" t="s">
        <v>130</v>
      </c>
      <c r="HD77" s="84">
        <v>7907948</v>
      </c>
      <c r="HE77" s="84" t="s">
        <v>96</v>
      </c>
      <c r="HF77" s="84">
        <v>4898555</v>
      </c>
      <c r="HG77" s="84">
        <v>3979429</v>
      </c>
      <c r="HH77" s="84" t="s">
        <v>96</v>
      </c>
      <c r="HI77" s="84">
        <v>0</v>
      </c>
      <c r="HJ77" s="84" t="s">
        <v>96</v>
      </c>
      <c r="HK77" s="84">
        <v>0</v>
      </c>
      <c r="HL77" s="84">
        <v>777780</v>
      </c>
      <c r="HM77" s="84">
        <v>0</v>
      </c>
      <c r="HN77" s="84">
        <v>0</v>
      </c>
      <c r="HO77" s="84">
        <v>12733270</v>
      </c>
      <c r="HP77" s="84">
        <v>0</v>
      </c>
      <c r="HQ77" s="84">
        <v>506444</v>
      </c>
      <c r="HR77" s="84">
        <v>0</v>
      </c>
      <c r="HS77" s="84">
        <v>4237150</v>
      </c>
      <c r="HT77" s="84">
        <v>1261507</v>
      </c>
      <c r="HU77" s="84" t="s">
        <v>130</v>
      </c>
      <c r="HV77" s="84"/>
      <c r="HW77" s="84" t="s">
        <v>96</v>
      </c>
      <c r="HX77" s="84">
        <v>40640261</v>
      </c>
      <c r="HY77" s="84" t="s">
        <v>114</v>
      </c>
      <c r="HZ77" s="84">
        <v>152198679</v>
      </c>
      <c r="IA77" s="84"/>
      <c r="IB77" s="84">
        <v>223012</v>
      </c>
      <c r="IC77" s="84">
        <v>0</v>
      </c>
      <c r="ID77" s="84"/>
      <c r="IE77" s="84" t="s">
        <v>96</v>
      </c>
      <c r="IF77" s="84">
        <v>0</v>
      </c>
      <c r="IG77" s="84">
        <v>0</v>
      </c>
      <c r="IH77" s="84">
        <v>15877897</v>
      </c>
      <c r="II77" s="84">
        <v>0</v>
      </c>
      <c r="IJ77" s="84"/>
      <c r="IK77" s="84">
        <v>5310060</v>
      </c>
      <c r="IL77" s="84"/>
      <c r="IM77" s="84">
        <v>0</v>
      </c>
      <c r="IN77" s="84">
        <v>0</v>
      </c>
      <c r="IO77" s="84">
        <v>1466523</v>
      </c>
      <c r="IP77" s="84">
        <v>871969</v>
      </c>
      <c r="IQ77" s="84"/>
      <c r="IR77" s="84">
        <v>0</v>
      </c>
      <c r="IS77" s="96"/>
      <c r="IT77" s="99">
        <v>0</v>
      </c>
      <c r="IU77" s="84">
        <v>0</v>
      </c>
      <c r="IV77" s="84"/>
      <c r="IW77" s="84">
        <v>0</v>
      </c>
      <c r="IX77" s="84">
        <v>140300</v>
      </c>
      <c r="IY77" s="68">
        <v>0</v>
      </c>
      <c r="IZ77" s="68">
        <v>0</v>
      </c>
      <c r="JA77" s="68">
        <v>11510583</v>
      </c>
      <c r="JB77" s="68">
        <v>0</v>
      </c>
      <c r="JC77" s="68">
        <v>0</v>
      </c>
      <c r="JD77" s="68">
        <v>0</v>
      </c>
      <c r="JE77" s="68"/>
      <c r="JF77" s="68">
        <v>0</v>
      </c>
      <c r="JG77" s="68">
        <v>5500</v>
      </c>
      <c r="JH77" s="68">
        <v>0</v>
      </c>
      <c r="JI77" s="68">
        <v>0</v>
      </c>
      <c r="JJ77" s="68">
        <v>0</v>
      </c>
      <c r="JK77" s="68">
        <v>0</v>
      </c>
      <c r="JL77" s="68">
        <v>0</v>
      </c>
      <c r="JM77" s="68">
        <v>972260</v>
      </c>
      <c r="JN77" s="68">
        <v>35373067</v>
      </c>
      <c r="JO77" s="68"/>
      <c r="JP77" s="68"/>
      <c r="JQ77" s="68" t="s">
        <v>4</v>
      </c>
      <c r="JR77" s="68">
        <v>0</v>
      </c>
      <c r="JS77" s="68">
        <v>0</v>
      </c>
      <c r="JT77" s="68"/>
      <c r="JU77" s="68">
        <v>3814230</v>
      </c>
      <c r="JV77" s="68">
        <v>0</v>
      </c>
      <c r="JW77" s="68"/>
      <c r="JX77" s="68">
        <v>11123280</v>
      </c>
      <c r="JY77" s="68"/>
      <c r="JZ77" s="68">
        <v>140708</v>
      </c>
      <c r="KA77" s="68">
        <v>12565691</v>
      </c>
      <c r="KB77" s="68">
        <v>78658092</v>
      </c>
      <c r="KC77" s="68">
        <v>0</v>
      </c>
      <c r="KD77" s="68">
        <v>321110</v>
      </c>
      <c r="KE77" s="68">
        <v>0</v>
      </c>
      <c r="KF77" s="68">
        <v>0</v>
      </c>
      <c r="KG77" s="68">
        <v>572342</v>
      </c>
      <c r="KH77" s="68">
        <v>2713170</v>
      </c>
      <c r="KI77" s="68">
        <v>0</v>
      </c>
      <c r="KJ77" s="68">
        <v>7794530</v>
      </c>
      <c r="KK77" s="68">
        <v>0</v>
      </c>
      <c r="KL77" s="68">
        <v>698000</v>
      </c>
      <c r="KM77" s="68">
        <v>44310</v>
      </c>
      <c r="KN77" s="68"/>
      <c r="KO77" s="68">
        <v>0</v>
      </c>
      <c r="KP77" s="68">
        <v>130150</v>
      </c>
      <c r="KQ77" s="68">
        <v>0</v>
      </c>
      <c r="KR77" s="68">
        <v>2650</v>
      </c>
      <c r="KS77" s="68">
        <v>4845790</v>
      </c>
      <c r="KT77" s="68">
        <v>0</v>
      </c>
      <c r="KU77" s="68">
        <v>0</v>
      </c>
      <c r="KV77" s="68">
        <v>0</v>
      </c>
      <c r="KW77" s="68">
        <v>873800</v>
      </c>
      <c r="KX77" s="68">
        <v>0</v>
      </c>
      <c r="KY77" s="68">
        <v>3324112</v>
      </c>
      <c r="KZ77" s="68">
        <v>664766</v>
      </c>
      <c r="LA77" s="68">
        <v>6198960</v>
      </c>
      <c r="LB77" s="68"/>
      <c r="LC77" s="104">
        <v>0</v>
      </c>
      <c r="LD77" s="104">
        <v>0</v>
      </c>
      <c r="LE77" s="104">
        <v>7795570</v>
      </c>
      <c r="LF77" s="104">
        <v>0</v>
      </c>
      <c r="LG77" s="104">
        <v>1170160</v>
      </c>
      <c r="LH77" s="102" t="s">
        <v>187</v>
      </c>
      <c r="LI77" s="104">
        <v>1067239</v>
      </c>
      <c r="LJ77" s="102" t="s">
        <v>187</v>
      </c>
      <c r="LK77" s="104">
        <v>22890</v>
      </c>
      <c r="LL77" s="102" t="s">
        <v>187</v>
      </c>
    </row>
    <row r="78" spans="1:324">
      <c r="A78" s="69" t="s">
        <v>185</v>
      </c>
      <c r="B78" s="92" t="s">
        <v>149</v>
      </c>
      <c r="C78" s="84">
        <v>5945663</v>
      </c>
      <c r="D78" s="84">
        <v>1664695187</v>
      </c>
      <c r="E78" s="84">
        <v>132812210</v>
      </c>
      <c r="F78" s="84">
        <v>90076562</v>
      </c>
      <c r="G78" s="84" t="s">
        <v>130</v>
      </c>
      <c r="H78" s="84">
        <v>-64244236</v>
      </c>
      <c r="I78" s="84">
        <v>-779212851</v>
      </c>
      <c r="J78" s="84" t="s">
        <v>4</v>
      </c>
      <c r="K78" s="84">
        <v>39299047</v>
      </c>
      <c r="L78" s="84" t="s">
        <v>96</v>
      </c>
      <c r="M78" s="84" t="s">
        <v>96</v>
      </c>
      <c r="N78" s="84">
        <v>-48187946</v>
      </c>
      <c r="O78" s="84">
        <v>-164077792</v>
      </c>
      <c r="P78" s="84">
        <v>-262547976</v>
      </c>
      <c r="Q78" s="84">
        <v>12661784</v>
      </c>
      <c r="R78" s="84" t="s">
        <v>130</v>
      </c>
      <c r="S78" s="84">
        <v>415337465</v>
      </c>
      <c r="T78" s="84" t="s">
        <v>96</v>
      </c>
      <c r="U78" s="84" t="s">
        <v>96</v>
      </c>
      <c r="V78" s="84" t="s">
        <v>4</v>
      </c>
      <c r="W78" s="84">
        <v>-240137435</v>
      </c>
      <c r="X78" s="84">
        <v>313760398</v>
      </c>
      <c r="Y78" s="84">
        <v>-120938848</v>
      </c>
      <c r="Z78" s="84">
        <v>28717448</v>
      </c>
      <c r="AA78" s="84">
        <v>270295940</v>
      </c>
      <c r="AB78" s="84">
        <v>-30832371</v>
      </c>
      <c r="AC78" s="84">
        <v>489549993</v>
      </c>
      <c r="AD78" s="84">
        <v>81975707</v>
      </c>
      <c r="AE78" s="84">
        <v>35397498</v>
      </c>
      <c r="AF78" s="84" t="s">
        <v>96</v>
      </c>
      <c r="AG78" s="84">
        <v>-320636447</v>
      </c>
      <c r="AH78" s="84" t="s">
        <v>130</v>
      </c>
      <c r="AI78" s="84">
        <v>-121932679</v>
      </c>
      <c r="AJ78" s="84">
        <v>-14801323</v>
      </c>
      <c r="AK78" s="84">
        <v>4015017</v>
      </c>
      <c r="AL78" s="84">
        <v>-898784924</v>
      </c>
      <c r="AM78" s="84" t="s">
        <v>4</v>
      </c>
      <c r="AN78" s="84">
        <v>37204305</v>
      </c>
      <c r="AO78" s="84">
        <v>-273990527</v>
      </c>
      <c r="AP78" s="84">
        <v>-25266442</v>
      </c>
      <c r="AQ78" s="84" t="s">
        <v>4</v>
      </c>
      <c r="AR78" s="84">
        <v>-884850361</v>
      </c>
      <c r="AS78" s="84">
        <v>136325265</v>
      </c>
      <c r="AT78" s="84" t="s">
        <v>96</v>
      </c>
      <c r="AU78" s="84">
        <v>1951552073</v>
      </c>
      <c r="AV78" s="84">
        <v>73672639</v>
      </c>
      <c r="AW78" s="84">
        <v>34509412</v>
      </c>
      <c r="AX78" s="84" t="s">
        <v>4</v>
      </c>
      <c r="AY78" s="84" t="s">
        <v>96</v>
      </c>
      <c r="AZ78" s="84">
        <v>114760353</v>
      </c>
      <c r="BA78" s="84" t="s">
        <v>130</v>
      </c>
      <c r="BB78" s="84">
        <v>-20428901</v>
      </c>
      <c r="BC78" s="84" t="s">
        <v>4</v>
      </c>
      <c r="BD78" s="84" t="s">
        <v>96</v>
      </c>
      <c r="BE78" s="84">
        <v>24995497</v>
      </c>
      <c r="BF78" s="84" t="s">
        <v>96</v>
      </c>
      <c r="BG78" s="84">
        <v>27041818</v>
      </c>
      <c r="BH78" s="84">
        <v>-90487828</v>
      </c>
      <c r="BI78" s="84">
        <v>-15726573</v>
      </c>
      <c r="BJ78" s="84">
        <v>-65608170</v>
      </c>
      <c r="BK78" s="84">
        <v>156088286</v>
      </c>
      <c r="BL78" s="84">
        <v>-71852561</v>
      </c>
      <c r="BM78" s="84">
        <v>7562604</v>
      </c>
      <c r="BN78" s="84">
        <v>-34066822</v>
      </c>
      <c r="BO78" s="84" t="s">
        <v>96</v>
      </c>
      <c r="BP78" s="84" t="s">
        <v>96</v>
      </c>
      <c r="BQ78" s="84" t="s">
        <v>4</v>
      </c>
      <c r="BR78" s="84">
        <v>-361760740</v>
      </c>
      <c r="BS78" s="84" t="s">
        <v>4</v>
      </c>
      <c r="BT78" s="84" t="s">
        <v>96</v>
      </c>
      <c r="BU78" s="85">
        <v>79723501</v>
      </c>
      <c r="BV78" s="84">
        <v>12829666</v>
      </c>
      <c r="BW78" s="84">
        <v>14499035</v>
      </c>
      <c r="BX78" s="84">
        <v>-66766657</v>
      </c>
      <c r="BY78" s="84">
        <v>204582290</v>
      </c>
      <c r="BZ78" s="84">
        <v>273639407</v>
      </c>
      <c r="CA78" s="84">
        <v>106148515</v>
      </c>
      <c r="CB78" s="84">
        <v>49179552</v>
      </c>
      <c r="CC78" s="84">
        <v>-25973941</v>
      </c>
      <c r="CD78" s="84">
        <v>55839586</v>
      </c>
      <c r="CE78" s="84" t="s">
        <v>96</v>
      </c>
      <c r="CF78" s="84" t="s">
        <v>96</v>
      </c>
      <c r="CG78" s="84">
        <v>13164455</v>
      </c>
      <c r="CH78" s="84">
        <v>-36757367</v>
      </c>
      <c r="CI78" s="84" t="s">
        <v>96</v>
      </c>
      <c r="CJ78" s="84">
        <v>4152679</v>
      </c>
      <c r="CK78" s="84">
        <v>-532050425</v>
      </c>
      <c r="CL78" s="84">
        <v>8784364</v>
      </c>
      <c r="CM78" s="84">
        <v>350840844</v>
      </c>
      <c r="CN78" s="84">
        <v>-71387065</v>
      </c>
      <c r="CO78" s="84">
        <v>-44566179</v>
      </c>
      <c r="CP78" s="84" t="s">
        <v>96</v>
      </c>
      <c r="CQ78" s="84" t="s">
        <v>96</v>
      </c>
      <c r="CR78" s="84">
        <v>47058937</v>
      </c>
      <c r="CS78" s="84" t="s">
        <v>96</v>
      </c>
      <c r="CT78" s="84">
        <v>-6346061261</v>
      </c>
      <c r="CU78" s="84">
        <v>-92485757</v>
      </c>
      <c r="CV78" s="84">
        <v>-10693766</v>
      </c>
      <c r="CW78" s="84" t="s">
        <v>96</v>
      </c>
      <c r="CX78" s="84">
        <v>-3301997143</v>
      </c>
      <c r="CY78" s="84" t="s">
        <v>96</v>
      </c>
      <c r="CZ78" s="84">
        <v>148061278</v>
      </c>
      <c r="DA78" s="84" t="s">
        <v>96</v>
      </c>
      <c r="DB78" s="86">
        <v>35121544</v>
      </c>
      <c r="DC78" s="84">
        <v>-12055608</v>
      </c>
      <c r="DD78" s="84" t="s">
        <v>96</v>
      </c>
      <c r="DE78" s="84">
        <v>6835967</v>
      </c>
      <c r="DF78" s="84">
        <v>-26777676</v>
      </c>
      <c r="DG78" s="84">
        <v>-161108907</v>
      </c>
      <c r="DH78" s="84">
        <v>174612347</v>
      </c>
      <c r="DI78" s="84">
        <v>114260417</v>
      </c>
      <c r="DJ78" s="84">
        <v>58873265</v>
      </c>
      <c r="DK78" s="84" t="s">
        <v>96</v>
      </c>
      <c r="DL78" s="84">
        <v>237817438</v>
      </c>
      <c r="DM78" s="84">
        <v>-182912053</v>
      </c>
      <c r="DN78" s="84">
        <v>-488867766</v>
      </c>
      <c r="DO78" s="84">
        <v>-21123174</v>
      </c>
      <c r="DP78" s="84">
        <v>5515526</v>
      </c>
      <c r="DQ78" s="84">
        <v>333060</v>
      </c>
      <c r="DR78" s="84">
        <v>-41093411</v>
      </c>
      <c r="DS78" s="84">
        <v>-228155946</v>
      </c>
      <c r="DT78" s="84">
        <v>184800185</v>
      </c>
      <c r="DU78" s="84">
        <v>-123815226</v>
      </c>
      <c r="DV78" s="84">
        <v>467255943</v>
      </c>
      <c r="DW78" s="84">
        <v>12778263</v>
      </c>
      <c r="DX78" s="84">
        <v>-1757092391</v>
      </c>
      <c r="DY78" s="84">
        <v>63866596</v>
      </c>
      <c r="DZ78" s="84">
        <v>49179805</v>
      </c>
      <c r="EA78" s="84">
        <v>-6412515</v>
      </c>
      <c r="EB78" s="84">
        <v>331566658</v>
      </c>
      <c r="EC78" s="84">
        <v>1752189</v>
      </c>
      <c r="ED78" s="84">
        <v>128983704</v>
      </c>
      <c r="EE78" s="84">
        <v>208922736</v>
      </c>
      <c r="EF78" s="84">
        <v>-184146444</v>
      </c>
      <c r="EG78" s="96">
        <v>223199358</v>
      </c>
      <c r="EH78" s="99">
        <v>-135914122</v>
      </c>
      <c r="EI78" s="97">
        <v>1012349697</v>
      </c>
      <c r="EJ78" s="84">
        <v>-34098247</v>
      </c>
      <c r="EK78" s="84">
        <v>-745449840</v>
      </c>
      <c r="EL78" s="84">
        <v>-538419334</v>
      </c>
      <c r="EM78" s="84">
        <v>37628449</v>
      </c>
      <c r="EN78" s="84">
        <v>-49386660</v>
      </c>
      <c r="EO78" s="84">
        <v>-150753935</v>
      </c>
      <c r="EP78" s="84">
        <v>-230375558</v>
      </c>
      <c r="EQ78" s="84">
        <v>132639583</v>
      </c>
      <c r="ER78" s="84">
        <v>-135171630</v>
      </c>
      <c r="ES78" s="84">
        <v>59505008</v>
      </c>
      <c r="ET78" s="84">
        <v>-6679635451</v>
      </c>
      <c r="EU78" s="84">
        <v>1122407626</v>
      </c>
      <c r="EV78" s="84">
        <v>-40050860</v>
      </c>
      <c r="EW78" s="84">
        <v>-10514507</v>
      </c>
      <c r="EX78" s="84">
        <v>123240905</v>
      </c>
      <c r="EY78" s="84">
        <v>137490227</v>
      </c>
      <c r="EZ78" s="84">
        <v>-17288181</v>
      </c>
      <c r="FA78" s="84">
        <v>-150128826</v>
      </c>
      <c r="FB78" s="84">
        <v>17643070</v>
      </c>
      <c r="FC78" s="84">
        <v>74418012</v>
      </c>
      <c r="FD78" s="84">
        <v>-123922624</v>
      </c>
      <c r="FE78" s="84">
        <v>596313309</v>
      </c>
      <c r="FF78" s="84">
        <v>5657413</v>
      </c>
      <c r="FG78" s="84" t="s">
        <v>96</v>
      </c>
      <c r="FH78" s="84">
        <v>4622182</v>
      </c>
      <c r="FI78" s="84" t="s">
        <v>96</v>
      </c>
      <c r="FJ78" s="84">
        <v>37753219</v>
      </c>
      <c r="FK78" s="84">
        <v>31550010</v>
      </c>
      <c r="FL78" s="84">
        <v>-118182234</v>
      </c>
      <c r="FM78" s="84" t="s">
        <v>130</v>
      </c>
      <c r="FN78" s="84">
        <v>-4391147919</v>
      </c>
      <c r="FO78" s="84" t="s">
        <v>96</v>
      </c>
      <c r="FP78" s="84" t="s">
        <v>96</v>
      </c>
      <c r="FQ78" s="84">
        <v>-41527373</v>
      </c>
      <c r="FR78" s="84">
        <v>95959398</v>
      </c>
      <c r="FS78" s="86">
        <v>-391082287</v>
      </c>
      <c r="FT78" s="84">
        <v>1156026830</v>
      </c>
      <c r="FU78" s="84">
        <v>2740768</v>
      </c>
      <c r="FV78" s="84" t="s">
        <v>96</v>
      </c>
      <c r="FW78" s="84">
        <v>-24023524</v>
      </c>
      <c r="FX78" s="84">
        <v>-73420446</v>
      </c>
      <c r="FY78" s="84" t="s">
        <v>96</v>
      </c>
      <c r="FZ78" s="84" t="s">
        <v>4</v>
      </c>
      <c r="GA78" s="84">
        <v>-1035888086</v>
      </c>
      <c r="GB78" s="84">
        <v>-14717390</v>
      </c>
      <c r="GC78" s="84">
        <v>56214267</v>
      </c>
      <c r="GD78" s="84" t="s">
        <v>96</v>
      </c>
      <c r="GE78" s="84" t="s">
        <v>4</v>
      </c>
      <c r="GF78" s="84">
        <v>5891071</v>
      </c>
      <c r="GG78" s="84">
        <v>-905064071</v>
      </c>
      <c r="GH78" s="84" t="s">
        <v>4</v>
      </c>
      <c r="GI78" s="84">
        <v>-9400004</v>
      </c>
      <c r="GJ78" s="84" t="s">
        <v>96</v>
      </c>
      <c r="GK78" s="84">
        <v>-107480667</v>
      </c>
      <c r="GL78" s="84" t="s">
        <v>96</v>
      </c>
      <c r="GM78" s="84">
        <v>36737074</v>
      </c>
      <c r="GN78" s="84">
        <v>-3703937</v>
      </c>
      <c r="GO78" s="84" t="s">
        <v>96</v>
      </c>
      <c r="GP78" s="84">
        <v>99147570</v>
      </c>
      <c r="GQ78" s="84">
        <v>58490531</v>
      </c>
      <c r="GR78" s="84">
        <v>-202773894</v>
      </c>
      <c r="GS78" s="84">
        <v>-13195662</v>
      </c>
      <c r="GT78" s="84" t="s">
        <v>130</v>
      </c>
      <c r="GU78" s="84">
        <v>-794253</v>
      </c>
      <c r="GV78" s="84">
        <v>295914943</v>
      </c>
      <c r="GW78" s="84">
        <v>2916662610</v>
      </c>
      <c r="GX78" s="84">
        <v>32447259</v>
      </c>
      <c r="GY78" s="84">
        <v>-129661135</v>
      </c>
      <c r="GZ78" s="84">
        <v>42078491</v>
      </c>
      <c r="HA78" s="84" t="s">
        <v>96</v>
      </c>
      <c r="HB78" s="84">
        <v>205331991</v>
      </c>
      <c r="HC78" s="84" t="s">
        <v>130</v>
      </c>
      <c r="HD78" s="84">
        <v>-221671901</v>
      </c>
      <c r="HE78" s="84" t="s">
        <v>96</v>
      </c>
      <c r="HF78" s="84">
        <v>52649431</v>
      </c>
      <c r="HG78" s="84">
        <v>517843520</v>
      </c>
      <c r="HH78" s="84" t="s">
        <v>96</v>
      </c>
      <c r="HI78" s="84">
        <v>-1721775694</v>
      </c>
      <c r="HJ78" s="84" t="s">
        <v>96</v>
      </c>
      <c r="HK78" s="84">
        <v>-127486472</v>
      </c>
      <c r="HL78" s="84">
        <v>751966387</v>
      </c>
      <c r="HM78" s="84">
        <v>157645388</v>
      </c>
      <c r="HN78" s="84">
        <v>32983400</v>
      </c>
      <c r="HO78" s="84">
        <v>103733069</v>
      </c>
      <c r="HP78" s="84">
        <v>-37118954</v>
      </c>
      <c r="HQ78" s="84">
        <v>12832446</v>
      </c>
      <c r="HR78" s="84">
        <v>2789319</v>
      </c>
      <c r="HS78" s="84">
        <v>68696976</v>
      </c>
      <c r="HT78" s="84">
        <v>0</v>
      </c>
      <c r="HU78" s="84" t="s">
        <v>130</v>
      </c>
      <c r="HV78" s="84">
        <v>5532159</v>
      </c>
      <c r="HW78" s="84" t="s">
        <v>96</v>
      </c>
      <c r="HX78" s="84">
        <v>470389139</v>
      </c>
      <c r="HY78" s="84" t="s">
        <v>114</v>
      </c>
      <c r="HZ78" s="84">
        <v>814847182</v>
      </c>
      <c r="IA78" s="84">
        <v>103307748</v>
      </c>
      <c r="IB78" s="84">
        <v>-1782459400</v>
      </c>
      <c r="IC78" s="84">
        <v>-201640573</v>
      </c>
      <c r="ID78" s="84">
        <v>-27501862</v>
      </c>
      <c r="IE78" s="84" t="s">
        <v>96</v>
      </c>
      <c r="IF78" s="84">
        <v>-7467561</v>
      </c>
      <c r="IG78" s="84">
        <v>-9573509</v>
      </c>
      <c r="IH78" s="84">
        <v>-277264233</v>
      </c>
      <c r="II78" s="84">
        <v>0</v>
      </c>
      <c r="IJ78" s="84">
        <v>-41733319</v>
      </c>
      <c r="IK78" s="84">
        <v>9340084</v>
      </c>
      <c r="IL78" s="84">
        <v>43605296</v>
      </c>
      <c r="IM78" s="84">
        <v>-1435643677</v>
      </c>
      <c r="IN78" s="84">
        <v>-4407279812</v>
      </c>
      <c r="IO78" s="84">
        <v>-633433371</v>
      </c>
      <c r="IP78" s="84">
        <v>9834031</v>
      </c>
      <c r="IQ78" s="84">
        <v>110196464</v>
      </c>
      <c r="IR78" s="84">
        <v>73844985</v>
      </c>
      <c r="IS78" s="96">
        <v>174832775</v>
      </c>
      <c r="IT78" s="99">
        <v>-80943574</v>
      </c>
      <c r="IU78" s="84">
        <v>272359081</v>
      </c>
      <c r="IV78" s="84">
        <v>-106050881</v>
      </c>
      <c r="IW78" s="84">
        <v>107600804</v>
      </c>
      <c r="IX78" s="84">
        <v>1034144</v>
      </c>
      <c r="IY78" s="68">
        <v>74640429</v>
      </c>
      <c r="IZ78" s="68">
        <v>33777510</v>
      </c>
      <c r="JA78" s="68">
        <v>65695716</v>
      </c>
      <c r="JB78" s="68">
        <v>36060453</v>
      </c>
      <c r="JC78" s="68">
        <v>19143274</v>
      </c>
      <c r="JD78" s="68">
        <v>-53137868</v>
      </c>
      <c r="JE78" s="68">
        <v>78917758</v>
      </c>
      <c r="JF78" s="68">
        <v>129321049</v>
      </c>
      <c r="JG78" s="68">
        <v>-1556463</v>
      </c>
      <c r="JH78" s="68">
        <v>21855167</v>
      </c>
      <c r="JI78" s="68">
        <v>-92717285</v>
      </c>
      <c r="JJ78" s="68">
        <v>94553882</v>
      </c>
      <c r="JK78" s="68">
        <v>-27883135</v>
      </c>
      <c r="JL78" s="68">
        <v>104338806</v>
      </c>
      <c r="JM78" s="68">
        <v>29743946</v>
      </c>
      <c r="JN78" s="68">
        <v>145359082</v>
      </c>
      <c r="JO78" s="68">
        <v>-28492665</v>
      </c>
      <c r="JP78" s="68">
        <v>-53940857</v>
      </c>
      <c r="JQ78" s="68" t="s">
        <v>4</v>
      </c>
      <c r="JR78" s="68">
        <v>45883962</v>
      </c>
      <c r="JS78" s="68">
        <v>-13526206</v>
      </c>
      <c r="JT78" s="68">
        <v>16342699</v>
      </c>
      <c r="JU78" s="68">
        <v>62069828</v>
      </c>
      <c r="JV78" s="68">
        <v>29422794</v>
      </c>
      <c r="JW78" s="68">
        <v>41107690</v>
      </c>
      <c r="JX78" s="68">
        <v>101233274</v>
      </c>
      <c r="JY78" s="68">
        <v>-97447352</v>
      </c>
      <c r="JZ78" s="68">
        <v>-34321603</v>
      </c>
      <c r="KA78" s="68">
        <v>96913676</v>
      </c>
      <c r="KB78" s="68">
        <v>426377383</v>
      </c>
      <c r="KC78" s="68">
        <v>-103406215</v>
      </c>
      <c r="KD78" s="68">
        <v>2770468</v>
      </c>
      <c r="KE78" s="68">
        <v>-53413748</v>
      </c>
      <c r="KF78" s="68">
        <v>-1920105447</v>
      </c>
      <c r="KG78" s="68">
        <v>62981358</v>
      </c>
      <c r="KH78" s="68">
        <v>11664840</v>
      </c>
      <c r="KI78" s="68">
        <v>-11210879</v>
      </c>
      <c r="KJ78" s="68">
        <v>1343476</v>
      </c>
      <c r="KK78" s="68">
        <v>-2260464025</v>
      </c>
      <c r="KL78" s="68">
        <v>-16082183216</v>
      </c>
      <c r="KM78" s="68">
        <v>84997062</v>
      </c>
      <c r="KN78" s="68">
        <v>-2289977699</v>
      </c>
      <c r="KO78" s="68">
        <v>-1074689818</v>
      </c>
      <c r="KP78" s="68">
        <v>-99024481</v>
      </c>
      <c r="KQ78" s="68">
        <v>-2734530</v>
      </c>
      <c r="KR78" s="68">
        <v>47936998</v>
      </c>
      <c r="KS78" s="68">
        <v>48565613</v>
      </c>
      <c r="KT78" s="68">
        <v>-3967435</v>
      </c>
      <c r="KU78" s="68">
        <v>5464621</v>
      </c>
      <c r="KV78" s="68">
        <v>-26497783</v>
      </c>
      <c r="KW78" s="68">
        <v>22771619</v>
      </c>
      <c r="KX78" s="68">
        <v>-92045161</v>
      </c>
      <c r="KY78" s="68">
        <v>96274506</v>
      </c>
      <c r="KZ78" s="68">
        <v>61286081</v>
      </c>
      <c r="LA78" s="68">
        <v>235954296</v>
      </c>
      <c r="LB78" s="68">
        <v>-35768206</v>
      </c>
      <c r="LC78" s="104">
        <v>109144083</v>
      </c>
      <c r="LD78" s="104">
        <v>-78807249</v>
      </c>
      <c r="LE78" s="104">
        <v>146429249</v>
      </c>
      <c r="LF78" s="104">
        <v>-33448489</v>
      </c>
      <c r="LG78" s="104">
        <v>12455088</v>
      </c>
      <c r="LH78" s="102" t="s">
        <v>187</v>
      </c>
      <c r="LI78" s="104">
        <v>27027650</v>
      </c>
      <c r="LJ78" s="102" t="s">
        <v>187</v>
      </c>
      <c r="LK78" s="104">
        <v>586247561</v>
      </c>
      <c r="LL78" s="102" t="s">
        <v>187</v>
      </c>
    </row>
  </sheetData>
  <phoneticPr fontId="14" type="noConversion"/>
  <pageMargins left="0.69972223043441772" right="0.69972223043441772" top="0.75" bottom="0.75" header="0.30000001192092896" footer="0.30000001192092896"/>
  <pageSetup paperSize="9" fitToWidth="0" fitToHeight="0" orientation="portrait" verticalDpi="0" r:id="rId1"/>
  <legacyDrawing r:id="rId2"/>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85CFA48-331F-4CBE-80FD-B9553B9F9691}">
  <dimension ref="A1:EF78"/>
  <sheetViews>
    <sheetView topLeftCell="DL1" zoomScale="70" zoomScaleNormal="70" workbookViewId="0">
      <selection activeCell="BI1" sqref="BI1"/>
    </sheetView>
  </sheetViews>
  <sheetFormatPr defaultRowHeight="17.399999999999999"/>
  <cols>
    <col min="2" max="2" width="32.8984375" customWidth="1"/>
    <col min="3" max="136" width="13.69921875" customWidth="1"/>
  </cols>
  <sheetData>
    <row r="1" spans="1:136">
      <c r="A1" s="65"/>
      <c r="B1" s="66" t="s">
        <v>111</v>
      </c>
      <c r="C1" s="66">
        <v>1909189</v>
      </c>
      <c r="D1" s="66">
        <v>1909190</v>
      </c>
      <c r="E1" s="66">
        <v>1909191</v>
      </c>
      <c r="F1" s="66">
        <v>1909192</v>
      </c>
      <c r="G1" s="66">
        <v>1909193</v>
      </c>
      <c r="H1" s="66">
        <v>1909194</v>
      </c>
      <c r="I1" s="66">
        <v>1909195</v>
      </c>
      <c r="J1" s="66">
        <v>1909196</v>
      </c>
      <c r="K1" s="66">
        <v>1909197</v>
      </c>
      <c r="L1" s="66">
        <v>1909198</v>
      </c>
      <c r="M1" s="66">
        <v>1909199</v>
      </c>
      <c r="N1" s="66">
        <v>1909200</v>
      </c>
      <c r="O1" s="66">
        <v>1909201</v>
      </c>
      <c r="P1" s="66">
        <v>1909202</v>
      </c>
      <c r="Q1" s="66">
        <v>1909203</v>
      </c>
      <c r="R1" s="66">
        <v>1909204</v>
      </c>
      <c r="S1" s="66">
        <v>1909205</v>
      </c>
      <c r="T1" s="66">
        <v>1909206</v>
      </c>
      <c r="U1" s="66">
        <v>1909207</v>
      </c>
      <c r="V1" s="66">
        <v>1909208</v>
      </c>
      <c r="W1" s="66">
        <v>1909209</v>
      </c>
      <c r="X1" s="66">
        <v>1909210</v>
      </c>
      <c r="Y1" s="66">
        <v>1909211</v>
      </c>
      <c r="Z1" s="66">
        <v>1909212</v>
      </c>
      <c r="AA1" s="66">
        <v>1909213</v>
      </c>
      <c r="AB1" s="66">
        <v>1909214</v>
      </c>
      <c r="AC1" s="66">
        <v>1909215</v>
      </c>
      <c r="AD1" s="66">
        <v>1909216</v>
      </c>
      <c r="AE1" s="66">
        <v>1909217</v>
      </c>
      <c r="AF1" s="66">
        <v>1909218</v>
      </c>
      <c r="AG1" s="66">
        <v>1909219</v>
      </c>
      <c r="AH1" s="66">
        <v>1909220</v>
      </c>
      <c r="AI1" s="66">
        <v>1909221</v>
      </c>
      <c r="AJ1" s="66">
        <v>1909222</v>
      </c>
      <c r="AK1" s="66">
        <v>2010223</v>
      </c>
      <c r="AL1" s="66">
        <v>2010224</v>
      </c>
      <c r="AM1" s="66">
        <v>2010225</v>
      </c>
      <c r="AN1" s="66">
        <v>2010226</v>
      </c>
      <c r="AO1" s="66">
        <v>2010227</v>
      </c>
      <c r="AP1" s="66">
        <v>2010228</v>
      </c>
      <c r="AQ1" s="66">
        <v>2010229</v>
      </c>
      <c r="AR1" s="66">
        <v>2010230</v>
      </c>
      <c r="AS1" s="66">
        <v>2010231</v>
      </c>
      <c r="AT1" s="66">
        <v>2010232</v>
      </c>
      <c r="AU1" s="66">
        <v>2010233</v>
      </c>
      <c r="AV1" s="66">
        <v>2010234</v>
      </c>
      <c r="AW1" s="66">
        <v>2010235</v>
      </c>
      <c r="AX1" s="66">
        <v>2010236</v>
      </c>
      <c r="AY1" s="66">
        <v>2010237</v>
      </c>
      <c r="AZ1" s="66">
        <v>2010238</v>
      </c>
      <c r="BA1" s="66">
        <v>2010239</v>
      </c>
      <c r="BB1" s="66">
        <v>2010240</v>
      </c>
      <c r="BC1" s="66">
        <v>2010241</v>
      </c>
      <c r="BD1" s="66">
        <v>2010242</v>
      </c>
      <c r="BE1" s="66">
        <v>2010243</v>
      </c>
      <c r="BF1" s="66">
        <v>2010244</v>
      </c>
      <c r="BG1" s="66">
        <v>2010245</v>
      </c>
      <c r="BH1" s="66">
        <v>2010246</v>
      </c>
      <c r="BI1" s="66">
        <v>2010247</v>
      </c>
      <c r="BJ1" s="66">
        <v>2010248</v>
      </c>
      <c r="BK1" s="66">
        <v>2010249</v>
      </c>
      <c r="BL1" s="66">
        <v>2010250</v>
      </c>
      <c r="BM1" s="66">
        <v>2010251</v>
      </c>
      <c r="BN1" s="66">
        <v>2010252</v>
      </c>
      <c r="BO1" s="66">
        <v>2110289</v>
      </c>
      <c r="BP1" s="66">
        <v>2110290</v>
      </c>
      <c r="BQ1" s="66">
        <v>2110291</v>
      </c>
      <c r="BR1" s="66">
        <v>2110292</v>
      </c>
      <c r="BS1" s="66">
        <v>2110293</v>
      </c>
      <c r="BT1" s="66">
        <v>2110294</v>
      </c>
      <c r="BU1" s="66">
        <v>2110295</v>
      </c>
      <c r="BV1" s="66">
        <v>2110296</v>
      </c>
      <c r="BW1" s="66">
        <v>2110297</v>
      </c>
      <c r="BX1" s="66">
        <v>2110298</v>
      </c>
      <c r="BY1" s="66">
        <v>2110299</v>
      </c>
      <c r="BZ1" s="66">
        <v>2110300</v>
      </c>
      <c r="CA1" s="66">
        <v>2110301</v>
      </c>
      <c r="CB1" s="66">
        <v>2110302</v>
      </c>
      <c r="CC1" s="66">
        <v>2110303</v>
      </c>
      <c r="CD1" s="66">
        <v>2110304</v>
      </c>
      <c r="CE1" s="66">
        <v>2110305</v>
      </c>
      <c r="CF1" s="66">
        <v>2110306</v>
      </c>
      <c r="CG1" s="66">
        <v>2110307</v>
      </c>
      <c r="CH1" s="66">
        <v>2110308</v>
      </c>
      <c r="CI1" s="66">
        <v>2210327</v>
      </c>
      <c r="CJ1" s="66">
        <v>2210328</v>
      </c>
      <c r="CK1" s="66">
        <v>2210329</v>
      </c>
      <c r="CL1" s="66">
        <v>2210330</v>
      </c>
      <c r="CM1" s="66">
        <v>2210331</v>
      </c>
      <c r="CN1" s="66">
        <v>2210332</v>
      </c>
      <c r="CO1" s="66">
        <v>2210333</v>
      </c>
      <c r="CP1" s="66">
        <v>2210334</v>
      </c>
      <c r="CQ1" s="66">
        <v>2210335</v>
      </c>
      <c r="CR1" s="66">
        <v>2210336</v>
      </c>
      <c r="CS1" s="66">
        <v>2210337</v>
      </c>
      <c r="CT1" s="66">
        <v>2210338</v>
      </c>
      <c r="CU1" s="66">
        <v>2210339</v>
      </c>
      <c r="CV1" s="66">
        <v>2210340</v>
      </c>
      <c r="CW1" s="66">
        <v>2210341</v>
      </c>
      <c r="CX1" s="66">
        <v>2210342</v>
      </c>
      <c r="CY1" s="66">
        <v>2210343</v>
      </c>
      <c r="CZ1" s="66">
        <v>2210344</v>
      </c>
      <c r="DA1" s="66">
        <v>2210345</v>
      </c>
      <c r="DB1" s="66">
        <v>2210346</v>
      </c>
      <c r="DC1" s="66">
        <v>2310369</v>
      </c>
      <c r="DD1" s="66">
        <v>2310370</v>
      </c>
      <c r="DE1" s="66">
        <v>2310371</v>
      </c>
      <c r="DF1" s="66">
        <v>2310372</v>
      </c>
      <c r="DG1" s="66">
        <v>2310373</v>
      </c>
      <c r="DH1" s="66">
        <v>2310374</v>
      </c>
      <c r="DI1" s="66">
        <v>2310375</v>
      </c>
      <c r="DJ1" s="66">
        <v>2310376</v>
      </c>
      <c r="DK1" s="66">
        <v>2310377</v>
      </c>
      <c r="DL1" s="66">
        <v>2310378</v>
      </c>
      <c r="DM1" s="66">
        <v>2310379</v>
      </c>
      <c r="DN1" s="66">
        <v>2310380</v>
      </c>
      <c r="DO1" s="66">
        <v>2310381</v>
      </c>
      <c r="DP1" s="66">
        <v>2310382</v>
      </c>
      <c r="DQ1" s="66">
        <v>2310383</v>
      </c>
      <c r="DR1" s="66">
        <v>2310384</v>
      </c>
      <c r="DS1" s="66">
        <v>2310385</v>
      </c>
      <c r="DT1" s="66">
        <v>2310386</v>
      </c>
      <c r="DU1" s="66">
        <v>2310387</v>
      </c>
      <c r="DV1" s="66">
        <v>2310388</v>
      </c>
      <c r="DW1" s="100">
        <v>2410413</v>
      </c>
      <c r="DX1" s="100">
        <v>2410414</v>
      </c>
      <c r="DY1" s="100">
        <v>2410415</v>
      </c>
      <c r="DZ1" s="100">
        <v>2410416</v>
      </c>
      <c r="EA1" s="100">
        <v>2410417</v>
      </c>
      <c r="EB1" s="100">
        <v>2410418</v>
      </c>
      <c r="EC1" s="100">
        <v>2410419</v>
      </c>
      <c r="ED1" s="100">
        <v>2410420</v>
      </c>
      <c r="EE1" s="100">
        <v>2410421</v>
      </c>
      <c r="EF1" s="100">
        <v>2410422</v>
      </c>
    </row>
    <row r="2" spans="1:136">
      <c r="A2" s="67" t="s">
        <v>193</v>
      </c>
      <c r="B2" s="83" t="s">
        <v>112</v>
      </c>
      <c r="C2" s="105">
        <v>274983787</v>
      </c>
      <c r="D2" s="19" t="s">
        <v>188</v>
      </c>
      <c r="E2" s="105">
        <v>490563438</v>
      </c>
      <c r="F2" s="19" t="s">
        <v>188</v>
      </c>
      <c r="G2" s="19" t="s">
        <v>189</v>
      </c>
      <c r="H2" s="19" t="s">
        <v>189</v>
      </c>
      <c r="I2" s="19" t="s">
        <v>188</v>
      </c>
      <c r="J2" s="105">
        <v>9213571824</v>
      </c>
      <c r="K2" s="105">
        <v>2128334921</v>
      </c>
      <c r="L2" s="105">
        <v>3143472778</v>
      </c>
      <c r="M2" s="105">
        <v>822486088</v>
      </c>
      <c r="N2" s="19" t="s">
        <v>189</v>
      </c>
      <c r="O2" s="105">
        <v>65605259</v>
      </c>
      <c r="P2" s="105">
        <v>5259594945</v>
      </c>
      <c r="Q2" s="105">
        <v>45917994692</v>
      </c>
      <c r="R2" s="105">
        <v>3021436035</v>
      </c>
      <c r="S2" s="105">
        <v>2225662738</v>
      </c>
      <c r="T2" s="106">
        <v>4328933244</v>
      </c>
      <c r="U2" s="19" t="s">
        <v>188</v>
      </c>
      <c r="V2" s="105">
        <v>1413578248</v>
      </c>
      <c r="W2" s="19" t="s">
        <v>189</v>
      </c>
      <c r="X2" s="105">
        <v>666356574</v>
      </c>
      <c r="Y2" s="19" t="s">
        <v>188</v>
      </c>
      <c r="Z2" s="105">
        <v>1984687879</v>
      </c>
      <c r="AA2" s="105">
        <v>1409157187</v>
      </c>
      <c r="AB2" s="19" t="s">
        <v>188</v>
      </c>
      <c r="AC2" s="19" t="s">
        <v>189</v>
      </c>
      <c r="AD2" s="19" t="s">
        <v>188</v>
      </c>
      <c r="AE2" s="105">
        <v>2488043177</v>
      </c>
      <c r="AF2" s="105">
        <v>2841484463</v>
      </c>
      <c r="AG2" s="105">
        <v>792331474</v>
      </c>
      <c r="AH2" s="105">
        <v>831320490</v>
      </c>
      <c r="AI2" s="105">
        <v>1570443527</v>
      </c>
      <c r="AJ2" s="105">
        <v>2743929592</v>
      </c>
      <c r="AK2" s="19" t="s">
        <v>188</v>
      </c>
      <c r="AL2" s="105">
        <v>1308802533</v>
      </c>
      <c r="AM2" s="105">
        <v>1114334018</v>
      </c>
      <c r="AN2" s="105">
        <v>777341347</v>
      </c>
      <c r="AO2" s="19" t="s">
        <v>188</v>
      </c>
      <c r="AP2" s="106">
        <v>455596789</v>
      </c>
      <c r="AQ2" s="19" t="s">
        <v>188</v>
      </c>
      <c r="AR2" s="105">
        <v>7365968248</v>
      </c>
      <c r="AS2" s="19" t="s">
        <v>188</v>
      </c>
      <c r="AT2" s="105">
        <v>20241380924</v>
      </c>
      <c r="AU2" s="105">
        <v>1078474565</v>
      </c>
      <c r="AV2" s="105">
        <v>4904084742</v>
      </c>
      <c r="AW2" s="105">
        <v>4182794706</v>
      </c>
      <c r="AX2" s="107">
        <v>21375764</v>
      </c>
      <c r="AY2" s="19" t="s">
        <v>188</v>
      </c>
      <c r="AZ2" s="105">
        <f>4263065</f>
        <v>4263065</v>
      </c>
      <c r="BA2" s="105">
        <v>78755862</v>
      </c>
      <c r="BB2" s="105">
        <v>1237613738</v>
      </c>
      <c r="BC2" s="108">
        <v>458316318</v>
      </c>
      <c r="BD2" s="105">
        <v>492571252</v>
      </c>
      <c r="BE2" s="105">
        <v>937487440</v>
      </c>
      <c r="BF2" s="105">
        <f>2481895632</f>
        <v>2481895632</v>
      </c>
      <c r="BG2" s="105">
        <v>1137418138</v>
      </c>
      <c r="BH2" s="105">
        <f>3199807595</f>
        <v>3199807595</v>
      </c>
      <c r="BI2" s="108">
        <v>1590257536</v>
      </c>
      <c r="BJ2" s="105">
        <v>661232128</v>
      </c>
      <c r="BK2" s="105">
        <f>2042274490</f>
        <v>2042274490</v>
      </c>
      <c r="BL2" s="105">
        <v>1384806111</v>
      </c>
      <c r="BM2" s="105">
        <f>11046385042</f>
        <v>11046385042</v>
      </c>
      <c r="BN2" s="105">
        <v>1371694527</v>
      </c>
      <c r="BO2" s="105">
        <f>3170053834</f>
        <v>3170053834</v>
      </c>
      <c r="BP2" s="105">
        <f>697002707</f>
        <v>697002707</v>
      </c>
      <c r="BQ2" s="19" t="s">
        <v>189</v>
      </c>
      <c r="BR2" s="105">
        <f>1593080290</f>
        <v>1593080290</v>
      </c>
      <c r="BS2" s="105">
        <f>8908621623</f>
        <v>8908621623</v>
      </c>
      <c r="BT2" s="105">
        <f>788312523</f>
        <v>788312523</v>
      </c>
      <c r="BU2" s="105">
        <f>2504765437</f>
        <v>2504765437</v>
      </c>
      <c r="BV2" s="105">
        <f>1236480809</f>
        <v>1236480809</v>
      </c>
      <c r="BW2" s="19" t="s">
        <v>189</v>
      </c>
      <c r="BX2" s="105">
        <f>938661286</f>
        <v>938661286</v>
      </c>
      <c r="BY2" s="105">
        <v>322034960</v>
      </c>
      <c r="BZ2" s="105">
        <f>2719595422</f>
        <v>2719595422</v>
      </c>
      <c r="CA2" s="105">
        <f>7466913</f>
        <v>7466913</v>
      </c>
      <c r="CB2" s="105">
        <f>137072413</f>
        <v>137072413</v>
      </c>
      <c r="CC2" s="105">
        <v>235861106</v>
      </c>
      <c r="CD2" s="105">
        <f>229975416</f>
        <v>229975416</v>
      </c>
      <c r="CE2" s="105">
        <f>481437581</f>
        <v>481437581</v>
      </c>
      <c r="CF2" s="105">
        <f>3653522430</f>
        <v>3653522430</v>
      </c>
      <c r="CG2" s="105">
        <f>657919199</f>
        <v>657919199</v>
      </c>
      <c r="CH2" s="105">
        <v>6614306908</v>
      </c>
      <c r="CI2" s="105">
        <v>38876323</v>
      </c>
      <c r="CJ2" s="105">
        <v>159625334</v>
      </c>
      <c r="CK2" s="19" t="s">
        <v>190</v>
      </c>
      <c r="CL2" s="105">
        <v>1726860065</v>
      </c>
      <c r="CM2" s="105">
        <v>90319938</v>
      </c>
      <c r="CN2" s="105">
        <f>46188845</f>
        <v>46188845</v>
      </c>
      <c r="CO2" s="105">
        <v>551784953</v>
      </c>
      <c r="CP2" s="105">
        <v>1203581415</v>
      </c>
      <c r="CQ2" s="105">
        <v>87296939</v>
      </c>
      <c r="CR2" s="105">
        <v>2928942691</v>
      </c>
      <c r="CS2" s="105">
        <f>1636972072</f>
        <v>1636972072</v>
      </c>
      <c r="CT2" s="19" t="s">
        <v>190</v>
      </c>
      <c r="CU2" s="105">
        <v>999832935</v>
      </c>
      <c r="CV2" s="105">
        <f>9724600836</f>
        <v>9724600836</v>
      </c>
      <c r="CW2" s="19" t="s">
        <v>189</v>
      </c>
      <c r="CX2" s="105">
        <f>869526399</f>
        <v>869526399</v>
      </c>
      <c r="CY2" s="105">
        <f>30321506</f>
        <v>30321506</v>
      </c>
      <c r="CZ2" s="105">
        <f>3082041316</f>
        <v>3082041316</v>
      </c>
      <c r="DA2" s="19" t="s">
        <v>189</v>
      </c>
      <c r="DB2" s="105">
        <v>1303942719</v>
      </c>
      <c r="DC2" s="109">
        <f>461429882</f>
        <v>461429882</v>
      </c>
      <c r="DD2" s="103">
        <v>2035594049</v>
      </c>
      <c r="DE2" s="103">
        <f>5521226474</f>
        <v>5521226474</v>
      </c>
      <c r="DF2" s="103">
        <v>37672683930</v>
      </c>
      <c r="DG2" s="103">
        <f>530852655</f>
        <v>530852655</v>
      </c>
      <c r="DH2" s="110" t="s">
        <v>189</v>
      </c>
      <c r="DI2" s="103">
        <v>2038675559</v>
      </c>
      <c r="DJ2" s="103">
        <f>507198267</f>
        <v>507198267</v>
      </c>
      <c r="DK2" s="111" t="s">
        <v>189</v>
      </c>
      <c r="DL2" s="103">
        <v>482521354</v>
      </c>
      <c r="DM2" s="102">
        <v>1567439193</v>
      </c>
      <c r="DN2" s="102">
        <v>1064740706</v>
      </c>
      <c r="DO2" s="102">
        <v>7120091787</v>
      </c>
      <c r="DP2" s="102">
        <v>113327770</v>
      </c>
      <c r="DQ2" s="102">
        <v>857850856</v>
      </c>
      <c r="DR2" s="102">
        <v>299975415</v>
      </c>
      <c r="DS2" s="102">
        <v>2020628160</v>
      </c>
      <c r="DT2" s="102">
        <v>1737777807</v>
      </c>
      <c r="DU2" s="102">
        <v>1816864430</v>
      </c>
      <c r="DV2" s="102">
        <v>71971096</v>
      </c>
      <c r="DW2" s="102">
        <v>1093735861</v>
      </c>
      <c r="DX2" s="102">
        <v>681358517</v>
      </c>
      <c r="DY2" s="102">
        <v>1490601649</v>
      </c>
      <c r="DZ2" s="102">
        <v>565000389</v>
      </c>
      <c r="EA2" s="102">
        <v>711022197</v>
      </c>
      <c r="EB2" s="102">
        <v>4358231013</v>
      </c>
      <c r="EC2" s="102">
        <v>524970009</v>
      </c>
      <c r="ED2" s="102">
        <v>0</v>
      </c>
      <c r="EE2" s="102">
        <v>2249976056</v>
      </c>
      <c r="EF2" s="102">
        <v>839744560</v>
      </c>
    </row>
    <row r="3" spans="1:136">
      <c r="A3" s="67" t="s">
        <v>193</v>
      </c>
      <c r="B3" s="83" t="s">
        <v>84</v>
      </c>
      <c r="C3" s="105">
        <v>238579009</v>
      </c>
      <c r="D3" s="19" t="s">
        <v>188</v>
      </c>
      <c r="E3" s="105">
        <v>134891172</v>
      </c>
      <c r="F3" s="19" t="s">
        <v>188</v>
      </c>
      <c r="G3" s="19" t="s">
        <v>189</v>
      </c>
      <c r="H3" s="19" t="s">
        <v>189</v>
      </c>
      <c r="I3" s="19" t="s">
        <v>188</v>
      </c>
      <c r="J3" s="105">
        <v>2906969277</v>
      </c>
      <c r="K3" s="105">
        <v>2043238964</v>
      </c>
      <c r="L3" s="105">
        <v>863556523</v>
      </c>
      <c r="M3" s="105">
        <v>561698053</v>
      </c>
      <c r="N3" s="19" t="s">
        <v>189</v>
      </c>
      <c r="O3" s="105">
        <v>35605259</v>
      </c>
      <c r="P3" s="105">
        <v>1794085139</v>
      </c>
      <c r="Q3" s="105">
        <v>2379371548</v>
      </c>
      <c r="R3" s="105">
        <v>741514449</v>
      </c>
      <c r="S3" s="105">
        <v>892282384</v>
      </c>
      <c r="T3" s="106">
        <v>319953302</v>
      </c>
      <c r="U3" s="19" t="s">
        <v>188</v>
      </c>
      <c r="V3" s="105">
        <v>1409618248</v>
      </c>
      <c r="W3" s="19" t="s">
        <v>189</v>
      </c>
      <c r="X3" s="105">
        <v>571361817</v>
      </c>
      <c r="Y3" s="19" t="s">
        <v>188</v>
      </c>
      <c r="Z3" s="105">
        <v>865812618</v>
      </c>
      <c r="AA3" s="105">
        <v>1356973758</v>
      </c>
      <c r="AB3" s="19" t="s">
        <v>188</v>
      </c>
      <c r="AC3" s="19" t="s">
        <v>189</v>
      </c>
      <c r="AD3" s="19" t="s">
        <v>188</v>
      </c>
      <c r="AE3" s="105">
        <v>1783461934</v>
      </c>
      <c r="AF3" s="105">
        <v>1324052307</v>
      </c>
      <c r="AG3" s="105">
        <v>109011615</v>
      </c>
      <c r="AH3" s="105">
        <v>427665082</v>
      </c>
      <c r="AI3" s="105">
        <v>792505740</v>
      </c>
      <c r="AJ3" s="105">
        <v>886107311</v>
      </c>
      <c r="AK3" s="19" t="s">
        <v>188</v>
      </c>
      <c r="AL3" s="105">
        <v>985969570</v>
      </c>
      <c r="AM3" s="105">
        <v>914905244</v>
      </c>
      <c r="AN3" s="105">
        <v>746086182</v>
      </c>
      <c r="AO3" s="19" t="s">
        <v>188</v>
      </c>
      <c r="AP3" s="106">
        <v>318394942</v>
      </c>
      <c r="AQ3" s="19" t="s">
        <v>188</v>
      </c>
      <c r="AR3" s="105">
        <v>1558749048</v>
      </c>
      <c r="AS3" s="19" t="s">
        <v>188</v>
      </c>
      <c r="AT3" s="105">
        <f>7613098133</f>
        <v>7613098133</v>
      </c>
      <c r="AU3" s="105">
        <v>79835440</v>
      </c>
      <c r="AV3" s="105">
        <v>1065027406</v>
      </c>
      <c r="AW3" s="105">
        <v>2683535770</v>
      </c>
      <c r="AX3" s="107">
        <v>20726968</v>
      </c>
      <c r="AY3" s="19" t="s">
        <v>188</v>
      </c>
      <c r="AZ3" s="105">
        <f>3934109</f>
        <v>3934109</v>
      </c>
      <c r="BA3" s="105">
        <v>64062670</v>
      </c>
      <c r="BB3" s="105">
        <v>1016287391</v>
      </c>
      <c r="BC3" s="108">
        <v>59901839</v>
      </c>
      <c r="BD3" s="105">
        <v>199731537</v>
      </c>
      <c r="BE3" s="105">
        <f>582118399</f>
        <v>582118399</v>
      </c>
      <c r="BF3" s="105">
        <f>635257643</f>
        <v>635257643</v>
      </c>
      <c r="BG3" s="105">
        <v>88778377</v>
      </c>
      <c r="BH3" s="105">
        <v>751978541</v>
      </c>
      <c r="BI3" s="108">
        <v>1492429492</v>
      </c>
      <c r="BJ3" s="105">
        <v>488750476</v>
      </c>
      <c r="BK3" s="105">
        <f>952563761</f>
        <v>952563761</v>
      </c>
      <c r="BL3" s="105">
        <v>1228252438</v>
      </c>
      <c r="BM3" s="105">
        <v>752977317</v>
      </c>
      <c r="BN3" s="105">
        <v>226424482</v>
      </c>
      <c r="BO3" s="105">
        <f>2834806723</f>
        <v>2834806723</v>
      </c>
      <c r="BP3" s="105">
        <f>421028752</f>
        <v>421028752</v>
      </c>
      <c r="BQ3" s="19" t="s">
        <v>189</v>
      </c>
      <c r="BR3" s="105">
        <f>400335622</f>
        <v>400335622</v>
      </c>
      <c r="BS3" s="105">
        <f>5313253809</f>
        <v>5313253809</v>
      </c>
      <c r="BT3" s="105">
        <f>376818618</f>
        <v>376818618</v>
      </c>
      <c r="BU3" s="105">
        <f>2307923711</f>
        <v>2307923711</v>
      </c>
      <c r="BV3" s="105">
        <f>759618381</f>
        <v>759618381</v>
      </c>
      <c r="BW3" s="19" t="s">
        <v>189</v>
      </c>
      <c r="BX3" s="105">
        <f>847451879</f>
        <v>847451879</v>
      </c>
      <c r="BY3" s="105">
        <v>288988918</v>
      </c>
      <c r="BZ3" s="105">
        <f>1245026381</f>
        <v>1245026381</v>
      </c>
      <c r="CA3" s="105">
        <f>4470558</f>
        <v>4470558</v>
      </c>
      <c r="CB3" s="105">
        <f>51208863</f>
        <v>51208863</v>
      </c>
      <c r="CC3" s="105">
        <v>195312906</v>
      </c>
      <c r="CD3" s="105">
        <f>55977328</f>
        <v>55977328</v>
      </c>
      <c r="CE3" s="105">
        <f>224853195</f>
        <v>224853195</v>
      </c>
      <c r="CF3" s="105">
        <f>1074784458</f>
        <v>1074784458</v>
      </c>
      <c r="CG3" s="105">
        <v>19998539</v>
      </c>
      <c r="CH3" s="105">
        <f>4406914683</f>
        <v>4406914683</v>
      </c>
      <c r="CI3" s="105">
        <v>14240469</v>
      </c>
      <c r="CJ3" s="105">
        <f>124493860</f>
        <v>124493860</v>
      </c>
      <c r="CK3" s="19" t="s">
        <v>190</v>
      </c>
      <c r="CL3" s="105">
        <v>716696863</v>
      </c>
      <c r="CM3" s="105">
        <v>74016653</v>
      </c>
      <c r="CN3" s="105">
        <f>37817053</f>
        <v>37817053</v>
      </c>
      <c r="CO3" s="105">
        <v>333793415</v>
      </c>
      <c r="CP3" s="105">
        <f>1100195367</f>
        <v>1100195367</v>
      </c>
      <c r="CQ3" s="105">
        <f>10224316</f>
        <v>10224316</v>
      </c>
      <c r="CR3" s="105">
        <v>2698461449</v>
      </c>
      <c r="CS3" s="105">
        <f>1130886207</f>
        <v>1130886207</v>
      </c>
      <c r="CT3" s="19" t="s">
        <v>190</v>
      </c>
      <c r="CU3" s="105">
        <v>965571268</v>
      </c>
      <c r="CV3" s="105">
        <v>3346588246</v>
      </c>
      <c r="CW3" s="19" t="s">
        <v>189</v>
      </c>
      <c r="CX3" s="105">
        <v>808933899</v>
      </c>
      <c r="CY3" s="105">
        <f>12275496</f>
        <v>12275496</v>
      </c>
      <c r="CZ3" s="105">
        <f>2913851843</f>
        <v>2913851843</v>
      </c>
      <c r="DA3" s="19" t="s">
        <v>189</v>
      </c>
      <c r="DB3" s="105">
        <v>375006936</v>
      </c>
      <c r="DC3" s="112">
        <f>455988899</f>
        <v>455988899</v>
      </c>
      <c r="DD3" s="103">
        <v>734835543</v>
      </c>
      <c r="DE3" s="103">
        <v>59060798</v>
      </c>
      <c r="DF3" s="103">
        <v>28186076836</v>
      </c>
      <c r="DG3" s="103">
        <f>349913268</f>
        <v>349913268</v>
      </c>
      <c r="DH3" s="110" t="s">
        <v>189</v>
      </c>
      <c r="DI3" s="103">
        <v>1958050592</v>
      </c>
      <c r="DJ3" s="103">
        <f>450659708</f>
        <v>450659708</v>
      </c>
      <c r="DK3" s="111" t="s">
        <v>189</v>
      </c>
      <c r="DL3" s="103">
        <f>295371527</f>
        <v>295371527</v>
      </c>
      <c r="DM3" s="102">
        <v>291401207</v>
      </c>
      <c r="DN3" s="102">
        <v>147543202</v>
      </c>
      <c r="DO3" s="102">
        <v>588272033</v>
      </c>
      <c r="DP3" s="102">
        <v>77104726</v>
      </c>
      <c r="DQ3" s="102">
        <v>608923584</v>
      </c>
      <c r="DR3" s="102">
        <v>245284238</v>
      </c>
      <c r="DS3" s="102">
        <v>1290460109</v>
      </c>
      <c r="DT3" s="102">
        <v>416502951</v>
      </c>
      <c r="DU3" s="102">
        <v>1088803945</v>
      </c>
      <c r="DV3" s="102">
        <v>16514696</v>
      </c>
      <c r="DW3" s="102">
        <v>1019823383</v>
      </c>
      <c r="DX3" s="102">
        <v>517410637</v>
      </c>
      <c r="DY3" s="102">
        <v>1098955087</v>
      </c>
      <c r="DZ3" s="102">
        <v>4240917</v>
      </c>
      <c r="EA3" s="102">
        <v>255673544</v>
      </c>
      <c r="EB3" s="102">
        <v>2488448498</v>
      </c>
      <c r="EC3" s="102">
        <v>424257679</v>
      </c>
      <c r="ED3" s="102">
        <v>0</v>
      </c>
      <c r="EE3" s="102">
        <v>771022732</v>
      </c>
      <c r="EF3" s="102">
        <v>524748277</v>
      </c>
    </row>
    <row r="4" spans="1:136">
      <c r="A4" s="67" t="s">
        <v>193</v>
      </c>
      <c r="B4" s="87" t="s">
        <v>23</v>
      </c>
      <c r="C4" s="105">
        <v>52470509</v>
      </c>
      <c r="D4" s="19" t="s">
        <v>188</v>
      </c>
      <c r="E4" s="105">
        <v>82691172</v>
      </c>
      <c r="F4" s="19" t="s">
        <v>188</v>
      </c>
      <c r="G4" s="19" t="s">
        <v>189</v>
      </c>
      <c r="H4" s="19" t="s">
        <v>189</v>
      </c>
      <c r="I4" s="19" t="s">
        <v>188</v>
      </c>
      <c r="J4" s="105">
        <v>2020473228</v>
      </c>
      <c r="K4" s="105">
        <v>1855370049</v>
      </c>
      <c r="L4" s="105">
        <v>362376258</v>
      </c>
      <c r="M4" s="105">
        <v>561698053</v>
      </c>
      <c r="N4" s="19" t="s">
        <v>189</v>
      </c>
      <c r="O4" s="105">
        <v>35605259</v>
      </c>
      <c r="P4" s="105">
        <v>1794085139</v>
      </c>
      <c r="Q4" s="105">
        <v>1280551242</v>
      </c>
      <c r="R4" s="105">
        <v>241653138</v>
      </c>
      <c r="S4" s="105">
        <v>787706843</v>
      </c>
      <c r="T4" s="106">
        <v>130653302</v>
      </c>
      <c r="U4" s="19" t="s">
        <v>188</v>
      </c>
      <c r="V4" s="105">
        <v>1409618248</v>
      </c>
      <c r="W4" s="19" t="s">
        <v>189</v>
      </c>
      <c r="X4" s="105">
        <v>451071117</v>
      </c>
      <c r="Y4" s="19" t="s">
        <v>188</v>
      </c>
      <c r="Z4" s="105">
        <v>865812618</v>
      </c>
      <c r="AA4" s="105">
        <v>1220958188</v>
      </c>
      <c r="AB4" s="19" t="s">
        <v>188</v>
      </c>
      <c r="AC4" s="19" t="s">
        <v>189</v>
      </c>
      <c r="AD4" s="19" t="s">
        <v>188</v>
      </c>
      <c r="AE4" s="105">
        <v>1186327177</v>
      </c>
      <c r="AF4" s="105">
        <v>1223254347</v>
      </c>
      <c r="AG4" s="105">
        <v>109011615</v>
      </c>
      <c r="AH4" s="105">
        <v>427665082</v>
      </c>
      <c r="AI4" s="105">
        <v>775877600</v>
      </c>
      <c r="AJ4" s="105">
        <v>297579448</v>
      </c>
      <c r="AK4" s="19" t="s">
        <v>188</v>
      </c>
      <c r="AL4" s="105">
        <v>953604630</v>
      </c>
      <c r="AM4" s="105">
        <v>868739783</v>
      </c>
      <c r="AN4" s="105">
        <f>669557732</f>
        <v>669557732</v>
      </c>
      <c r="AO4" s="19" t="s">
        <v>188</v>
      </c>
      <c r="AP4" s="107">
        <v>130734054</v>
      </c>
      <c r="AQ4" s="19" t="s">
        <v>188</v>
      </c>
      <c r="AR4" s="105">
        <v>1412705749</v>
      </c>
      <c r="AS4" s="19" t="s">
        <v>188</v>
      </c>
      <c r="AT4" s="105">
        <v>7137795363</v>
      </c>
      <c r="AU4" s="105">
        <v>79835440</v>
      </c>
      <c r="AV4" s="105">
        <v>1065027406</v>
      </c>
      <c r="AW4" s="105">
        <v>2613392560</v>
      </c>
      <c r="AX4" s="107">
        <v>14681662</v>
      </c>
      <c r="AY4" s="19" t="s">
        <v>188</v>
      </c>
      <c r="AZ4" s="105">
        <f>2780199</f>
        <v>2780199</v>
      </c>
      <c r="BA4" s="105">
        <v>12668440</v>
      </c>
      <c r="BB4" s="105">
        <f>283057959</f>
        <v>283057959</v>
      </c>
      <c r="BC4" s="108">
        <v>15241420</v>
      </c>
      <c r="BD4" s="105">
        <v>199731537</v>
      </c>
      <c r="BE4" s="105">
        <f>365634762</f>
        <v>365634762</v>
      </c>
      <c r="BF4" s="105">
        <v>207462843</v>
      </c>
      <c r="BG4" s="105">
        <v>88778377</v>
      </c>
      <c r="BH4" s="105">
        <v>751978541</v>
      </c>
      <c r="BI4" s="108">
        <v>1019913535</v>
      </c>
      <c r="BJ4" s="105">
        <v>282255386</v>
      </c>
      <c r="BK4" s="105">
        <f>952563761</f>
        <v>952563761</v>
      </c>
      <c r="BL4" s="105">
        <v>1017376838</v>
      </c>
      <c r="BM4" s="105">
        <v>752977317</v>
      </c>
      <c r="BN4" s="105">
        <v>100605887</v>
      </c>
      <c r="BO4" s="105">
        <f>2834806723</f>
        <v>2834806723</v>
      </c>
      <c r="BP4" s="105">
        <f>421028752</f>
        <v>421028752</v>
      </c>
      <c r="BQ4" s="19" t="s">
        <v>189</v>
      </c>
      <c r="BR4" s="105">
        <f>171732792</f>
        <v>171732792</v>
      </c>
      <c r="BS4" s="105">
        <f>5313253809</f>
        <v>5313253809</v>
      </c>
      <c r="BT4" s="105">
        <f>246858618</f>
        <v>246858618</v>
      </c>
      <c r="BU4" s="105">
        <f>1486899021</f>
        <v>1486899021</v>
      </c>
      <c r="BV4" s="105">
        <f>187871089</f>
        <v>187871089</v>
      </c>
      <c r="BW4" s="19" t="s">
        <v>189</v>
      </c>
      <c r="BX4" s="105">
        <f>847451879</f>
        <v>847451879</v>
      </c>
      <c r="BY4" s="105">
        <v>288988918</v>
      </c>
      <c r="BZ4" s="105">
        <f>1240151794</f>
        <v>1240151794</v>
      </c>
      <c r="CA4" s="105">
        <f>4470558</f>
        <v>4470558</v>
      </c>
      <c r="CB4" s="105">
        <f>51208863</f>
        <v>51208863</v>
      </c>
      <c r="CC4" s="105">
        <v>57195641</v>
      </c>
      <c r="CD4" s="105">
        <f>55977328</f>
        <v>55977328</v>
      </c>
      <c r="CE4" s="105">
        <f>64853195</f>
        <v>64853195</v>
      </c>
      <c r="CF4" s="105">
        <f>1074784458</f>
        <v>1074784458</v>
      </c>
      <c r="CG4" s="105">
        <v>19998539</v>
      </c>
      <c r="CH4" s="105">
        <v>4233117838</v>
      </c>
      <c r="CI4" s="105">
        <v>14240469</v>
      </c>
      <c r="CJ4" s="105">
        <f>114900042</f>
        <v>114900042</v>
      </c>
      <c r="CK4" s="19" t="s">
        <v>190</v>
      </c>
      <c r="CL4" s="105">
        <v>505301336</v>
      </c>
      <c r="CM4" s="105">
        <v>74016653</v>
      </c>
      <c r="CN4" s="105">
        <f>32975908</f>
        <v>32975908</v>
      </c>
      <c r="CO4" s="105">
        <v>222162089</v>
      </c>
      <c r="CP4" s="105">
        <f>1082904231</f>
        <v>1082904231</v>
      </c>
      <c r="CQ4" s="105">
        <v>10224316</v>
      </c>
      <c r="CR4" s="105">
        <v>2698461449</v>
      </c>
      <c r="CS4" s="105">
        <f>1130886207</f>
        <v>1130886207</v>
      </c>
      <c r="CT4" s="19" t="s">
        <v>190</v>
      </c>
      <c r="CU4" s="105">
        <v>965571268</v>
      </c>
      <c r="CV4" s="105">
        <v>2484680936</v>
      </c>
      <c r="CW4" s="19" t="s">
        <v>189</v>
      </c>
      <c r="CX4" s="105">
        <v>808933899</v>
      </c>
      <c r="CY4" s="105">
        <f>2259496</f>
        <v>2259496</v>
      </c>
      <c r="CZ4" s="105">
        <f>2284773844</f>
        <v>2284773844</v>
      </c>
      <c r="DA4" s="19" t="s">
        <v>189</v>
      </c>
      <c r="DB4" s="105">
        <v>375006936</v>
      </c>
      <c r="DC4" s="112">
        <f>455988899</f>
        <v>455988899</v>
      </c>
      <c r="DD4" s="103">
        <v>734835543</v>
      </c>
      <c r="DE4" s="103">
        <v>59060798</v>
      </c>
      <c r="DF4" s="103">
        <f>23116292603</f>
        <v>23116292603</v>
      </c>
      <c r="DG4" s="103">
        <f>313254532</f>
        <v>313254532</v>
      </c>
      <c r="DH4" s="110" t="s">
        <v>189</v>
      </c>
      <c r="DI4" s="103">
        <v>1656793543</v>
      </c>
      <c r="DJ4" s="103">
        <f>450659708</f>
        <v>450659708</v>
      </c>
      <c r="DK4" s="111" t="s">
        <v>189</v>
      </c>
      <c r="DL4" s="103">
        <v>187811527</v>
      </c>
      <c r="DM4" s="102">
        <v>227250360</v>
      </c>
      <c r="DN4" s="102">
        <v>147543202</v>
      </c>
      <c r="DO4" s="102">
        <v>570084586</v>
      </c>
      <c r="DP4" s="102">
        <v>76088726</v>
      </c>
      <c r="DQ4" s="102">
        <v>313923584</v>
      </c>
      <c r="DR4" s="102">
        <v>60460840</v>
      </c>
      <c r="DS4" s="102">
        <v>1239079859</v>
      </c>
      <c r="DT4" s="102">
        <v>166499751</v>
      </c>
      <c r="DU4" s="102">
        <v>940739745</v>
      </c>
      <c r="DV4" s="102">
        <v>16514696</v>
      </c>
      <c r="DW4" s="102">
        <v>1019823383</v>
      </c>
      <c r="DX4" s="102">
        <v>517410637</v>
      </c>
      <c r="DY4" s="102">
        <v>936650442</v>
      </c>
      <c r="DZ4" s="102">
        <v>4240917</v>
      </c>
      <c r="EA4" s="102">
        <v>225539470</v>
      </c>
      <c r="EB4" s="102">
        <v>1948780097</v>
      </c>
      <c r="EC4" s="102">
        <v>240493401</v>
      </c>
      <c r="ED4" s="102">
        <v>0</v>
      </c>
      <c r="EE4" s="102">
        <v>771022732</v>
      </c>
      <c r="EF4" s="102">
        <v>524705077</v>
      </c>
    </row>
    <row r="5" spans="1:136">
      <c r="A5" s="67" t="s">
        <v>193</v>
      </c>
      <c r="B5" s="88" t="s">
        <v>61</v>
      </c>
      <c r="C5" s="105">
        <v>539351</v>
      </c>
      <c r="D5" s="19" t="s">
        <v>188</v>
      </c>
      <c r="E5" s="105">
        <v>8565736</v>
      </c>
      <c r="F5" s="19" t="s">
        <v>188</v>
      </c>
      <c r="G5" s="19" t="s">
        <v>189</v>
      </c>
      <c r="H5" s="19" t="s">
        <v>189</v>
      </c>
      <c r="I5" s="19" t="s">
        <v>188</v>
      </c>
      <c r="J5" s="105">
        <f>30224+406661689+124440464+12000000</f>
        <v>543132377</v>
      </c>
      <c r="K5" s="105">
        <v>1837761909</v>
      </c>
      <c r="L5" s="105">
        <v>30343634</v>
      </c>
      <c r="M5" s="105">
        <v>189051752</v>
      </c>
      <c r="N5" s="19" t="s">
        <v>189</v>
      </c>
      <c r="O5" s="105">
        <v>35585979</v>
      </c>
      <c r="P5" s="105">
        <f>1751904464+24000000</f>
        <v>1775904464</v>
      </c>
      <c r="Q5" s="105">
        <v>408035418</v>
      </c>
      <c r="R5" s="105">
        <f>33350+126732786</f>
        <v>126766136</v>
      </c>
      <c r="S5" s="105">
        <v>188565255</v>
      </c>
      <c r="T5" s="106">
        <f>965160+31528542</f>
        <v>32493702</v>
      </c>
      <c r="U5" s="19" t="s">
        <v>188</v>
      </c>
      <c r="V5" s="105">
        <v>474462908</v>
      </c>
      <c r="W5" s="19" t="s">
        <v>189</v>
      </c>
      <c r="X5" s="105">
        <v>55199786</v>
      </c>
      <c r="Y5" s="19" t="s">
        <v>188</v>
      </c>
      <c r="Z5" s="105">
        <v>614113272</v>
      </c>
      <c r="AA5" s="105">
        <f>2653181+557953890+212980140</f>
        <v>773587211</v>
      </c>
      <c r="AB5" s="19" t="s">
        <v>188</v>
      </c>
      <c r="AC5" s="19" t="s">
        <v>189</v>
      </c>
      <c r="AD5" s="19" t="s">
        <v>188</v>
      </c>
      <c r="AE5" s="105">
        <v>1026667375</v>
      </c>
      <c r="AF5" s="105">
        <f>3156128+888035805+196000000</f>
        <v>1087191933</v>
      </c>
      <c r="AG5" s="105">
        <f>8867746+22099661+43500000</f>
        <v>74467407</v>
      </c>
      <c r="AH5" s="105">
        <v>65258617</v>
      </c>
      <c r="AI5" s="105">
        <f>382431503+200000000</f>
        <v>582431503</v>
      </c>
      <c r="AJ5" s="105">
        <f>2164820+284716757</f>
        <v>286881577</v>
      </c>
      <c r="AK5" s="19" t="s">
        <v>188</v>
      </c>
      <c r="AL5" s="105">
        <f>151740+838001965+5000000+8747000</f>
        <v>851900705</v>
      </c>
      <c r="AM5" s="105">
        <f>128860+741908785+118000000</f>
        <v>860037645</v>
      </c>
      <c r="AN5" s="105">
        <f>1875030</f>
        <v>1875030</v>
      </c>
      <c r="AO5" s="19" t="s">
        <v>188</v>
      </c>
      <c r="AP5" s="107">
        <v>10794106</v>
      </c>
      <c r="AQ5" s="19" t="s">
        <v>188</v>
      </c>
      <c r="AR5" s="105">
        <f>716343+960338954+25000000</f>
        <v>986055297</v>
      </c>
      <c r="AS5" s="19" t="s">
        <v>188</v>
      </c>
      <c r="AT5" s="105">
        <f>483173090+388627+2936860000</f>
        <v>3420421717</v>
      </c>
      <c r="AU5" s="105">
        <v>75225581</v>
      </c>
      <c r="AV5" s="105">
        <v>11543781</v>
      </c>
      <c r="AW5" s="105">
        <f>2430599+1939483312</f>
        <v>1941913911</v>
      </c>
      <c r="AX5" s="107">
        <f>100000+11814990</f>
        <v>11914990</v>
      </c>
      <c r="AY5" s="19" t="s">
        <v>188</v>
      </c>
      <c r="AZ5" s="105">
        <f>2720199</f>
        <v>2720199</v>
      </c>
      <c r="BA5" s="105">
        <v>3560374</v>
      </c>
      <c r="BB5" s="105">
        <f>227960+89629054+5000000</f>
        <v>94857014</v>
      </c>
      <c r="BC5" s="108">
        <f>1969299+5758298</f>
        <v>7727597</v>
      </c>
      <c r="BD5" s="105">
        <v>197845812</v>
      </c>
      <c r="BE5" s="105">
        <f>6711137+162520385</f>
        <v>169231522</v>
      </c>
      <c r="BF5" s="105">
        <f>54736963+2382360</f>
        <v>57119323</v>
      </c>
      <c r="BG5" s="105">
        <v>10375499</v>
      </c>
      <c r="BH5" s="105">
        <f>6772+312092506+10000000</f>
        <v>322099278</v>
      </c>
      <c r="BI5" s="108">
        <v>58974054</v>
      </c>
      <c r="BJ5" s="105">
        <f>66217+103512912</f>
        <v>103579129</v>
      </c>
      <c r="BK5" s="105">
        <f>931563761</f>
        <v>931563761</v>
      </c>
      <c r="BL5" s="105">
        <v>646878160</v>
      </c>
      <c r="BM5" s="105">
        <f>2067814+545604768</f>
        <v>547672582</v>
      </c>
      <c r="BN5" s="105">
        <f>567004+69834430+5022666</f>
        <v>75424100</v>
      </c>
      <c r="BO5" s="105">
        <f>2553137616+11548741</f>
        <v>2564686357</v>
      </c>
      <c r="BP5" s="105">
        <f>100404275+59960000+36628063+42213686+9635968+3904920</f>
        <v>252746912</v>
      </c>
      <c r="BQ5" s="19" t="s">
        <v>189</v>
      </c>
      <c r="BR5" s="105">
        <f>5981749</f>
        <v>5981749</v>
      </c>
      <c r="BS5" s="105">
        <f>65124+4202355075</f>
        <v>4202420199</v>
      </c>
      <c r="BT5" s="105">
        <f>24084553</f>
        <v>24084553</v>
      </c>
      <c r="BU5" s="105">
        <f>474435123</f>
        <v>474435123</v>
      </c>
      <c r="BV5" s="105">
        <f>418900+21800001</f>
        <v>22218901</v>
      </c>
      <c r="BW5" s="19" t="s">
        <v>189</v>
      </c>
      <c r="BX5" s="105">
        <f>885404339-54133260</f>
        <v>831271079</v>
      </c>
      <c r="BY5" s="105">
        <v>271555671</v>
      </c>
      <c r="BZ5" s="105">
        <f>394602926+19846184</f>
        <v>414449110</v>
      </c>
      <c r="CA5" s="105">
        <f>1618319</f>
        <v>1618319</v>
      </c>
      <c r="CB5" s="105">
        <f>85103+1892540+4800000</f>
        <v>6777643</v>
      </c>
      <c r="CC5" s="105">
        <v>7528185</v>
      </c>
      <c r="CD5" s="105">
        <f>686091+55111772</f>
        <v>55797863</v>
      </c>
      <c r="CE5" s="105">
        <f>46781140</f>
        <v>46781140</v>
      </c>
      <c r="CF5" s="105">
        <f>749857010+157500000</f>
        <v>907357010</v>
      </c>
      <c r="CG5" s="105">
        <f>380765+19614744</f>
        <v>19995509</v>
      </c>
      <c r="CH5" s="105">
        <f>817570+50891878</f>
        <v>51709448</v>
      </c>
      <c r="CI5" s="105">
        <v>13384961</v>
      </c>
      <c r="CJ5" s="105">
        <f>500000+52076070+50000000</f>
        <v>102576070</v>
      </c>
      <c r="CK5" s="19" t="s">
        <v>190</v>
      </c>
      <c r="CL5" s="105">
        <v>6400088</v>
      </c>
      <c r="CM5" s="105">
        <f>446580+66333909</f>
        <v>66780489</v>
      </c>
      <c r="CN5" s="105">
        <f>30918513</f>
        <v>30918513</v>
      </c>
      <c r="CO5" s="105">
        <v>89215611</v>
      </c>
      <c r="CP5" s="105">
        <f>673751925</f>
        <v>673751925</v>
      </c>
      <c r="CQ5" s="105">
        <v>7855729</v>
      </c>
      <c r="CR5" s="105">
        <f>1620971135+834788064</f>
        <v>2455759199</v>
      </c>
      <c r="CS5" s="105">
        <f>940052243</f>
        <v>940052243</v>
      </c>
      <c r="CT5" s="19" t="s">
        <v>190</v>
      </c>
      <c r="CU5" s="105">
        <v>124549223</v>
      </c>
      <c r="CV5" s="105">
        <f>6029+709827846+534543752</f>
        <v>1244377627</v>
      </c>
      <c r="CW5" s="19" t="s">
        <v>189</v>
      </c>
      <c r="CX5" s="105">
        <f>38215426+723231610</f>
        <v>761447036</v>
      </c>
      <c r="CY5" s="105">
        <f>1710218</f>
        <v>1710218</v>
      </c>
      <c r="CZ5" s="105">
        <f>2036223077</f>
        <v>2036223077</v>
      </c>
      <c r="DA5" s="19" t="s">
        <v>189</v>
      </c>
      <c r="DB5" s="105">
        <v>352622087</v>
      </c>
      <c r="DC5" s="109">
        <f>182083131+216623571</f>
        <v>398706702</v>
      </c>
      <c r="DD5" s="103">
        <f>421013669</f>
        <v>421013669</v>
      </c>
      <c r="DE5" s="103">
        <v>22485918</v>
      </c>
      <c r="DF5" s="103">
        <f>90071414+10000000000</f>
        <v>10090071414</v>
      </c>
      <c r="DG5" s="103">
        <f>57304014</f>
        <v>57304014</v>
      </c>
      <c r="DH5" s="110" t="s">
        <v>189</v>
      </c>
      <c r="DI5" s="103">
        <f>978064+74415176</f>
        <v>75393240</v>
      </c>
      <c r="DJ5" s="103">
        <f>343834601+90000000</f>
        <v>433834601</v>
      </c>
      <c r="DK5" s="111" t="s">
        <v>189</v>
      </c>
      <c r="DL5" s="103">
        <v>112824048</v>
      </c>
      <c r="DM5" s="102">
        <v>181141937</v>
      </c>
      <c r="DN5" s="102">
        <v>141745957</v>
      </c>
      <c r="DO5" s="102">
        <v>313896098</v>
      </c>
      <c r="DP5" s="102">
        <v>72491038</v>
      </c>
      <c r="DQ5" s="102">
        <v>48349953</v>
      </c>
      <c r="DR5" s="102">
        <v>46913581</v>
      </c>
      <c r="DS5" s="102">
        <v>299455541</v>
      </c>
      <c r="DT5" s="102">
        <v>8471043</v>
      </c>
      <c r="DU5" s="102">
        <v>95270197</v>
      </c>
      <c r="DV5" s="102">
        <v>22717339</v>
      </c>
      <c r="DW5" s="102">
        <v>1019823383</v>
      </c>
      <c r="DX5" s="102">
        <v>40156889</v>
      </c>
      <c r="DY5" s="102">
        <v>483194669</v>
      </c>
      <c r="DZ5" s="102">
        <v>4240917</v>
      </c>
      <c r="EA5" s="102">
        <v>79885070</v>
      </c>
      <c r="EB5" s="102">
        <v>1426387150</v>
      </c>
      <c r="EC5" s="102">
        <v>123392630</v>
      </c>
      <c r="ED5" s="102"/>
      <c r="EE5" s="102">
        <v>462467374</v>
      </c>
      <c r="EF5" s="102">
        <v>460471878</v>
      </c>
    </row>
    <row r="6" spans="1:136">
      <c r="A6" s="67" t="s">
        <v>193</v>
      </c>
      <c r="B6" s="88" t="s">
        <v>75</v>
      </c>
      <c r="C6" s="105"/>
      <c r="D6" s="19" t="s">
        <v>188</v>
      </c>
      <c r="E6" s="105"/>
      <c r="F6" s="19" t="s">
        <v>188</v>
      </c>
      <c r="G6" s="19" t="s">
        <v>189</v>
      </c>
      <c r="H6" s="19" t="s">
        <v>189</v>
      </c>
      <c r="I6" s="19" t="s">
        <v>188</v>
      </c>
      <c r="J6" s="105"/>
      <c r="K6" s="105"/>
      <c r="L6" s="105"/>
      <c r="M6" s="105">
        <v>30000000</v>
      </c>
      <c r="N6" s="19" t="s">
        <v>189</v>
      </c>
      <c r="O6" s="105"/>
      <c r="P6" s="105"/>
      <c r="Q6" s="105"/>
      <c r="R6" s="105"/>
      <c r="S6" s="105"/>
      <c r="T6" s="106"/>
      <c r="U6" s="19" t="s">
        <v>188</v>
      </c>
      <c r="V6" s="105">
        <v>910508560</v>
      </c>
      <c r="W6" s="19" t="s">
        <v>189</v>
      </c>
      <c r="X6" s="105">
        <v>332595099</v>
      </c>
      <c r="Y6" s="19" t="s">
        <v>188</v>
      </c>
      <c r="Z6" s="105"/>
      <c r="AA6" s="105">
        <v>238019015</v>
      </c>
      <c r="AB6" s="19" t="s">
        <v>188</v>
      </c>
      <c r="AC6" s="19" t="s">
        <v>189</v>
      </c>
      <c r="AD6" s="19" t="s">
        <v>188</v>
      </c>
      <c r="AE6" s="105"/>
      <c r="AF6" s="105"/>
      <c r="AG6" s="105"/>
      <c r="AH6" s="105">
        <v>90000000</v>
      </c>
      <c r="AI6" s="49"/>
      <c r="AJ6" s="105"/>
      <c r="AK6" s="19" t="s">
        <v>188</v>
      </c>
      <c r="AL6" s="19"/>
      <c r="AM6" s="105"/>
      <c r="AN6" s="105"/>
      <c r="AO6" s="19" t="s">
        <v>188</v>
      </c>
      <c r="AP6" s="113"/>
      <c r="AQ6" s="19" t="s">
        <v>188</v>
      </c>
      <c r="AR6" s="105"/>
      <c r="AS6" s="19" t="s">
        <v>188</v>
      </c>
      <c r="AT6" s="105"/>
      <c r="AU6" s="105"/>
      <c r="AV6" s="105"/>
      <c r="AW6" s="105"/>
      <c r="AX6" s="107"/>
      <c r="AY6" s="19" t="s">
        <v>188</v>
      </c>
      <c r="AZ6" s="105"/>
      <c r="BA6" s="105"/>
      <c r="BB6" s="105"/>
      <c r="BC6" s="108"/>
      <c r="BD6" s="105">
        <v>865518</v>
      </c>
      <c r="BE6" s="105"/>
      <c r="BF6" s="105"/>
      <c r="BG6" s="105">
        <v>0</v>
      </c>
      <c r="BH6" s="105"/>
      <c r="BI6" s="19"/>
      <c r="BJ6" s="19"/>
      <c r="BK6" s="19"/>
      <c r="BL6" s="105"/>
      <c r="BM6" s="19"/>
      <c r="BN6" s="19"/>
      <c r="BO6" s="19"/>
      <c r="BP6" s="19"/>
      <c r="BQ6" s="19" t="s">
        <v>189</v>
      </c>
      <c r="BR6" s="105">
        <f>38600000</f>
        <v>38600000</v>
      </c>
      <c r="BS6" s="19"/>
      <c r="BT6" s="105">
        <f>15500000</f>
        <v>15500000</v>
      </c>
      <c r="BU6" s="105">
        <f>1800000</f>
        <v>1800000</v>
      </c>
      <c r="BV6" s="19"/>
      <c r="BW6" s="19" t="s">
        <v>189</v>
      </c>
      <c r="BX6" s="19"/>
      <c r="BY6" s="19"/>
      <c r="BZ6" s="105"/>
      <c r="CA6" s="19"/>
      <c r="CB6" s="105">
        <v>20000000</v>
      </c>
      <c r="CC6" s="19"/>
      <c r="CD6" s="19"/>
      <c r="CE6" s="19"/>
      <c r="CF6" s="19"/>
      <c r="CG6" s="19"/>
      <c r="CH6" s="105">
        <f>1563315715</f>
        <v>1563315715</v>
      </c>
      <c r="CI6" s="19"/>
      <c r="CJ6" s="19"/>
      <c r="CK6" s="19" t="s">
        <v>190</v>
      </c>
      <c r="CL6" s="19"/>
      <c r="CM6" s="19"/>
      <c r="CN6" s="19"/>
      <c r="CO6" s="19"/>
      <c r="CP6" s="105">
        <v>200000000</v>
      </c>
      <c r="CQ6" s="19"/>
      <c r="CR6" s="19"/>
      <c r="CS6" s="19"/>
      <c r="CT6" s="19" t="s">
        <v>190</v>
      </c>
      <c r="CU6" s="19"/>
      <c r="CV6" s="19"/>
      <c r="CW6" s="19" t="s">
        <v>189</v>
      </c>
      <c r="CX6" s="19"/>
      <c r="CY6" s="19"/>
      <c r="CZ6" s="19"/>
      <c r="DA6" s="19" t="s">
        <v>189</v>
      </c>
      <c r="DB6" s="19"/>
      <c r="DC6" s="114"/>
      <c r="DD6" s="103">
        <f>100000000</f>
        <v>100000000</v>
      </c>
      <c r="DE6" s="115"/>
      <c r="DF6" s="103">
        <f>10684176938</f>
        <v>10684176938</v>
      </c>
      <c r="DG6" s="115"/>
      <c r="DH6" s="110" t="s">
        <v>189</v>
      </c>
      <c r="DI6" s="115"/>
      <c r="DJ6" s="115"/>
      <c r="DK6" s="111" t="s">
        <v>189</v>
      </c>
      <c r="DL6" s="115"/>
      <c r="DM6" s="102">
        <v>2000000</v>
      </c>
      <c r="DN6" s="102"/>
      <c r="DO6" s="102"/>
      <c r="DP6" s="102"/>
      <c r="DQ6" s="102"/>
      <c r="DR6" s="102"/>
      <c r="DS6" s="102"/>
      <c r="DT6" s="102"/>
      <c r="DU6" s="102"/>
      <c r="DV6" s="102">
        <v>-10000000</v>
      </c>
      <c r="DW6" s="102"/>
      <c r="DX6" s="102"/>
      <c r="DY6" s="102">
        <v>380000000</v>
      </c>
      <c r="DZ6" s="102"/>
      <c r="EA6" s="102"/>
      <c r="EB6" s="102"/>
      <c r="EC6" s="102"/>
      <c r="ED6" s="102"/>
      <c r="EE6" s="102">
        <v>134616068</v>
      </c>
      <c r="EF6" s="102"/>
    </row>
    <row r="7" spans="1:136">
      <c r="A7" s="67" t="s">
        <v>193</v>
      </c>
      <c r="B7" s="89" t="s">
        <v>51</v>
      </c>
      <c r="C7" s="105">
        <v>1124976</v>
      </c>
      <c r="D7" s="19" t="s">
        <v>188</v>
      </c>
      <c r="E7" s="105">
        <v>60894706</v>
      </c>
      <c r="F7" s="19" t="s">
        <v>188</v>
      </c>
      <c r="G7" s="19" t="s">
        <v>189</v>
      </c>
      <c r="H7" s="19" t="s">
        <v>189</v>
      </c>
      <c r="I7" s="19" t="s">
        <v>188</v>
      </c>
      <c r="J7" s="105">
        <f>938878672-9306282</f>
        <v>929572390</v>
      </c>
      <c r="K7" s="105">
        <v>1438030</v>
      </c>
      <c r="L7" s="105">
        <v>242816985</v>
      </c>
      <c r="M7" s="105">
        <f>40985820-743820</f>
        <v>40242000</v>
      </c>
      <c r="N7" s="19" t="s">
        <v>189</v>
      </c>
      <c r="O7" s="105"/>
      <c r="P7" s="105"/>
      <c r="Q7" s="105">
        <v>393169293</v>
      </c>
      <c r="R7" s="105">
        <v>95998740</v>
      </c>
      <c r="S7" s="105">
        <v>506675922</v>
      </c>
      <c r="T7" s="106">
        <v>44699957</v>
      </c>
      <c r="U7" s="19" t="s">
        <v>188</v>
      </c>
      <c r="V7" s="105">
        <v>24483770</v>
      </c>
      <c r="W7" s="19" t="s">
        <v>189</v>
      </c>
      <c r="X7" s="105">
        <v>41991322</v>
      </c>
      <c r="Y7" s="19" t="s">
        <v>188</v>
      </c>
      <c r="Z7" s="105">
        <f>246952881-2469528</f>
        <v>244483353</v>
      </c>
      <c r="AA7" s="105">
        <v>27704589</v>
      </c>
      <c r="AB7" s="19" t="s">
        <v>188</v>
      </c>
      <c r="AC7" s="19" t="s">
        <v>189</v>
      </c>
      <c r="AD7" s="19" t="s">
        <v>188</v>
      </c>
      <c r="AE7" s="105">
        <f>6178527-61785</f>
        <v>6116742</v>
      </c>
      <c r="AF7" s="105">
        <v>122544991</v>
      </c>
      <c r="AG7" s="105">
        <v>34343244</v>
      </c>
      <c r="AH7" s="19"/>
      <c r="AI7" s="105">
        <v>14139430</v>
      </c>
      <c r="AJ7" s="105">
        <v>10293851</v>
      </c>
      <c r="AK7" s="19" t="s">
        <v>188</v>
      </c>
      <c r="AL7" s="105">
        <v>84342034</v>
      </c>
      <c r="AM7" s="105">
        <f>8702138</f>
        <v>8702138</v>
      </c>
      <c r="AN7" s="105">
        <f>622019352</f>
        <v>622019352</v>
      </c>
      <c r="AO7" s="19" t="s">
        <v>188</v>
      </c>
      <c r="AP7" s="107">
        <v>15614932</v>
      </c>
      <c r="AQ7" s="19" t="s">
        <v>188</v>
      </c>
      <c r="AR7" s="105">
        <v>153620733</v>
      </c>
      <c r="AS7" s="19" t="s">
        <v>188</v>
      </c>
      <c r="AT7" s="105">
        <v>3359296124</v>
      </c>
      <c r="AU7" s="105">
        <v>4300000</v>
      </c>
      <c r="AV7" s="105">
        <v>1022783966</v>
      </c>
      <c r="AW7" s="105"/>
      <c r="AX7" s="107">
        <v>2017042</v>
      </c>
      <c r="AY7" s="19" t="s">
        <v>188</v>
      </c>
      <c r="AZ7" s="105">
        <f>60000</f>
        <v>60000</v>
      </c>
      <c r="BA7" s="105">
        <v>8482566</v>
      </c>
      <c r="BB7" s="105">
        <f>178974332</f>
        <v>178974332</v>
      </c>
      <c r="BC7" s="108">
        <v>4993212</v>
      </c>
      <c r="BD7" s="105">
        <v>989807</v>
      </c>
      <c r="BE7" s="105">
        <f>58912808</f>
        <v>58912808</v>
      </c>
      <c r="BF7" s="105">
        <f>50884900</f>
        <v>50884900</v>
      </c>
      <c r="BG7" s="105">
        <v>44426811</v>
      </c>
      <c r="BH7" s="105">
        <f>301348930</f>
        <v>301348930</v>
      </c>
      <c r="BI7" s="108">
        <v>866070772</v>
      </c>
      <c r="BJ7" s="19"/>
      <c r="BK7" s="19"/>
      <c r="BL7" s="105">
        <v>164755566</v>
      </c>
      <c r="BM7" s="105">
        <v>70408933</v>
      </c>
      <c r="BN7" s="105">
        <v>11799843</v>
      </c>
      <c r="BO7" s="19"/>
      <c r="BP7" s="19"/>
      <c r="BQ7" s="19" t="s">
        <v>189</v>
      </c>
      <c r="BR7" s="105">
        <f>21012723</f>
        <v>21012723</v>
      </c>
      <c r="BS7" s="105">
        <f>1062669060</f>
        <v>1062669060</v>
      </c>
      <c r="BT7" s="105">
        <f>122542654</f>
        <v>122542654</v>
      </c>
      <c r="BU7" s="105">
        <f>758981364</f>
        <v>758981364</v>
      </c>
      <c r="BV7" s="105">
        <f>51478958</f>
        <v>51478958</v>
      </c>
      <c r="BW7" s="19" t="s">
        <v>189</v>
      </c>
      <c r="BX7" s="105">
        <f>13615089</f>
        <v>13615089</v>
      </c>
      <c r="BY7" s="105">
        <f>17608330-176083</f>
        <v>17432247</v>
      </c>
      <c r="BZ7" s="105">
        <f>716854134</f>
        <v>716854134</v>
      </c>
      <c r="CA7" s="105">
        <f>254000</f>
        <v>254000</v>
      </c>
      <c r="CB7" s="105">
        <v>22501503</v>
      </c>
      <c r="CC7" s="105">
        <v>48467977</v>
      </c>
      <c r="CD7" s="19"/>
      <c r="CE7" s="19"/>
      <c r="CF7" s="105">
        <f>80079910</f>
        <v>80079910</v>
      </c>
      <c r="CG7" s="19"/>
      <c r="CH7" s="105">
        <v>1252792914</v>
      </c>
      <c r="CI7" s="105">
        <v>666000</v>
      </c>
      <c r="CJ7" s="105">
        <f>11039615</f>
        <v>11039615</v>
      </c>
      <c r="CK7" s="19" t="s">
        <v>190</v>
      </c>
      <c r="CL7" s="105">
        <v>344122999</v>
      </c>
      <c r="CM7" s="105">
        <v>5872334</v>
      </c>
      <c r="CN7" s="105">
        <f>1315395</f>
        <v>1315395</v>
      </c>
      <c r="CO7" s="105">
        <v>132750395</v>
      </c>
      <c r="CP7" s="19"/>
      <c r="CQ7" s="19"/>
      <c r="CR7" s="19"/>
      <c r="CS7" s="105">
        <f>122217305</f>
        <v>122217305</v>
      </c>
      <c r="CT7" s="19" t="s">
        <v>190</v>
      </c>
      <c r="CU7" s="105">
        <f>376813587-3768135</f>
        <v>373045452</v>
      </c>
      <c r="CV7" s="105">
        <f>205336397</f>
        <v>205336397</v>
      </c>
      <c r="CW7" s="19" t="s">
        <v>189</v>
      </c>
      <c r="CX7" s="105">
        <f>46334820</f>
        <v>46334820</v>
      </c>
      <c r="CY7" s="105">
        <f>252500</f>
        <v>252500</v>
      </c>
      <c r="CZ7" s="105">
        <v>0</v>
      </c>
      <c r="DA7" s="19" t="s">
        <v>189</v>
      </c>
      <c r="DB7" s="105">
        <v>18700000</v>
      </c>
      <c r="DC7" s="114"/>
      <c r="DD7" s="103">
        <v>1967046</v>
      </c>
      <c r="DE7" s="103">
        <v>5115000</v>
      </c>
      <c r="DF7" s="103">
        <v>351785701</v>
      </c>
      <c r="DG7" s="103">
        <f>3018940-30189</f>
        <v>2988751</v>
      </c>
      <c r="DH7" s="110" t="s">
        <v>189</v>
      </c>
      <c r="DI7" s="103">
        <f>29088367</f>
        <v>29088367</v>
      </c>
      <c r="DJ7" s="115"/>
      <c r="DK7" s="111" t="s">
        <v>189</v>
      </c>
      <c r="DL7" s="103">
        <v>53612540</v>
      </c>
      <c r="DM7" s="102">
        <v>2181900</v>
      </c>
      <c r="DN7" s="102">
        <v>4580385</v>
      </c>
      <c r="DO7" s="102">
        <v>138808791</v>
      </c>
      <c r="DP7" s="102">
        <v>50000</v>
      </c>
      <c r="DQ7" s="102">
        <v>265452591</v>
      </c>
      <c r="DR7" s="102">
        <v>12919217</v>
      </c>
      <c r="DS7" s="102">
        <v>932299962</v>
      </c>
      <c r="DT7" s="102">
        <v>151417578</v>
      </c>
      <c r="DU7" s="102">
        <v>677776577</v>
      </c>
      <c r="DV7" s="102">
        <v>2312900</v>
      </c>
      <c r="DW7" s="102"/>
      <c r="DX7" s="102">
        <v>476781740</v>
      </c>
      <c r="DY7" s="102">
        <v>69945871</v>
      </c>
      <c r="DZ7" s="102"/>
      <c r="EA7" s="102">
        <v>44074225</v>
      </c>
      <c r="EB7" s="102">
        <v>455658017</v>
      </c>
      <c r="EC7" s="102">
        <v>76750933</v>
      </c>
      <c r="ED7" s="102"/>
      <c r="EE7" s="102">
        <v>70649220</v>
      </c>
      <c r="EF7" s="102">
        <v>25328198</v>
      </c>
    </row>
    <row r="8" spans="1:136">
      <c r="A8" s="67" t="s">
        <v>193</v>
      </c>
      <c r="B8" s="89" t="s">
        <v>69</v>
      </c>
      <c r="C8" s="105"/>
      <c r="D8" s="19" t="s">
        <v>188</v>
      </c>
      <c r="E8" s="105">
        <v>10876914</v>
      </c>
      <c r="F8" s="19" t="s">
        <v>188</v>
      </c>
      <c r="G8" s="19" t="s">
        <v>189</v>
      </c>
      <c r="H8" s="19" t="s">
        <v>189</v>
      </c>
      <c r="I8" s="19" t="s">
        <v>188</v>
      </c>
      <c r="J8" s="105">
        <v>7212669</v>
      </c>
      <c r="K8" s="105"/>
      <c r="L8" s="105">
        <v>82463360</v>
      </c>
      <c r="M8" s="105">
        <f>2000000-2000000</f>
        <v>0</v>
      </c>
      <c r="N8" s="19" t="s">
        <v>189</v>
      </c>
      <c r="O8" s="105"/>
      <c r="P8" s="105"/>
      <c r="Q8" s="105"/>
      <c r="R8" s="105"/>
      <c r="S8" s="105">
        <v>2750000</v>
      </c>
      <c r="T8" s="106"/>
      <c r="U8" s="19" t="s">
        <v>188</v>
      </c>
      <c r="V8" s="105"/>
      <c r="W8" s="19" t="s">
        <v>189</v>
      </c>
      <c r="X8" s="105"/>
      <c r="Y8" s="19" t="s">
        <v>188</v>
      </c>
      <c r="Z8" s="105"/>
      <c r="AA8" s="105"/>
      <c r="AB8" s="19" t="s">
        <v>188</v>
      </c>
      <c r="AC8" s="19" t="s">
        <v>189</v>
      </c>
      <c r="AD8" s="19" t="s">
        <v>188</v>
      </c>
      <c r="AE8" s="105"/>
      <c r="AF8" s="105"/>
      <c r="AG8" s="105"/>
      <c r="AH8" s="105">
        <v>100000000</v>
      </c>
      <c r="AI8" s="105">
        <v>165000000</v>
      </c>
      <c r="AJ8" s="105"/>
      <c r="AK8" s="19" t="s">
        <v>188</v>
      </c>
      <c r="AL8" s="19"/>
      <c r="AM8" s="105"/>
      <c r="AN8" s="19"/>
      <c r="AO8" s="19" t="s">
        <v>188</v>
      </c>
      <c r="AP8" s="113"/>
      <c r="AQ8" s="19" t="s">
        <v>188</v>
      </c>
      <c r="AR8" s="105"/>
      <c r="AS8" s="19" t="s">
        <v>188</v>
      </c>
      <c r="AT8" s="105">
        <v>150000000</v>
      </c>
      <c r="AU8" s="105"/>
      <c r="AV8" s="105"/>
      <c r="AW8" s="105">
        <v>73000000</v>
      </c>
      <c r="AX8" s="107"/>
      <c r="AY8" s="19" t="s">
        <v>188</v>
      </c>
      <c r="AZ8" s="105"/>
      <c r="BA8" s="105"/>
      <c r="BB8" s="105"/>
      <c r="BC8" s="108"/>
      <c r="BD8" s="105"/>
      <c r="BE8" s="105"/>
      <c r="BF8" s="105">
        <f>23410000</f>
        <v>23410000</v>
      </c>
      <c r="BG8" s="105"/>
      <c r="BH8" s="105"/>
      <c r="BI8" s="19"/>
      <c r="BJ8" s="19"/>
      <c r="BK8" s="19"/>
      <c r="BL8" s="105">
        <v>143481139</v>
      </c>
      <c r="BM8" s="105">
        <v>119000000</v>
      </c>
      <c r="BN8" s="19"/>
      <c r="BO8" s="19"/>
      <c r="BP8" s="19"/>
      <c r="BQ8" s="19" t="s">
        <v>189</v>
      </c>
      <c r="BR8" s="105">
        <f>15100000</f>
        <v>15100000</v>
      </c>
      <c r="BS8" s="19"/>
      <c r="BT8" s="19"/>
      <c r="BU8" s="19"/>
      <c r="BV8" s="19"/>
      <c r="BW8" s="19" t="s">
        <v>189</v>
      </c>
      <c r="BX8" s="19"/>
      <c r="BY8" s="19"/>
      <c r="BZ8" s="105">
        <f>80369684</f>
        <v>80369684</v>
      </c>
      <c r="CA8" s="19"/>
      <c r="CB8" s="19"/>
      <c r="CC8" s="19"/>
      <c r="CD8" s="19"/>
      <c r="CE8" s="19"/>
      <c r="CF8" s="19"/>
      <c r="CG8" s="19"/>
      <c r="CH8" s="19"/>
      <c r="CI8" s="19"/>
      <c r="CJ8" s="19"/>
      <c r="CK8" s="19" t="s">
        <v>190</v>
      </c>
      <c r="CL8" s="105">
        <v>18000000</v>
      </c>
      <c r="CM8" s="19"/>
      <c r="CN8" s="19"/>
      <c r="CO8" s="19"/>
      <c r="CP8" s="19"/>
      <c r="CQ8" s="19"/>
      <c r="CR8" s="19"/>
      <c r="CS8" s="19"/>
      <c r="CT8" s="19" t="s">
        <v>190</v>
      </c>
      <c r="CU8" s="105">
        <v>442627257</v>
      </c>
      <c r="CV8" s="105">
        <f>106596640</f>
        <v>106596640</v>
      </c>
      <c r="CW8" s="19" t="s">
        <v>189</v>
      </c>
      <c r="CX8" s="19"/>
      <c r="CY8" s="19"/>
      <c r="CZ8" s="105">
        <f>59580500+111135868</f>
        <v>170716368</v>
      </c>
      <c r="DA8" s="19" t="s">
        <v>189</v>
      </c>
      <c r="DB8" s="19"/>
      <c r="DC8" s="109">
        <f>55416577</f>
        <v>55416577</v>
      </c>
      <c r="DD8" s="103">
        <v>18500000</v>
      </c>
      <c r="DE8" s="115"/>
      <c r="DF8" s="103">
        <v>1630000000</v>
      </c>
      <c r="DG8" s="103">
        <f>237000000</f>
        <v>237000000</v>
      </c>
      <c r="DH8" s="110" t="s">
        <v>189</v>
      </c>
      <c r="DI8" s="115"/>
      <c r="DJ8" s="103">
        <f>15196310</f>
        <v>15196310</v>
      </c>
      <c r="DK8" s="111" t="s">
        <v>189</v>
      </c>
      <c r="DL8" s="103">
        <v>15337733</v>
      </c>
      <c r="DM8" s="102"/>
      <c r="DN8" s="102"/>
      <c r="DO8" s="102"/>
      <c r="DP8" s="102"/>
      <c r="DQ8" s="102"/>
      <c r="DR8" s="102"/>
      <c r="DS8" s="102"/>
      <c r="DT8" s="102"/>
      <c r="DU8" s="102"/>
      <c r="DV8" s="102"/>
      <c r="DW8" s="102"/>
      <c r="DX8" s="102"/>
      <c r="DY8" s="102"/>
      <c r="DZ8" s="102"/>
      <c r="EA8" s="102"/>
      <c r="EB8" s="102"/>
      <c r="EC8" s="102"/>
      <c r="ED8" s="102"/>
      <c r="EE8" s="102"/>
      <c r="EF8" s="102"/>
    </row>
    <row r="9" spans="1:136">
      <c r="A9" s="67" t="s">
        <v>193</v>
      </c>
      <c r="B9" s="89" t="s">
        <v>134</v>
      </c>
      <c r="C9" s="105">
        <v>0</v>
      </c>
      <c r="D9" s="19" t="s">
        <v>188</v>
      </c>
      <c r="E9" s="105">
        <v>247000</v>
      </c>
      <c r="F9" s="19" t="s">
        <v>188</v>
      </c>
      <c r="G9" s="19" t="s">
        <v>189</v>
      </c>
      <c r="H9" s="19" t="s">
        <v>189</v>
      </c>
      <c r="I9" s="19" t="s">
        <v>188</v>
      </c>
      <c r="J9" s="105">
        <f>13856543+469054352-4690543</f>
        <v>478220352</v>
      </c>
      <c r="K9" s="105">
        <v>16170110</v>
      </c>
      <c r="L9" s="105">
        <v>1096775</v>
      </c>
      <c r="M9" s="105">
        <f>265924510-262997</f>
        <v>265661513</v>
      </c>
      <c r="N9" s="19" t="s">
        <v>189</v>
      </c>
      <c r="O9" s="105">
        <v>18000</v>
      </c>
      <c r="P9" s="105">
        <f>1530590+7557780</f>
        <v>9088370</v>
      </c>
      <c r="Q9" s="105">
        <v>239253748</v>
      </c>
      <c r="R9" s="105"/>
      <c r="S9" s="105">
        <v>23664321</v>
      </c>
      <c r="T9" s="106">
        <v>975628</v>
      </c>
      <c r="U9" s="19" t="s">
        <v>188</v>
      </c>
      <c r="V9" s="105">
        <v>0</v>
      </c>
      <c r="W9" s="19" t="s">
        <v>189</v>
      </c>
      <c r="X9" s="105">
        <v>12887099</v>
      </c>
      <c r="Y9" s="19" t="s">
        <v>188</v>
      </c>
      <c r="Z9" s="105"/>
      <c r="AA9" s="105">
        <f>2166122+80756200+725910</f>
        <v>83648232</v>
      </c>
      <c r="AB9" s="19" t="s">
        <v>188</v>
      </c>
      <c r="AC9" s="19" t="s">
        <v>189</v>
      </c>
      <c r="AD9" s="19" t="s">
        <v>188</v>
      </c>
      <c r="AE9" s="105">
        <v>16536228</v>
      </c>
      <c r="AF9" s="105"/>
      <c r="AG9" s="105">
        <v>200964</v>
      </c>
      <c r="AH9" s="105">
        <f>158700000+7577743</f>
        <v>166277743</v>
      </c>
      <c r="AI9" s="105">
        <f>7515218+1217806</f>
        <v>8733024</v>
      </c>
      <c r="AJ9" s="105"/>
      <c r="AK9" s="19" t="s">
        <v>188</v>
      </c>
      <c r="AL9" s="19"/>
      <c r="AM9" s="105"/>
      <c r="AN9" s="19"/>
      <c r="AO9" s="19" t="s">
        <v>188</v>
      </c>
      <c r="AP9" s="113"/>
      <c r="AQ9" s="19" t="s">
        <v>188</v>
      </c>
      <c r="AR9" s="105">
        <f>1036038+182482608</f>
        <v>183518646</v>
      </c>
      <c r="AS9" s="19" t="s">
        <v>188</v>
      </c>
      <c r="AT9" s="105">
        <v>3626038</v>
      </c>
      <c r="AU9" s="105"/>
      <c r="AV9" s="105">
        <v>401896</v>
      </c>
      <c r="AW9" s="105">
        <v>493717622</v>
      </c>
      <c r="AX9" s="107">
        <v>336630</v>
      </c>
      <c r="AY9" s="19" t="s">
        <v>188</v>
      </c>
      <c r="AZ9" s="105"/>
      <c r="BA9" s="105">
        <v>625500</v>
      </c>
      <c r="BB9" s="105"/>
      <c r="BC9" s="108"/>
      <c r="BD9" s="105">
        <v>30400</v>
      </c>
      <c r="BE9" s="105">
        <f>2183822+9902030</f>
        <v>12085852</v>
      </c>
      <c r="BF9" s="105"/>
      <c r="BG9" s="105">
        <v>29613680</v>
      </c>
      <c r="BH9" s="105">
        <f>3803832</f>
        <v>3803832</v>
      </c>
      <c r="BI9" s="19"/>
      <c r="BJ9" s="105">
        <v>178676257</v>
      </c>
      <c r="BK9" s="19"/>
      <c r="BL9" s="105">
        <v>9623936</v>
      </c>
      <c r="BM9" s="105">
        <v>2737793</v>
      </c>
      <c r="BN9" s="105">
        <f>8752+2152174</f>
        <v>2160926</v>
      </c>
      <c r="BO9" s="105">
        <f>270120366</f>
        <v>270120366</v>
      </c>
      <c r="BP9" s="105">
        <f>168281840</f>
        <v>168281840</v>
      </c>
      <c r="BQ9" s="19" t="s">
        <v>189</v>
      </c>
      <c r="BR9" s="19"/>
      <c r="BS9" s="105">
        <f>45112660</f>
        <v>45112660</v>
      </c>
      <c r="BT9" s="105">
        <f>7829895</f>
        <v>7829895</v>
      </c>
      <c r="BU9" s="19"/>
      <c r="BV9" s="105">
        <f>6238161</f>
        <v>6238161</v>
      </c>
      <c r="BW9" s="19" t="s">
        <v>189</v>
      </c>
      <c r="BX9" s="105">
        <f>35000</f>
        <v>35000</v>
      </c>
      <c r="BY9" s="19"/>
      <c r="BZ9" s="105">
        <f>28478866</f>
        <v>28478866</v>
      </c>
      <c r="CA9" s="105">
        <f>598239</f>
        <v>598239</v>
      </c>
      <c r="CB9" s="19"/>
      <c r="CC9" s="105">
        <v>1199479</v>
      </c>
      <c r="CD9" s="105">
        <f>2590</f>
        <v>2590</v>
      </c>
      <c r="CE9" s="105">
        <f>9449970</f>
        <v>9449970</v>
      </c>
      <c r="CF9" s="105">
        <f>1710000</f>
        <v>1710000</v>
      </c>
      <c r="CG9" s="19"/>
      <c r="CH9" s="105">
        <v>22508682</v>
      </c>
      <c r="CI9" s="19"/>
      <c r="CJ9" s="105">
        <f>221810</f>
        <v>221810</v>
      </c>
      <c r="CK9" s="19" t="s">
        <v>190</v>
      </c>
      <c r="CL9" s="105">
        <v>80000000</v>
      </c>
      <c r="CM9" s="19"/>
      <c r="CN9" s="19"/>
      <c r="CO9" s="105">
        <v>196083</v>
      </c>
      <c r="CP9" s="105">
        <f>199908504</f>
        <v>199908504</v>
      </c>
      <c r="CQ9" s="105">
        <v>2368587</v>
      </c>
      <c r="CR9" s="105">
        <v>242702250</v>
      </c>
      <c r="CS9" s="105">
        <f>37221905</f>
        <v>37221905</v>
      </c>
      <c r="CT9" s="19" t="s">
        <v>190</v>
      </c>
      <c r="CU9" s="105">
        <v>25349336</v>
      </c>
      <c r="CV9" s="105">
        <f>747982902</f>
        <v>747982902</v>
      </c>
      <c r="CW9" s="19" t="s">
        <v>189</v>
      </c>
      <c r="CX9" s="105">
        <v>0</v>
      </c>
      <c r="CY9" s="105">
        <f>235480</f>
        <v>235480</v>
      </c>
      <c r="CZ9" s="105">
        <f>5894000+57575691</f>
        <v>63469691</v>
      </c>
      <c r="DA9" s="19" t="s">
        <v>189</v>
      </c>
      <c r="DB9" s="105">
        <f>3684849</f>
        <v>3684849</v>
      </c>
      <c r="DC9" s="114"/>
      <c r="DD9" s="103">
        <v>159621185</v>
      </c>
      <c r="DE9" s="115"/>
      <c r="DF9" s="103">
        <v>293713723</v>
      </c>
      <c r="DG9" s="103">
        <f>10665401+4337750</f>
        <v>15003151</v>
      </c>
      <c r="DH9" s="110" t="s">
        <v>189</v>
      </c>
      <c r="DI9" s="103">
        <f>1485472537</f>
        <v>1485472537</v>
      </c>
      <c r="DJ9" s="115"/>
      <c r="DK9" s="111" t="s">
        <v>189</v>
      </c>
      <c r="DL9" s="103">
        <v>461258</v>
      </c>
      <c r="DM9" s="102">
        <v>0</v>
      </c>
      <c r="DN9" s="102">
        <v>382970</v>
      </c>
      <c r="DO9" s="102">
        <v>5459756</v>
      </c>
      <c r="DP9" s="102">
        <v>790929</v>
      </c>
      <c r="DQ9" s="102">
        <v>113740</v>
      </c>
      <c r="DR9" s="102"/>
      <c r="DS9" s="102">
        <v>4080781</v>
      </c>
      <c r="DT9" s="102"/>
      <c r="DU9" s="102"/>
      <c r="DV9" s="102">
        <v>162737</v>
      </c>
      <c r="DW9" s="102"/>
      <c r="DX9" s="102"/>
      <c r="DY9" s="102">
        <v>5682</v>
      </c>
      <c r="DZ9" s="102"/>
      <c r="EA9" s="102">
        <v>8108170</v>
      </c>
      <c r="EB9" s="102"/>
      <c r="EC9" s="102">
        <v>180000</v>
      </c>
      <c r="ED9" s="102"/>
      <c r="EE9" s="102"/>
      <c r="EF9" s="102">
        <v>33103001</v>
      </c>
    </row>
    <row r="10" spans="1:136">
      <c r="A10" s="67" t="s">
        <v>193</v>
      </c>
      <c r="B10" s="89" t="s">
        <v>135</v>
      </c>
      <c r="C10" s="105">
        <v>50806182</v>
      </c>
      <c r="D10" s="19" t="s">
        <v>188</v>
      </c>
      <c r="E10" s="105">
        <f>2007500+95106+4210</f>
        <v>2106816</v>
      </c>
      <c r="F10" s="19" t="s">
        <v>188</v>
      </c>
      <c r="G10" s="19" t="s">
        <v>189</v>
      </c>
      <c r="H10" s="19" t="s">
        <v>189</v>
      </c>
      <c r="I10" s="19" t="s">
        <v>188</v>
      </c>
      <c r="J10" s="105">
        <f>56006180+6329260</f>
        <v>62335440</v>
      </c>
      <c r="K10" s="105"/>
      <c r="L10" s="105">
        <v>5625000</v>
      </c>
      <c r="M10" s="105">
        <f>1059829+696748+34978891+6670+650</f>
        <v>36742788</v>
      </c>
      <c r="N10" s="19" t="s">
        <v>189</v>
      </c>
      <c r="O10" s="105">
        <v>1280</v>
      </c>
      <c r="P10" s="107">
        <v>9092305</v>
      </c>
      <c r="Q10" s="105">
        <v>240092783</v>
      </c>
      <c r="R10" s="105">
        <f>9856934+7602078+1429250</f>
        <v>18888262</v>
      </c>
      <c r="S10" s="105">
        <v>66051345</v>
      </c>
      <c r="T10" s="106">
        <v>1415425</v>
      </c>
      <c r="U10" s="19" t="s">
        <v>188</v>
      </c>
      <c r="V10" s="105">
        <v>163010</v>
      </c>
      <c r="W10" s="19" t="s">
        <v>189</v>
      </c>
      <c r="X10" s="105">
        <f>4697811+3700000</f>
        <v>8397811</v>
      </c>
      <c r="Y10" s="19" t="s">
        <v>188</v>
      </c>
      <c r="Z10" s="105">
        <f>1455150+5760843</f>
        <v>7215993</v>
      </c>
      <c r="AA10" s="105">
        <f>96070201+1130160</f>
        <v>97200361</v>
      </c>
      <c r="AB10" s="19" t="s">
        <v>188</v>
      </c>
      <c r="AC10" s="19" t="s">
        <v>189</v>
      </c>
      <c r="AD10" s="19" t="s">
        <v>188</v>
      </c>
      <c r="AE10" s="105">
        <f>123452891-1234528+14679749+108720</f>
        <v>137006832</v>
      </c>
      <c r="AF10" s="105">
        <f>13359083+158340</f>
        <v>13517423</v>
      </c>
      <c r="AG10" s="105">
        <v>0</v>
      </c>
      <c r="AH10" s="105">
        <f>2820010+3308712</f>
        <v>6128722</v>
      </c>
      <c r="AI10" s="105">
        <v>5573643</v>
      </c>
      <c r="AJ10" s="105">
        <v>404020</v>
      </c>
      <c r="AK10" s="19" t="s">
        <v>188</v>
      </c>
      <c r="AL10" s="105">
        <v>17361891</v>
      </c>
      <c r="AM10" s="19"/>
      <c r="AN10" s="105">
        <f>45663350</f>
        <v>45663350</v>
      </c>
      <c r="AO10" s="19" t="s">
        <v>188</v>
      </c>
      <c r="AP10" s="107">
        <f>390000+95091770</f>
        <v>95481770</v>
      </c>
      <c r="AQ10" s="19" t="s">
        <v>188</v>
      </c>
      <c r="AR10" s="105">
        <f>12405299+77105774</f>
        <v>89511073</v>
      </c>
      <c r="AS10" s="19" t="s">
        <v>188</v>
      </c>
      <c r="AT10" s="105">
        <f>198885546+5565938</f>
        <v>204451484</v>
      </c>
      <c r="AU10" s="105">
        <f>308389+1470</f>
        <v>309859</v>
      </c>
      <c r="AV10" s="105">
        <f>21545576+8752187</f>
        <v>30297763</v>
      </c>
      <c r="AW10" s="105">
        <f>81352150+22449827+959050</f>
        <v>104761027</v>
      </c>
      <c r="AX10" s="107">
        <v>413000</v>
      </c>
      <c r="AY10" s="19" t="s">
        <v>188</v>
      </c>
      <c r="AZ10" s="105"/>
      <c r="BA10" s="105"/>
      <c r="BB10" s="105">
        <f>9166813+16650</f>
        <v>9183463</v>
      </c>
      <c r="BC10" s="108">
        <v>2520611</v>
      </c>
      <c r="BD10" s="19"/>
      <c r="BE10" s="105">
        <f>3660700+52813600+538920</f>
        <v>57013220</v>
      </c>
      <c r="BF10" s="105">
        <f>76045550+3070</f>
        <v>76048620</v>
      </c>
      <c r="BG10" s="105">
        <f>33677+4001760+326950</f>
        <v>4362387</v>
      </c>
      <c r="BH10" s="105">
        <f>118952800+5718931+54770</f>
        <v>124726501</v>
      </c>
      <c r="BI10" s="108">
        <v>94868709</v>
      </c>
      <c r="BJ10" s="105">
        <v>0</v>
      </c>
      <c r="BK10" s="105">
        <f>21000000</f>
        <v>21000000</v>
      </c>
      <c r="BL10" s="105">
        <f>49927000+2711037</f>
        <v>52638037</v>
      </c>
      <c r="BM10" s="105">
        <f>8478019+4679990</f>
        <v>13158009</v>
      </c>
      <c r="BN10" s="105">
        <f>9470136+1747312+3570</f>
        <v>11221018</v>
      </c>
      <c r="BO10" s="19"/>
      <c r="BP10" s="105">
        <v>0</v>
      </c>
      <c r="BQ10" s="19" t="s">
        <v>189</v>
      </c>
      <c r="BR10" s="105">
        <f>50223000+38648000</f>
        <v>88871000</v>
      </c>
      <c r="BS10" s="105">
        <f>3000000+51890</f>
        <v>3051890</v>
      </c>
      <c r="BT10" s="105">
        <f>76860316+41200</f>
        <v>76901516</v>
      </c>
      <c r="BU10" s="105">
        <f>244673966+4853860+2154708</f>
        <v>251682534</v>
      </c>
      <c r="BV10" s="105">
        <f>107935069</f>
        <v>107935069</v>
      </c>
      <c r="BW10" s="19" t="s">
        <v>189</v>
      </c>
      <c r="BX10" s="105">
        <f>841964+1498221+190526</f>
        <v>2530711</v>
      </c>
      <c r="BY10" s="19"/>
      <c r="BZ10" s="105"/>
      <c r="CA10" s="105">
        <f>2000000</f>
        <v>2000000</v>
      </c>
      <c r="CB10" s="105">
        <v>1929717</v>
      </c>
      <c r="CC10" s="19"/>
      <c r="CD10" s="105">
        <f>176875</f>
        <v>176875</v>
      </c>
      <c r="CE10" s="105">
        <f>8622085</f>
        <v>8622085</v>
      </c>
      <c r="CF10" s="105">
        <f>7384088+403450</f>
        <v>7787538</v>
      </c>
      <c r="CG10" s="105">
        <v>3030</v>
      </c>
      <c r="CH10" s="105">
        <f>13867948+1328904171+18960</f>
        <v>1342791079</v>
      </c>
      <c r="CI10" s="105">
        <v>189508</v>
      </c>
      <c r="CJ10" s="105">
        <f>917397+145150</f>
        <v>1062547</v>
      </c>
      <c r="CK10" s="19" t="s">
        <v>190</v>
      </c>
      <c r="CL10" s="105">
        <v>56778249</v>
      </c>
      <c r="CM10" s="105">
        <f>1359600+4230</f>
        <v>1363830</v>
      </c>
      <c r="CN10" s="105">
        <f>742000</f>
        <v>742000</v>
      </c>
      <c r="CO10" s="19"/>
      <c r="CP10" s="105">
        <f>3179050+6064752</f>
        <v>9243802</v>
      </c>
      <c r="CQ10" s="19"/>
      <c r="CR10" s="105">
        <v>0</v>
      </c>
      <c r="CS10" s="105">
        <f>24910918+6479536+4300</f>
        <v>31394754</v>
      </c>
      <c r="CT10" s="19" t="s">
        <v>190</v>
      </c>
      <c r="CU10" s="19"/>
      <c r="CV10" s="105">
        <f>180387370</f>
        <v>180387370</v>
      </c>
      <c r="CW10" s="19" t="s">
        <v>189</v>
      </c>
      <c r="CX10" s="105">
        <f>205000+947043</f>
        <v>1152043</v>
      </c>
      <c r="CY10" s="105">
        <f>61298</f>
        <v>61298</v>
      </c>
      <c r="CZ10" s="105">
        <f>12740469+1417899+206340</f>
        <v>14364708</v>
      </c>
      <c r="DA10" s="19" t="s">
        <v>189</v>
      </c>
      <c r="DB10" s="19"/>
      <c r="DC10" s="109">
        <f>1865620</f>
        <v>1865620</v>
      </c>
      <c r="DD10" s="103">
        <f>9772645+5960998</f>
        <v>15733643</v>
      </c>
      <c r="DE10" s="103">
        <f>20426659+9490391+1542830</f>
        <v>31459880</v>
      </c>
      <c r="DF10" s="103">
        <v>66544827</v>
      </c>
      <c r="DG10" s="103">
        <f>132000+826616</f>
        <v>958616</v>
      </c>
      <c r="DH10" s="110" t="s">
        <v>189</v>
      </c>
      <c r="DI10" s="103">
        <f>56207550+10610959+20890</f>
        <v>66839399</v>
      </c>
      <c r="DJ10" s="103">
        <f>376447+1252350</f>
        <v>1628797</v>
      </c>
      <c r="DK10" s="111" t="s">
        <v>189</v>
      </c>
      <c r="DL10" s="103">
        <f>3988000+1587948</f>
        <v>5575948</v>
      </c>
      <c r="DM10" s="102">
        <v>41926523</v>
      </c>
      <c r="DN10" s="102">
        <v>833890</v>
      </c>
      <c r="DO10" s="102">
        <v>16979760</v>
      </c>
      <c r="DP10" s="102">
        <v>2756759</v>
      </c>
      <c r="DQ10" s="102">
        <v>7300</v>
      </c>
      <c r="DR10" s="102"/>
      <c r="DS10" s="102">
        <v>3243575</v>
      </c>
      <c r="DT10" s="102">
        <v>6609470</v>
      </c>
      <c r="DU10" s="102">
        <v>163315241</v>
      </c>
      <c r="DV10" s="102">
        <v>1321720</v>
      </c>
      <c r="DW10" s="102"/>
      <c r="DX10" s="102">
        <v>472008</v>
      </c>
      <c r="DY10" s="102">
        <v>3504220</v>
      </c>
      <c r="DZ10" s="102"/>
      <c r="EA10" s="102">
        <v>93472005</v>
      </c>
      <c r="EB10" s="102">
        <v>66734930</v>
      </c>
      <c r="EC10" s="102">
        <v>40169838</v>
      </c>
      <c r="ED10" s="102"/>
      <c r="EE10" s="102">
        <v>103290070</v>
      </c>
      <c r="EF10" s="102">
        <v>5802000</v>
      </c>
    </row>
    <row r="11" spans="1:136">
      <c r="A11" s="67" t="s">
        <v>193</v>
      </c>
      <c r="B11" s="89" t="s">
        <v>40</v>
      </c>
      <c r="C11" s="105"/>
      <c r="D11" s="19" t="s">
        <v>188</v>
      </c>
      <c r="E11" s="105"/>
      <c r="F11" s="19" t="s">
        <v>188</v>
      </c>
      <c r="G11" s="19" t="s">
        <v>189</v>
      </c>
      <c r="H11" s="19" t="s">
        <v>189</v>
      </c>
      <c r="I11" s="19" t="s">
        <v>188</v>
      </c>
      <c r="J11" s="105"/>
      <c r="K11" s="105"/>
      <c r="L11" s="105">
        <v>30504</v>
      </c>
      <c r="M11" s="105"/>
      <c r="N11" s="19" t="s">
        <v>189</v>
      </c>
      <c r="O11" s="105"/>
      <c r="P11" s="105"/>
      <c r="Q11" s="105"/>
      <c r="R11" s="105"/>
      <c r="S11" s="105"/>
      <c r="T11" s="106">
        <v>51068590</v>
      </c>
      <c r="U11" s="19" t="s">
        <v>188</v>
      </c>
      <c r="V11" s="105"/>
      <c r="W11" s="19" t="s">
        <v>189</v>
      </c>
      <c r="X11" s="105"/>
      <c r="Y11" s="19" t="s">
        <v>188</v>
      </c>
      <c r="Z11" s="105"/>
      <c r="AA11" s="105">
        <v>798780</v>
      </c>
      <c r="AB11" s="19" t="s">
        <v>188</v>
      </c>
      <c r="AC11" s="19" t="s">
        <v>189</v>
      </c>
      <c r="AD11" s="19" t="s">
        <v>188</v>
      </c>
      <c r="AE11" s="105"/>
      <c r="AF11" s="19"/>
      <c r="AG11" s="105"/>
      <c r="AH11" s="105">
        <v>0</v>
      </c>
      <c r="AI11" s="19"/>
      <c r="AJ11" s="105"/>
      <c r="AK11" s="19" t="s">
        <v>188</v>
      </c>
      <c r="AL11" s="19"/>
      <c r="AM11" s="19"/>
      <c r="AN11" s="19"/>
      <c r="AO11" s="19" t="s">
        <v>188</v>
      </c>
      <c r="AP11" s="107">
        <v>8843246</v>
      </c>
      <c r="AQ11" s="19" t="s">
        <v>188</v>
      </c>
      <c r="AR11" s="105"/>
      <c r="AS11" s="19" t="s">
        <v>188</v>
      </c>
      <c r="AT11" s="105"/>
      <c r="AU11" s="19"/>
      <c r="AV11" s="19"/>
      <c r="AW11" s="19"/>
      <c r="AX11" s="113"/>
      <c r="AY11" s="19" t="s">
        <v>188</v>
      </c>
      <c r="AZ11" s="105"/>
      <c r="BA11" s="105"/>
      <c r="BB11" s="105">
        <f>43150</f>
        <v>43150</v>
      </c>
      <c r="BC11" s="19"/>
      <c r="BD11" s="19"/>
      <c r="BE11" s="105">
        <f>68391360</f>
        <v>68391360</v>
      </c>
      <c r="BF11" s="105"/>
      <c r="BG11" s="19"/>
      <c r="BH11" s="105"/>
      <c r="BI11" s="19"/>
      <c r="BJ11" s="19"/>
      <c r="BK11" s="19"/>
      <c r="BL11" s="19"/>
      <c r="BM11" s="19"/>
      <c r="BN11" s="19"/>
      <c r="BO11" s="19"/>
      <c r="BP11" s="19"/>
      <c r="BQ11" s="19" t="s">
        <v>189</v>
      </c>
      <c r="BR11" s="105">
        <f>2167320</f>
        <v>2167320</v>
      </c>
      <c r="BS11" s="19"/>
      <c r="BT11" s="19"/>
      <c r="BU11" s="19"/>
      <c r="BV11" s="105"/>
      <c r="BW11" s="19" t="s">
        <v>189</v>
      </c>
      <c r="BX11" s="19"/>
      <c r="BY11" s="19"/>
      <c r="BZ11" s="105"/>
      <c r="CA11" s="19"/>
      <c r="CB11" s="19"/>
      <c r="CC11" s="19"/>
      <c r="CD11" s="105"/>
      <c r="CE11" s="19"/>
      <c r="CF11" s="105">
        <f>77850000</f>
        <v>77850000</v>
      </c>
      <c r="CG11" s="105"/>
      <c r="CH11" s="19"/>
      <c r="CI11" s="19"/>
      <c r="CJ11" s="19"/>
      <c r="CK11" s="19" t="s">
        <v>190</v>
      </c>
      <c r="CL11" s="19"/>
      <c r="CM11" s="19"/>
      <c r="CN11" s="19"/>
      <c r="CO11" s="19"/>
      <c r="CP11" s="19"/>
      <c r="CQ11" s="19"/>
      <c r="CR11" s="19"/>
      <c r="CS11" s="19"/>
      <c r="CT11" s="19" t="s">
        <v>190</v>
      </c>
      <c r="CU11" s="19"/>
      <c r="CV11" s="19"/>
      <c r="CW11" s="19" t="s">
        <v>189</v>
      </c>
      <c r="CX11" s="19"/>
      <c r="CY11" s="19"/>
      <c r="CZ11" s="19"/>
      <c r="DA11" s="19" t="s">
        <v>189</v>
      </c>
      <c r="DB11" s="19"/>
      <c r="DC11" s="114"/>
      <c r="DD11" s="103">
        <v>18000000</v>
      </c>
      <c r="DE11" s="115"/>
      <c r="DF11" s="115"/>
      <c r="DG11" s="115"/>
      <c r="DH11" s="110" t="s">
        <v>189</v>
      </c>
      <c r="DI11" s="115"/>
      <c r="DJ11" s="115"/>
      <c r="DK11" s="111" t="s">
        <v>189</v>
      </c>
      <c r="DL11" s="115"/>
      <c r="DM11" s="102"/>
      <c r="DN11" s="102"/>
      <c r="DO11" s="102">
        <v>94940181</v>
      </c>
      <c r="DP11" s="102"/>
      <c r="DQ11" s="102"/>
      <c r="DR11" s="102">
        <v>628042</v>
      </c>
      <c r="DS11" s="102"/>
      <c r="DT11" s="102">
        <v>1660</v>
      </c>
      <c r="DU11" s="102">
        <v>4377730</v>
      </c>
      <c r="DV11" s="102"/>
      <c r="DW11" s="102"/>
      <c r="DX11" s="102"/>
      <c r="DY11" s="102"/>
      <c r="DZ11" s="102"/>
      <c r="EA11" s="102"/>
      <c r="EB11" s="102"/>
      <c r="EC11" s="102"/>
      <c r="ED11" s="102"/>
      <c r="EE11" s="102"/>
      <c r="EF11" s="102"/>
    </row>
    <row r="12" spans="1:136">
      <c r="A12" s="67" t="s">
        <v>193</v>
      </c>
      <c r="B12" s="90" t="s">
        <v>30</v>
      </c>
      <c r="C12" s="105">
        <v>186108500</v>
      </c>
      <c r="D12" s="19" t="s">
        <v>188</v>
      </c>
      <c r="E12" s="105">
        <v>52200000</v>
      </c>
      <c r="F12" s="19" t="s">
        <v>188</v>
      </c>
      <c r="G12" s="19" t="s">
        <v>189</v>
      </c>
      <c r="H12" s="19" t="s">
        <v>189</v>
      </c>
      <c r="I12" s="19" t="s">
        <v>188</v>
      </c>
      <c r="J12" s="105">
        <v>886496049</v>
      </c>
      <c r="K12" s="105">
        <v>167832000</v>
      </c>
      <c r="L12" s="105">
        <v>498783790</v>
      </c>
      <c r="M12" s="105">
        <v>0</v>
      </c>
      <c r="N12" s="19" t="s">
        <v>189</v>
      </c>
      <c r="O12" s="105">
        <v>0</v>
      </c>
      <c r="P12" s="105"/>
      <c r="Q12" s="105">
        <v>944818471</v>
      </c>
      <c r="R12" s="105">
        <v>499861311</v>
      </c>
      <c r="S12" s="105">
        <v>93441648</v>
      </c>
      <c r="T12" s="106">
        <v>189300000</v>
      </c>
      <c r="U12" s="19" t="s">
        <v>188</v>
      </c>
      <c r="V12" s="105"/>
      <c r="W12" s="19" t="s">
        <v>189</v>
      </c>
      <c r="X12" s="105">
        <v>120290700</v>
      </c>
      <c r="Y12" s="19" t="s">
        <v>188</v>
      </c>
      <c r="Z12" s="105"/>
      <c r="AA12" s="105">
        <v>136015570</v>
      </c>
      <c r="AB12" s="19" t="s">
        <v>188</v>
      </c>
      <c r="AC12" s="19" t="s">
        <v>189</v>
      </c>
      <c r="AD12" s="19" t="s">
        <v>188</v>
      </c>
      <c r="AE12" s="105">
        <v>597134757</v>
      </c>
      <c r="AF12" s="105">
        <v>100797960</v>
      </c>
      <c r="AG12" s="105">
        <v>0</v>
      </c>
      <c r="AH12" s="19"/>
      <c r="AI12" s="105">
        <v>16628140</v>
      </c>
      <c r="AJ12" s="105">
        <v>588527863</v>
      </c>
      <c r="AK12" s="19" t="s">
        <v>188</v>
      </c>
      <c r="AL12" s="105">
        <v>32364940</v>
      </c>
      <c r="AM12" s="105">
        <f>46165461</f>
        <v>46165461</v>
      </c>
      <c r="AN12" s="105">
        <f>76528450</f>
        <v>76528450</v>
      </c>
      <c r="AO12" s="19" t="s">
        <v>188</v>
      </c>
      <c r="AP12" s="107">
        <v>187660888</v>
      </c>
      <c r="AQ12" s="19" t="s">
        <v>188</v>
      </c>
      <c r="AR12" s="105">
        <v>146043299</v>
      </c>
      <c r="AS12" s="19" t="s">
        <v>188</v>
      </c>
      <c r="AT12" s="105">
        <v>475302770</v>
      </c>
      <c r="AU12" s="19"/>
      <c r="AV12" s="19"/>
      <c r="AW12" s="105">
        <v>70143210</v>
      </c>
      <c r="AX12" s="107">
        <v>6045306</v>
      </c>
      <c r="AY12" s="19" t="s">
        <v>188</v>
      </c>
      <c r="AZ12" s="105">
        <f>1153910</f>
        <v>1153910</v>
      </c>
      <c r="BA12" s="105">
        <v>51370638</v>
      </c>
      <c r="BB12" s="105">
        <f>733229432</f>
        <v>733229432</v>
      </c>
      <c r="BC12" s="105">
        <v>44660419</v>
      </c>
      <c r="BD12" s="105">
        <v>0</v>
      </c>
      <c r="BE12" s="105">
        <f>216483637</f>
        <v>216483637</v>
      </c>
      <c r="BF12" s="105">
        <f>427794800</f>
        <v>427794800</v>
      </c>
      <c r="BG12" s="105">
        <v>0</v>
      </c>
      <c r="BH12" s="105">
        <v>0</v>
      </c>
      <c r="BI12" s="108">
        <v>472515957</v>
      </c>
      <c r="BJ12" s="105">
        <v>206495090</v>
      </c>
      <c r="BK12" s="19"/>
      <c r="BL12" s="105">
        <v>210875600</v>
      </c>
      <c r="BM12" s="105">
        <v>0</v>
      </c>
      <c r="BN12" s="105">
        <v>125818595</v>
      </c>
      <c r="BO12" s="105">
        <v>0</v>
      </c>
      <c r="BP12" s="105">
        <v>0</v>
      </c>
      <c r="BQ12" s="19" t="s">
        <v>189</v>
      </c>
      <c r="BR12" s="105">
        <f>228602830</f>
        <v>228602830</v>
      </c>
      <c r="BS12" s="105">
        <v>0</v>
      </c>
      <c r="BT12" s="105">
        <f>129960000</f>
        <v>129960000</v>
      </c>
      <c r="BU12" s="105">
        <f>821024690</f>
        <v>821024690</v>
      </c>
      <c r="BV12" s="105">
        <f>568707673</f>
        <v>568707673</v>
      </c>
      <c r="BW12" s="19" t="s">
        <v>189</v>
      </c>
      <c r="BX12" s="105">
        <v>0</v>
      </c>
      <c r="BY12" s="19"/>
      <c r="BZ12" s="105">
        <v>0</v>
      </c>
      <c r="CA12" s="19"/>
      <c r="CB12" s="105">
        <v>0</v>
      </c>
      <c r="CC12" s="105">
        <v>138117265</v>
      </c>
      <c r="CD12" s="105">
        <v>0</v>
      </c>
      <c r="CE12" s="105">
        <f>160000000</f>
        <v>160000000</v>
      </c>
      <c r="CF12" s="105">
        <v>0</v>
      </c>
      <c r="CG12" s="105">
        <v>0</v>
      </c>
      <c r="CH12" s="105">
        <f>173796845</f>
        <v>173796845</v>
      </c>
      <c r="CI12" s="19"/>
      <c r="CJ12" s="105">
        <f>9593818</f>
        <v>9593818</v>
      </c>
      <c r="CK12" s="19" t="s">
        <v>190</v>
      </c>
      <c r="CL12" s="105">
        <v>189057845</v>
      </c>
      <c r="CM12" s="105">
        <v>0</v>
      </c>
      <c r="CN12" s="105">
        <f>4841145</f>
        <v>4841145</v>
      </c>
      <c r="CO12" s="105">
        <v>108787147</v>
      </c>
      <c r="CP12" s="105">
        <f>17291136</f>
        <v>17291136</v>
      </c>
      <c r="CQ12" s="105">
        <v>0</v>
      </c>
      <c r="CR12" s="105">
        <v>0</v>
      </c>
      <c r="CS12" s="19"/>
      <c r="CT12" s="19" t="s">
        <v>190</v>
      </c>
      <c r="CU12" s="105">
        <v>0</v>
      </c>
      <c r="CV12" s="105">
        <f>861907310</f>
        <v>861907310</v>
      </c>
      <c r="CW12" s="19" t="s">
        <v>189</v>
      </c>
      <c r="CX12" s="105">
        <v>0</v>
      </c>
      <c r="CY12" s="105">
        <f>10016000</f>
        <v>10016000</v>
      </c>
      <c r="CZ12" s="105">
        <f>629077999</f>
        <v>629077999</v>
      </c>
      <c r="DA12" s="19" t="s">
        <v>189</v>
      </c>
      <c r="DB12" s="105">
        <v>0</v>
      </c>
      <c r="DC12" s="114"/>
      <c r="DD12" s="103">
        <v>0</v>
      </c>
      <c r="DE12" s="103">
        <v>0</v>
      </c>
      <c r="DF12" s="103">
        <v>4159143154</v>
      </c>
      <c r="DG12" s="103">
        <f>36658736</f>
        <v>36658736</v>
      </c>
      <c r="DH12" s="110" t="s">
        <v>189</v>
      </c>
      <c r="DI12" s="103">
        <v>301257049</v>
      </c>
      <c r="DJ12" s="103">
        <v>0</v>
      </c>
      <c r="DK12" s="111" t="s">
        <v>189</v>
      </c>
      <c r="DL12" s="103">
        <v>107560000</v>
      </c>
      <c r="DM12" s="102">
        <v>64150847</v>
      </c>
      <c r="DN12" s="102"/>
      <c r="DO12" s="102">
        <v>18187447</v>
      </c>
      <c r="DP12" s="102">
        <v>1016000</v>
      </c>
      <c r="DQ12" s="102">
        <v>295000000</v>
      </c>
      <c r="DR12" s="102">
        <v>184823398</v>
      </c>
      <c r="DS12" s="102">
        <v>51380250</v>
      </c>
      <c r="DT12" s="102">
        <v>250003200</v>
      </c>
      <c r="DU12" s="102">
        <v>148064200</v>
      </c>
      <c r="DV12" s="102"/>
      <c r="DW12" s="102">
        <v>0</v>
      </c>
      <c r="DX12" s="102">
        <v>0</v>
      </c>
      <c r="DY12" s="102">
        <v>162304645</v>
      </c>
      <c r="DZ12" s="102">
        <v>0</v>
      </c>
      <c r="EA12" s="102">
        <v>30134074</v>
      </c>
      <c r="EB12" s="102">
        <v>539525371</v>
      </c>
      <c r="EC12" s="102">
        <v>183764278</v>
      </c>
      <c r="ED12" s="102">
        <v>0</v>
      </c>
      <c r="EE12" s="102"/>
      <c r="EF12" s="102"/>
    </row>
    <row r="13" spans="1:136">
      <c r="A13" s="67" t="s">
        <v>193</v>
      </c>
      <c r="B13" s="90" t="s">
        <v>66</v>
      </c>
      <c r="C13" s="105"/>
      <c r="D13" s="19" t="s">
        <v>188</v>
      </c>
      <c r="E13" s="105"/>
      <c r="F13" s="19" t="s">
        <v>188</v>
      </c>
      <c r="G13" s="19" t="s">
        <v>189</v>
      </c>
      <c r="H13" s="19" t="s">
        <v>189</v>
      </c>
      <c r="I13" s="19" t="s">
        <v>188</v>
      </c>
      <c r="J13" s="105"/>
      <c r="K13" s="105">
        <v>20036915</v>
      </c>
      <c r="L13" s="105">
        <v>2396475</v>
      </c>
      <c r="M13" s="105"/>
      <c r="N13" s="19" t="s">
        <v>189</v>
      </c>
      <c r="O13" s="105"/>
      <c r="P13" s="105"/>
      <c r="Q13" s="105">
        <v>154001835</v>
      </c>
      <c r="R13" s="105"/>
      <c r="S13" s="105">
        <v>11133893</v>
      </c>
      <c r="T13" s="106"/>
      <c r="U13" s="19" t="s">
        <v>188</v>
      </c>
      <c r="V13" s="105"/>
      <c r="W13" s="19" t="s">
        <v>189</v>
      </c>
      <c r="X13" s="105"/>
      <c r="Y13" s="19" t="s">
        <v>188</v>
      </c>
      <c r="Z13" s="105"/>
      <c r="AA13" s="105"/>
      <c r="AB13" s="19" t="s">
        <v>188</v>
      </c>
      <c r="AC13" s="19" t="s">
        <v>189</v>
      </c>
      <c r="AD13" s="19" t="s">
        <v>188</v>
      </c>
      <c r="AE13" s="105"/>
      <c r="AF13" s="19"/>
      <c r="AG13" s="105"/>
      <c r="AH13" s="19"/>
      <c r="AI13" s="19"/>
      <c r="AJ13" s="105"/>
      <c r="AK13" s="19" t="s">
        <v>188</v>
      </c>
      <c r="AL13" s="19"/>
      <c r="AM13" s="108"/>
      <c r="AN13" s="105"/>
      <c r="AO13" s="19" t="s">
        <v>188</v>
      </c>
      <c r="AP13" s="113"/>
      <c r="AQ13" s="19" t="s">
        <v>188</v>
      </c>
      <c r="AR13" s="105"/>
      <c r="AS13" s="19" t="s">
        <v>188</v>
      </c>
      <c r="AT13" s="105"/>
      <c r="AU13" s="49"/>
      <c r="AV13" s="105"/>
      <c r="AW13" s="105"/>
      <c r="AX13" s="113"/>
      <c r="AY13" s="19" t="s">
        <v>188</v>
      </c>
      <c r="AZ13" s="105"/>
      <c r="BA13" s="108">
        <v>23592</v>
      </c>
      <c r="BB13" s="19"/>
      <c r="BC13" s="105"/>
      <c r="BD13" s="19"/>
      <c r="BE13" s="19"/>
      <c r="BF13" s="19"/>
      <c r="BG13" s="19"/>
      <c r="BH13" s="19"/>
      <c r="BI13" s="108">
        <v>0</v>
      </c>
      <c r="BJ13" s="19"/>
      <c r="BK13" s="19"/>
      <c r="BL13" s="19"/>
      <c r="BM13" s="19"/>
      <c r="BN13" s="19"/>
      <c r="BO13" s="19"/>
      <c r="BP13" s="19"/>
      <c r="BQ13" s="19" t="s">
        <v>189</v>
      </c>
      <c r="BR13" s="19"/>
      <c r="BS13" s="19"/>
      <c r="BT13" s="19"/>
      <c r="BU13" s="19"/>
      <c r="BV13" s="105">
        <f>3039619</f>
        <v>3039619</v>
      </c>
      <c r="BW13" s="19" t="s">
        <v>189</v>
      </c>
      <c r="BX13" s="19"/>
      <c r="BY13" s="19"/>
      <c r="BZ13" s="105">
        <v>4874587</v>
      </c>
      <c r="CA13" s="19"/>
      <c r="CB13" s="19"/>
      <c r="CC13" s="105">
        <v>0</v>
      </c>
      <c r="CD13" s="19"/>
      <c r="CE13" s="19"/>
      <c r="CF13" s="19"/>
      <c r="CG13" s="19"/>
      <c r="CH13" s="19"/>
      <c r="CI13" s="19"/>
      <c r="CJ13" s="19"/>
      <c r="CK13" s="19" t="s">
        <v>190</v>
      </c>
      <c r="CL13" s="105">
        <v>22337682</v>
      </c>
      <c r="CM13" s="19"/>
      <c r="CN13" s="19"/>
      <c r="CO13" s="105">
        <v>2844179</v>
      </c>
      <c r="CP13" s="19"/>
      <c r="CQ13" s="19"/>
      <c r="CR13" s="19"/>
      <c r="CS13" s="19"/>
      <c r="CT13" s="19" t="s">
        <v>190</v>
      </c>
      <c r="CU13" s="19"/>
      <c r="CV13" s="19"/>
      <c r="CW13" s="19" t="s">
        <v>189</v>
      </c>
      <c r="CX13" s="19"/>
      <c r="CY13" s="19"/>
      <c r="CZ13" s="19"/>
      <c r="DA13" s="19" t="s">
        <v>189</v>
      </c>
      <c r="DB13" s="105">
        <v>0</v>
      </c>
      <c r="DC13" s="114"/>
      <c r="DD13" s="115"/>
      <c r="DE13" s="115"/>
      <c r="DF13" s="103">
        <v>910641079</v>
      </c>
      <c r="DG13" s="115"/>
      <c r="DH13" s="110" t="s">
        <v>189</v>
      </c>
      <c r="DI13" s="115"/>
      <c r="DJ13" s="115"/>
      <c r="DK13" s="111" t="s">
        <v>189</v>
      </c>
      <c r="DL13" s="115"/>
      <c r="DM13" s="102"/>
      <c r="DN13" s="102"/>
      <c r="DO13" s="102"/>
      <c r="DP13" s="102"/>
      <c r="DQ13" s="102"/>
      <c r="DR13" s="102"/>
      <c r="DS13" s="102"/>
      <c r="DT13" s="102"/>
      <c r="DU13" s="102"/>
      <c r="DV13" s="102"/>
      <c r="DW13" s="102"/>
      <c r="DX13" s="102"/>
      <c r="DY13" s="102"/>
      <c r="DZ13" s="102"/>
      <c r="EA13" s="102"/>
      <c r="EB13" s="102">
        <v>143030</v>
      </c>
      <c r="EC13" s="102"/>
      <c r="ED13" s="102">
        <v>0</v>
      </c>
      <c r="EE13" s="102"/>
      <c r="EF13" s="102">
        <v>43200</v>
      </c>
    </row>
    <row r="14" spans="1:136">
      <c r="A14" s="67" t="s">
        <v>193</v>
      </c>
      <c r="B14" s="91" t="s">
        <v>19</v>
      </c>
      <c r="C14" s="105">
        <v>36404778</v>
      </c>
      <c r="D14" s="19" t="s">
        <v>188</v>
      </c>
      <c r="E14" s="105">
        <v>355672266</v>
      </c>
      <c r="F14" s="19" t="s">
        <v>188</v>
      </c>
      <c r="G14" s="19" t="s">
        <v>189</v>
      </c>
      <c r="H14" s="19" t="s">
        <v>189</v>
      </c>
      <c r="I14" s="19" t="s">
        <v>188</v>
      </c>
      <c r="J14" s="105">
        <v>6306602547</v>
      </c>
      <c r="K14" s="105">
        <v>85095957</v>
      </c>
      <c r="L14" s="105">
        <v>2279916255</v>
      </c>
      <c r="M14" s="105">
        <v>260788035</v>
      </c>
      <c r="N14" s="19" t="s">
        <v>189</v>
      </c>
      <c r="O14" s="105">
        <v>30000000</v>
      </c>
      <c r="P14" s="105">
        <v>3465509806</v>
      </c>
      <c r="Q14" s="105">
        <v>43538623144</v>
      </c>
      <c r="R14" s="105">
        <v>2279921586</v>
      </c>
      <c r="S14" s="105">
        <v>1333380354</v>
      </c>
      <c r="T14" s="106">
        <v>4008979942</v>
      </c>
      <c r="U14" s="19" t="s">
        <v>188</v>
      </c>
      <c r="V14" s="105">
        <v>3960000</v>
      </c>
      <c r="W14" s="19" t="s">
        <v>189</v>
      </c>
      <c r="X14" s="105">
        <v>94994757</v>
      </c>
      <c r="Y14" s="19" t="s">
        <v>188</v>
      </c>
      <c r="Z14" s="105">
        <v>1118875261</v>
      </c>
      <c r="AA14" s="105">
        <v>52183429</v>
      </c>
      <c r="AB14" s="19" t="s">
        <v>188</v>
      </c>
      <c r="AC14" s="19" t="s">
        <v>189</v>
      </c>
      <c r="AD14" s="19" t="s">
        <v>188</v>
      </c>
      <c r="AE14" s="105">
        <v>704581243</v>
      </c>
      <c r="AF14" s="105">
        <v>1517432156</v>
      </c>
      <c r="AG14" s="105">
        <v>683319859</v>
      </c>
      <c r="AH14" s="105">
        <v>403655408</v>
      </c>
      <c r="AI14" s="108">
        <v>777937787</v>
      </c>
      <c r="AJ14" s="105">
        <v>1857822281</v>
      </c>
      <c r="AK14" s="19" t="s">
        <v>188</v>
      </c>
      <c r="AL14" s="105">
        <v>322832963</v>
      </c>
      <c r="AM14" s="108">
        <v>199428774</v>
      </c>
      <c r="AN14" s="105">
        <v>31255165</v>
      </c>
      <c r="AO14" s="19" t="s">
        <v>188</v>
      </c>
      <c r="AP14" s="107">
        <v>137201847</v>
      </c>
      <c r="AQ14" s="19" t="s">
        <v>188</v>
      </c>
      <c r="AR14" s="105">
        <v>5807219200</v>
      </c>
      <c r="AS14" s="19" t="s">
        <v>188</v>
      </c>
      <c r="AT14" s="105">
        <v>12628282791</v>
      </c>
      <c r="AU14" s="105">
        <v>998639125</v>
      </c>
      <c r="AV14" s="105">
        <v>3839057336</v>
      </c>
      <c r="AW14" s="105">
        <v>1499258936</v>
      </c>
      <c r="AX14" s="107">
        <v>648796</v>
      </c>
      <c r="AY14" s="19" t="s">
        <v>188</v>
      </c>
      <c r="AZ14" s="105">
        <f>328956</f>
        <v>328956</v>
      </c>
      <c r="BA14" s="108">
        <v>14693192</v>
      </c>
      <c r="BB14" s="105">
        <f>221326347</f>
        <v>221326347</v>
      </c>
      <c r="BC14" s="105">
        <v>398414479</v>
      </c>
      <c r="BD14" s="108">
        <v>292839715</v>
      </c>
      <c r="BE14" s="105">
        <f>355369041</f>
        <v>355369041</v>
      </c>
      <c r="BF14" s="105">
        <f>1846637989</f>
        <v>1846637989</v>
      </c>
      <c r="BG14" s="105">
        <v>1048639761</v>
      </c>
      <c r="BH14" s="105">
        <v>2447829054</v>
      </c>
      <c r="BI14" s="108">
        <v>97828044</v>
      </c>
      <c r="BJ14" s="105">
        <v>172481652</v>
      </c>
      <c r="BK14" s="105">
        <f>1089710729</f>
        <v>1089710729</v>
      </c>
      <c r="BL14" s="105">
        <v>156553673</v>
      </c>
      <c r="BM14" s="105">
        <f>10293407725</f>
        <v>10293407725</v>
      </c>
      <c r="BN14" s="105">
        <v>1145270045</v>
      </c>
      <c r="BO14" s="105">
        <f>335247111</f>
        <v>335247111</v>
      </c>
      <c r="BP14" s="105">
        <f>275973955</f>
        <v>275973955</v>
      </c>
      <c r="BQ14" s="19" t="s">
        <v>189</v>
      </c>
      <c r="BR14" s="105">
        <f>1192744668</f>
        <v>1192744668</v>
      </c>
      <c r="BS14" s="105">
        <f>3595367814</f>
        <v>3595367814</v>
      </c>
      <c r="BT14" s="105">
        <f>411493905</f>
        <v>411493905</v>
      </c>
      <c r="BU14" s="105">
        <f>196841726</f>
        <v>196841726</v>
      </c>
      <c r="BV14" s="105">
        <f>476862428</f>
        <v>476862428</v>
      </c>
      <c r="BW14" s="19" t="s">
        <v>189</v>
      </c>
      <c r="BX14" s="105">
        <f>91209407</f>
        <v>91209407</v>
      </c>
      <c r="BY14" s="105">
        <v>33046042</v>
      </c>
      <c r="BZ14" s="105">
        <f>1474569041</f>
        <v>1474569041</v>
      </c>
      <c r="CA14" s="105">
        <f>2996355</f>
        <v>2996355</v>
      </c>
      <c r="CB14" s="105">
        <v>85863550</v>
      </c>
      <c r="CC14" s="105">
        <v>40548200</v>
      </c>
      <c r="CD14" s="105">
        <f>173998088</f>
        <v>173998088</v>
      </c>
      <c r="CE14" s="105">
        <f>256584386</f>
        <v>256584386</v>
      </c>
      <c r="CF14" s="105">
        <f>2578737972</f>
        <v>2578737972</v>
      </c>
      <c r="CG14" s="105">
        <f>637920660</f>
        <v>637920660</v>
      </c>
      <c r="CH14" s="105">
        <f>2207392225</f>
        <v>2207392225</v>
      </c>
      <c r="CI14" s="105">
        <v>24635854</v>
      </c>
      <c r="CJ14" s="105">
        <f>35131474</f>
        <v>35131474</v>
      </c>
      <c r="CK14" s="19" t="s">
        <v>190</v>
      </c>
      <c r="CL14" s="105">
        <v>1010163202</v>
      </c>
      <c r="CM14" s="105">
        <v>16303285</v>
      </c>
      <c r="CN14" s="105">
        <f>8371792</f>
        <v>8371792</v>
      </c>
      <c r="CO14" s="105">
        <v>217991538</v>
      </c>
      <c r="CP14" s="105">
        <f>103386048</f>
        <v>103386048</v>
      </c>
      <c r="CQ14" s="105">
        <v>77072623</v>
      </c>
      <c r="CR14" s="105">
        <v>230481242</v>
      </c>
      <c r="CS14" s="105">
        <f>506085865</f>
        <v>506085865</v>
      </c>
      <c r="CT14" s="19" t="s">
        <v>190</v>
      </c>
      <c r="CU14" s="105">
        <v>34261667</v>
      </c>
      <c r="CV14" s="105">
        <f>6378012590</f>
        <v>6378012590</v>
      </c>
      <c r="CW14" s="19" t="s">
        <v>189</v>
      </c>
      <c r="CX14" s="105">
        <f>60592500</f>
        <v>60592500</v>
      </c>
      <c r="CY14" s="105">
        <f>18046010</f>
        <v>18046010</v>
      </c>
      <c r="CZ14" s="105">
        <f>168189473</f>
        <v>168189473</v>
      </c>
      <c r="DA14" s="19" t="s">
        <v>189</v>
      </c>
      <c r="DB14" s="105">
        <v>928935783</v>
      </c>
      <c r="DC14" s="109">
        <f>5440983</f>
        <v>5440983</v>
      </c>
      <c r="DD14" s="103">
        <v>1300758506</v>
      </c>
      <c r="DE14" s="103">
        <f>5462165676</f>
        <v>5462165676</v>
      </c>
      <c r="DF14" s="103">
        <v>9486607094</v>
      </c>
      <c r="DG14" s="103">
        <f>180939387</f>
        <v>180939387</v>
      </c>
      <c r="DH14" s="110" t="s">
        <v>189</v>
      </c>
      <c r="DI14" s="103">
        <v>80624967</v>
      </c>
      <c r="DJ14" s="103">
        <f>56538559</f>
        <v>56538559</v>
      </c>
      <c r="DK14" s="111" t="s">
        <v>189</v>
      </c>
      <c r="DL14" s="103">
        <v>187149827</v>
      </c>
      <c r="DM14" s="102">
        <v>1276037986</v>
      </c>
      <c r="DN14" s="102">
        <v>917197504</v>
      </c>
      <c r="DO14" s="102">
        <v>6531819754</v>
      </c>
      <c r="DP14" s="102">
        <v>36223044</v>
      </c>
      <c r="DQ14" s="102">
        <v>248927272</v>
      </c>
      <c r="DR14" s="102">
        <v>54691177</v>
      </c>
      <c r="DS14" s="102">
        <v>730168051</v>
      </c>
      <c r="DT14" s="102">
        <v>1321274856</v>
      </c>
      <c r="DU14" s="102">
        <v>728060485</v>
      </c>
      <c r="DV14" s="102">
        <v>55456400</v>
      </c>
      <c r="DW14" s="102">
        <v>73912478</v>
      </c>
      <c r="DX14" s="102">
        <v>163947880</v>
      </c>
      <c r="DY14" s="102">
        <v>391646562</v>
      </c>
      <c r="DZ14" s="102">
        <v>560759472</v>
      </c>
      <c r="EA14" s="102">
        <v>455348653</v>
      </c>
      <c r="EB14" s="102">
        <v>1869782515</v>
      </c>
      <c r="EC14" s="102">
        <v>100712330</v>
      </c>
      <c r="ED14" s="102">
        <v>0</v>
      </c>
      <c r="EE14" s="102">
        <v>1478953324</v>
      </c>
      <c r="EF14" s="102">
        <v>314996283</v>
      </c>
    </row>
    <row r="15" spans="1:136">
      <c r="A15" s="67" t="s">
        <v>193</v>
      </c>
      <c r="B15" s="87" t="s">
        <v>8</v>
      </c>
      <c r="C15" s="105">
        <v>0</v>
      </c>
      <c r="D15" s="19" t="s">
        <v>188</v>
      </c>
      <c r="E15" s="105">
        <v>0</v>
      </c>
      <c r="F15" s="19" t="s">
        <v>188</v>
      </c>
      <c r="G15" s="19" t="s">
        <v>189</v>
      </c>
      <c r="H15" s="19" t="s">
        <v>189</v>
      </c>
      <c r="I15" s="19" t="s">
        <v>188</v>
      </c>
      <c r="J15" s="105">
        <v>895909456</v>
      </c>
      <c r="K15" s="105">
        <v>0</v>
      </c>
      <c r="L15" s="105">
        <v>380738376</v>
      </c>
      <c r="M15" s="105">
        <v>180000000</v>
      </c>
      <c r="N15" s="19" t="s">
        <v>189</v>
      </c>
      <c r="O15" s="105">
        <v>0</v>
      </c>
      <c r="P15" s="105">
        <v>1200000</v>
      </c>
      <c r="Q15" s="105">
        <v>0</v>
      </c>
      <c r="R15" s="105">
        <v>0</v>
      </c>
      <c r="S15" s="105">
        <v>600000</v>
      </c>
      <c r="T15" s="106">
        <v>0</v>
      </c>
      <c r="U15" s="19" t="s">
        <v>188</v>
      </c>
      <c r="V15" s="105"/>
      <c r="W15" s="19" t="s">
        <v>189</v>
      </c>
      <c r="X15" s="105"/>
      <c r="Y15" s="19" t="s">
        <v>188</v>
      </c>
      <c r="Z15" s="105">
        <v>50438776</v>
      </c>
      <c r="AA15" s="105"/>
      <c r="AB15" s="19" t="s">
        <v>188</v>
      </c>
      <c r="AC15" s="19" t="s">
        <v>189</v>
      </c>
      <c r="AD15" s="19" t="s">
        <v>188</v>
      </c>
      <c r="AE15" s="105">
        <v>0</v>
      </c>
      <c r="AF15" s="105">
        <v>0</v>
      </c>
      <c r="AG15" s="105">
        <v>0</v>
      </c>
      <c r="AH15" s="105">
        <v>372651908</v>
      </c>
      <c r="AI15" s="108">
        <v>1000000</v>
      </c>
      <c r="AJ15" s="105">
        <v>72800000</v>
      </c>
      <c r="AK15" s="19" t="s">
        <v>188</v>
      </c>
      <c r="AL15" s="19"/>
      <c r="AM15" s="108">
        <v>0</v>
      </c>
      <c r="AN15" s="105"/>
      <c r="AO15" s="19" t="s">
        <v>188</v>
      </c>
      <c r="AP15" s="107">
        <v>0</v>
      </c>
      <c r="AQ15" s="19" t="s">
        <v>188</v>
      </c>
      <c r="AR15" s="105">
        <v>325019277</v>
      </c>
      <c r="AS15" s="19" t="s">
        <v>188</v>
      </c>
      <c r="AT15" s="105">
        <v>398792298</v>
      </c>
      <c r="AU15" s="105">
        <v>700000</v>
      </c>
      <c r="AV15" s="105">
        <v>57687138</v>
      </c>
      <c r="AW15" s="105">
        <v>260370046</v>
      </c>
      <c r="AX15" s="107">
        <v>0</v>
      </c>
      <c r="AY15" s="19" t="s">
        <v>188</v>
      </c>
      <c r="AZ15" s="105">
        <v>0</v>
      </c>
      <c r="BA15" s="108">
        <v>3300000</v>
      </c>
      <c r="BB15" s="105">
        <f>5000000</f>
        <v>5000000</v>
      </c>
      <c r="BC15" s="105">
        <v>0</v>
      </c>
      <c r="BD15" s="108">
        <v>0</v>
      </c>
      <c r="BE15" s="105"/>
      <c r="BF15" s="19"/>
      <c r="BG15" s="105">
        <v>990000000</v>
      </c>
      <c r="BH15" s="105">
        <v>0</v>
      </c>
      <c r="BI15" s="108">
        <v>26389797</v>
      </c>
      <c r="BJ15" s="105">
        <v>67200000</v>
      </c>
      <c r="BK15" s="19"/>
      <c r="BL15" s="105">
        <v>50294844</v>
      </c>
      <c r="BM15" s="105">
        <f>218233057</f>
        <v>218233057</v>
      </c>
      <c r="BN15" s="105">
        <v>15287757</v>
      </c>
      <c r="BO15" s="105">
        <v>272537613</v>
      </c>
      <c r="BP15" s="105">
        <v>0</v>
      </c>
      <c r="BQ15" s="19" t="s">
        <v>189</v>
      </c>
      <c r="BR15" s="105">
        <f>6300000</f>
        <v>6300000</v>
      </c>
      <c r="BS15" s="105">
        <v>0</v>
      </c>
      <c r="BT15" s="105">
        <f>97510696</f>
        <v>97510696</v>
      </c>
      <c r="BU15" s="19"/>
      <c r="BV15" s="105">
        <v>0</v>
      </c>
      <c r="BW15" s="19" t="s">
        <v>189</v>
      </c>
      <c r="BX15" s="105">
        <v>0</v>
      </c>
      <c r="BY15" s="19"/>
      <c r="BZ15" s="105">
        <v>0</v>
      </c>
      <c r="CA15" s="19"/>
      <c r="CB15" s="105">
        <v>2100000</v>
      </c>
      <c r="CC15" s="105">
        <v>0</v>
      </c>
      <c r="CD15" s="105">
        <v>0</v>
      </c>
      <c r="CE15" s="105">
        <f>5647093</f>
        <v>5647093</v>
      </c>
      <c r="CF15" s="105">
        <f>15650000</f>
        <v>15650000</v>
      </c>
      <c r="CG15" s="105">
        <v>0</v>
      </c>
      <c r="CH15" s="19"/>
      <c r="CI15" s="19"/>
      <c r="CJ15" s="105">
        <v>0</v>
      </c>
      <c r="CK15" s="19" t="s">
        <v>190</v>
      </c>
      <c r="CL15" s="105">
        <v>0</v>
      </c>
      <c r="CM15" s="105">
        <v>0</v>
      </c>
      <c r="CN15" s="19"/>
      <c r="CO15" s="105">
        <v>0</v>
      </c>
      <c r="CP15" s="105">
        <f>2800000</f>
        <v>2800000</v>
      </c>
      <c r="CQ15" s="105">
        <v>0</v>
      </c>
      <c r="CR15" s="105">
        <v>0</v>
      </c>
      <c r="CS15" s="105">
        <f>38400000</f>
        <v>38400000</v>
      </c>
      <c r="CT15" s="19" t="s">
        <v>190</v>
      </c>
      <c r="CU15" s="105">
        <v>0</v>
      </c>
      <c r="CV15" s="105">
        <f>45108450</f>
        <v>45108450</v>
      </c>
      <c r="CW15" s="19" t="s">
        <v>189</v>
      </c>
      <c r="CX15" s="105">
        <f>19539254</f>
        <v>19539254</v>
      </c>
      <c r="CY15" s="105">
        <v>0</v>
      </c>
      <c r="CZ15" s="105">
        <v>0</v>
      </c>
      <c r="DA15" s="19" t="s">
        <v>189</v>
      </c>
      <c r="DB15" s="105">
        <v>0</v>
      </c>
      <c r="DC15" s="109">
        <v>3060983</v>
      </c>
      <c r="DD15" s="103">
        <v>1000000</v>
      </c>
      <c r="DE15" s="103">
        <v>0</v>
      </c>
      <c r="DF15" s="103">
        <v>200000</v>
      </c>
      <c r="DG15" s="103">
        <v>7770600</v>
      </c>
      <c r="DH15" s="110" t="s">
        <v>189</v>
      </c>
      <c r="DI15" s="103">
        <v>0</v>
      </c>
      <c r="DJ15" s="103">
        <f>600000</f>
        <v>600000</v>
      </c>
      <c r="DK15" s="111" t="s">
        <v>189</v>
      </c>
      <c r="DL15" s="103">
        <v>100000</v>
      </c>
      <c r="DM15" s="102">
        <v>0</v>
      </c>
      <c r="DN15" s="102"/>
      <c r="DO15" s="102">
        <v>0</v>
      </c>
      <c r="DP15" s="102">
        <v>0</v>
      </c>
      <c r="DQ15" s="102">
        <v>0</v>
      </c>
      <c r="DR15" s="102"/>
      <c r="DS15" s="102">
        <v>0</v>
      </c>
      <c r="DT15" s="102">
        <v>0</v>
      </c>
      <c r="DU15" s="102">
        <v>0</v>
      </c>
      <c r="DV15" s="102">
        <v>500000</v>
      </c>
      <c r="DW15" s="102">
        <v>0</v>
      </c>
      <c r="DX15" s="102">
        <v>16000000</v>
      </c>
      <c r="DY15" s="102">
        <v>0</v>
      </c>
      <c r="DZ15" s="102">
        <v>0</v>
      </c>
      <c r="EA15" s="102">
        <v>0</v>
      </c>
      <c r="EB15" s="102">
        <v>3300000</v>
      </c>
      <c r="EC15" s="102">
        <v>0</v>
      </c>
      <c r="ED15" s="102">
        <v>0</v>
      </c>
      <c r="EE15" s="102"/>
      <c r="EF15" s="102">
        <v>511113</v>
      </c>
    </row>
    <row r="16" spans="1:136">
      <c r="A16" s="67" t="s">
        <v>193</v>
      </c>
      <c r="B16" s="87" t="s">
        <v>151</v>
      </c>
      <c r="C16" s="105">
        <v>1289723</v>
      </c>
      <c r="D16" s="19" t="s">
        <v>188</v>
      </c>
      <c r="E16" s="105">
        <v>81821743</v>
      </c>
      <c r="F16" s="19" t="s">
        <v>188</v>
      </c>
      <c r="G16" s="19" t="s">
        <v>189</v>
      </c>
      <c r="H16" s="19" t="s">
        <v>189</v>
      </c>
      <c r="I16" s="19" t="s">
        <v>188</v>
      </c>
      <c r="J16" s="105">
        <v>5356485579</v>
      </c>
      <c r="K16" s="105">
        <v>21480930</v>
      </c>
      <c r="L16" s="105">
        <v>548429956</v>
      </c>
      <c r="M16" s="105">
        <v>3280804</v>
      </c>
      <c r="N16" s="19" t="s">
        <v>189</v>
      </c>
      <c r="O16" s="105">
        <v>0</v>
      </c>
      <c r="P16" s="105">
        <v>3464303806</v>
      </c>
      <c r="Q16" s="105">
        <v>41973897805</v>
      </c>
      <c r="R16" s="105">
        <v>1849704191</v>
      </c>
      <c r="S16" s="105">
        <v>1176656965</v>
      </c>
      <c r="T16" s="106">
        <v>3993295583</v>
      </c>
      <c r="U16" s="19" t="s">
        <v>188</v>
      </c>
      <c r="V16" s="105">
        <v>0</v>
      </c>
      <c r="W16" s="19" t="s">
        <v>189</v>
      </c>
      <c r="X16" s="105">
        <v>70285943</v>
      </c>
      <c r="Y16" s="19" t="s">
        <v>188</v>
      </c>
      <c r="Z16" s="105">
        <v>1033246485</v>
      </c>
      <c r="AA16" s="105">
        <v>51477406</v>
      </c>
      <c r="AB16" s="19" t="s">
        <v>188</v>
      </c>
      <c r="AC16" s="19" t="s">
        <v>189</v>
      </c>
      <c r="AD16" s="19" t="s">
        <v>188</v>
      </c>
      <c r="AE16" s="105">
        <v>252034947</v>
      </c>
      <c r="AF16" s="105">
        <v>1412189489</v>
      </c>
      <c r="AG16" s="105">
        <v>570753859</v>
      </c>
      <c r="AH16" s="105"/>
      <c r="AI16" s="108">
        <v>776933787</v>
      </c>
      <c r="AJ16" s="105">
        <v>1434592099</v>
      </c>
      <c r="AK16" s="19" t="s">
        <v>188</v>
      </c>
      <c r="AL16" s="105">
        <v>264335596</v>
      </c>
      <c r="AM16" s="108">
        <v>19379408</v>
      </c>
      <c r="AN16" s="105">
        <v>11722585</v>
      </c>
      <c r="AO16" s="19" t="s">
        <v>188</v>
      </c>
      <c r="AP16" s="107">
        <v>121019607</v>
      </c>
      <c r="AQ16" s="19" t="s">
        <v>188</v>
      </c>
      <c r="AR16" s="105">
        <v>4446794434</v>
      </c>
      <c r="AS16" s="19" t="s">
        <v>188</v>
      </c>
      <c r="AT16" s="105">
        <v>11947132593</v>
      </c>
      <c r="AU16" s="105">
        <v>997939125</v>
      </c>
      <c r="AV16" s="105">
        <v>3204565544</v>
      </c>
      <c r="AW16" s="105">
        <v>1163671874</v>
      </c>
      <c r="AX16" s="107" t="s">
        <v>191</v>
      </c>
      <c r="AY16" s="19" t="s">
        <v>188</v>
      </c>
      <c r="AZ16" s="105">
        <f>328956</f>
        <v>328956</v>
      </c>
      <c r="BA16" s="108">
        <v>231277</v>
      </c>
      <c r="BB16" s="105">
        <v>18030878</v>
      </c>
      <c r="BC16" s="105">
        <v>187516314</v>
      </c>
      <c r="BD16" s="108">
        <v>289082535</v>
      </c>
      <c r="BE16" s="105">
        <f>342914041</f>
        <v>342914041</v>
      </c>
      <c r="BF16" s="105">
        <f>1818401612</f>
        <v>1818401612</v>
      </c>
      <c r="BG16" s="105">
        <v>23955331</v>
      </c>
      <c r="BH16" s="105">
        <v>2238076242</v>
      </c>
      <c r="BI16" s="108">
        <v>927847</v>
      </c>
      <c r="BJ16" s="105">
        <v>26281652</v>
      </c>
      <c r="BK16" s="105">
        <f>1079410729</f>
        <v>1079410729</v>
      </c>
      <c r="BL16" s="105">
        <v>86258829</v>
      </c>
      <c r="BM16" s="105">
        <f>10074040812</f>
        <v>10074040812</v>
      </c>
      <c r="BN16" s="105">
        <v>1107863384</v>
      </c>
      <c r="BO16" s="105">
        <v>22709408</v>
      </c>
      <c r="BP16" s="105">
        <f>160973955</f>
        <v>160973955</v>
      </c>
      <c r="BQ16" s="19" t="s">
        <v>189</v>
      </c>
      <c r="BR16" s="105">
        <f>1121004193</f>
        <v>1121004193</v>
      </c>
      <c r="BS16" s="105">
        <f>3287362629</f>
        <v>3287362629</v>
      </c>
      <c r="BT16" s="105">
        <f>81941269</f>
        <v>81941269</v>
      </c>
      <c r="BU16" s="105">
        <f>92220253</f>
        <v>92220253</v>
      </c>
      <c r="BV16" s="105">
        <f>423429427</f>
        <v>423429427</v>
      </c>
      <c r="BW16" s="19" t="s">
        <v>189</v>
      </c>
      <c r="BX16" s="105">
        <f>499543</f>
        <v>499543</v>
      </c>
      <c r="BY16" s="105">
        <v>13831826</v>
      </c>
      <c r="BZ16" s="105">
        <f>46956156</f>
        <v>46956156</v>
      </c>
      <c r="CA16" s="105">
        <f>1496355</f>
        <v>1496355</v>
      </c>
      <c r="CB16" s="105">
        <v>16843550</v>
      </c>
      <c r="CC16" s="105">
        <v>548200</v>
      </c>
      <c r="CD16" s="105">
        <f>153248088</f>
        <v>153248088</v>
      </c>
      <c r="CE16" s="105">
        <f>230080813</f>
        <v>230080813</v>
      </c>
      <c r="CF16" s="105">
        <f>2443087972</f>
        <v>2443087972</v>
      </c>
      <c r="CG16" s="105">
        <f>637920660</f>
        <v>637920660</v>
      </c>
      <c r="CH16" s="105">
        <v>1400657338</v>
      </c>
      <c r="CI16" s="105">
        <v>2875854</v>
      </c>
      <c r="CJ16" s="105">
        <f>5127474</f>
        <v>5127474</v>
      </c>
      <c r="CK16" s="19" t="s">
        <v>190</v>
      </c>
      <c r="CL16" s="105">
        <v>94087940</v>
      </c>
      <c r="CM16" s="105">
        <v>16303285</v>
      </c>
      <c r="CN16" s="105">
        <f>1255792</f>
        <v>1255792</v>
      </c>
      <c r="CO16" s="105">
        <v>145752870</v>
      </c>
      <c r="CP16" s="105">
        <f>35586048</f>
        <v>35586048</v>
      </c>
      <c r="CQ16" s="105">
        <v>57072623</v>
      </c>
      <c r="CR16" s="105">
        <v>481242</v>
      </c>
      <c r="CS16" s="105">
        <f>156625965</f>
        <v>156625965</v>
      </c>
      <c r="CT16" s="19" t="s">
        <v>190</v>
      </c>
      <c r="CU16" s="105">
        <v>7461667</v>
      </c>
      <c r="CV16" s="105">
        <f>6003185782</f>
        <v>6003185782</v>
      </c>
      <c r="CW16" s="19" t="s">
        <v>189</v>
      </c>
      <c r="CX16" s="105">
        <f>7333966</f>
        <v>7333966</v>
      </c>
      <c r="CY16" s="105">
        <f>18046010</f>
        <v>18046010</v>
      </c>
      <c r="CZ16" s="105">
        <f>76072962</f>
        <v>76072962</v>
      </c>
      <c r="DA16" s="19" t="s">
        <v>189</v>
      </c>
      <c r="DB16" s="105">
        <v>7220401</v>
      </c>
      <c r="DC16" s="109">
        <f>2380000</f>
        <v>2380000</v>
      </c>
      <c r="DD16" s="103">
        <v>1247258506</v>
      </c>
      <c r="DE16" s="103">
        <v>5438279194</v>
      </c>
      <c r="DF16" s="103">
        <v>8698421908</v>
      </c>
      <c r="DG16" s="103">
        <f>85952744</f>
        <v>85952744</v>
      </c>
      <c r="DH16" s="110" t="s">
        <v>189</v>
      </c>
      <c r="DI16" s="103">
        <v>25484816</v>
      </c>
      <c r="DJ16" s="103">
        <f>5938559</f>
        <v>5938559</v>
      </c>
      <c r="DK16" s="111" t="s">
        <v>189</v>
      </c>
      <c r="DL16" s="103">
        <v>56625770</v>
      </c>
      <c r="DM16" s="102">
        <v>1254734846</v>
      </c>
      <c r="DN16" s="102">
        <v>909026048</v>
      </c>
      <c r="DO16" s="102">
        <v>4408265605</v>
      </c>
      <c r="DP16" s="102">
        <v>31336377</v>
      </c>
      <c r="DQ16" s="102">
        <v>131360844</v>
      </c>
      <c r="DR16" s="102">
        <v>27382376</v>
      </c>
      <c r="DS16" s="102">
        <v>603712471</v>
      </c>
      <c r="DT16" s="102">
        <v>1290505936</v>
      </c>
      <c r="DU16" s="102">
        <v>705360485</v>
      </c>
      <c r="DV16" s="102">
        <v>21696643</v>
      </c>
      <c r="DW16" s="102">
        <v>73912478</v>
      </c>
      <c r="DX16" s="102">
        <v>49247880</v>
      </c>
      <c r="DY16" s="102">
        <v>219160152</v>
      </c>
      <c r="DZ16" s="102">
        <v>560759472</v>
      </c>
      <c r="EA16" s="102">
        <v>361975245</v>
      </c>
      <c r="EB16" s="102">
        <v>1437082348</v>
      </c>
      <c r="EC16" s="102">
        <v>70054830</v>
      </c>
      <c r="ED16" s="102">
        <v>0</v>
      </c>
      <c r="EE16" s="102">
        <v>1458953324</v>
      </c>
      <c r="EF16" s="102">
        <v>169685170</v>
      </c>
    </row>
    <row r="17" spans="1:136">
      <c r="A17" s="67" t="s">
        <v>193</v>
      </c>
      <c r="B17" s="87" t="s">
        <v>27</v>
      </c>
      <c r="C17" s="105">
        <v>14115055</v>
      </c>
      <c r="D17" s="19" t="s">
        <v>188</v>
      </c>
      <c r="E17" s="105">
        <v>173650523</v>
      </c>
      <c r="F17" s="19" t="s">
        <v>188</v>
      </c>
      <c r="G17" s="19" t="s">
        <v>189</v>
      </c>
      <c r="H17" s="19" t="s">
        <v>189</v>
      </c>
      <c r="I17" s="19" t="s">
        <v>188</v>
      </c>
      <c r="J17" s="105">
        <v>15814512</v>
      </c>
      <c r="K17" s="105">
        <v>38615027</v>
      </c>
      <c r="L17" s="105">
        <v>1243327923</v>
      </c>
      <c r="M17" s="105">
        <v>56407231</v>
      </c>
      <c r="N17" s="19" t="s">
        <v>189</v>
      </c>
      <c r="O17" s="105">
        <v>0</v>
      </c>
      <c r="P17" s="105">
        <v>6000</v>
      </c>
      <c r="Q17" s="105">
        <v>269499731</v>
      </c>
      <c r="R17" s="105">
        <v>425949395</v>
      </c>
      <c r="S17" s="105">
        <v>146123389</v>
      </c>
      <c r="T17" s="106">
        <v>3876359</v>
      </c>
      <c r="U17" s="19" t="s">
        <v>188</v>
      </c>
      <c r="V17" s="105"/>
      <c r="W17" s="19" t="s">
        <v>189</v>
      </c>
      <c r="X17" s="105">
        <v>4708814</v>
      </c>
      <c r="Y17" s="19" t="s">
        <v>188</v>
      </c>
      <c r="Z17" s="105"/>
      <c r="AA17" s="105">
        <v>106023</v>
      </c>
      <c r="AB17" s="19" t="s">
        <v>188</v>
      </c>
      <c r="AC17" s="19" t="s">
        <v>189</v>
      </c>
      <c r="AD17" s="19" t="s">
        <v>188</v>
      </c>
      <c r="AE17" s="105">
        <v>16425269</v>
      </c>
      <c r="AF17" s="105">
        <v>44858667</v>
      </c>
      <c r="AG17" s="105">
        <v>0</v>
      </c>
      <c r="AH17" s="105">
        <v>26003500</v>
      </c>
      <c r="AI17" s="108">
        <v>4000</v>
      </c>
      <c r="AJ17" s="105">
        <v>20430182</v>
      </c>
      <c r="AK17" s="19" t="s">
        <v>188</v>
      </c>
      <c r="AL17" s="105">
        <v>10054567</v>
      </c>
      <c r="AM17" s="108">
        <v>145049366</v>
      </c>
      <c r="AN17" s="105"/>
      <c r="AO17" s="19" t="s">
        <v>188</v>
      </c>
      <c r="AP17" s="107">
        <v>1152240</v>
      </c>
      <c r="AQ17" s="19" t="s">
        <v>188</v>
      </c>
      <c r="AR17" s="105">
        <v>1006405489</v>
      </c>
      <c r="AS17" s="19" t="s">
        <v>188</v>
      </c>
      <c r="AT17" s="105">
        <v>0</v>
      </c>
      <c r="AU17" s="105"/>
      <c r="AV17" s="105">
        <f>513044024</f>
        <v>513044024</v>
      </c>
      <c r="AW17" s="105">
        <v>49253116</v>
      </c>
      <c r="AX17" s="107">
        <v>0</v>
      </c>
      <c r="AY17" s="19" t="s">
        <v>188</v>
      </c>
      <c r="AZ17" s="105">
        <v>0</v>
      </c>
      <c r="BA17" s="108">
        <v>1161915</v>
      </c>
      <c r="BB17" s="105">
        <v>48295469</v>
      </c>
      <c r="BC17" s="105">
        <v>167536165</v>
      </c>
      <c r="BD17" s="108">
        <v>0</v>
      </c>
      <c r="BE17" s="105">
        <f>2375000</f>
        <v>2375000</v>
      </c>
      <c r="BF17" s="105">
        <f>7170827</f>
        <v>7170827</v>
      </c>
      <c r="BG17" s="105">
        <v>1800003</v>
      </c>
      <c r="BH17" s="105">
        <v>25292812</v>
      </c>
      <c r="BI17" s="108">
        <v>0</v>
      </c>
      <c r="BJ17" s="105">
        <v>0</v>
      </c>
      <c r="BK17" s="19"/>
      <c r="BL17" s="105">
        <v>0</v>
      </c>
      <c r="BM17" s="105">
        <f>1133856</f>
        <v>1133856</v>
      </c>
      <c r="BN17" s="105">
        <v>17118904</v>
      </c>
      <c r="BO17" s="105">
        <v>0</v>
      </c>
      <c r="BP17" s="105">
        <v>0</v>
      </c>
      <c r="BQ17" s="19" t="s">
        <v>189</v>
      </c>
      <c r="BR17" s="105">
        <f>32299475</f>
        <v>32299475</v>
      </c>
      <c r="BS17" s="105">
        <f>118596385</f>
        <v>118596385</v>
      </c>
      <c r="BT17" s="105">
        <f>232041940</f>
        <v>232041940</v>
      </c>
      <c r="BU17" s="105">
        <f>55532673</f>
        <v>55532673</v>
      </c>
      <c r="BV17" s="105">
        <f>2233001</f>
        <v>2233001</v>
      </c>
      <c r="BW17" s="19" t="s">
        <v>189</v>
      </c>
      <c r="BX17" s="105">
        <f>2485334</f>
        <v>2485334</v>
      </c>
      <c r="BY17" s="105">
        <v>6214216</v>
      </c>
      <c r="BZ17" s="105">
        <f>1407578885</f>
        <v>1407578885</v>
      </c>
      <c r="CA17" s="105">
        <f>1500000</f>
        <v>1500000</v>
      </c>
      <c r="CB17" s="105">
        <v>0</v>
      </c>
      <c r="CC17" s="105">
        <v>0</v>
      </c>
      <c r="CD17" s="105">
        <v>0</v>
      </c>
      <c r="CE17" s="105">
        <f>856480</f>
        <v>856480</v>
      </c>
      <c r="CF17" s="105">
        <v>0</v>
      </c>
      <c r="CG17" s="105">
        <v>0</v>
      </c>
      <c r="CH17" s="105">
        <v>479144331</v>
      </c>
      <c r="CI17" s="105">
        <v>1760000</v>
      </c>
      <c r="CJ17" s="105">
        <v>4000</v>
      </c>
      <c r="CK17" s="19" t="s">
        <v>190</v>
      </c>
      <c r="CL17" s="105">
        <v>890017742</v>
      </c>
      <c r="CM17" s="105">
        <v>0</v>
      </c>
      <c r="CN17" s="105">
        <f>4026000</f>
        <v>4026000</v>
      </c>
      <c r="CO17" s="105">
        <v>29022168</v>
      </c>
      <c r="CP17" s="105">
        <v>0</v>
      </c>
      <c r="CQ17" s="105">
        <v>0</v>
      </c>
      <c r="CR17" s="105">
        <v>0</v>
      </c>
      <c r="CS17" s="19"/>
      <c r="CT17" s="19" t="s">
        <v>190</v>
      </c>
      <c r="CU17" s="105">
        <v>0</v>
      </c>
      <c r="CV17" s="105">
        <f>35883288</f>
        <v>35883288</v>
      </c>
      <c r="CW17" s="19" t="s">
        <v>189</v>
      </c>
      <c r="CX17" s="105">
        <v>0</v>
      </c>
      <c r="CY17" s="105">
        <v>0</v>
      </c>
      <c r="CZ17" s="105">
        <f>9820511</f>
        <v>9820511</v>
      </c>
      <c r="DA17" s="19" t="s">
        <v>189</v>
      </c>
      <c r="DB17" s="105">
        <v>917985982</v>
      </c>
      <c r="DC17" s="114"/>
      <c r="DD17" s="103">
        <v>8500000</v>
      </c>
      <c r="DE17" s="103">
        <v>8836482</v>
      </c>
      <c r="DF17" s="103">
        <v>120803509</v>
      </c>
      <c r="DG17" s="103">
        <f>2216043</f>
        <v>2216043</v>
      </c>
      <c r="DH17" s="110" t="s">
        <v>189</v>
      </c>
      <c r="DI17" s="103">
        <v>20160151</v>
      </c>
      <c r="DJ17" s="103">
        <v>0</v>
      </c>
      <c r="DK17" s="111" t="s">
        <v>189</v>
      </c>
      <c r="DL17" s="103">
        <v>107334057</v>
      </c>
      <c r="DM17" s="102">
        <v>6838140</v>
      </c>
      <c r="DN17" s="102">
        <v>6821456</v>
      </c>
      <c r="DO17" s="102">
        <v>2089354629</v>
      </c>
      <c r="DP17" s="102">
        <v>216667</v>
      </c>
      <c r="DQ17" s="102">
        <v>112566428</v>
      </c>
      <c r="DR17" s="102">
        <v>2308801</v>
      </c>
      <c r="DS17" s="102">
        <v>416280</v>
      </c>
      <c r="DT17" s="102">
        <v>20768920</v>
      </c>
      <c r="DU17" s="102">
        <v>0</v>
      </c>
      <c r="DV17" s="102">
        <v>6403757</v>
      </c>
      <c r="DW17" s="102">
        <v>0</v>
      </c>
      <c r="DX17" s="102">
        <v>0</v>
      </c>
      <c r="DY17" s="102">
        <v>758132</v>
      </c>
      <c r="DZ17" s="102">
        <v>0</v>
      </c>
      <c r="EA17" s="102">
        <v>0</v>
      </c>
      <c r="EB17" s="102">
        <v>126110167</v>
      </c>
      <c r="EC17" s="102">
        <v>657500</v>
      </c>
      <c r="ED17" s="102">
        <v>0</v>
      </c>
      <c r="EE17" s="102"/>
      <c r="EF17" s="102">
        <v>84800000</v>
      </c>
    </row>
    <row r="18" spans="1:136">
      <c r="A18" s="67" t="s">
        <v>193</v>
      </c>
      <c r="B18" s="88" t="s">
        <v>54</v>
      </c>
      <c r="C18" s="105"/>
      <c r="D18" s="19" t="s">
        <v>188</v>
      </c>
      <c r="E18" s="105"/>
      <c r="F18" s="19" t="s">
        <v>188</v>
      </c>
      <c r="G18" s="19" t="s">
        <v>189</v>
      </c>
      <c r="H18" s="19" t="s">
        <v>189</v>
      </c>
      <c r="I18" s="19" t="s">
        <v>188</v>
      </c>
      <c r="J18" s="105">
        <v>8701998</v>
      </c>
      <c r="K18" s="105"/>
      <c r="L18" s="105">
        <v>115950984</v>
      </c>
      <c r="M18" s="105"/>
      <c r="N18" s="19" t="s">
        <v>189</v>
      </c>
      <c r="O18" s="105"/>
      <c r="P18" s="105">
        <v>1000</v>
      </c>
      <c r="Q18" s="105">
        <v>105150708</v>
      </c>
      <c r="R18" s="105"/>
      <c r="S18" s="105">
        <v>448000</v>
      </c>
      <c r="T18" s="106"/>
      <c r="U18" s="19" t="s">
        <v>188</v>
      </c>
      <c r="V18" s="105"/>
      <c r="W18" s="19" t="s">
        <v>189</v>
      </c>
      <c r="X18" s="116"/>
      <c r="Y18" s="19" t="s">
        <v>188</v>
      </c>
      <c r="Z18" s="105"/>
      <c r="AA18" s="105"/>
      <c r="AB18" s="19" t="s">
        <v>188</v>
      </c>
      <c r="AC18" s="19" t="s">
        <v>189</v>
      </c>
      <c r="AD18" s="19" t="s">
        <v>188</v>
      </c>
      <c r="AE18" s="105"/>
      <c r="AF18" s="105">
        <v>44858667</v>
      </c>
      <c r="AG18" s="19"/>
      <c r="AH18" s="105">
        <v>1000</v>
      </c>
      <c r="AI18" s="108">
        <v>4000</v>
      </c>
      <c r="AJ18" s="105">
        <v>20430182</v>
      </c>
      <c r="AK18" s="19" t="s">
        <v>188</v>
      </c>
      <c r="AL18" s="105">
        <v>2894400</v>
      </c>
      <c r="AM18" s="108"/>
      <c r="AN18" s="105"/>
      <c r="AO18" s="19" t="s">
        <v>188</v>
      </c>
      <c r="AP18" s="107"/>
      <c r="AQ18" s="19" t="s">
        <v>188</v>
      </c>
      <c r="AR18" s="105"/>
      <c r="AS18" s="19" t="s">
        <v>188</v>
      </c>
      <c r="AT18" s="105"/>
      <c r="AU18" s="19"/>
      <c r="AV18" s="105">
        <f>124363826-33000000</f>
        <v>91363826</v>
      </c>
      <c r="AW18" s="105">
        <v>19480708</v>
      </c>
      <c r="AX18" s="107"/>
      <c r="AY18" s="19" t="s">
        <v>188</v>
      </c>
      <c r="AZ18" s="105"/>
      <c r="BA18" s="105"/>
      <c r="BB18" s="105">
        <v>3666667</v>
      </c>
      <c r="BC18" s="105"/>
      <c r="BD18" s="108"/>
      <c r="BE18" s="105">
        <f>2375000</f>
        <v>2375000</v>
      </c>
      <c r="BF18" s="105">
        <f>3910000</f>
        <v>3910000</v>
      </c>
      <c r="BG18" s="105"/>
      <c r="BH18" s="105">
        <f>20373312</f>
        <v>20373312</v>
      </c>
      <c r="BI18" s="19"/>
      <c r="BJ18" s="105">
        <v>0</v>
      </c>
      <c r="BK18" s="19"/>
      <c r="BL18" s="105"/>
      <c r="BM18" s="105">
        <f>447275</f>
        <v>447275</v>
      </c>
      <c r="BN18" s="105">
        <v>14750000</v>
      </c>
      <c r="BO18" s="19"/>
      <c r="BP18" s="19"/>
      <c r="BQ18" s="19" t="s">
        <v>189</v>
      </c>
      <c r="BR18" s="19"/>
      <c r="BS18" s="19"/>
      <c r="BT18" s="105">
        <v>-14000000</v>
      </c>
      <c r="BU18" s="105">
        <f>46330364</f>
        <v>46330364</v>
      </c>
      <c r="BV18" s="105">
        <f>2233001</f>
        <v>2233001</v>
      </c>
      <c r="BW18" s="19" t="s">
        <v>189</v>
      </c>
      <c r="BX18" s="19"/>
      <c r="BY18" s="19"/>
      <c r="BZ18" s="19"/>
      <c r="CA18" s="19"/>
      <c r="CB18" s="19"/>
      <c r="CC18" s="19"/>
      <c r="CD18" s="19"/>
      <c r="CE18" s="19"/>
      <c r="CF18" s="19"/>
      <c r="CG18" s="19"/>
      <c r="CH18" s="105">
        <v>928000</v>
      </c>
      <c r="CI18" s="19"/>
      <c r="CJ18" s="105">
        <v>4000</v>
      </c>
      <c r="CK18" s="19" t="s">
        <v>190</v>
      </c>
      <c r="CL18" s="19"/>
      <c r="CM18" s="19"/>
      <c r="CN18" s="19"/>
      <c r="CO18" s="105">
        <v>20451334</v>
      </c>
      <c r="CP18" s="19"/>
      <c r="CQ18" s="19"/>
      <c r="CR18" s="19"/>
      <c r="CS18" s="19"/>
      <c r="CT18" s="19" t="s">
        <v>190</v>
      </c>
      <c r="CU18" s="19"/>
      <c r="CV18" s="19"/>
      <c r="CW18" s="19" t="s">
        <v>189</v>
      </c>
      <c r="CX18" s="19"/>
      <c r="CY18" s="19"/>
      <c r="CZ18" s="19"/>
      <c r="DA18" s="19" t="s">
        <v>189</v>
      </c>
      <c r="DB18" s="105">
        <v>9166667</v>
      </c>
      <c r="DC18" s="114"/>
      <c r="DD18" s="115"/>
      <c r="DE18" s="115"/>
      <c r="DF18" s="103">
        <v>79333839</v>
      </c>
      <c r="DG18" s="115"/>
      <c r="DH18" s="110" t="s">
        <v>189</v>
      </c>
      <c r="DI18" s="115"/>
      <c r="DJ18" s="115"/>
      <c r="DK18" s="111" t="s">
        <v>189</v>
      </c>
      <c r="DL18" s="103">
        <v>-23850035</v>
      </c>
      <c r="DM18" s="102"/>
      <c r="DN18" s="102"/>
      <c r="DO18" s="102"/>
      <c r="DP18" s="102">
        <v>216667</v>
      </c>
      <c r="DQ18" s="102"/>
      <c r="DR18" s="102"/>
      <c r="DS18" s="102"/>
      <c r="DT18" s="102"/>
      <c r="DU18" s="102"/>
      <c r="DV18" s="102"/>
      <c r="DW18" s="102"/>
      <c r="DX18" s="102"/>
      <c r="DY18" s="102"/>
      <c r="DZ18" s="102"/>
      <c r="EA18" s="102"/>
      <c r="EB18" s="102"/>
      <c r="EC18" s="102"/>
      <c r="ED18" s="102"/>
      <c r="EE18" s="102"/>
      <c r="EF18" s="102">
        <v>46800000</v>
      </c>
    </row>
    <row r="19" spans="1:136">
      <c r="A19" s="67" t="s">
        <v>193</v>
      </c>
      <c r="B19" s="88" t="s">
        <v>74</v>
      </c>
      <c r="C19" s="105">
        <v>8565055</v>
      </c>
      <c r="D19" s="19" t="s">
        <v>188</v>
      </c>
      <c r="E19" s="105">
        <f>6757385+2818901+3746860</f>
        <v>13323146</v>
      </c>
      <c r="F19" s="19" t="s">
        <v>188</v>
      </c>
      <c r="G19" s="19" t="s">
        <v>189</v>
      </c>
      <c r="H19" s="19" t="s">
        <v>189</v>
      </c>
      <c r="I19" s="19" t="s">
        <v>188</v>
      </c>
      <c r="J19" s="105">
        <v>7112514</v>
      </c>
      <c r="K19" s="105">
        <v>38615027</v>
      </c>
      <c r="L19" s="105">
        <v>1287000</v>
      </c>
      <c r="M19" s="105">
        <v>185402</v>
      </c>
      <c r="N19" s="19" t="s">
        <v>189</v>
      </c>
      <c r="O19" s="105"/>
      <c r="P19" s="105">
        <v>5000</v>
      </c>
      <c r="Q19" s="105">
        <v>32601002</v>
      </c>
      <c r="R19" s="105"/>
      <c r="S19" s="105">
        <v>9571664</v>
      </c>
      <c r="T19" s="106">
        <f>1327358+3000</f>
        <v>1330358</v>
      </c>
      <c r="U19" s="19" t="s">
        <v>188</v>
      </c>
      <c r="V19" s="105"/>
      <c r="W19" s="19" t="s">
        <v>189</v>
      </c>
      <c r="X19" s="105">
        <v>4287694</v>
      </c>
      <c r="Y19" s="19" t="s">
        <v>188</v>
      </c>
      <c r="Z19" s="105"/>
      <c r="AA19" s="105">
        <v>105023</v>
      </c>
      <c r="AB19" s="19" t="s">
        <v>188</v>
      </c>
      <c r="AC19" s="19" t="s">
        <v>189</v>
      </c>
      <c r="AD19" s="19" t="s">
        <v>188</v>
      </c>
      <c r="AE19" s="105">
        <f>16772102-348833</f>
        <v>16423269</v>
      </c>
      <c r="AF19" s="105"/>
      <c r="AG19" s="19"/>
      <c r="AH19" s="19"/>
      <c r="AI19" s="108"/>
      <c r="AJ19" s="105"/>
      <c r="AK19" s="19" t="s">
        <v>188</v>
      </c>
      <c r="AL19" s="19"/>
      <c r="AM19" s="108">
        <f>2231736+1942969+1200000</f>
        <v>5374705</v>
      </c>
      <c r="AN19" s="19"/>
      <c r="AO19" s="19" t="s">
        <v>188</v>
      </c>
      <c r="AP19" s="107">
        <v>1152240</v>
      </c>
      <c r="AQ19" s="19" t="s">
        <v>188</v>
      </c>
      <c r="AR19" s="105">
        <f>47669620+487511338+1746640</f>
        <v>536927598</v>
      </c>
      <c r="AS19" s="19" t="s">
        <v>188</v>
      </c>
      <c r="AT19" s="105"/>
      <c r="AU19" s="19"/>
      <c r="AV19" s="105">
        <f>4500000+15783918-7854810</f>
        <v>12429108</v>
      </c>
      <c r="AW19" s="105">
        <f>82800+1805276</f>
        <v>1888076</v>
      </c>
      <c r="AX19" s="107"/>
      <c r="AY19" s="19" t="s">
        <v>188</v>
      </c>
      <c r="AZ19" s="105"/>
      <c r="BA19" s="105">
        <v>1161915</v>
      </c>
      <c r="BB19" s="105">
        <f>39000000+141434+1803200</f>
        <v>40944634</v>
      </c>
      <c r="BC19" s="105">
        <v>4588830</v>
      </c>
      <c r="BD19" s="19"/>
      <c r="BE19" s="105"/>
      <c r="BF19" s="108">
        <f>969190+1617022+674615</f>
        <v>3260827</v>
      </c>
      <c r="BG19" s="105"/>
      <c r="BH19" s="105">
        <f>4919500</f>
        <v>4919500</v>
      </c>
      <c r="BI19" s="19"/>
      <c r="BJ19" s="105"/>
      <c r="BK19" s="19"/>
      <c r="BL19" s="105"/>
      <c r="BM19" s="105">
        <f>686581</f>
        <v>686581</v>
      </c>
      <c r="BN19" s="105">
        <f>404733+1571296+392875</f>
        <v>2368904</v>
      </c>
      <c r="BO19" s="19"/>
      <c r="BP19" s="19"/>
      <c r="BQ19" s="19" t="s">
        <v>189</v>
      </c>
      <c r="BR19" s="19"/>
      <c r="BS19" s="105">
        <f>118596385</f>
        <v>118596385</v>
      </c>
      <c r="BT19" s="105">
        <f>1817850</f>
        <v>1817850</v>
      </c>
      <c r="BU19" s="105">
        <f>9202309</f>
        <v>9202309</v>
      </c>
      <c r="BV19" s="19"/>
      <c r="BW19" s="19" t="s">
        <v>189</v>
      </c>
      <c r="BX19" s="105">
        <f>2485334</f>
        <v>2485334</v>
      </c>
      <c r="BY19" s="105">
        <v>3517245</v>
      </c>
      <c r="BZ19" s="105">
        <f>2705630</f>
        <v>2705630</v>
      </c>
      <c r="CA19" s="19"/>
      <c r="CB19" s="19"/>
      <c r="CC19" s="19"/>
      <c r="CD19" s="19"/>
      <c r="CE19" s="105">
        <f>856480</f>
        <v>856480</v>
      </c>
      <c r="CF19" s="19"/>
      <c r="CG19" s="19"/>
      <c r="CH19" s="105">
        <f>205322695+200336096+800000+258880</f>
        <v>406717671</v>
      </c>
      <c r="CI19" s="19"/>
      <c r="CJ19" s="19"/>
      <c r="CK19" s="19" t="s">
        <v>190</v>
      </c>
      <c r="CL19" s="105">
        <v>851434</v>
      </c>
      <c r="CM19" s="19"/>
      <c r="CN19" s="19"/>
      <c r="CO19" s="19"/>
      <c r="CP19" s="19"/>
      <c r="CQ19" s="19"/>
      <c r="CR19" s="19"/>
      <c r="CS19" s="19"/>
      <c r="CT19" s="19" t="s">
        <v>190</v>
      </c>
      <c r="CU19" s="19"/>
      <c r="CV19" s="105">
        <f>9632678</f>
        <v>9632678</v>
      </c>
      <c r="CW19" s="19" t="s">
        <v>189</v>
      </c>
      <c r="CX19" s="19"/>
      <c r="CY19" s="19"/>
      <c r="CZ19" s="105">
        <f>9819511</f>
        <v>9819511</v>
      </c>
      <c r="DA19" s="19" t="s">
        <v>189</v>
      </c>
      <c r="DB19" s="105">
        <v>16469899</v>
      </c>
      <c r="DC19" s="114"/>
      <c r="DD19" s="115"/>
      <c r="DE19" s="103">
        <f>4449585+4386897</f>
        <v>8836482</v>
      </c>
      <c r="DF19" s="103">
        <v>41469670</v>
      </c>
      <c r="DG19" s="103">
        <f>2216043</f>
        <v>2216043</v>
      </c>
      <c r="DH19" s="110" t="s">
        <v>189</v>
      </c>
      <c r="DI19" s="103">
        <f>784105+8182866</f>
        <v>8966971</v>
      </c>
      <c r="DJ19" s="115"/>
      <c r="DK19" s="111" t="s">
        <v>189</v>
      </c>
      <c r="DL19" s="103">
        <v>1800000</v>
      </c>
      <c r="DM19" s="102">
        <v>6835140</v>
      </c>
      <c r="DN19" s="102">
        <v>240000</v>
      </c>
      <c r="DO19" s="102">
        <v>310425000</v>
      </c>
      <c r="DP19" s="102"/>
      <c r="DQ19" s="102">
        <v>723668</v>
      </c>
      <c r="DR19" s="102">
        <v>2308801</v>
      </c>
      <c r="DS19" s="102">
        <v>415280</v>
      </c>
      <c r="DT19" s="102">
        <v>20768920</v>
      </c>
      <c r="DU19" s="102"/>
      <c r="DV19" s="102">
        <v>6403757</v>
      </c>
      <c r="DW19" s="102"/>
      <c r="DX19" s="102"/>
      <c r="DY19" s="102">
        <v>758132</v>
      </c>
      <c r="DZ19" s="102"/>
      <c r="EA19" s="102"/>
      <c r="EB19" s="102">
        <v>126110167</v>
      </c>
      <c r="EC19" s="102">
        <v>657500</v>
      </c>
      <c r="ED19" s="102"/>
      <c r="EE19" s="102"/>
      <c r="EF19" s="102"/>
    </row>
    <row r="20" spans="1:136">
      <c r="A20" s="67" t="s">
        <v>193</v>
      </c>
      <c r="B20" s="88" t="s">
        <v>137</v>
      </c>
      <c r="C20" s="105">
        <f>27366668-21816668</f>
        <v>5550000</v>
      </c>
      <c r="D20" s="19" t="s">
        <v>188</v>
      </c>
      <c r="E20" s="105">
        <v>160327377</v>
      </c>
      <c r="F20" s="19" t="s">
        <v>188</v>
      </c>
      <c r="G20" s="19" t="s">
        <v>189</v>
      </c>
      <c r="H20" s="19" t="s">
        <v>189</v>
      </c>
      <c r="I20" s="19" t="s">
        <v>188</v>
      </c>
      <c r="J20" s="105"/>
      <c r="K20" s="105"/>
      <c r="L20" s="105">
        <v>1106089939</v>
      </c>
      <c r="M20" s="105">
        <f>154627554-104363500</f>
        <v>50264054</v>
      </c>
      <c r="N20" s="19" t="s">
        <v>189</v>
      </c>
      <c r="O20" s="105"/>
      <c r="P20" s="105"/>
      <c r="Q20" s="105"/>
      <c r="R20" s="105">
        <v>425949395</v>
      </c>
      <c r="S20" s="105">
        <v>136103725</v>
      </c>
      <c r="T20" s="106">
        <v>2546001</v>
      </c>
      <c r="U20" s="19" t="s">
        <v>188</v>
      </c>
      <c r="V20" s="105"/>
      <c r="W20" s="19" t="s">
        <v>189</v>
      </c>
      <c r="X20" s="105">
        <v>421120</v>
      </c>
      <c r="Y20" s="19" t="s">
        <v>188</v>
      </c>
      <c r="Z20" s="105"/>
      <c r="AA20" s="105"/>
      <c r="AB20" s="19" t="s">
        <v>188</v>
      </c>
      <c r="AC20" s="19" t="s">
        <v>189</v>
      </c>
      <c r="AD20" s="19" t="s">
        <v>188</v>
      </c>
      <c r="AE20" s="105">
        <v>2000</v>
      </c>
      <c r="AF20" s="19"/>
      <c r="AG20" s="19"/>
      <c r="AH20" s="105">
        <v>26002500</v>
      </c>
      <c r="AI20" s="108"/>
      <c r="AJ20" s="105"/>
      <c r="AK20" s="19" t="s">
        <v>188</v>
      </c>
      <c r="AL20" s="19"/>
      <c r="AM20" s="108">
        <v>139674661</v>
      </c>
      <c r="AN20" s="19"/>
      <c r="AO20" s="19" t="s">
        <v>188</v>
      </c>
      <c r="AP20" s="107"/>
      <c r="AQ20" s="19" t="s">
        <v>188</v>
      </c>
      <c r="AR20" s="105">
        <v>469477891</v>
      </c>
      <c r="AS20" s="19" t="s">
        <v>188</v>
      </c>
      <c r="AT20" s="105"/>
      <c r="AU20" s="19"/>
      <c r="AV20" s="105">
        <f>543999841-134748751</f>
        <v>409251090</v>
      </c>
      <c r="AW20" s="105">
        <v>27884332</v>
      </c>
      <c r="AX20" s="107"/>
      <c r="AY20" s="19" t="s">
        <v>188</v>
      </c>
      <c r="AZ20" s="105"/>
      <c r="BA20" s="105"/>
      <c r="BB20" s="105">
        <v>3684168</v>
      </c>
      <c r="BC20" s="105">
        <v>162947335</v>
      </c>
      <c r="BD20" s="19"/>
      <c r="BE20" s="105"/>
      <c r="BF20" s="19"/>
      <c r="BG20" s="105">
        <v>1800003</v>
      </c>
      <c r="BH20" s="19"/>
      <c r="BI20" s="19"/>
      <c r="BJ20" s="105"/>
      <c r="BK20" s="19"/>
      <c r="BL20" s="19"/>
      <c r="BM20" s="19"/>
      <c r="BN20" s="19"/>
      <c r="BO20" s="19"/>
      <c r="BP20" s="19"/>
      <c r="BQ20" s="19" t="s">
        <v>189</v>
      </c>
      <c r="BR20" s="19"/>
      <c r="BS20" s="105">
        <v>0</v>
      </c>
      <c r="BT20" s="105">
        <f>244224090</f>
        <v>244224090</v>
      </c>
      <c r="BU20" s="19"/>
      <c r="BV20" s="19"/>
      <c r="BW20" s="19" t="s">
        <v>189</v>
      </c>
      <c r="BX20" s="19"/>
      <c r="BY20" s="105">
        <v>2696971</v>
      </c>
      <c r="BZ20" s="105">
        <f>1404873255</f>
        <v>1404873255</v>
      </c>
      <c r="CA20" s="19"/>
      <c r="CB20" s="19"/>
      <c r="CC20" s="19"/>
      <c r="CD20" s="19"/>
      <c r="CE20" s="19"/>
      <c r="CF20" s="19"/>
      <c r="CG20" s="19"/>
      <c r="CH20" s="105">
        <v>71498660</v>
      </c>
      <c r="CI20" s="105">
        <v>1760000</v>
      </c>
      <c r="CJ20" s="19"/>
      <c r="CK20" s="19" t="s">
        <v>190</v>
      </c>
      <c r="CL20" s="105">
        <v>889166308</v>
      </c>
      <c r="CM20" s="19"/>
      <c r="CN20" s="105">
        <f>13417667-9391667</f>
        <v>4026000</v>
      </c>
      <c r="CO20" s="105">
        <v>8570834</v>
      </c>
      <c r="CP20" s="19"/>
      <c r="CQ20" s="19"/>
      <c r="CR20" s="19"/>
      <c r="CS20" s="19"/>
      <c r="CT20" s="19" t="s">
        <v>190</v>
      </c>
      <c r="CU20" s="19"/>
      <c r="CV20" s="105">
        <f>26250610</f>
        <v>26250610</v>
      </c>
      <c r="CW20" s="19" t="s">
        <v>189</v>
      </c>
      <c r="CX20" s="19"/>
      <c r="CY20" s="19"/>
      <c r="CZ20" s="105">
        <f>1000</f>
        <v>1000</v>
      </c>
      <c r="DA20" s="19" t="s">
        <v>189</v>
      </c>
      <c r="DB20" s="105">
        <v>892349416</v>
      </c>
      <c r="DC20" s="114"/>
      <c r="DD20" s="115"/>
      <c r="DE20" s="115"/>
      <c r="DF20" s="115"/>
      <c r="DG20" s="115"/>
      <c r="DH20" s="110" t="s">
        <v>189</v>
      </c>
      <c r="DI20" s="103">
        <v>11193180</v>
      </c>
      <c r="DJ20" s="115"/>
      <c r="DK20" s="111" t="s">
        <v>189</v>
      </c>
      <c r="DL20" s="103">
        <v>129384092</v>
      </c>
      <c r="DM20" s="102">
        <v>3000</v>
      </c>
      <c r="DN20" s="102">
        <v>6581456</v>
      </c>
      <c r="DO20" s="102">
        <v>1778929629</v>
      </c>
      <c r="DP20" s="102"/>
      <c r="DQ20" s="102">
        <v>111842760</v>
      </c>
      <c r="DR20" s="102"/>
      <c r="DS20" s="102"/>
      <c r="DT20" s="102"/>
      <c r="DU20" s="102">
        <f>26800750-26800750</f>
        <v>0</v>
      </c>
      <c r="DV20" s="102"/>
      <c r="DW20" s="102"/>
      <c r="DX20" s="102"/>
      <c r="DY20" s="102"/>
      <c r="DZ20" s="102"/>
      <c r="EA20" s="102"/>
      <c r="EB20" s="102"/>
      <c r="EC20" s="102"/>
      <c r="ED20" s="102"/>
      <c r="EE20" s="102"/>
      <c r="EF20" s="102">
        <v>38000000</v>
      </c>
    </row>
    <row r="21" spans="1:136">
      <c r="A21" s="67" t="s">
        <v>193</v>
      </c>
      <c r="B21" s="88" t="s">
        <v>39</v>
      </c>
      <c r="C21" s="105"/>
      <c r="D21" s="19" t="s">
        <v>188</v>
      </c>
      <c r="E21" s="105"/>
      <c r="F21" s="19" t="s">
        <v>188</v>
      </c>
      <c r="G21" s="19" t="s">
        <v>189</v>
      </c>
      <c r="H21" s="19" t="s">
        <v>189</v>
      </c>
      <c r="I21" s="19" t="s">
        <v>188</v>
      </c>
      <c r="J21" s="105"/>
      <c r="K21" s="105"/>
      <c r="L21" s="105">
        <v>20000000</v>
      </c>
      <c r="M21" s="105">
        <v>5957775</v>
      </c>
      <c r="N21" s="19" t="s">
        <v>189</v>
      </c>
      <c r="O21" s="105"/>
      <c r="P21" s="105"/>
      <c r="Q21" s="105">
        <f>88948021+42800000</f>
        <v>131748021</v>
      </c>
      <c r="R21" s="105"/>
      <c r="S21" s="105"/>
      <c r="T21" s="106"/>
      <c r="U21" s="19" t="s">
        <v>188</v>
      </c>
      <c r="V21" s="105"/>
      <c r="W21" s="19" t="s">
        <v>189</v>
      </c>
      <c r="X21" s="105"/>
      <c r="Y21" s="19" t="s">
        <v>188</v>
      </c>
      <c r="Z21" s="105"/>
      <c r="AA21" s="105">
        <v>1000</v>
      </c>
      <c r="AB21" s="19" t="s">
        <v>188</v>
      </c>
      <c r="AC21" s="19" t="s">
        <v>189</v>
      </c>
      <c r="AD21" s="19" t="s">
        <v>188</v>
      </c>
      <c r="AE21" s="105"/>
      <c r="AF21" s="19"/>
      <c r="AG21" s="19"/>
      <c r="AH21" s="19"/>
      <c r="AI21" s="19"/>
      <c r="AJ21" s="105"/>
      <c r="AK21" s="19" t="s">
        <v>188</v>
      </c>
      <c r="AL21" s="105">
        <f>1000+7159167</f>
        <v>7160167</v>
      </c>
      <c r="AM21" s="19"/>
      <c r="AN21" s="19"/>
      <c r="AO21" s="19" t="s">
        <v>188</v>
      </c>
      <c r="AP21" s="107"/>
      <c r="AQ21" s="19" t="s">
        <v>188</v>
      </c>
      <c r="AR21" s="105"/>
      <c r="AS21" s="19" t="s">
        <v>188</v>
      </c>
      <c r="AT21" s="105"/>
      <c r="AU21" s="19"/>
      <c r="AV21" s="19"/>
      <c r="AW21" s="105"/>
      <c r="AX21" s="107"/>
      <c r="AY21" s="19" t="s">
        <v>188</v>
      </c>
      <c r="AZ21" s="105"/>
      <c r="BA21" s="105"/>
      <c r="BB21" s="19"/>
      <c r="BC21" s="19"/>
      <c r="BD21" s="19"/>
      <c r="BE21" s="105"/>
      <c r="BF21" s="19"/>
      <c r="BG21" s="105"/>
      <c r="BH21" s="19"/>
      <c r="BI21" s="19"/>
      <c r="BJ21" s="105"/>
      <c r="BK21" s="19"/>
      <c r="BL21" s="19"/>
      <c r="BM21" s="19"/>
      <c r="BN21" s="19"/>
      <c r="BO21" s="19"/>
      <c r="BP21" s="19"/>
      <c r="BQ21" s="19" t="s">
        <v>189</v>
      </c>
      <c r="BR21" s="19"/>
      <c r="BS21" s="19"/>
      <c r="BT21" s="105"/>
      <c r="BU21" s="19"/>
      <c r="BV21" s="19"/>
      <c r="BW21" s="19" t="s">
        <v>189</v>
      </c>
      <c r="BX21" s="19"/>
      <c r="BY21" s="19"/>
      <c r="BZ21" s="19"/>
      <c r="CA21" s="105">
        <f>1500000</f>
        <v>1500000</v>
      </c>
      <c r="CB21" s="19"/>
      <c r="CC21" s="19"/>
      <c r="CD21" s="19"/>
      <c r="CE21" s="19"/>
      <c r="CF21" s="19"/>
      <c r="CG21" s="19"/>
      <c r="CH21" s="19"/>
      <c r="CI21" s="19"/>
      <c r="CJ21" s="19"/>
      <c r="CK21" s="19" t="s">
        <v>190</v>
      </c>
      <c r="CL21" s="19"/>
      <c r="CM21" s="19"/>
      <c r="CN21" s="19"/>
      <c r="CO21" s="19"/>
      <c r="CP21" s="19"/>
      <c r="CQ21" s="19"/>
      <c r="CR21" s="19"/>
      <c r="CS21" s="19"/>
      <c r="CT21" s="19" t="s">
        <v>190</v>
      </c>
      <c r="CU21" s="19"/>
      <c r="CV21" s="19"/>
      <c r="CW21" s="19" t="s">
        <v>189</v>
      </c>
      <c r="CX21" s="19"/>
      <c r="CY21" s="19"/>
      <c r="CZ21" s="19"/>
      <c r="DA21" s="19" t="s">
        <v>189</v>
      </c>
      <c r="DB21" s="19"/>
      <c r="DC21" s="114"/>
      <c r="DD21" s="103">
        <v>8500000</v>
      </c>
      <c r="DE21" s="115"/>
      <c r="DF21" s="115"/>
      <c r="DG21" s="115"/>
      <c r="DH21" s="110" t="s">
        <v>189</v>
      </c>
      <c r="DI21" s="115"/>
      <c r="DJ21" s="115"/>
      <c r="DK21" s="111" t="s">
        <v>189</v>
      </c>
      <c r="DL21" s="115"/>
      <c r="DM21" s="102"/>
      <c r="DN21" s="102"/>
      <c r="DO21" s="102"/>
      <c r="DP21" s="102"/>
      <c r="DQ21" s="102"/>
      <c r="DR21" s="102"/>
      <c r="DS21" s="102">
        <v>1000</v>
      </c>
      <c r="DT21" s="102"/>
      <c r="DU21" s="102"/>
      <c r="DV21" s="102"/>
      <c r="DW21" s="102"/>
      <c r="DX21" s="102"/>
      <c r="DY21" s="102"/>
      <c r="DZ21" s="102"/>
      <c r="EA21" s="102"/>
      <c r="EB21" s="102"/>
      <c r="EC21" s="102"/>
      <c r="ED21" s="102"/>
      <c r="EE21" s="102"/>
      <c r="EF21" s="102"/>
    </row>
    <row r="22" spans="1:136">
      <c r="A22" s="67" t="s">
        <v>193</v>
      </c>
      <c r="B22" s="87" t="s">
        <v>68</v>
      </c>
      <c r="C22" s="105">
        <v>21000000</v>
      </c>
      <c r="D22" s="19" t="s">
        <v>188</v>
      </c>
      <c r="E22" s="105">
        <v>100200000</v>
      </c>
      <c r="F22" s="19" t="s">
        <v>188</v>
      </c>
      <c r="G22" s="19" t="s">
        <v>189</v>
      </c>
      <c r="H22" s="19" t="s">
        <v>189</v>
      </c>
      <c r="I22" s="19" t="s">
        <v>188</v>
      </c>
      <c r="J22" s="105">
        <v>38393000</v>
      </c>
      <c r="K22" s="105">
        <v>25000000</v>
      </c>
      <c r="L22" s="105">
        <v>107420000</v>
      </c>
      <c r="M22" s="105">
        <v>21100000</v>
      </c>
      <c r="N22" s="19" t="s">
        <v>189</v>
      </c>
      <c r="O22" s="105">
        <v>30000000</v>
      </c>
      <c r="P22" s="105"/>
      <c r="Q22" s="105">
        <v>1295225608</v>
      </c>
      <c r="R22" s="105">
        <v>4268000</v>
      </c>
      <c r="S22" s="105">
        <v>10000000</v>
      </c>
      <c r="T22" s="106">
        <v>11808000</v>
      </c>
      <c r="U22" s="19" t="s">
        <v>188</v>
      </c>
      <c r="V22" s="105">
        <v>3960000</v>
      </c>
      <c r="W22" s="19" t="s">
        <v>189</v>
      </c>
      <c r="X22" s="105">
        <v>20000000</v>
      </c>
      <c r="Y22" s="19" t="s">
        <v>188</v>
      </c>
      <c r="Z22" s="105">
        <v>35190000</v>
      </c>
      <c r="AA22" s="105">
        <v>600000</v>
      </c>
      <c r="AB22" s="19" t="s">
        <v>188</v>
      </c>
      <c r="AC22" s="19" t="s">
        <v>189</v>
      </c>
      <c r="AD22" s="19" t="s">
        <v>188</v>
      </c>
      <c r="AE22" s="105">
        <v>436121027</v>
      </c>
      <c r="AF22" s="105">
        <v>60384000</v>
      </c>
      <c r="AG22" s="105">
        <v>112566000</v>
      </c>
      <c r="AH22" s="105">
        <v>5000000</v>
      </c>
      <c r="AI22" s="105">
        <v>0</v>
      </c>
      <c r="AJ22" s="105">
        <v>330000000</v>
      </c>
      <c r="AK22" s="19" t="s">
        <v>188</v>
      </c>
      <c r="AL22" s="105">
        <v>48442800</v>
      </c>
      <c r="AM22" s="105">
        <v>35000000</v>
      </c>
      <c r="AN22" s="108">
        <v>19532580</v>
      </c>
      <c r="AO22" s="19" t="s">
        <v>188</v>
      </c>
      <c r="AP22" s="107">
        <v>15030000</v>
      </c>
      <c r="AQ22" s="19" t="s">
        <v>188</v>
      </c>
      <c r="AR22" s="105">
        <v>29000000</v>
      </c>
      <c r="AS22" s="19" t="s">
        <v>188</v>
      </c>
      <c r="AT22" s="105">
        <v>282357900</v>
      </c>
      <c r="AU22" s="19"/>
      <c r="AV22" s="105">
        <v>63760630</v>
      </c>
      <c r="AW22" s="105">
        <v>25963900</v>
      </c>
      <c r="AX22" s="107">
        <v>200000</v>
      </c>
      <c r="AY22" s="19" t="s">
        <v>188</v>
      </c>
      <c r="AZ22" s="105">
        <v>0</v>
      </c>
      <c r="BA22" s="105">
        <v>10000000</v>
      </c>
      <c r="BB22" s="105">
        <v>150000000</v>
      </c>
      <c r="BC22" s="105">
        <v>43362000</v>
      </c>
      <c r="BD22" s="105">
        <v>3757180</v>
      </c>
      <c r="BE22" s="105">
        <f>10080000</f>
        <v>10080000</v>
      </c>
      <c r="BF22" s="105">
        <f>21065550</f>
        <v>21065550</v>
      </c>
      <c r="BG22" s="105">
        <v>32884427</v>
      </c>
      <c r="BH22" s="105">
        <f>184460000</f>
        <v>184460000</v>
      </c>
      <c r="BI22" s="108">
        <v>70510400</v>
      </c>
      <c r="BJ22" s="105">
        <v>79000000</v>
      </c>
      <c r="BK22" s="105">
        <f>10300000</f>
        <v>10300000</v>
      </c>
      <c r="BL22" s="105">
        <v>20000000</v>
      </c>
      <c r="BM22" s="105">
        <v>0</v>
      </c>
      <c r="BN22" s="105">
        <v>5000000</v>
      </c>
      <c r="BO22" s="105">
        <v>40000000</v>
      </c>
      <c r="BP22" s="105">
        <f>115000000</f>
        <v>115000000</v>
      </c>
      <c r="BQ22" s="19" t="s">
        <v>189</v>
      </c>
      <c r="BR22" s="105">
        <f>33141000</f>
        <v>33141000</v>
      </c>
      <c r="BS22" s="105">
        <f>189408800</f>
        <v>189408800</v>
      </c>
      <c r="BT22" s="105">
        <v>0</v>
      </c>
      <c r="BU22" s="105">
        <f>49088800</f>
        <v>49088800</v>
      </c>
      <c r="BV22" s="105">
        <f>51200000</f>
        <v>51200000</v>
      </c>
      <c r="BW22" s="19" t="s">
        <v>189</v>
      </c>
      <c r="BX22" s="105">
        <f>88224530</f>
        <v>88224530</v>
      </c>
      <c r="BY22" s="105">
        <v>13000000</v>
      </c>
      <c r="BZ22" s="105">
        <f>20034000</f>
        <v>20034000</v>
      </c>
      <c r="CA22" s="19"/>
      <c r="CB22" s="105">
        <v>66920000</v>
      </c>
      <c r="CC22" s="105">
        <v>40000000</v>
      </c>
      <c r="CD22" s="105">
        <f>20750000</f>
        <v>20750000</v>
      </c>
      <c r="CE22" s="105">
        <f>20000000</f>
        <v>20000000</v>
      </c>
      <c r="CF22" s="105">
        <v>120000000</v>
      </c>
      <c r="CG22" s="105">
        <v>0</v>
      </c>
      <c r="CH22" s="105">
        <v>327590556</v>
      </c>
      <c r="CI22" s="105">
        <v>20000000</v>
      </c>
      <c r="CJ22" s="105">
        <v>30000000</v>
      </c>
      <c r="CK22" s="19" t="s">
        <v>190</v>
      </c>
      <c r="CL22" s="105">
        <v>26057520</v>
      </c>
      <c r="CM22" s="105">
        <v>0</v>
      </c>
      <c r="CN22" s="105">
        <f>3090000</f>
        <v>3090000</v>
      </c>
      <c r="CO22" s="105">
        <v>43216500</v>
      </c>
      <c r="CP22" s="105">
        <v>65000000</v>
      </c>
      <c r="CQ22" s="105">
        <v>20000000</v>
      </c>
      <c r="CR22" s="105">
        <v>230000000</v>
      </c>
      <c r="CS22" s="105">
        <f>311059900</f>
        <v>311059900</v>
      </c>
      <c r="CT22" s="19" t="s">
        <v>190</v>
      </c>
      <c r="CU22" s="105">
        <v>26800000</v>
      </c>
      <c r="CV22" s="105">
        <f>293835070</f>
        <v>293835070</v>
      </c>
      <c r="CW22" s="19" t="s">
        <v>189</v>
      </c>
      <c r="CX22" s="105">
        <f>33719280</f>
        <v>33719280</v>
      </c>
      <c r="CY22" s="105">
        <v>0</v>
      </c>
      <c r="CZ22" s="105">
        <f>82296000</f>
        <v>82296000</v>
      </c>
      <c r="DA22" s="19" t="s">
        <v>189</v>
      </c>
      <c r="DB22" s="105">
        <v>3729400</v>
      </c>
      <c r="DC22" s="114"/>
      <c r="DD22" s="103">
        <v>44000000</v>
      </c>
      <c r="DE22" s="103">
        <f>15050000</f>
        <v>15050000</v>
      </c>
      <c r="DF22" s="103">
        <v>667181677</v>
      </c>
      <c r="DG22" s="103">
        <f>85000000</f>
        <v>85000000</v>
      </c>
      <c r="DH22" s="110" t="s">
        <v>189</v>
      </c>
      <c r="DI22" s="103">
        <v>35000000</v>
      </c>
      <c r="DJ22" s="103">
        <f>50000000</f>
        <v>50000000</v>
      </c>
      <c r="DK22" s="111" t="s">
        <v>189</v>
      </c>
      <c r="DL22" s="103">
        <v>23090000</v>
      </c>
      <c r="DM22" s="102">
        <v>14465000</v>
      </c>
      <c r="DN22" s="102">
        <v>1350000</v>
      </c>
      <c r="DO22" s="102">
        <v>34199520</v>
      </c>
      <c r="DP22" s="102">
        <v>4670000</v>
      </c>
      <c r="DQ22" s="102">
        <v>5000000</v>
      </c>
      <c r="DR22" s="102">
        <v>25000000</v>
      </c>
      <c r="DS22" s="102">
        <v>126039300</v>
      </c>
      <c r="DT22" s="102">
        <v>10000000</v>
      </c>
      <c r="DU22" s="102">
        <v>22700000</v>
      </c>
      <c r="DV22" s="102">
        <v>26856000</v>
      </c>
      <c r="DW22" s="102">
        <v>0</v>
      </c>
      <c r="DX22" s="102">
        <v>98700000</v>
      </c>
      <c r="DY22" s="102">
        <v>171728278</v>
      </c>
      <c r="DZ22" s="102">
        <v>0</v>
      </c>
      <c r="EA22" s="102">
        <v>93373408</v>
      </c>
      <c r="EB22" s="102">
        <v>303290000</v>
      </c>
      <c r="EC22" s="102">
        <v>30000000</v>
      </c>
      <c r="ED22" s="102">
        <v>0</v>
      </c>
      <c r="EE22" s="102">
        <v>20000000</v>
      </c>
      <c r="EF22" s="102">
        <v>60000000</v>
      </c>
    </row>
    <row r="23" spans="1:136">
      <c r="A23" s="67" t="s">
        <v>193</v>
      </c>
      <c r="B23" s="91" t="s">
        <v>109</v>
      </c>
      <c r="C23" s="105">
        <v>222997521</v>
      </c>
      <c r="D23" s="19" t="s">
        <v>188</v>
      </c>
      <c r="E23" s="105">
        <v>351588230</v>
      </c>
      <c r="F23" s="19" t="s">
        <v>188</v>
      </c>
      <c r="G23" s="19" t="s">
        <v>189</v>
      </c>
      <c r="H23" s="19" t="s">
        <v>189</v>
      </c>
      <c r="I23" s="19" t="s">
        <v>188</v>
      </c>
      <c r="J23" s="105">
        <v>5691940533</v>
      </c>
      <c r="K23" s="105">
        <v>50038580</v>
      </c>
      <c r="L23" s="105">
        <v>1822824292</v>
      </c>
      <c r="M23" s="105">
        <v>393325556</v>
      </c>
      <c r="N23" s="19" t="s">
        <v>189</v>
      </c>
      <c r="O23" s="105">
        <v>233480</v>
      </c>
      <c r="P23" s="105">
        <v>2406584264</v>
      </c>
      <c r="Q23" s="105">
        <v>37285826566</v>
      </c>
      <c r="R23" s="105">
        <v>2582819419</v>
      </c>
      <c r="S23" s="105">
        <v>2069312798</v>
      </c>
      <c r="T23" s="105">
        <v>4146836865</v>
      </c>
      <c r="U23" s="19" t="s">
        <v>188</v>
      </c>
      <c r="V23" s="105">
        <v>106345761</v>
      </c>
      <c r="W23" s="19" t="s">
        <v>189</v>
      </c>
      <c r="X23" s="105">
        <v>53356131</v>
      </c>
      <c r="Y23" s="19" t="s">
        <v>188</v>
      </c>
      <c r="Z23" s="105">
        <v>853561124</v>
      </c>
      <c r="AA23" s="105">
        <v>634721045</v>
      </c>
      <c r="AB23" s="19" t="s">
        <v>188</v>
      </c>
      <c r="AC23" s="19" t="s">
        <v>189</v>
      </c>
      <c r="AD23" s="19" t="s">
        <v>188</v>
      </c>
      <c r="AE23" s="105">
        <v>916755574</v>
      </c>
      <c r="AF23" s="105">
        <v>124695091</v>
      </c>
      <c r="AG23" s="105">
        <v>679760255</v>
      </c>
      <c r="AH23" s="105">
        <v>26035503</v>
      </c>
      <c r="AI23" s="105">
        <v>575667885</v>
      </c>
      <c r="AJ23" s="105">
        <v>1488694898</v>
      </c>
      <c r="AK23" s="19" t="s">
        <v>188</v>
      </c>
      <c r="AL23" s="105">
        <v>916290624</v>
      </c>
      <c r="AM23" s="106">
        <v>551866146</v>
      </c>
      <c r="AN23" s="105">
        <v>668573390</v>
      </c>
      <c r="AO23" s="19" t="s">
        <v>188</v>
      </c>
      <c r="AP23" s="107">
        <v>187622863</v>
      </c>
      <c r="AQ23" s="19" t="s">
        <v>188</v>
      </c>
      <c r="AR23" s="105">
        <v>4949452358</v>
      </c>
      <c r="AS23" s="19" t="s">
        <v>188</v>
      </c>
      <c r="AT23" s="105">
        <v>9676095449</v>
      </c>
      <c r="AU23" s="105">
        <v>348500019</v>
      </c>
      <c r="AV23" s="105">
        <v>4863550346</v>
      </c>
      <c r="AW23" s="105">
        <v>3012569630</v>
      </c>
      <c r="AX23" s="107">
        <v>29165739</v>
      </c>
      <c r="AY23" s="19" t="s">
        <v>188</v>
      </c>
      <c r="AZ23" s="105">
        <f>3557860</f>
        <v>3557860</v>
      </c>
      <c r="BA23" s="105">
        <v>40224849</v>
      </c>
      <c r="BB23" s="105">
        <v>708157602</v>
      </c>
      <c r="BC23" s="105">
        <v>267252086</v>
      </c>
      <c r="BD23" s="105">
        <v>287072768</v>
      </c>
      <c r="BE23" s="105">
        <f>792116230</f>
        <v>792116230</v>
      </c>
      <c r="BF23" s="105">
        <f>2224948026</f>
        <v>2224948026</v>
      </c>
      <c r="BG23" s="105">
        <v>1783723075</v>
      </c>
      <c r="BH23" s="105">
        <f>2423637276</f>
        <v>2423637276</v>
      </c>
      <c r="BI23" s="108">
        <v>1548558561</v>
      </c>
      <c r="BJ23" s="105">
        <v>461242747</v>
      </c>
      <c r="BK23" s="105">
        <f>1615441229</f>
        <v>1615441229</v>
      </c>
      <c r="BL23" s="105">
        <f>356925519</f>
        <v>356925519</v>
      </c>
      <c r="BM23" s="105">
        <f>3678975672</f>
        <v>3678975672</v>
      </c>
      <c r="BN23" s="105">
        <v>895787464</v>
      </c>
      <c r="BO23" s="105">
        <f>1105212552</f>
        <v>1105212552</v>
      </c>
      <c r="BP23" s="105">
        <f>236859580</f>
        <v>236859580</v>
      </c>
      <c r="BQ23" s="19" t="s">
        <v>189</v>
      </c>
      <c r="BR23" s="105">
        <f>1394509786</f>
        <v>1394509786</v>
      </c>
      <c r="BS23" s="105">
        <f>2904374245</f>
        <v>2904374245</v>
      </c>
      <c r="BT23" s="105">
        <v>633117048</v>
      </c>
      <c r="BU23" s="105">
        <f>904585718</f>
        <v>904585718</v>
      </c>
      <c r="BV23" s="105">
        <f>1038610358</f>
        <v>1038610358</v>
      </c>
      <c r="BW23" s="19" t="s">
        <v>189</v>
      </c>
      <c r="BX23" s="105">
        <f>55889186</f>
        <v>55889186</v>
      </c>
      <c r="BY23" s="105">
        <v>39384985</v>
      </c>
      <c r="BZ23" s="105">
        <f>2137594570</f>
        <v>2137594570</v>
      </c>
      <c r="CA23" s="105">
        <f>42576924</f>
        <v>42576924</v>
      </c>
      <c r="CB23" s="105">
        <f>150078737</f>
        <v>150078737</v>
      </c>
      <c r="CC23" s="105">
        <v>135448059</v>
      </c>
      <c r="CD23" s="105">
        <f>83917359</f>
        <v>83917359</v>
      </c>
      <c r="CE23" s="105">
        <f>498015454</f>
        <v>498015454</v>
      </c>
      <c r="CF23" s="105">
        <f>1625567900</f>
        <v>1625567900</v>
      </c>
      <c r="CG23" s="105">
        <f>427705270</f>
        <v>427705270</v>
      </c>
      <c r="CH23" s="105">
        <f>4346479896</f>
        <v>4346479896</v>
      </c>
      <c r="CI23" s="105">
        <v>165301300</v>
      </c>
      <c r="CJ23" s="105">
        <v>14971152</v>
      </c>
      <c r="CK23" s="19" t="s">
        <v>190</v>
      </c>
      <c r="CL23" s="105">
        <v>1232734915</v>
      </c>
      <c r="CM23" s="105">
        <v>295417295</v>
      </c>
      <c r="CN23" s="105">
        <f>328158416</f>
        <v>328158416</v>
      </c>
      <c r="CO23" s="105">
        <v>274408318</v>
      </c>
      <c r="CP23" s="105">
        <v>704969983</v>
      </c>
      <c r="CQ23" s="105">
        <v>50330000</v>
      </c>
      <c r="CR23" s="105">
        <v>566434659</v>
      </c>
      <c r="CS23" s="105">
        <f>562257246</f>
        <v>562257246</v>
      </c>
      <c r="CT23" s="19" t="s">
        <v>190</v>
      </c>
      <c r="CU23" s="105">
        <v>466349182</v>
      </c>
      <c r="CV23" s="105">
        <f>6385303132</f>
        <v>6385303132</v>
      </c>
      <c r="CW23" s="19" t="s">
        <v>189</v>
      </c>
      <c r="CX23" s="105">
        <f>736431228</f>
        <v>736431228</v>
      </c>
      <c r="CY23" s="105">
        <f>149191349</f>
        <v>149191349</v>
      </c>
      <c r="CZ23" s="105">
        <v>2621623952</v>
      </c>
      <c r="DA23" s="19" t="s">
        <v>189</v>
      </c>
      <c r="DB23" s="105">
        <v>687268170</v>
      </c>
      <c r="DC23" s="109">
        <v>51658774</v>
      </c>
      <c r="DD23" s="103">
        <v>1349786632</v>
      </c>
      <c r="DE23" s="103">
        <f>5032005180</f>
        <v>5032005180</v>
      </c>
      <c r="DF23" s="103">
        <v>17544618336</v>
      </c>
      <c r="DG23" s="103">
        <f>774711285</f>
        <v>774711285</v>
      </c>
      <c r="DH23" s="110" t="s">
        <v>189</v>
      </c>
      <c r="DI23" s="103">
        <f>2337564316</f>
        <v>2337564316</v>
      </c>
      <c r="DJ23" s="103">
        <f>299612627</f>
        <v>299612627</v>
      </c>
      <c r="DK23" s="111" t="s">
        <v>189</v>
      </c>
      <c r="DL23" s="103">
        <v>392941432</v>
      </c>
      <c r="DM23" s="102">
        <v>1227976675</v>
      </c>
      <c r="DN23" s="102">
        <v>942402324</v>
      </c>
      <c r="DO23" s="102">
        <v>5526441632</v>
      </c>
      <c r="DP23" s="102">
        <v>28292913</v>
      </c>
      <c r="DQ23" s="102">
        <v>416039522</v>
      </c>
      <c r="DR23" s="102">
        <v>280910541</v>
      </c>
      <c r="DS23" s="102">
        <v>1455026833</v>
      </c>
      <c r="DT23" s="102">
        <v>1015149630</v>
      </c>
      <c r="DU23" s="102">
        <v>746942688</v>
      </c>
      <c r="DV23" s="102">
        <v>67637117</v>
      </c>
      <c r="DW23" s="102">
        <v>277540386</v>
      </c>
      <c r="DX23" s="102">
        <v>395926620</v>
      </c>
      <c r="DY23" s="102">
        <v>144552002</v>
      </c>
      <c r="DZ23" s="102">
        <v>377500000</v>
      </c>
      <c r="EA23" s="102">
        <v>504905588</v>
      </c>
      <c r="EB23" s="102">
        <v>2921009232</v>
      </c>
      <c r="EC23" s="102">
        <v>402916408</v>
      </c>
      <c r="ED23" s="102">
        <v>0</v>
      </c>
      <c r="EE23" s="102">
        <v>1150737117</v>
      </c>
      <c r="EF23" s="102">
        <v>666003831</v>
      </c>
    </row>
    <row r="24" spans="1:136">
      <c r="A24" s="67" t="s">
        <v>193</v>
      </c>
      <c r="B24" s="91" t="s">
        <v>99</v>
      </c>
      <c r="C24" s="105">
        <v>98654181</v>
      </c>
      <c r="D24" s="19" t="s">
        <v>188</v>
      </c>
      <c r="E24" s="105">
        <v>237425230</v>
      </c>
      <c r="F24" s="19" t="s">
        <v>188</v>
      </c>
      <c r="G24" s="19" t="s">
        <v>189</v>
      </c>
      <c r="H24" s="19" t="s">
        <v>189</v>
      </c>
      <c r="I24" s="19" t="s">
        <v>188</v>
      </c>
      <c r="J24" s="105">
        <v>967683462</v>
      </c>
      <c r="K24" s="105">
        <v>50038580</v>
      </c>
      <c r="L24" s="105">
        <v>128686273</v>
      </c>
      <c r="M24" s="105">
        <v>310185796</v>
      </c>
      <c r="N24" s="19" t="s">
        <v>189</v>
      </c>
      <c r="O24" s="105">
        <v>233480</v>
      </c>
      <c r="P24" s="105">
        <v>706584264</v>
      </c>
      <c r="Q24" s="105">
        <v>28920174487</v>
      </c>
      <c r="R24" s="105">
        <v>386219419</v>
      </c>
      <c r="S24" s="105">
        <v>176112798</v>
      </c>
      <c r="T24" s="105">
        <v>609171613</v>
      </c>
      <c r="U24" s="19" t="s">
        <v>188</v>
      </c>
      <c r="V24" s="105">
        <v>106345761</v>
      </c>
      <c r="W24" s="19" t="s">
        <v>189</v>
      </c>
      <c r="X24" s="105">
        <v>53356131</v>
      </c>
      <c r="Y24" s="19" t="s">
        <v>188</v>
      </c>
      <c r="Z24" s="105">
        <v>553561124</v>
      </c>
      <c r="AA24" s="105">
        <v>194364739</v>
      </c>
      <c r="AB24" s="19" t="s">
        <v>188</v>
      </c>
      <c r="AC24" s="19" t="s">
        <v>189</v>
      </c>
      <c r="AD24" s="19" t="s">
        <v>188</v>
      </c>
      <c r="AE24" s="105">
        <v>916755574</v>
      </c>
      <c r="AF24" s="105">
        <v>24695091</v>
      </c>
      <c r="AG24" s="105">
        <v>73186870</v>
      </c>
      <c r="AH24" s="105">
        <v>26035503</v>
      </c>
      <c r="AI24" s="105">
        <v>75667885</v>
      </c>
      <c r="AJ24" s="105">
        <v>223113492</v>
      </c>
      <c r="AK24" s="19" t="s">
        <v>188</v>
      </c>
      <c r="AL24" s="105">
        <v>808346203</v>
      </c>
      <c r="AM24" s="106">
        <v>148666146</v>
      </c>
      <c r="AN24" s="105">
        <f>486811277</f>
        <v>486811277</v>
      </c>
      <c r="AO24" s="19" t="s">
        <v>188</v>
      </c>
      <c r="AP24" s="107">
        <v>56422863</v>
      </c>
      <c r="AQ24" s="19" t="s">
        <v>188</v>
      </c>
      <c r="AR24" s="105">
        <v>162947038</v>
      </c>
      <c r="AS24" s="19" t="s">
        <v>188</v>
      </c>
      <c r="AT24" s="105">
        <v>2424710588</v>
      </c>
      <c r="AU24" s="105">
        <v>4783386</v>
      </c>
      <c r="AV24" s="105">
        <v>1960707828</v>
      </c>
      <c r="AW24" s="105">
        <v>563009630</v>
      </c>
      <c r="AX24" s="107">
        <v>29165739</v>
      </c>
      <c r="AY24" s="19" t="s">
        <v>188</v>
      </c>
      <c r="AZ24" s="105">
        <f>557860</f>
        <v>557860</v>
      </c>
      <c r="BA24" s="108">
        <v>22353585</v>
      </c>
      <c r="BB24" s="105">
        <v>618574267</v>
      </c>
      <c r="BC24" s="105">
        <v>156012232</v>
      </c>
      <c r="BD24" s="105">
        <v>87072768</v>
      </c>
      <c r="BE24" s="105">
        <f>94876230</f>
        <v>94876230</v>
      </c>
      <c r="BF24" s="105">
        <f>610205586</f>
        <v>610205586</v>
      </c>
      <c r="BG24" s="105">
        <v>1536461612</v>
      </c>
      <c r="BH24" s="105">
        <v>1343307276</v>
      </c>
      <c r="BI24" s="108">
        <v>189453479</v>
      </c>
      <c r="BJ24" s="105">
        <v>461242747</v>
      </c>
      <c r="BK24" s="105">
        <f>577207819</f>
        <v>577207819</v>
      </c>
      <c r="BL24" s="105">
        <f>36125519</f>
        <v>36125519</v>
      </c>
      <c r="BM24" s="105">
        <f>108428872</f>
        <v>108428872</v>
      </c>
      <c r="BN24" s="105">
        <v>324987464</v>
      </c>
      <c r="BO24" s="105">
        <f>739072552</f>
        <v>739072552</v>
      </c>
      <c r="BP24" s="105">
        <f>136859580</f>
        <v>136859580</v>
      </c>
      <c r="BQ24" s="19" t="s">
        <v>189</v>
      </c>
      <c r="BR24" s="105">
        <f>175355184</f>
        <v>175355184</v>
      </c>
      <c r="BS24" s="105">
        <f>884374245</f>
        <v>884374245</v>
      </c>
      <c r="BT24" s="105">
        <f>445394527</f>
        <v>445394527</v>
      </c>
      <c r="BU24" s="105">
        <f>354245765</f>
        <v>354245765</v>
      </c>
      <c r="BV24" s="105">
        <f>838610358</f>
        <v>838610358</v>
      </c>
      <c r="BW24" s="19" t="s">
        <v>189</v>
      </c>
      <c r="BX24" s="105">
        <f>55889186</f>
        <v>55889186</v>
      </c>
      <c r="BY24" s="105">
        <v>39384985</v>
      </c>
      <c r="BZ24" s="105">
        <f>1074656411</f>
        <v>1074656411</v>
      </c>
      <c r="CA24" s="105">
        <f>15786924</f>
        <v>15786924</v>
      </c>
      <c r="CB24" s="105">
        <f>150078737</f>
        <v>150078737</v>
      </c>
      <c r="CC24" s="105">
        <v>135448059</v>
      </c>
      <c r="CD24" s="105">
        <f>9903025</f>
        <v>9903025</v>
      </c>
      <c r="CE24" s="105">
        <f>233865454</f>
        <v>233865454</v>
      </c>
      <c r="CF24" s="105">
        <f>415567900</f>
        <v>415567900</v>
      </c>
      <c r="CG24" s="105">
        <f>106867786</f>
        <v>106867786</v>
      </c>
      <c r="CH24" s="105">
        <v>1828281000</v>
      </c>
      <c r="CI24" s="105">
        <v>108991862</v>
      </c>
      <c r="CJ24" s="105">
        <v>14971152</v>
      </c>
      <c r="CK24" s="19" t="s">
        <v>190</v>
      </c>
      <c r="CL24" s="105">
        <v>304894915</v>
      </c>
      <c r="CM24" s="105">
        <v>241337295</v>
      </c>
      <c r="CN24" s="105">
        <f>68204173</f>
        <v>68204173</v>
      </c>
      <c r="CO24" s="105">
        <v>94951076</v>
      </c>
      <c r="CP24" s="105">
        <v>459513406</v>
      </c>
      <c r="CQ24" s="105">
        <v>50330000</v>
      </c>
      <c r="CR24" s="105">
        <v>566434659</v>
      </c>
      <c r="CS24" s="105">
        <f>560330565</f>
        <v>560330565</v>
      </c>
      <c r="CT24" s="19" t="s">
        <v>190</v>
      </c>
      <c r="CU24" s="105">
        <v>466349182</v>
      </c>
      <c r="CV24" s="105">
        <f>274995497</f>
        <v>274995497</v>
      </c>
      <c r="CW24" s="19" t="s">
        <v>189</v>
      </c>
      <c r="CX24" s="105">
        <f>736431228</f>
        <v>736431228</v>
      </c>
      <c r="CY24" s="105">
        <f>149191349</f>
        <v>149191349</v>
      </c>
      <c r="CZ24" s="105">
        <f>2125749968</f>
        <v>2125749968</v>
      </c>
      <c r="DA24" s="19" t="s">
        <v>189</v>
      </c>
      <c r="DB24" s="105">
        <v>551181039</v>
      </c>
      <c r="DC24" s="109">
        <v>51658774</v>
      </c>
      <c r="DD24" s="103">
        <v>99051632</v>
      </c>
      <c r="DE24" s="103">
        <f>1242201225</f>
        <v>1242201225</v>
      </c>
      <c r="DF24" s="103">
        <v>8483526645</v>
      </c>
      <c r="DG24" s="103">
        <f>65319060</f>
        <v>65319060</v>
      </c>
      <c r="DH24" s="110" t="s">
        <v>189</v>
      </c>
      <c r="DI24" s="103">
        <f>2287947129</f>
        <v>2287947129</v>
      </c>
      <c r="DJ24" s="103">
        <f>231459565</f>
        <v>231459565</v>
      </c>
      <c r="DK24" s="111" t="s">
        <v>189</v>
      </c>
      <c r="DL24" s="103">
        <v>131274768</v>
      </c>
      <c r="DM24" s="102">
        <v>487976675</v>
      </c>
      <c r="DN24" s="102">
        <v>86059253</v>
      </c>
      <c r="DO24" s="102">
        <v>203561632</v>
      </c>
      <c r="DP24" s="102">
        <v>28292913</v>
      </c>
      <c r="DQ24" s="102">
        <v>416039522</v>
      </c>
      <c r="DR24" s="102">
        <v>5294541</v>
      </c>
      <c r="DS24" s="102">
        <v>597874378</v>
      </c>
      <c r="DT24" s="102">
        <v>375461517</v>
      </c>
      <c r="DU24" s="102">
        <v>105942688</v>
      </c>
      <c r="DV24" s="102">
        <v>63962857</v>
      </c>
      <c r="DW24" s="102">
        <v>277540386</v>
      </c>
      <c r="DX24" s="102">
        <v>226902282</v>
      </c>
      <c r="DY24" s="102">
        <v>54380241</v>
      </c>
      <c r="DZ24" s="102">
        <v>377500000</v>
      </c>
      <c r="EA24" s="102">
        <v>214905588</v>
      </c>
      <c r="EB24" s="102">
        <v>751389927</v>
      </c>
      <c r="EC24" s="102">
        <v>111555313</v>
      </c>
      <c r="ED24" s="102">
        <v>0</v>
      </c>
      <c r="EE24" s="102">
        <v>200737117</v>
      </c>
      <c r="EF24" s="102">
        <v>216003831</v>
      </c>
    </row>
    <row r="25" spans="1:136">
      <c r="A25" s="67" t="s">
        <v>193</v>
      </c>
      <c r="B25" s="87" t="s">
        <v>21</v>
      </c>
      <c r="C25" s="105"/>
      <c r="D25" s="19" t="s">
        <v>188</v>
      </c>
      <c r="E25" s="105">
        <v>6621365</v>
      </c>
      <c r="F25" s="19" t="s">
        <v>188</v>
      </c>
      <c r="G25" s="19" t="s">
        <v>189</v>
      </c>
      <c r="H25" s="19" t="s">
        <v>189</v>
      </c>
      <c r="I25" s="19" t="s">
        <v>188</v>
      </c>
      <c r="J25" s="105">
        <v>433331414</v>
      </c>
      <c r="K25" s="105">
        <v>2578500</v>
      </c>
      <c r="L25" s="105">
        <v>55722683</v>
      </c>
      <c r="M25" s="105"/>
      <c r="N25" s="19" t="s">
        <v>189</v>
      </c>
      <c r="O25" s="105"/>
      <c r="P25" s="105"/>
      <c r="Q25" s="105">
        <v>1042474131</v>
      </c>
      <c r="R25" s="105">
        <v>146024894</v>
      </c>
      <c r="S25" s="116"/>
      <c r="T25" s="105">
        <v>2129774</v>
      </c>
      <c r="U25" s="19" t="s">
        <v>188</v>
      </c>
      <c r="V25" s="116"/>
      <c r="W25" s="19" t="s">
        <v>189</v>
      </c>
      <c r="X25" s="105">
        <v>9933608</v>
      </c>
      <c r="Y25" s="19" t="s">
        <v>188</v>
      </c>
      <c r="Z25" s="105"/>
      <c r="AA25" s="105">
        <v>109036978</v>
      </c>
      <c r="AB25" s="19" t="s">
        <v>188</v>
      </c>
      <c r="AC25" s="19" t="s">
        <v>189</v>
      </c>
      <c r="AD25" s="19" t="s">
        <v>188</v>
      </c>
      <c r="AE25" s="105">
        <v>14457061</v>
      </c>
      <c r="AF25" s="105"/>
      <c r="AG25" s="105">
        <v>8032604</v>
      </c>
      <c r="AH25" s="19"/>
      <c r="AI25" s="105">
        <v>22201230</v>
      </c>
      <c r="AJ25" s="105"/>
      <c r="AK25" s="19" t="s">
        <v>188</v>
      </c>
      <c r="AL25" s="105">
        <v>1584000</v>
      </c>
      <c r="AM25" s="106">
        <v>78607099</v>
      </c>
      <c r="AN25" s="105">
        <f>71666262</f>
        <v>71666262</v>
      </c>
      <c r="AO25" s="19" t="s">
        <v>188</v>
      </c>
      <c r="AP25" s="107"/>
      <c r="AQ25" s="19" t="s">
        <v>188</v>
      </c>
      <c r="AR25" s="105">
        <v>53189713</v>
      </c>
      <c r="AS25" s="19" t="s">
        <v>188</v>
      </c>
      <c r="AT25" s="105">
        <v>8580000</v>
      </c>
      <c r="AU25" s="105"/>
      <c r="AV25" s="105"/>
      <c r="AW25" s="19"/>
      <c r="AX25" s="107">
        <v>1136460</v>
      </c>
      <c r="AY25" s="19" t="s">
        <v>188</v>
      </c>
      <c r="AZ25" s="105"/>
      <c r="BA25" s="105"/>
      <c r="BB25" s="105">
        <v>199933325</v>
      </c>
      <c r="BC25" s="105">
        <v>0</v>
      </c>
      <c r="BD25" s="105">
        <v>11838800</v>
      </c>
      <c r="BE25" s="105">
        <f>77270513</f>
        <v>77270513</v>
      </c>
      <c r="BF25" s="105">
        <f>12106400</f>
        <v>12106400</v>
      </c>
      <c r="BG25" s="19"/>
      <c r="BH25" s="19"/>
      <c r="BI25" s="108">
        <v>120757476</v>
      </c>
      <c r="BJ25" s="117">
        <v>151903508</v>
      </c>
      <c r="BK25" s="105"/>
      <c r="BL25" s="19"/>
      <c r="BM25" s="19"/>
      <c r="BN25" s="19"/>
      <c r="BO25" s="19"/>
      <c r="BP25" s="19"/>
      <c r="BQ25" s="19" t="s">
        <v>189</v>
      </c>
      <c r="BR25" s="105">
        <f>39618400</f>
        <v>39618400</v>
      </c>
      <c r="BS25" s="105">
        <f>364894619</f>
        <v>364894619</v>
      </c>
      <c r="BT25" s="105">
        <f>24567421</f>
        <v>24567421</v>
      </c>
      <c r="BU25" s="105">
        <f>274764414</f>
        <v>274764414</v>
      </c>
      <c r="BV25" s="105">
        <f>47792391</f>
        <v>47792391</v>
      </c>
      <c r="BW25" s="19" t="s">
        <v>189</v>
      </c>
      <c r="BX25" s="19"/>
      <c r="BY25" s="19"/>
      <c r="BZ25" s="105">
        <f>872558742</f>
        <v>872558742</v>
      </c>
      <c r="CA25" s="19"/>
      <c r="CB25" s="105">
        <f>1870000</f>
        <v>1870000</v>
      </c>
      <c r="CC25" s="105">
        <v>2757940</v>
      </c>
      <c r="CD25" s="19"/>
      <c r="CE25" s="105">
        <f>76929112</f>
        <v>76929112</v>
      </c>
      <c r="CF25" s="105">
        <f>218110</f>
        <v>218110</v>
      </c>
      <c r="CG25" s="105">
        <f>53002294</f>
        <v>53002294</v>
      </c>
      <c r="CH25" s="105">
        <v>1147057180</v>
      </c>
      <c r="CI25" s="105">
        <v>153180</v>
      </c>
      <c r="CJ25" s="19"/>
      <c r="CK25" s="19" t="s">
        <v>190</v>
      </c>
      <c r="CL25" s="19"/>
      <c r="CM25" s="105">
        <v>4932390</v>
      </c>
      <c r="CN25" s="105">
        <f>3531000</f>
        <v>3531000</v>
      </c>
      <c r="CO25" s="105">
        <v>17990716</v>
      </c>
      <c r="CP25" s="105">
        <v>1758658</v>
      </c>
      <c r="CQ25" s="19"/>
      <c r="CR25" s="19"/>
      <c r="CS25" s="105">
        <f>20123094</f>
        <v>20123094</v>
      </c>
      <c r="CT25" s="19" t="s">
        <v>190</v>
      </c>
      <c r="CU25" s="19"/>
      <c r="CV25" s="105">
        <f>11715483</f>
        <v>11715483</v>
      </c>
      <c r="CW25" s="19" t="s">
        <v>189</v>
      </c>
      <c r="CX25" s="19"/>
      <c r="CY25" s="105">
        <v>0</v>
      </c>
      <c r="CZ25" s="105">
        <v>37647500</v>
      </c>
      <c r="DA25" s="19" t="s">
        <v>189</v>
      </c>
      <c r="DB25" s="105">
        <v>986453</v>
      </c>
      <c r="DC25" s="114"/>
      <c r="DD25" s="103">
        <v>21816440</v>
      </c>
      <c r="DE25" s="103">
        <v>34413451</v>
      </c>
      <c r="DF25" s="103">
        <v>128050561</v>
      </c>
      <c r="DG25" s="103">
        <f>57000</f>
        <v>57000</v>
      </c>
      <c r="DH25" s="110" t="s">
        <v>189</v>
      </c>
      <c r="DI25" s="103">
        <f>19330208</f>
        <v>19330208</v>
      </c>
      <c r="DJ25" s="103">
        <f>332640</f>
        <v>332640</v>
      </c>
      <c r="DK25" s="111" t="s">
        <v>189</v>
      </c>
      <c r="DL25" s="103">
        <v>5020435</v>
      </c>
      <c r="DM25" s="102">
        <v>29356740</v>
      </c>
      <c r="DN25" s="102">
        <v>11821400</v>
      </c>
      <c r="DO25" s="102">
        <v>54626880</v>
      </c>
      <c r="DP25" s="102">
        <v>7801390</v>
      </c>
      <c r="DQ25" s="102">
        <v>265009575</v>
      </c>
      <c r="DR25" s="102">
        <v>447395</v>
      </c>
      <c r="DS25" s="102">
        <v>247753546</v>
      </c>
      <c r="DT25" s="102">
        <v>2660128</v>
      </c>
      <c r="DU25" s="102">
        <v>1740988</v>
      </c>
      <c r="DV25" s="102">
        <v>235800</v>
      </c>
      <c r="DW25" s="102"/>
      <c r="DX25" s="102"/>
      <c r="DY25" s="102">
        <v>15959361</v>
      </c>
      <c r="DZ25" s="102"/>
      <c r="EA25" s="102"/>
      <c r="EB25" s="102">
        <v>294698254</v>
      </c>
      <c r="EC25" s="102">
        <v>16641398</v>
      </c>
      <c r="ED25" s="102"/>
      <c r="EE25" s="102"/>
      <c r="EF25" s="102"/>
    </row>
    <row r="26" spans="1:136">
      <c r="A26" s="67" t="s">
        <v>193</v>
      </c>
      <c r="B26" s="87" t="s">
        <v>6</v>
      </c>
      <c r="C26" s="105">
        <v>3060000</v>
      </c>
      <c r="D26" s="19" t="s">
        <v>188</v>
      </c>
      <c r="E26" s="105">
        <f>31204513+158517190</f>
        <v>189721703</v>
      </c>
      <c r="F26" s="19" t="s">
        <v>188</v>
      </c>
      <c r="G26" s="19" t="s">
        <v>189</v>
      </c>
      <c r="H26" s="19" t="s">
        <v>189</v>
      </c>
      <c r="I26" s="19" t="s">
        <v>188</v>
      </c>
      <c r="J26" s="105"/>
      <c r="K26" s="105">
        <v>603361</v>
      </c>
      <c r="L26" s="105">
        <v>21199553</v>
      </c>
      <c r="M26" s="105">
        <f>105700000+103745780</f>
        <v>209445780</v>
      </c>
      <c r="N26" s="19" t="s">
        <v>189</v>
      </c>
      <c r="O26" s="105"/>
      <c r="P26" s="105">
        <v>0</v>
      </c>
      <c r="Q26" s="105">
        <v>21000000000</v>
      </c>
      <c r="R26" s="105">
        <v>200000000</v>
      </c>
      <c r="S26" s="105">
        <v>78917540</v>
      </c>
      <c r="T26" s="105">
        <v>200000000</v>
      </c>
      <c r="U26" s="19" t="s">
        <v>188</v>
      </c>
      <c r="V26" s="105"/>
      <c r="W26" s="19" t="s">
        <v>189</v>
      </c>
      <c r="X26" s="105"/>
      <c r="Y26" s="19" t="s">
        <v>188</v>
      </c>
      <c r="Z26" s="105">
        <v>5728533</v>
      </c>
      <c r="AA26" s="105">
        <v>40000000</v>
      </c>
      <c r="AB26" s="19" t="s">
        <v>188</v>
      </c>
      <c r="AC26" s="19" t="s">
        <v>189</v>
      </c>
      <c r="AD26" s="19" t="s">
        <v>188</v>
      </c>
      <c r="AE26" s="105">
        <v>670000000</v>
      </c>
      <c r="AF26" s="105"/>
      <c r="AG26" s="105">
        <v>26453730</v>
      </c>
      <c r="AH26" s="105">
        <v>0</v>
      </c>
      <c r="AI26" s="19"/>
      <c r="AJ26" s="105"/>
      <c r="AK26" s="19" t="s">
        <v>188</v>
      </c>
      <c r="AL26" s="105">
        <v>154349497</v>
      </c>
      <c r="AM26" s="106">
        <f>377184</f>
        <v>377184</v>
      </c>
      <c r="AN26" s="105">
        <f>170138722</f>
        <v>170138722</v>
      </c>
      <c r="AO26" s="19" t="s">
        <v>188</v>
      </c>
      <c r="AP26" s="107"/>
      <c r="AQ26" s="19" t="s">
        <v>188</v>
      </c>
      <c r="AR26" s="105">
        <v>0</v>
      </c>
      <c r="AS26" s="19" t="s">
        <v>188</v>
      </c>
      <c r="AT26" s="105">
        <v>1950000000</v>
      </c>
      <c r="AU26" s="105"/>
      <c r="AV26" s="105">
        <f>1132000000+614237416</f>
        <v>1746237416</v>
      </c>
      <c r="AW26" s="19"/>
      <c r="AX26" s="107">
        <v>18605523</v>
      </c>
      <c r="AY26" s="19" t="s">
        <v>188</v>
      </c>
      <c r="AZ26" s="105"/>
      <c r="BA26" s="105">
        <v>12590000</v>
      </c>
      <c r="BB26" s="105">
        <v>318679066</v>
      </c>
      <c r="BC26" s="105">
        <v>4000000</v>
      </c>
      <c r="BD26" s="105"/>
      <c r="BE26" s="105"/>
      <c r="BF26" s="105">
        <f>495000000</f>
        <v>495000000</v>
      </c>
      <c r="BG26" s="105">
        <f>275000000+788694429</f>
        <v>1063694429</v>
      </c>
      <c r="BH26" s="105">
        <f>1024900000+1635077</f>
        <v>1026535077</v>
      </c>
      <c r="BI26" s="108">
        <v>34773343</v>
      </c>
      <c r="BJ26" s="106">
        <v>156903331</v>
      </c>
      <c r="BK26" s="105"/>
      <c r="BL26" s="19"/>
      <c r="BM26" s="105">
        <v>4000000</v>
      </c>
      <c r="BN26" s="105">
        <v>270000000</v>
      </c>
      <c r="BO26" s="19"/>
      <c r="BP26" s="19"/>
      <c r="BQ26" s="19" t="s">
        <v>189</v>
      </c>
      <c r="BR26" s="19"/>
      <c r="BS26" s="105">
        <f>440000000</f>
        <v>440000000</v>
      </c>
      <c r="BT26" s="105">
        <f>161150834</f>
        <v>161150834</v>
      </c>
      <c r="BU26" s="19"/>
      <c r="BV26" s="105">
        <f>580543771</f>
        <v>580543771</v>
      </c>
      <c r="BW26" s="19" t="s">
        <v>189</v>
      </c>
      <c r="BX26" s="19"/>
      <c r="BY26" s="19"/>
      <c r="BZ26" s="19"/>
      <c r="CA26" s="19"/>
      <c r="CB26" s="105">
        <f>10206000</f>
        <v>10206000</v>
      </c>
      <c r="CC26" s="105">
        <v>85370244</v>
      </c>
      <c r="CD26" s="105">
        <v>1875040</v>
      </c>
      <c r="CE26" s="105">
        <f>66884567</f>
        <v>66884567</v>
      </c>
      <c r="CF26" s="19"/>
      <c r="CG26" s="105">
        <f>30656057</f>
        <v>30656057</v>
      </c>
      <c r="CH26" s="105">
        <v>130000000</v>
      </c>
      <c r="CI26" s="19"/>
      <c r="CJ26" s="19"/>
      <c r="CK26" s="19" t="s">
        <v>190</v>
      </c>
      <c r="CL26" s="19"/>
      <c r="CM26" s="105">
        <v>206491523</v>
      </c>
      <c r="CN26" s="19"/>
      <c r="CO26" s="105">
        <v>38106800</v>
      </c>
      <c r="CP26" s="105">
        <v>0</v>
      </c>
      <c r="CQ26" s="105">
        <v>50000000</v>
      </c>
      <c r="CR26" s="19"/>
      <c r="CS26" s="19"/>
      <c r="CT26" s="19" t="s">
        <v>190</v>
      </c>
      <c r="CU26" s="105">
        <v>0</v>
      </c>
      <c r="CV26" s="19"/>
      <c r="CW26" s="19" t="s">
        <v>189</v>
      </c>
      <c r="CX26" s="19"/>
      <c r="CY26" s="105">
        <f>138056549</f>
        <v>138056549</v>
      </c>
      <c r="CZ26" s="105">
        <v>2074340732</v>
      </c>
      <c r="DA26" s="19" t="s">
        <v>189</v>
      </c>
      <c r="DB26" s="105">
        <v>460494336</v>
      </c>
      <c r="DC26" s="114"/>
      <c r="DD26" s="115"/>
      <c r="DE26" s="103">
        <f>1000000000</f>
        <v>1000000000</v>
      </c>
      <c r="DF26" s="103">
        <v>5944000000</v>
      </c>
      <c r="DG26" s="115"/>
      <c r="DH26" s="110" t="s">
        <v>189</v>
      </c>
      <c r="DI26" s="103">
        <f>2041968518</f>
        <v>2041968518</v>
      </c>
      <c r="DJ26" s="115"/>
      <c r="DK26" s="111" t="s">
        <v>189</v>
      </c>
      <c r="DL26" s="103">
        <v>40000000</v>
      </c>
      <c r="DM26" s="102">
        <v>389501010</v>
      </c>
      <c r="DN26" s="102">
        <v>2750000</v>
      </c>
      <c r="DO26" s="102"/>
      <c r="DP26" s="102">
        <v>11765063</v>
      </c>
      <c r="DQ26" s="102">
        <v>78300000</v>
      </c>
      <c r="DR26" s="102"/>
      <c r="DS26" s="102">
        <v>26900000</v>
      </c>
      <c r="DT26" s="102">
        <v>299465610</v>
      </c>
      <c r="DU26" s="102">
        <v>90697563</v>
      </c>
      <c r="DV26" s="102"/>
      <c r="DW26" s="102"/>
      <c r="DX26" s="102">
        <v>125500000</v>
      </c>
      <c r="DY26" s="102"/>
      <c r="DZ26" s="102">
        <v>377500000</v>
      </c>
      <c r="EA26" s="102"/>
      <c r="EB26" s="102"/>
      <c r="EC26" s="102"/>
      <c r="ED26" s="102"/>
      <c r="EE26" s="102"/>
      <c r="EF26" s="102">
        <v>100000000</v>
      </c>
    </row>
    <row r="27" spans="1:136">
      <c r="A27" s="67" t="s">
        <v>193</v>
      </c>
      <c r="B27" s="87" t="s">
        <v>147</v>
      </c>
      <c r="C27" s="105">
        <v>2680664</v>
      </c>
      <c r="D27" s="19" t="s">
        <v>188</v>
      </c>
      <c r="E27" s="105">
        <f>30548762+9491710</f>
        <v>40040472</v>
      </c>
      <c r="F27" s="19" t="s">
        <v>188</v>
      </c>
      <c r="G27" s="19" t="s">
        <v>189</v>
      </c>
      <c r="H27" s="19" t="s">
        <v>189</v>
      </c>
      <c r="I27" s="19" t="s">
        <v>188</v>
      </c>
      <c r="J27" s="105">
        <f>524772018+9490030</f>
        <v>534262048</v>
      </c>
      <c r="K27" s="105">
        <f>8519750+21859159</f>
        <v>30378909</v>
      </c>
      <c r="L27" s="105">
        <f>29325851+18215497</f>
        <v>47541348</v>
      </c>
      <c r="M27" s="105">
        <v>34072455</v>
      </c>
      <c r="N27" s="19" t="s">
        <v>189</v>
      </c>
      <c r="O27" s="105"/>
      <c r="P27" s="105">
        <f>545667203+379250+4792861</f>
        <v>550839314</v>
      </c>
      <c r="Q27" s="105">
        <f>3480101343+593095011</f>
        <v>4073196354</v>
      </c>
      <c r="R27" s="105">
        <v>19619393</v>
      </c>
      <c r="S27" s="105">
        <f>78489090+11169588</f>
        <v>89658678</v>
      </c>
      <c r="T27" s="105">
        <f>17093627+44411999</f>
        <v>61505626</v>
      </c>
      <c r="U27" s="19" t="s">
        <v>188</v>
      </c>
      <c r="V27" s="105">
        <v>81569441</v>
      </c>
      <c r="W27" s="19" t="s">
        <v>189</v>
      </c>
      <c r="X27" s="105">
        <f>7189426+533420+18560549</f>
        <v>26283395</v>
      </c>
      <c r="Y27" s="19" t="s">
        <v>188</v>
      </c>
      <c r="Z27" s="105">
        <f>4574544+5345747+480514930</f>
        <v>490435221</v>
      </c>
      <c r="AA27" s="105">
        <f>20944206+488320+725910</f>
        <v>22158436</v>
      </c>
      <c r="AB27" s="19" t="s">
        <v>188</v>
      </c>
      <c r="AC27" s="19" t="s">
        <v>189</v>
      </c>
      <c r="AD27" s="19" t="s">
        <v>188</v>
      </c>
      <c r="AE27" s="105">
        <f>111525712+56976596</f>
        <v>168502308</v>
      </c>
      <c r="AF27" s="105">
        <f>2584010+15736478</f>
        <v>18320488</v>
      </c>
      <c r="AG27" s="105">
        <f>31172944+1260149</f>
        <v>32433093</v>
      </c>
      <c r="AH27" s="105">
        <f>490273+4223131</f>
        <v>4713404</v>
      </c>
      <c r="AI27" s="105">
        <f>1430600+16039035</f>
        <v>17469635</v>
      </c>
      <c r="AJ27" s="105">
        <f>24766550+96753012</f>
        <v>121519562</v>
      </c>
      <c r="AK27" s="19" t="s">
        <v>188</v>
      </c>
      <c r="AL27" s="105">
        <v>143704975</v>
      </c>
      <c r="AM27" s="106">
        <f>9902206+3969674+2031486</f>
        <v>15903366</v>
      </c>
      <c r="AN27" s="105">
        <f>87200+237246080</f>
        <v>237333280</v>
      </c>
      <c r="AO27" s="19" t="s">
        <v>188</v>
      </c>
      <c r="AP27" s="107">
        <v>52241988</v>
      </c>
      <c r="AQ27" s="19" t="s">
        <v>188</v>
      </c>
      <c r="AR27" s="105">
        <f>930292+53360381+44252072</f>
        <v>98542745</v>
      </c>
      <c r="AS27" s="19" t="s">
        <v>188</v>
      </c>
      <c r="AT27" s="105">
        <f>246770436+196494445+159905+1237372</f>
        <v>444662158</v>
      </c>
      <c r="AU27" s="105">
        <f>1686776+541520</f>
        <v>2228296</v>
      </c>
      <c r="AV27" s="105">
        <f>60289381+79590219</f>
        <v>139879600</v>
      </c>
      <c r="AW27" s="105">
        <f>29593637+299091020</f>
        <v>328684657</v>
      </c>
      <c r="AX27" s="107">
        <f>1259790+6955686</f>
        <v>8215476</v>
      </c>
      <c r="AY27" s="19" t="s">
        <v>188</v>
      </c>
      <c r="AZ27" s="105"/>
      <c r="BA27" s="105">
        <f>2636602+3808713</f>
        <v>6445315</v>
      </c>
      <c r="BB27" s="105">
        <f>32045362+24218170</f>
        <v>56263532</v>
      </c>
      <c r="BC27" s="105">
        <f>59755041+2305825</f>
        <v>62060866</v>
      </c>
      <c r="BD27" s="105">
        <f>41775628+17313360+10032373</f>
        <v>69121361</v>
      </c>
      <c r="BE27" s="105">
        <f>2642790+7597155</f>
        <v>10239945</v>
      </c>
      <c r="BF27" s="105">
        <f>1910830+16741125</f>
        <v>18651955</v>
      </c>
      <c r="BG27" s="105">
        <f>340256960+6732570+102931755</f>
        <v>449921285</v>
      </c>
      <c r="BH27" s="105">
        <v>304479569</v>
      </c>
      <c r="BI27" s="108">
        <f>12075404+11517260</f>
        <v>23592664</v>
      </c>
      <c r="BJ27" s="106">
        <v>15486325</v>
      </c>
      <c r="BK27" s="105">
        <f>1566774+485046+3847539</f>
        <v>5899359</v>
      </c>
      <c r="BL27" s="105">
        <f>24875113+2623436</f>
        <v>27498549</v>
      </c>
      <c r="BM27" s="105">
        <v>75433852</v>
      </c>
      <c r="BN27" s="105">
        <f>7371037+34664841</f>
        <v>42035878</v>
      </c>
      <c r="BO27" s="105">
        <f>677087668+880080</f>
        <v>677967748</v>
      </c>
      <c r="BP27" s="105">
        <f>3878470+124629830</f>
        <v>128508300</v>
      </c>
      <c r="BQ27" s="19" t="s">
        <v>189</v>
      </c>
      <c r="BR27" s="105">
        <f>19601817+57479791</f>
        <v>77081608</v>
      </c>
      <c r="BS27" s="105">
        <f>5104204+49312412</f>
        <v>54416616</v>
      </c>
      <c r="BT27" s="105">
        <f>144325948+8400888+41633436</f>
        <v>194360272</v>
      </c>
      <c r="BU27" s="105">
        <f>21283788+52054120</f>
        <v>73337908</v>
      </c>
      <c r="BV27" s="105">
        <f>110946798+80208597</f>
        <v>191155395</v>
      </c>
      <c r="BW27" s="19" t="s">
        <v>189</v>
      </c>
      <c r="BX27" s="105">
        <f>220000+11911+38286815</f>
        <v>38518726</v>
      </c>
      <c r="BY27" s="105">
        <f>25096649+12859576</f>
        <v>37956225</v>
      </c>
      <c r="BZ27" s="105">
        <f>192241903+5132616</f>
        <v>197374519</v>
      </c>
      <c r="CA27" s="105">
        <f>2329167</f>
        <v>2329167</v>
      </c>
      <c r="CB27" s="105">
        <f>18764245+5089436+1523156</f>
        <v>25376837</v>
      </c>
      <c r="CC27" s="105">
        <f>8147408+7357592</f>
        <v>15505000</v>
      </c>
      <c r="CD27" s="105">
        <f>1106600+5856145</f>
        <v>6962745</v>
      </c>
      <c r="CE27" s="105">
        <f>58182895</f>
        <v>58182895</v>
      </c>
      <c r="CF27" s="105">
        <f>4949560+343560610</f>
        <v>348510170</v>
      </c>
      <c r="CG27" s="105">
        <f>42940+7442895</f>
        <v>7485835</v>
      </c>
      <c r="CH27" s="105">
        <f>113485278+17716298+29659387</f>
        <v>160860963</v>
      </c>
      <c r="CI27" s="105">
        <f>919724+11779126</f>
        <v>12698850</v>
      </c>
      <c r="CJ27" s="105">
        <f>6978500+5294041+1110921</f>
        <v>13383462</v>
      </c>
      <c r="CK27" s="19" t="s">
        <v>190</v>
      </c>
      <c r="CL27" s="105">
        <v>290829254</v>
      </c>
      <c r="CM27" s="105">
        <f>16604030+6740232</f>
        <v>23344262</v>
      </c>
      <c r="CN27" s="105">
        <f>9837869+54187084</f>
        <v>64024953</v>
      </c>
      <c r="CO27" s="105">
        <v>2344790</v>
      </c>
      <c r="CP27" s="105">
        <f>30863314+2231680+391757874</f>
        <v>424852868</v>
      </c>
      <c r="CQ27" s="105">
        <v>330000</v>
      </c>
      <c r="CR27" s="105">
        <f>506116789+11329250</f>
        <v>517446039</v>
      </c>
      <c r="CS27" s="105">
        <f>44856372+363242879</f>
        <v>408099251</v>
      </c>
      <c r="CT27" s="19" t="s">
        <v>190</v>
      </c>
      <c r="CU27" s="105">
        <f>195599406+7313213+50876745</f>
        <v>253789364</v>
      </c>
      <c r="CV27" s="105">
        <f>68478349+14489831+51574498</f>
        <v>134542678</v>
      </c>
      <c r="CW27" s="19" t="s">
        <v>189</v>
      </c>
      <c r="CX27" s="105">
        <f>568678376</f>
        <v>568678376</v>
      </c>
      <c r="CY27" s="105">
        <f>6600000+1538060+2746630</f>
        <v>10884690</v>
      </c>
      <c r="CZ27" s="105">
        <v>2442316</v>
      </c>
      <c r="DA27" s="19" t="s">
        <v>189</v>
      </c>
      <c r="DB27" s="105">
        <f>8912280+39513740</f>
        <v>48426020</v>
      </c>
      <c r="DC27" s="109">
        <f>43197732+3934287</f>
        <v>47132019</v>
      </c>
      <c r="DD27" s="103">
        <v>59374311</v>
      </c>
      <c r="DE27" s="103">
        <f>27996722+46283872</f>
        <v>74280594</v>
      </c>
      <c r="DF27" s="103">
        <f>797401562+489047979</f>
        <v>1286449541</v>
      </c>
      <c r="DG27" s="103">
        <f>2260041+57361846</f>
        <v>59621887</v>
      </c>
      <c r="DH27" s="110" t="s">
        <v>189</v>
      </c>
      <c r="DI27" s="103">
        <f>30731150</f>
        <v>30731150</v>
      </c>
      <c r="DJ27" s="103">
        <f>215825629</f>
        <v>215825629</v>
      </c>
      <c r="DK27" s="111" t="s">
        <v>189</v>
      </c>
      <c r="DL27" s="103">
        <f>1000000+40277432</f>
        <v>41277432</v>
      </c>
      <c r="DM27" s="102">
        <v>40922752</v>
      </c>
      <c r="DN27" s="102">
        <v>17697639</v>
      </c>
      <c r="DO27" s="102">
        <v>47593530</v>
      </c>
      <c r="DP27" s="102">
        <v>2269510</v>
      </c>
      <c r="DQ27" s="102">
        <v>49825777</v>
      </c>
      <c r="DR27" s="102">
        <v>3566426</v>
      </c>
      <c r="DS27" s="102">
        <v>115480236</v>
      </c>
      <c r="DT27" s="102">
        <v>65004589</v>
      </c>
      <c r="DU27" s="102">
        <v>5394614</v>
      </c>
      <c r="DV27" s="102">
        <v>46476832</v>
      </c>
      <c r="DW27" s="102">
        <v>277540386</v>
      </c>
      <c r="DX27" s="102">
        <v>95040082</v>
      </c>
      <c r="DY27" s="102">
        <v>9023860</v>
      </c>
      <c r="DZ27" s="102"/>
      <c r="EA27" s="102">
        <v>179626787</v>
      </c>
      <c r="EB27" s="102">
        <v>271951953</v>
      </c>
      <c r="EC27" s="102">
        <v>80849635</v>
      </c>
      <c r="ED27" s="102"/>
      <c r="EE27" s="102">
        <v>139295672</v>
      </c>
      <c r="EF27" s="102">
        <v>101458967</v>
      </c>
    </row>
    <row r="28" spans="1:136">
      <c r="A28" s="67" t="s">
        <v>193</v>
      </c>
      <c r="B28" s="87" t="s">
        <v>150</v>
      </c>
      <c r="C28" s="105">
        <f>732170+5038417</f>
        <v>5770587</v>
      </c>
      <c r="D28" s="19" t="s">
        <v>188</v>
      </c>
      <c r="E28" s="105">
        <v>1041690</v>
      </c>
      <c r="F28" s="19" t="s">
        <v>188</v>
      </c>
      <c r="G28" s="19" t="s">
        <v>189</v>
      </c>
      <c r="H28" s="19" t="s">
        <v>189</v>
      </c>
      <c r="I28" s="19" t="s">
        <v>188</v>
      </c>
      <c r="J28" s="105">
        <v>90000</v>
      </c>
      <c r="K28" s="105">
        <v>10097810</v>
      </c>
      <c r="L28" s="105">
        <v>1306200</v>
      </c>
      <c r="M28" s="105">
        <v>19887561</v>
      </c>
      <c r="N28" s="19" t="s">
        <v>189</v>
      </c>
      <c r="O28" s="105">
        <v>233480</v>
      </c>
      <c r="P28" s="105">
        <f>67138223+1305440</f>
        <v>68443663</v>
      </c>
      <c r="Q28" s="105">
        <v>180715072</v>
      </c>
      <c r="R28" s="105">
        <f>1309500+11265632</f>
        <v>12575132</v>
      </c>
      <c r="S28" s="105">
        <v>7536580</v>
      </c>
      <c r="T28" s="105">
        <f>6257010+1116836</f>
        <v>7373846</v>
      </c>
      <c r="U28" s="19" t="s">
        <v>188</v>
      </c>
      <c r="V28" s="105">
        <f>14672000+6251120</f>
        <v>20923120</v>
      </c>
      <c r="W28" s="19" t="s">
        <v>189</v>
      </c>
      <c r="X28" s="105">
        <f>3887720+4918826+300000</f>
        <v>9106546</v>
      </c>
      <c r="Y28" s="19" t="s">
        <v>188</v>
      </c>
      <c r="Z28" s="105">
        <v>57397370</v>
      </c>
      <c r="AA28" s="105">
        <v>10148327</v>
      </c>
      <c r="AB28" s="19" t="s">
        <v>188</v>
      </c>
      <c r="AC28" s="19" t="s">
        <v>189</v>
      </c>
      <c r="AD28" s="19" t="s">
        <v>188</v>
      </c>
      <c r="AE28" s="105">
        <v>52790990</v>
      </c>
      <c r="AF28" s="105">
        <v>6168603</v>
      </c>
      <c r="AG28" s="105">
        <f>3434730+2832713</f>
        <v>6267443</v>
      </c>
      <c r="AH28" s="105">
        <v>21322099</v>
      </c>
      <c r="AI28" s="105">
        <f>4829310+31167710</f>
        <v>35997020</v>
      </c>
      <c r="AJ28" s="105">
        <v>20015110</v>
      </c>
      <c r="AK28" s="19" t="s">
        <v>188</v>
      </c>
      <c r="AL28" s="105">
        <v>38252740</v>
      </c>
      <c r="AM28" s="106">
        <f>11936890+41841607</f>
        <v>53778497</v>
      </c>
      <c r="AN28" s="105">
        <f>6745153</f>
        <v>6745153</v>
      </c>
      <c r="AO28" s="19" t="s">
        <v>188</v>
      </c>
      <c r="AP28" s="107">
        <f>1352750+1628125</f>
        <v>2980875</v>
      </c>
      <c r="AQ28" s="19" t="s">
        <v>188</v>
      </c>
      <c r="AR28" s="105">
        <v>11214580</v>
      </c>
      <c r="AS28" s="19" t="s">
        <v>188</v>
      </c>
      <c r="AT28" s="105">
        <v>15368430</v>
      </c>
      <c r="AU28" s="105">
        <f>1555090+1000000</f>
        <v>2555090</v>
      </c>
      <c r="AV28" s="105">
        <f>17808976+56781836</f>
        <v>74590812</v>
      </c>
      <c r="AW28" s="105">
        <f>33528270+200796703</f>
        <v>234324973</v>
      </c>
      <c r="AX28" s="107">
        <v>1208280</v>
      </c>
      <c r="AY28" s="19" t="s">
        <v>188</v>
      </c>
      <c r="AZ28" s="105">
        <f>557860</f>
        <v>557860</v>
      </c>
      <c r="BA28" s="105">
        <v>3318270</v>
      </c>
      <c r="BB28" s="105">
        <v>9526930</v>
      </c>
      <c r="BC28" s="105">
        <v>2929025</v>
      </c>
      <c r="BD28" s="105">
        <v>5434722</v>
      </c>
      <c r="BE28" s="105">
        <f>2249110</f>
        <v>2249110</v>
      </c>
      <c r="BF28" s="105">
        <f>2075600+5681459</f>
        <v>7757059</v>
      </c>
      <c r="BG28" s="105">
        <v>22823810</v>
      </c>
      <c r="BH28" s="105">
        <f>11752130+540500</f>
        <v>12292630</v>
      </c>
      <c r="BI28" s="108">
        <v>2404510</v>
      </c>
      <c r="BJ28" s="106">
        <f>5058257+6891326</f>
        <v>11949583</v>
      </c>
      <c r="BK28" s="108">
        <f>5041460</f>
        <v>5041460</v>
      </c>
      <c r="BL28" s="105">
        <f>8626970</f>
        <v>8626970</v>
      </c>
      <c r="BM28" s="105">
        <f>7217930+19257090</f>
        <v>26475020</v>
      </c>
      <c r="BN28" s="105">
        <f>3640330+7016641</f>
        <v>10656971</v>
      </c>
      <c r="BO28" s="105">
        <f>49610080+11494724</f>
        <v>61104804</v>
      </c>
      <c r="BP28" s="105">
        <f>8351280</f>
        <v>8351280</v>
      </c>
      <c r="BQ28" s="19" t="s">
        <v>189</v>
      </c>
      <c r="BR28" s="105">
        <f>13948090+20835053+14716000</f>
        <v>49499143</v>
      </c>
      <c r="BS28" s="105">
        <f>10063010</f>
        <v>10063010</v>
      </c>
      <c r="BT28" s="105">
        <f>8558000</f>
        <v>8558000</v>
      </c>
      <c r="BU28" s="105">
        <f>5710810</f>
        <v>5710810</v>
      </c>
      <c r="BV28" s="105">
        <f>4675675</f>
        <v>4675675</v>
      </c>
      <c r="BW28" s="19" t="s">
        <v>189</v>
      </c>
      <c r="BX28" s="105">
        <f>4841170+12524290</f>
        <v>17365460</v>
      </c>
      <c r="BY28" s="105">
        <v>1428760</v>
      </c>
      <c r="BZ28" s="105">
        <f>4723150</f>
        <v>4723150</v>
      </c>
      <c r="CA28" s="105">
        <f>38800</f>
        <v>38800</v>
      </c>
      <c r="CB28" s="105">
        <f>1721080</f>
        <v>1721080</v>
      </c>
      <c r="CC28" s="105">
        <v>11534875</v>
      </c>
      <c r="CD28" s="105">
        <f>393060+342180</f>
        <v>735240</v>
      </c>
      <c r="CE28" s="105">
        <f>78300+5342737</f>
        <v>5421037</v>
      </c>
      <c r="CF28" s="105">
        <f>53613787+13225833</f>
        <v>66839620</v>
      </c>
      <c r="CG28" s="105">
        <f>3577270+12146330</f>
        <v>15723600</v>
      </c>
      <c r="CH28" s="105">
        <v>5290500</v>
      </c>
      <c r="CI28" s="105">
        <v>2939796</v>
      </c>
      <c r="CJ28" s="105">
        <v>1467690</v>
      </c>
      <c r="CK28" s="19" t="s">
        <v>190</v>
      </c>
      <c r="CL28" s="105">
        <v>9486940</v>
      </c>
      <c r="CM28" s="105">
        <v>3489120</v>
      </c>
      <c r="CN28" s="105">
        <f>648220</f>
        <v>648220</v>
      </c>
      <c r="CO28" s="105">
        <v>36508770</v>
      </c>
      <c r="CP28" s="105">
        <v>24872810</v>
      </c>
      <c r="CQ28" s="19"/>
      <c r="CR28" s="105">
        <v>48988620</v>
      </c>
      <c r="CS28" s="105">
        <f>44383679</f>
        <v>44383679</v>
      </c>
      <c r="CT28" s="19" t="s">
        <v>190</v>
      </c>
      <c r="CU28" s="105">
        <v>55730351</v>
      </c>
      <c r="CV28" s="105">
        <f>28837130+95433806</f>
        <v>124270936</v>
      </c>
      <c r="CW28" s="19" t="s">
        <v>189</v>
      </c>
      <c r="CX28" s="105">
        <f>27968440+139784412</f>
        <v>167752852</v>
      </c>
      <c r="CY28" s="105">
        <v>250110</v>
      </c>
      <c r="CZ28" s="105">
        <v>8819210</v>
      </c>
      <c r="DA28" s="19" t="s">
        <v>189</v>
      </c>
      <c r="DB28" s="105">
        <v>3834230</v>
      </c>
      <c r="DC28" s="109">
        <v>3226755</v>
      </c>
      <c r="DD28" s="103">
        <v>11860950</v>
      </c>
      <c r="DE28" s="103">
        <f>1936650+2510530</f>
        <v>4447180</v>
      </c>
      <c r="DF28" s="103">
        <v>28200</v>
      </c>
      <c r="DG28" s="103">
        <f>5640173</f>
        <v>5640173</v>
      </c>
      <c r="DH28" s="110" t="s">
        <v>189</v>
      </c>
      <c r="DI28" s="103">
        <f>3977520+2547605</f>
        <v>6525125</v>
      </c>
      <c r="DJ28" s="103">
        <f>15301296</f>
        <v>15301296</v>
      </c>
      <c r="DK28" s="111" t="s">
        <v>189</v>
      </c>
      <c r="DL28" s="103">
        <f>5537769+24532739</f>
        <v>30070508</v>
      </c>
      <c r="DM28" s="102">
        <v>9390243</v>
      </c>
      <c r="DN28" s="102">
        <v>1708074</v>
      </c>
      <c r="DO28" s="102">
        <v>101341222</v>
      </c>
      <c r="DP28" s="102">
        <v>733950</v>
      </c>
      <c r="DQ28" s="102">
        <v>1007940</v>
      </c>
      <c r="DR28" s="102">
        <v>846920</v>
      </c>
      <c r="DS28" s="102">
        <v>3651560</v>
      </c>
      <c r="DT28" s="102">
        <v>631190</v>
      </c>
      <c r="DU28" s="102">
        <v>2716923</v>
      </c>
      <c r="DV28" s="102">
        <v>373160</v>
      </c>
      <c r="DW28" s="102"/>
      <c r="DX28" s="102">
        <v>2362200</v>
      </c>
      <c r="DY28" s="102">
        <v>22822020</v>
      </c>
      <c r="DZ28" s="102"/>
      <c r="EA28" s="102">
        <v>4455010</v>
      </c>
      <c r="EB28" s="102">
        <v>71604440</v>
      </c>
      <c r="EC28" s="102">
        <v>3757620</v>
      </c>
      <c r="ED28" s="102"/>
      <c r="EE28" s="102">
        <v>57875045</v>
      </c>
      <c r="EF28" s="102">
        <v>11772233</v>
      </c>
    </row>
    <row r="29" spans="1:136">
      <c r="A29" s="67" t="s">
        <v>193</v>
      </c>
      <c r="B29" s="87" t="s">
        <v>13</v>
      </c>
      <c r="C29" s="105">
        <v>82231261</v>
      </c>
      <c r="D29" s="19" t="s">
        <v>188</v>
      </c>
      <c r="E29" s="105"/>
      <c r="F29" s="19" t="s">
        <v>188</v>
      </c>
      <c r="G29" s="19" t="s">
        <v>189</v>
      </c>
      <c r="H29" s="19" t="s">
        <v>189</v>
      </c>
      <c r="I29" s="19" t="s">
        <v>188</v>
      </c>
      <c r="J29" s="105"/>
      <c r="K29" s="105"/>
      <c r="L29" s="105"/>
      <c r="M29" s="105"/>
      <c r="N29" s="19" t="s">
        <v>189</v>
      </c>
      <c r="O29" s="105"/>
      <c r="P29" s="105"/>
      <c r="Q29" s="105"/>
      <c r="R29" s="105"/>
      <c r="S29" s="105"/>
      <c r="T29" s="105">
        <v>287093777</v>
      </c>
      <c r="U29" s="19" t="s">
        <v>188</v>
      </c>
      <c r="V29" s="105"/>
      <c r="W29" s="19" t="s">
        <v>189</v>
      </c>
      <c r="X29" s="105">
        <v>4612582</v>
      </c>
      <c r="Y29" s="19" t="s">
        <v>188</v>
      </c>
      <c r="Z29" s="105"/>
      <c r="AA29" s="105">
        <v>11175024</v>
      </c>
      <c r="AB29" s="19" t="s">
        <v>188</v>
      </c>
      <c r="AC29" s="19" t="s">
        <v>189</v>
      </c>
      <c r="AD29" s="19" t="s">
        <v>188</v>
      </c>
      <c r="AE29" s="105"/>
      <c r="AF29" s="105"/>
      <c r="AG29" s="19"/>
      <c r="AH29" s="19"/>
      <c r="AI29" s="19"/>
      <c r="AJ29" s="105"/>
      <c r="AK29" s="19" t="s">
        <v>188</v>
      </c>
      <c r="AL29" s="105">
        <v>185267367</v>
      </c>
      <c r="AM29" s="118"/>
      <c r="AN29" s="19"/>
      <c r="AO29" s="19" t="s">
        <v>188</v>
      </c>
      <c r="AP29" s="107">
        <v>0</v>
      </c>
      <c r="AQ29" s="19" t="s">
        <v>188</v>
      </c>
      <c r="AR29" s="105"/>
      <c r="AS29" s="19" t="s">
        <v>188</v>
      </c>
      <c r="AT29" s="105"/>
      <c r="AU29" s="105"/>
      <c r="AV29" s="19"/>
      <c r="AW29" s="19"/>
      <c r="AX29" s="107"/>
      <c r="AY29" s="19" t="s">
        <v>188</v>
      </c>
      <c r="AZ29" s="105"/>
      <c r="BA29" s="105"/>
      <c r="BB29" s="105"/>
      <c r="BC29" s="105">
        <v>84915541</v>
      </c>
      <c r="BD29" s="105"/>
      <c r="BE29" s="105"/>
      <c r="BF29" s="105">
        <f>59425012</f>
        <v>59425012</v>
      </c>
      <c r="BG29" s="19"/>
      <c r="BH29" s="19"/>
      <c r="BI29" s="19"/>
      <c r="BJ29" s="106">
        <v>125000000</v>
      </c>
      <c r="BK29" s="108">
        <f>60000000</f>
        <v>60000000</v>
      </c>
      <c r="BL29" s="19"/>
      <c r="BM29" s="19"/>
      <c r="BN29" s="19"/>
      <c r="BO29" s="19"/>
      <c r="BP29" s="19"/>
      <c r="BQ29" s="19" t="s">
        <v>189</v>
      </c>
      <c r="BR29" s="19"/>
      <c r="BS29" s="19"/>
      <c r="BT29" s="19"/>
      <c r="BU29" s="19"/>
      <c r="BV29" s="19"/>
      <c r="BW29" s="19" t="s">
        <v>189</v>
      </c>
      <c r="BX29" s="105">
        <f>5000</f>
        <v>5000</v>
      </c>
      <c r="BY29" s="19"/>
      <c r="BZ29" s="19"/>
      <c r="CA29" s="105"/>
      <c r="CB29" s="105">
        <f>107089820</f>
        <v>107089820</v>
      </c>
      <c r="CC29" s="19"/>
      <c r="CD29" s="19"/>
      <c r="CE29" s="19"/>
      <c r="CF29" s="19"/>
      <c r="CG29" s="19"/>
      <c r="CH29" s="19"/>
      <c r="CI29" s="105">
        <v>93200036</v>
      </c>
      <c r="CJ29" s="19"/>
      <c r="CK29" s="19" t="s">
        <v>190</v>
      </c>
      <c r="CL29" s="19"/>
      <c r="CM29" s="19"/>
      <c r="CN29" s="19"/>
      <c r="CO29" s="19"/>
      <c r="CP29" s="19"/>
      <c r="CQ29" s="19"/>
      <c r="CR29" s="19"/>
      <c r="CS29" s="105">
        <f>43942061</f>
        <v>43942061</v>
      </c>
      <c r="CT29" s="19" t="s">
        <v>190</v>
      </c>
      <c r="CU29" s="19"/>
      <c r="CV29" s="19"/>
      <c r="CW29" s="19" t="s">
        <v>189</v>
      </c>
      <c r="CX29" s="19"/>
      <c r="CY29" s="19"/>
      <c r="CZ29" s="19"/>
      <c r="DA29" s="19" t="s">
        <v>189</v>
      </c>
      <c r="DB29" s="19"/>
      <c r="DC29" s="109">
        <v>1300000</v>
      </c>
      <c r="DD29" s="103">
        <v>5999931</v>
      </c>
      <c r="DE29" s="115"/>
      <c r="DF29" s="115"/>
      <c r="DG29" s="115"/>
      <c r="DH29" s="110" t="s">
        <v>189</v>
      </c>
      <c r="DI29" s="115"/>
      <c r="DJ29" s="115"/>
      <c r="DK29" s="111" t="s">
        <v>189</v>
      </c>
      <c r="DL29" s="115"/>
      <c r="DM29" s="102"/>
      <c r="DN29" s="102">
        <v>48812070</v>
      </c>
      <c r="DO29" s="102"/>
      <c r="DP29" s="102"/>
      <c r="DQ29" s="102">
        <v>20376030</v>
      </c>
      <c r="DR29" s="102"/>
      <c r="DS29" s="102">
        <v>204089036</v>
      </c>
      <c r="DT29" s="102"/>
      <c r="DU29" s="102"/>
      <c r="DV29" s="102">
        <v>12646692</v>
      </c>
      <c r="DW29" s="102"/>
      <c r="DX29" s="102">
        <v>4000000</v>
      </c>
      <c r="DY29" s="102"/>
      <c r="DZ29" s="102"/>
      <c r="EA29" s="102">
        <v>17678291</v>
      </c>
      <c r="EB29" s="102"/>
      <c r="EC29" s="102"/>
      <c r="ED29" s="102"/>
      <c r="EE29" s="102"/>
      <c r="EF29" s="102"/>
    </row>
    <row r="30" spans="1:136">
      <c r="A30" s="67" t="s">
        <v>193</v>
      </c>
      <c r="B30" s="87" t="s">
        <v>59</v>
      </c>
      <c r="C30" s="105">
        <v>4911669</v>
      </c>
      <c r="D30" s="19" t="s">
        <v>188</v>
      </c>
      <c r="E30" s="105">
        <v>0</v>
      </c>
      <c r="F30" s="19" t="s">
        <v>188</v>
      </c>
      <c r="G30" s="19" t="s">
        <v>189</v>
      </c>
      <c r="H30" s="19" t="s">
        <v>189</v>
      </c>
      <c r="I30" s="19" t="s">
        <v>188</v>
      </c>
      <c r="J30" s="105">
        <v>0</v>
      </c>
      <c r="K30" s="105">
        <v>6380000</v>
      </c>
      <c r="L30" s="105">
        <v>2916489</v>
      </c>
      <c r="M30" s="105">
        <v>46780000</v>
      </c>
      <c r="N30" s="19" t="s">
        <v>189</v>
      </c>
      <c r="O30" s="105"/>
      <c r="P30" s="105">
        <f>84651287+2650000</f>
        <v>87301287</v>
      </c>
      <c r="Q30" s="105">
        <f>35694546+61240766+277920000+2248933618</f>
        <v>2623788930</v>
      </c>
      <c r="R30" s="105">
        <v>8000000</v>
      </c>
      <c r="S30" s="105"/>
      <c r="T30" s="105">
        <v>51068590</v>
      </c>
      <c r="U30" s="19" t="s">
        <v>188</v>
      </c>
      <c r="V30" s="105">
        <v>3853200</v>
      </c>
      <c r="W30" s="19" t="s">
        <v>189</v>
      </c>
      <c r="X30" s="105">
        <v>3420000</v>
      </c>
      <c r="Y30" s="19" t="s">
        <v>188</v>
      </c>
      <c r="Z30" s="105"/>
      <c r="AA30" s="105">
        <f>1845974</f>
        <v>1845974</v>
      </c>
      <c r="AB30" s="19" t="s">
        <v>188</v>
      </c>
      <c r="AC30" s="19" t="s">
        <v>189</v>
      </c>
      <c r="AD30" s="19" t="s">
        <v>188</v>
      </c>
      <c r="AE30" s="105">
        <v>11005215</v>
      </c>
      <c r="AF30" s="105">
        <v>206000</v>
      </c>
      <c r="AG30" s="19"/>
      <c r="AH30" s="19"/>
      <c r="AI30" s="19"/>
      <c r="AJ30" s="105">
        <v>81578820</v>
      </c>
      <c r="AK30" s="19" t="s">
        <v>188</v>
      </c>
      <c r="AL30" s="105">
        <v>285187624</v>
      </c>
      <c r="AM30" s="118"/>
      <c r="AN30" s="105">
        <f>927860</f>
        <v>927860</v>
      </c>
      <c r="AO30" s="19" t="s">
        <v>188</v>
      </c>
      <c r="AP30" s="107">
        <v>1200000</v>
      </c>
      <c r="AQ30" s="19" t="s">
        <v>188</v>
      </c>
      <c r="AR30" s="105"/>
      <c r="AS30" s="19" t="s">
        <v>188</v>
      </c>
      <c r="AT30" s="105">
        <v>6100000</v>
      </c>
      <c r="AU30" s="105"/>
      <c r="AV30" s="19"/>
      <c r="AW30" s="19"/>
      <c r="AX30" s="107"/>
      <c r="AY30" s="19" t="s">
        <v>188</v>
      </c>
      <c r="AZ30" s="105"/>
      <c r="BA30" s="105"/>
      <c r="BB30" s="105">
        <v>34171414</v>
      </c>
      <c r="BC30" s="105">
        <v>2106800</v>
      </c>
      <c r="BD30" s="105">
        <v>677885</v>
      </c>
      <c r="BE30" s="105">
        <f>5116662</f>
        <v>5116662</v>
      </c>
      <c r="BF30" s="105">
        <f>17265160</f>
        <v>17265160</v>
      </c>
      <c r="BG30" s="105">
        <v>22088</v>
      </c>
      <c r="BH30" s="19"/>
      <c r="BI30" s="108">
        <v>7925486</v>
      </c>
      <c r="BJ30" s="19"/>
      <c r="BK30" s="108">
        <f>506267000</f>
        <v>506267000</v>
      </c>
      <c r="BL30" s="105"/>
      <c r="BM30" s="105">
        <v>2520000</v>
      </c>
      <c r="BN30" s="105">
        <v>2294615</v>
      </c>
      <c r="BO30" s="19"/>
      <c r="BP30" s="19"/>
      <c r="BQ30" s="19" t="s">
        <v>189</v>
      </c>
      <c r="BR30" s="105">
        <f>9156033</f>
        <v>9156033</v>
      </c>
      <c r="BS30" s="105">
        <f>15000000</f>
        <v>15000000</v>
      </c>
      <c r="BT30" s="105">
        <f>56758000</f>
        <v>56758000</v>
      </c>
      <c r="BU30" s="105">
        <f>432633</f>
        <v>432633</v>
      </c>
      <c r="BV30" s="105">
        <f>14443126</f>
        <v>14443126</v>
      </c>
      <c r="BW30" s="19" t="s">
        <v>189</v>
      </c>
      <c r="BX30" s="19"/>
      <c r="BY30" s="19"/>
      <c r="BZ30" s="19"/>
      <c r="CA30" s="105">
        <f>1080000+12338957</f>
        <v>13418957</v>
      </c>
      <c r="CB30" s="105">
        <f>3815000</f>
        <v>3815000</v>
      </c>
      <c r="CC30" s="105">
        <v>20280000</v>
      </c>
      <c r="CD30" s="105">
        <v>330000</v>
      </c>
      <c r="CE30" s="105">
        <f>26447843</f>
        <v>26447843</v>
      </c>
      <c r="CF30" s="19"/>
      <c r="CG30" s="19"/>
      <c r="CH30" s="105">
        <v>385072357</v>
      </c>
      <c r="CI30" s="19"/>
      <c r="CJ30" s="105">
        <v>120000</v>
      </c>
      <c r="CK30" s="19" t="s">
        <v>190</v>
      </c>
      <c r="CL30" s="105">
        <v>4578721</v>
      </c>
      <c r="CM30" s="105">
        <v>3080000</v>
      </c>
      <c r="CN30" s="19"/>
      <c r="CO30" s="19"/>
      <c r="CP30" s="105">
        <v>8029070</v>
      </c>
      <c r="CQ30" s="19"/>
      <c r="CR30" s="19"/>
      <c r="CS30" s="105">
        <f>43782480</f>
        <v>43782480</v>
      </c>
      <c r="CT30" s="19" t="s">
        <v>190</v>
      </c>
      <c r="CU30" s="105">
        <v>156829467</v>
      </c>
      <c r="CV30" s="105">
        <f>4466400</f>
        <v>4466400</v>
      </c>
      <c r="CW30" s="19" t="s">
        <v>189</v>
      </c>
      <c r="CX30" s="19"/>
      <c r="CY30" s="19"/>
      <c r="CZ30" s="105">
        <v>2500210</v>
      </c>
      <c r="DA30" s="19" t="s">
        <v>189</v>
      </c>
      <c r="DB30" s="105">
        <v>37440000</v>
      </c>
      <c r="DC30" s="114"/>
      <c r="DD30" s="115"/>
      <c r="DE30" s="103">
        <f>4060000+125000000</f>
        <v>129060000</v>
      </c>
      <c r="DF30" s="103">
        <f>4094400+1120903943</f>
        <v>1124998343</v>
      </c>
      <c r="DG30" s="115"/>
      <c r="DH30" s="110" t="s">
        <v>189</v>
      </c>
      <c r="DI30" s="103">
        <f>189392128</f>
        <v>189392128</v>
      </c>
      <c r="DJ30" s="115"/>
      <c r="DK30" s="111" t="s">
        <v>189</v>
      </c>
      <c r="DL30" s="103">
        <v>14906393</v>
      </c>
      <c r="DM30" s="102">
        <v>18806200</v>
      </c>
      <c r="DN30" s="102">
        <v>3270070</v>
      </c>
      <c r="DO30" s="102"/>
      <c r="DP30" s="102">
        <v>5723000</v>
      </c>
      <c r="DQ30" s="102"/>
      <c r="DR30" s="102">
        <v>433800</v>
      </c>
      <c r="DS30" s="102"/>
      <c r="DT30" s="102">
        <v>7700000</v>
      </c>
      <c r="DU30" s="102">
        <v>5392600</v>
      </c>
      <c r="DV30" s="102">
        <v>4230373</v>
      </c>
      <c r="DW30" s="102"/>
      <c r="DX30" s="102"/>
      <c r="DY30" s="102">
        <v>6575000</v>
      </c>
      <c r="DZ30" s="102"/>
      <c r="EA30" s="102">
        <v>13145500</v>
      </c>
      <c r="EB30" s="102">
        <v>113135280</v>
      </c>
      <c r="EC30" s="102">
        <v>10306660</v>
      </c>
      <c r="ED30" s="102"/>
      <c r="EE30" s="102">
        <v>3566400</v>
      </c>
      <c r="EF30" s="102">
        <v>2772631</v>
      </c>
    </row>
    <row r="31" spans="1:136">
      <c r="A31" s="67" t="s">
        <v>193</v>
      </c>
      <c r="B31" s="91" t="s">
        <v>18</v>
      </c>
      <c r="C31" s="105">
        <v>124343340</v>
      </c>
      <c r="D31" s="19" t="s">
        <v>188</v>
      </c>
      <c r="E31" s="105">
        <v>114163000</v>
      </c>
      <c r="F31" s="19" t="s">
        <v>188</v>
      </c>
      <c r="G31" s="19" t="s">
        <v>189</v>
      </c>
      <c r="H31" s="19" t="s">
        <v>189</v>
      </c>
      <c r="I31" s="19" t="s">
        <v>188</v>
      </c>
      <c r="J31" s="105">
        <v>4724257071</v>
      </c>
      <c r="K31" s="105">
        <v>0</v>
      </c>
      <c r="L31" s="105">
        <v>1694138019</v>
      </c>
      <c r="M31" s="105">
        <v>83139760</v>
      </c>
      <c r="N31" s="19" t="s">
        <v>189</v>
      </c>
      <c r="O31" s="105">
        <v>0</v>
      </c>
      <c r="P31" s="105">
        <v>1700000000</v>
      </c>
      <c r="Q31" s="105">
        <v>8365652079</v>
      </c>
      <c r="R31" s="105">
        <v>2196600000</v>
      </c>
      <c r="S31" s="105">
        <v>1893200000</v>
      </c>
      <c r="T31" s="105">
        <v>3537665252</v>
      </c>
      <c r="U31" s="19" t="s">
        <v>188</v>
      </c>
      <c r="V31" s="105"/>
      <c r="W31" s="19" t="s">
        <v>189</v>
      </c>
      <c r="X31" s="105"/>
      <c r="Y31" s="19" t="s">
        <v>188</v>
      </c>
      <c r="Z31" s="105">
        <v>300000000</v>
      </c>
      <c r="AA31" s="105">
        <v>440356306</v>
      </c>
      <c r="AB31" s="19" t="s">
        <v>188</v>
      </c>
      <c r="AC31" s="19" t="s">
        <v>189</v>
      </c>
      <c r="AD31" s="19" t="s">
        <v>188</v>
      </c>
      <c r="AE31" s="19">
        <v>0</v>
      </c>
      <c r="AF31" s="105">
        <v>100000000</v>
      </c>
      <c r="AG31" s="105">
        <v>606573385</v>
      </c>
      <c r="AH31" s="19"/>
      <c r="AI31" s="105">
        <v>500000000</v>
      </c>
      <c r="AJ31" s="105">
        <v>1265581406</v>
      </c>
      <c r="AK31" s="19" t="s">
        <v>188</v>
      </c>
      <c r="AL31" s="105">
        <v>107944421</v>
      </c>
      <c r="AM31" s="105">
        <v>403200000</v>
      </c>
      <c r="AN31" s="105">
        <f>181762113</f>
        <v>181762113</v>
      </c>
      <c r="AO31" s="19" t="s">
        <v>188</v>
      </c>
      <c r="AP31" s="107">
        <v>131200000</v>
      </c>
      <c r="AQ31" s="19" t="s">
        <v>188</v>
      </c>
      <c r="AR31" s="105">
        <v>4786505320</v>
      </c>
      <c r="AS31" s="19" t="s">
        <v>188</v>
      </c>
      <c r="AT31" s="105">
        <v>7251384861</v>
      </c>
      <c r="AU31" s="105">
        <v>343716633</v>
      </c>
      <c r="AV31" s="105">
        <v>2902842518</v>
      </c>
      <c r="AW31" s="105">
        <v>2449560000</v>
      </c>
      <c r="AX31" s="107">
        <v>0</v>
      </c>
      <c r="AY31" s="19" t="s">
        <v>188</v>
      </c>
      <c r="AZ31" s="105">
        <f>3000000</f>
        <v>3000000</v>
      </c>
      <c r="BA31" s="105">
        <v>17871264</v>
      </c>
      <c r="BB31" s="105">
        <v>89583335</v>
      </c>
      <c r="BC31" s="105">
        <v>111239854</v>
      </c>
      <c r="BD31" s="108">
        <v>200000000</v>
      </c>
      <c r="BE31" s="105">
        <f>697240000</f>
        <v>697240000</v>
      </c>
      <c r="BF31" s="105">
        <f>1614742440</f>
        <v>1614742440</v>
      </c>
      <c r="BG31" s="105">
        <v>247261463</v>
      </c>
      <c r="BH31" s="105">
        <f>1080330000</f>
        <v>1080330000</v>
      </c>
      <c r="BI31" s="108">
        <v>1359105082</v>
      </c>
      <c r="BJ31" s="105">
        <v>0</v>
      </c>
      <c r="BK31" s="105">
        <f>1038233410</f>
        <v>1038233410</v>
      </c>
      <c r="BL31" s="105">
        <f>320800000</f>
        <v>320800000</v>
      </c>
      <c r="BM31" s="105">
        <f>3570546800</f>
        <v>3570546800</v>
      </c>
      <c r="BN31" s="105">
        <v>570800000</v>
      </c>
      <c r="BO31" s="105">
        <f>366140000</f>
        <v>366140000</v>
      </c>
      <c r="BP31" s="105">
        <f>100000000</f>
        <v>100000000</v>
      </c>
      <c r="BQ31" s="19" t="s">
        <v>189</v>
      </c>
      <c r="BR31" s="105">
        <f>1219154602</f>
        <v>1219154602</v>
      </c>
      <c r="BS31" s="105">
        <f>2020000000</f>
        <v>2020000000</v>
      </c>
      <c r="BT31" s="105">
        <f>187722521</f>
        <v>187722521</v>
      </c>
      <c r="BU31" s="105">
        <f>550339953</f>
        <v>550339953</v>
      </c>
      <c r="BV31" s="105">
        <f>200000000</f>
        <v>200000000</v>
      </c>
      <c r="BW31" s="19" t="s">
        <v>189</v>
      </c>
      <c r="BX31" s="105">
        <v>0</v>
      </c>
      <c r="BY31" s="19"/>
      <c r="BZ31" s="105">
        <f>1062938159</f>
        <v>1062938159</v>
      </c>
      <c r="CA31" s="105">
        <f>26790000</f>
        <v>26790000</v>
      </c>
      <c r="CB31" s="105">
        <v>0</v>
      </c>
      <c r="CC31" s="105">
        <v>0</v>
      </c>
      <c r="CD31" s="105">
        <f>74014334</f>
        <v>74014334</v>
      </c>
      <c r="CE31" s="105">
        <f>264150000</f>
        <v>264150000</v>
      </c>
      <c r="CF31" s="105">
        <f>1210000000</f>
        <v>1210000000</v>
      </c>
      <c r="CG31" s="105">
        <f>320837484</f>
        <v>320837484</v>
      </c>
      <c r="CH31" s="105">
        <f>2518198896</f>
        <v>2518198896</v>
      </c>
      <c r="CI31" s="105">
        <v>56309438</v>
      </c>
      <c r="CJ31" s="105">
        <v>0</v>
      </c>
      <c r="CK31" s="19" t="s">
        <v>190</v>
      </c>
      <c r="CL31" s="105">
        <v>927840000</v>
      </c>
      <c r="CM31" s="105">
        <v>54080000</v>
      </c>
      <c r="CN31" s="105">
        <f>259954243</f>
        <v>259954243</v>
      </c>
      <c r="CO31" s="105">
        <v>179457242</v>
      </c>
      <c r="CP31" s="105">
        <v>245456577</v>
      </c>
      <c r="CQ31" s="105">
        <v>0</v>
      </c>
      <c r="CR31" s="105">
        <v>0</v>
      </c>
      <c r="CS31" s="105">
        <f>1926681</f>
        <v>1926681</v>
      </c>
      <c r="CT31" s="19" t="s">
        <v>190</v>
      </c>
      <c r="CU31" s="105">
        <v>0</v>
      </c>
      <c r="CV31" s="105">
        <f>6110307635</f>
        <v>6110307635</v>
      </c>
      <c r="CW31" s="19" t="s">
        <v>189</v>
      </c>
      <c r="CX31" s="105">
        <v>0</v>
      </c>
      <c r="CY31" s="19"/>
      <c r="CZ31" s="105">
        <v>495873984</v>
      </c>
      <c r="DA31" s="19" t="s">
        <v>189</v>
      </c>
      <c r="DB31" s="105">
        <v>136087131</v>
      </c>
      <c r="DC31" s="114"/>
      <c r="DD31" s="103">
        <v>1250735000</v>
      </c>
      <c r="DE31" s="103">
        <v>3789803955</v>
      </c>
      <c r="DF31" s="103">
        <v>9061091691</v>
      </c>
      <c r="DG31" s="103">
        <f>709392225</f>
        <v>709392225</v>
      </c>
      <c r="DH31" s="110" t="s">
        <v>189</v>
      </c>
      <c r="DI31" s="103">
        <f>49617187</f>
        <v>49617187</v>
      </c>
      <c r="DJ31" s="103">
        <f>68153062</f>
        <v>68153062</v>
      </c>
      <c r="DK31" s="111" t="s">
        <v>189</v>
      </c>
      <c r="DL31" s="103">
        <v>261666664</v>
      </c>
      <c r="DM31" s="102">
        <v>740000000</v>
      </c>
      <c r="DN31" s="102">
        <v>856343071</v>
      </c>
      <c r="DO31" s="102">
        <v>5322880000</v>
      </c>
      <c r="DP31" s="102">
        <v>0</v>
      </c>
      <c r="DQ31" s="102">
        <v>0</v>
      </c>
      <c r="DR31" s="102">
        <v>275616000</v>
      </c>
      <c r="DS31" s="102">
        <v>857152455</v>
      </c>
      <c r="DT31" s="102">
        <v>639688113</v>
      </c>
      <c r="DU31" s="102">
        <v>641000000</v>
      </c>
      <c r="DV31" s="102">
        <v>3674260</v>
      </c>
      <c r="DW31" s="102"/>
      <c r="DX31" s="102">
        <v>169024338</v>
      </c>
      <c r="DY31" s="102">
        <v>90171761</v>
      </c>
      <c r="DZ31" s="102">
        <v>0</v>
      </c>
      <c r="EA31" s="102">
        <v>290000000</v>
      </c>
      <c r="EB31" s="102">
        <v>2169619305</v>
      </c>
      <c r="EC31" s="102">
        <v>291361095</v>
      </c>
      <c r="ED31" s="102">
        <v>0</v>
      </c>
      <c r="EE31" s="102">
        <v>950000000</v>
      </c>
      <c r="EF31" s="102">
        <v>450000000</v>
      </c>
    </row>
    <row r="32" spans="1:136">
      <c r="A32" s="67" t="s">
        <v>193</v>
      </c>
      <c r="B32" s="87" t="s">
        <v>15</v>
      </c>
      <c r="C32" s="105">
        <v>124343340</v>
      </c>
      <c r="D32" s="19" t="s">
        <v>188</v>
      </c>
      <c r="E32" s="105">
        <v>114163000</v>
      </c>
      <c r="F32" s="19" t="s">
        <v>188</v>
      </c>
      <c r="G32" s="19" t="s">
        <v>189</v>
      </c>
      <c r="H32" s="19" t="s">
        <v>189</v>
      </c>
      <c r="I32" s="19" t="s">
        <v>188</v>
      </c>
      <c r="J32" s="105">
        <v>4724257071</v>
      </c>
      <c r="K32" s="105"/>
      <c r="L32" s="105">
        <v>1694138019</v>
      </c>
      <c r="M32" s="105"/>
      <c r="N32" s="19" t="s">
        <v>189</v>
      </c>
      <c r="O32" s="105"/>
      <c r="P32" s="105">
        <v>1700000000</v>
      </c>
      <c r="Q32" s="105">
        <v>6722080000</v>
      </c>
      <c r="R32" s="105">
        <v>2196600000</v>
      </c>
      <c r="S32" s="105">
        <v>1893200000</v>
      </c>
      <c r="T32" s="105">
        <v>3379665252</v>
      </c>
      <c r="U32" s="19" t="s">
        <v>188</v>
      </c>
      <c r="V32" s="105"/>
      <c r="W32" s="19" t="s">
        <v>189</v>
      </c>
      <c r="X32" s="105"/>
      <c r="Y32" s="19" t="s">
        <v>188</v>
      </c>
      <c r="Z32" s="105">
        <v>300000000</v>
      </c>
      <c r="AA32" s="105"/>
      <c r="AB32" s="19" t="s">
        <v>188</v>
      </c>
      <c r="AC32" s="19" t="s">
        <v>189</v>
      </c>
      <c r="AD32" s="19" t="s">
        <v>188</v>
      </c>
      <c r="AE32" s="19"/>
      <c r="AF32" s="105">
        <v>100000000</v>
      </c>
      <c r="AG32" s="105">
        <v>606573385</v>
      </c>
      <c r="AH32" s="19"/>
      <c r="AI32" s="105">
        <v>500000000</v>
      </c>
      <c r="AJ32" s="105">
        <v>1265581406</v>
      </c>
      <c r="AK32" s="19" t="s">
        <v>188</v>
      </c>
      <c r="AL32" s="105">
        <v>107944421</v>
      </c>
      <c r="AM32" s="105">
        <v>403200000</v>
      </c>
      <c r="AN32" s="105">
        <f>181762113</f>
        <v>181762113</v>
      </c>
      <c r="AO32" s="19" t="s">
        <v>188</v>
      </c>
      <c r="AP32" s="107">
        <v>131200000</v>
      </c>
      <c r="AQ32" s="19" t="s">
        <v>188</v>
      </c>
      <c r="AR32" s="105">
        <v>4755190000</v>
      </c>
      <c r="AS32" s="19" t="s">
        <v>188</v>
      </c>
      <c r="AT32" s="105">
        <v>7081384861</v>
      </c>
      <c r="AU32" s="105">
        <v>340000000</v>
      </c>
      <c r="AV32" s="105">
        <v>1871796114</v>
      </c>
      <c r="AW32" s="105">
        <v>2449560000</v>
      </c>
      <c r="AX32" s="19"/>
      <c r="AY32" s="19" t="s">
        <v>188</v>
      </c>
      <c r="AZ32" s="105">
        <f>3000000</f>
        <v>3000000</v>
      </c>
      <c r="BA32" s="105">
        <v>17871264</v>
      </c>
      <c r="BB32" s="105">
        <v>89583335</v>
      </c>
      <c r="BC32" s="105">
        <v>111239854</v>
      </c>
      <c r="BD32" s="108">
        <v>200000000</v>
      </c>
      <c r="BE32" s="105">
        <f>697240000</f>
        <v>697240000</v>
      </c>
      <c r="BF32" s="105">
        <f>1614742440</f>
        <v>1614742440</v>
      </c>
      <c r="BG32" s="105">
        <v>246061463</v>
      </c>
      <c r="BH32" s="105">
        <f>1080330000</f>
        <v>1080330000</v>
      </c>
      <c r="BI32" s="108">
        <v>1359105082</v>
      </c>
      <c r="BJ32" s="19"/>
      <c r="BK32" s="105">
        <f>878733410</f>
        <v>878733410</v>
      </c>
      <c r="BL32" s="105">
        <f>320800000</f>
        <v>320800000</v>
      </c>
      <c r="BM32" s="105">
        <f>3570546800</f>
        <v>3570546800</v>
      </c>
      <c r="BN32" s="105">
        <v>570800000</v>
      </c>
      <c r="BO32" s="19"/>
      <c r="BP32" s="105">
        <f>100000000</f>
        <v>100000000</v>
      </c>
      <c r="BQ32" s="19" t="s">
        <v>189</v>
      </c>
      <c r="BR32" s="105">
        <f>1179154602</f>
        <v>1179154602</v>
      </c>
      <c r="BS32" s="105">
        <f>2020000000</f>
        <v>2020000000</v>
      </c>
      <c r="BT32" s="105">
        <f>187722521</f>
        <v>187722521</v>
      </c>
      <c r="BU32" s="105">
        <f>300000000</f>
        <v>300000000</v>
      </c>
      <c r="BV32" s="105">
        <f>200000000</f>
        <v>200000000</v>
      </c>
      <c r="BW32" s="19" t="s">
        <v>189</v>
      </c>
      <c r="BX32" s="19"/>
      <c r="BY32" s="19"/>
      <c r="BZ32" s="105">
        <f>1062938159</f>
        <v>1062938159</v>
      </c>
      <c r="CA32" s="105">
        <f>26790000</f>
        <v>26790000</v>
      </c>
      <c r="CB32" s="105">
        <v>0</v>
      </c>
      <c r="CC32" s="19"/>
      <c r="CD32" s="105">
        <f>74014334</f>
        <v>74014334</v>
      </c>
      <c r="CE32" s="105">
        <f>264150000</f>
        <v>264150000</v>
      </c>
      <c r="CF32" s="105">
        <f>1150000000</f>
        <v>1150000000</v>
      </c>
      <c r="CG32" s="105">
        <f>320837484</f>
        <v>320837484</v>
      </c>
      <c r="CH32" s="105">
        <f>2518198896</f>
        <v>2518198896</v>
      </c>
      <c r="CI32" s="105">
        <v>56309438</v>
      </c>
      <c r="CJ32" s="19"/>
      <c r="CK32" s="19" t="s">
        <v>190</v>
      </c>
      <c r="CL32" s="105">
        <v>927840000</v>
      </c>
      <c r="CM32" s="105">
        <v>54080000</v>
      </c>
      <c r="CN32" s="105">
        <f>6944684+253009559</f>
        <v>259954243</v>
      </c>
      <c r="CO32" s="105">
        <v>179457242</v>
      </c>
      <c r="CP32" s="105">
        <v>176230000</v>
      </c>
      <c r="CQ32" s="19"/>
      <c r="CR32" s="19"/>
      <c r="CS32" s="105">
        <f>1926681</f>
        <v>1926681</v>
      </c>
      <c r="CT32" s="19" t="s">
        <v>190</v>
      </c>
      <c r="CU32" s="19"/>
      <c r="CV32" s="105">
        <f>6110307635</f>
        <v>6110307635</v>
      </c>
      <c r="CW32" s="19" t="s">
        <v>189</v>
      </c>
      <c r="CX32" s="19"/>
      <c r="CY32" s="19"/>
      <c r="CZ32" s="105">
        <v>255400000</v>
      </c>
      <c r="DA32" s="19" t="s">
        <v>189</v>
      </c>
      <c r="DB32" s="19"/>
      <c r="DC32" s="114"/>
      <c r="DD32" s="103">
        <v>1250735000</v>
      </c>
      <c r="DE32" s="103">
        <v>3750000000</v>
      </c>
      <c r="DF32" s="115"/>
      <c r="DG32" s="103">
        <f>259945605+449446620</f>
        <v>709392225</v>
      </c>
      <c r="DH32" s="110" t="s">
        <v>189</v>
      </c>
      <c r="DI32" s="103">
        <f>44320000</f>
        <v>44320000</v>
      </c>
      <c r="DJ32" s="103">
        <f>68153062</f>
        <v>68153062</v>
      </c>
      <c r="DK32" s="111" t="s">
        <v>189</v>
      </c>
      <c r="DL32" s="103">
        <v>261666664</v>
      </c>
      <c r="DM32" s="102">
        <v>730000000</v>
      </c>
      <c r="DN32" s="102">
        <v>856343071</v>
      </c>
      <c r="DO32" s="102">
        <v>5322880000</v>
      </c>
      <c r="DP32" s="102">
        <v>0</v>
      </c>
      <c r="DQ32" s="102"/>
      <c r="DR32" s="102">
        <v>275616000</v>
      </c>
      <c r="DS32" s="102">
        <v>857152455</v>
      </c>
      <c r="DT32" s="102">
        <v>639688113</v>
      </c>
      <c r="DU32" s="102">
        <v>641000000</v>
      </c>
      <c r="DV32" s="102"/>
      <c r="DW32" s="102"/>
      <c r="DX32" s="102">
        <v>169024338</v>
      </c>
      <c r="DY32" s="102"/>
      <c r="DZ32" s="102"/>
      <c r="EA32" s="102">
        <v>290000000</v>
      </c>
      <c r="EB32" s="102">
        <v>1427750000</v>
      </c>
      <c r="EC32" s="102">
        <v>291361095</v>
      </c>
      <c r="ED32" s="102"/>
      <c r="EE32" s="102">
        <v>950000000</v>
      </c>
      <c r="EF32" s="102">
        <v>450000000</v>
      </c>
    </row>
    <row r="33" spans="1:136">
      <c r="A33" s="67" t="s">
        <v>193</v>
      </c>
      <c r="B33" s="87" t="s">
        <v>45</v>
      </c>
      <c r="C33" s="105"/>
      <c r="D33" s="19" t="s">
        <v>188</v>
      </c>
      <c r="E33" s="105"/>
      <c r="F33" s="19" t="s">
        <v>188</v>
      </c>
      <c r="G33" s="19" t="s">
        <v>189</v>
      </c>
      <c r="H33" s="19" t="s">
        <v>189</v>
      </c>
      <c r="I33" s="19" t="s">
        <v>188</v>
      </c>
      <c r="J33" s="105">
        <v>0</v>
      </c>
      <c r="K33" s="19"/>
      <c r="L33" s="105"/>
      <c r="M33" s="105">
        <v>83139760</v>
      </c>
      <c r="N33" s="19" t="s">
        <v>189</v>
      </c>
      <c r="O33" s="105"/>
      <c r="P33" s="105"/>
      <c r="Q33" s="105">
        <v>1643572079</v>
      </c>
      <c r="R33" s="105"/>
      <c r="S33" s="105"/>
      <c r="T33" s="105">
        <v>158000000</v>
      </c>
      <c r="U33" s="19" t="s">
        <v>188</v>
      </c>
      <c r="V33" s="19"/>
      <c r="W33" s="19" t="s">
        <v>189</v>
      </c>
      <c r="X33" s="105"/>
      <c r="Y33" s="19" t="s">
        <v>188</v>
      </c>
      <c r="Z33" s="105"/>
      <c r="AA33" s="105">
        <v>440356306</v>
      </c>
      <c r="AB33" s="19" t="s">
        <v>188</v>
      </c>
      <c r="AC33" s="19" t="s">
        <v>189</v>
      </c>
      <c r="AD33" s="19" t="s">
        <v>188</v>
      </c>
      <c r="AE33" s="19"/>
      <c r="AF33" s="19"/>
      <c r="AG33" s="105">
        <v>0</v>
      </c>
      <c r="AH33" s="19"/>
      <c r="AI33" s="19"/>
      <c r="AJ33" s="19"/>
      <c r="AK33" s="19" t="s">
        <v>188</v>
      </c>
      <c r="AL33" s="19"/>
      <c r="AM33" s="19"/>
      <c r="AN33" s="105"/>
      <c r="AO33" s="19" t="s">
        <v>188</v>
      </c>
      <c r="AP33" s="107"/>
      <c r="AQ33" s="19" t="s">
        <v>188</v>
      </c>
      <c r="AR33" s="105">
        <f>30000000+1315320</f>
        <v>31315320</v>
      </c>
      <c r="AS33" s="19" t="s">
        <v>188</v>
      </c>
      <c r="AT33" s="105">
        <v>170000000</v>
      </c>
      <c r="AU33" s="105">
        <v>3716633</v>
      </c>
      <c r="AV33" s="105">
        <f>23800000+3812226+1000000000+245523270-246291032+4201940</f>
        <v>1031046404</v>
      </c>
      <c r="AW33" s="19"/>
      <c r="AX33" s="19"/>
      <c r="AY33" s="19" t="s">
        <v>188</v>
      </c>
      <c r="AZ33" s="19"/>
      <c r="BA33" s="19"/>
      <c r="BB33" s="105">
        <v>0</v>
      </c>
      <c r="BC33" s="105"/>
      <c r="BD33" s="108"/>
      <c r="BE33" s="19"/>
      <c r="BF33" s="19"/>
      <c r="BG33" s="105">
        <v>1200000</v>
      </c>
      <c r="BH33" s="19"/>
      <c r="BI33" s="19"/>
      <c r="BJ33" s="19"/>
      <c r="BK33" s="105">
        <f>159500000</f>
        <v>159500000</v>
      </c>
      <c r="BL33" s="19"/>
      <c r="BM33" s="19"/>
      <c r="BN33" s="19"/>
      <c r="BO33" s="105">
        <f>366140000</f>
        <v>366140000</v>
      </c>
      <c r="BP33" s="19"/>
      <c r="BQ33" s="19" t="s">
        <v>189</v>
      </c>
      <c r="BR33" s="105">
        <f>40000000</f>
        <v>40000000</v>
      </c>
      <c r="BS33" s="19"/>
      <c r="BT33" s="19"/>
      <c r="BU33" s="105">
        <f>250339953</f>
        <v>250339953</v>
      </c>
      <c r="BV33" s="19"/>
      <c r="BW33" s="19" t="s">
        <v>189</v>
      </c>
      <c r="BX33" s="19"/>
      <c r="BY33" s="19"/>
      <c r="BZ33" s="19"/>
      <c r="CA33" s="19"/>
      <c r="CB33" s="19"/>
      <c r="CC33" s="19"/>
      <c r="CD33" s="19"/>
      <c r="CE33" s="19"/>
      <c r="CF33" s="105">
        <v>60000000</v>
      </c>
      <c r="CG33" s="19"/>
      <c r="CH33" s="19"/>
      <c r="CI33" s="19"/>
      <c r="CJ33" s="19"/>
      <c r="CK33" s="19" t="s">
        <v>190</v>
      </c>
      <c r="CL33" s="19"/>
      <c r="CM33" s="19"/>
      <c r="CN33" s="19"/>
      <c r="CO33" s="19"/>
      <c r="CP33" s="105">
        <v>69226577</v>
      </c>
      <c r="CQ33" s="19"/>
      <c r="CR33" s="19"/>
      <c r="CS33" s="19"/>
      <c r="CT33" s="19" t="s">
        <v>190</v>
      </c>
      <c r="CU33" s="19"/>
      <c r="CV33" s="19"/>
      <c r="CW33" s="19" t="s">
        <v>189</v>
      </c>
      <c r="CX33" s="19"/>
      <c r="CY33" s="19"/>
      <c r="CZ33" s="105">
        <v>240473984</v>
      </c>
      <c r="DA33" s="19" t="s">
        <v>189</v>
      </c>
      <c r="DB33" s="105">
        <v>136087131</v>
      </c>
      <c r="DC33" s="114"/>
      <c r="DD33" s="115"/>
      <c r="DE33" s="103">
        <v>39803955</v>
      </c>
      <c r="DF33" s="103">
        <f>3464272651+941452285+4655366755</f>
        <v>9061091691</v>
      </c>
      <c r="DG33" s="115"/>
      <c r="DH33" s="110" t="s">
        <v>189</v>
      </c>
      <c r="DI33" s="103">
        <f>5297187</f>
        <v>5297187</v>
      </c>
      <c r="DJ33" s="115"/>
      <c r="DK33" s="111" t="s">
        <v>189</v>
      </c>
      <c r="DL33" s="115"/>
      <c r="DM33" s="102">
        <v>10000000</v>
      </c>
      <c r="DN33" s="102"/>
      <c r="DO33" s="102"/>
      <c r="DP33" s="102"/>
      <c r="DQ33" s="102"/>
      <c r="DR33" s="102"/>
      <c r="DS33" s="102"/>
      <c r="DT33" s="102"/>
      <c r="DU33" s="102"/>
      <c r="DV33" s="102">
        <v>3674260</v>
      </c>
      <c r="DW33" s="102"/>
      <c r="DX33" s="102"/>
      <c r="DY33" s="102">
        <v>90171761</v>
      </c>
      <c r="DZ33" s="102"/>
      <c r="EA33" s="102"/>
      <c r="EB33" s="102">
        <v>741869305</v>
      </c>
      <c r="EC33" s="102"/>
      <c r="ED33" s="102"/>
      <c r="EE33" s="102"/>
      <c r="EF33" s="102"/>
    </row>
    <row r="34" spans="1:136">
      <c r="A34" s="67" t="s">
        <v>193</v>
      </c>
      <c r="B34" s="91" t="s">
        <v>110</v>
      </c>
      <c r="C34" s="105">
        <v>51986266</v>
      </c>
      <c r="D34" s="19" t="s">
        <v>188</v>
      </c>
      <c r="E34" s="19">
        <v>138975208</v>
      </c>
      <c r="F34" s="19" t="s">
        <v>188</v>
      </c>
      <c r="G34" s="19" t="s">
        <v>189</v>
      </c>
      <c r="H34" s="19" t="s">
        <v>189</v>
      </c>
      <c r="I34" s="19" t="s">
        <v>188</v>
      </c>
      <c r="J34" s="105">
        <v>3521631291</v>
      </c>
      <c r="K34" s="105">
        <v>2078296341</v>
      </c>
      <c r="L34" s="105">
        <v>1320648486</v>
      </c>
      <c r="M34" s="105">
        <v>429160532</v>
      </c>
      <c r="N34" s="19" t="s">
        <v>189</v>
      </c>
      <c r="O34" s="105">
        <v>65371779</v>
      </c>
      <c r="P34" s="105">
        <v>2853010681</v>
      </c>
      <c r="Q34" s="105">
        <v>8632168126</v>
      </c>
      <c r="R34" s="105">
        <v>438616616</v>
      </c>
      <c r="S34" s="105">
        <v>156349940</v>
      </c>
      <c r="T34" s="108">
        <v>182096379</v>
      </c>
      <c r="U34" s="19" t="s">
        <v>188</v>
      </c>
      <c r="V34" s="105">
        <v>1307232487</v>
      </c>
      <c r="W34" s="19" t="s">
        <v>189</v>
      </c>
      <c r="X34" s="105">
        <v>613000443</v>
      </c>
      <c r="Y34" s="19" t="s">
        <v>188</v>
      </c>
      <c r="Z34" s="105">
        <v>1131126755</v>
      </c>
      <c r="AA34" s="105">
        <v>774436142</v>
      </c>
      <c r="AB34" s="19" t="s">
        <v>188</v>
      </c>
      <c r="AC34" s="19" t="s">
        <v>189</v>
      </c>
      <c r="AD34" s="19" t="s">
        <v>188</v>
      </c>
      <c r="AE34" s="105">
        <v>1571287603</v>
      </c>
      <c r="AF34" s="105">
        <v>2716789372</v>
      </c>
      <c r="AG34" s="105">
        <v>112571219</v>
      </c>
      <c r="AH34" s="105">
        <v>805284987</v>
      </c>
      <c r="AI34" s="105">
        <v>994775642</v>
      </c>
      <c r="AJ34" s="105">
        <v>1255234694</v>
      </c>
      <c r="AK34" s="19" t="s">
        <v>188</v>
      </c>
      <c r="AL34" s="105">
        <v>392511909</v>
      </c>
      <c r="AM34" s="105">
        <v>562467872</v>
      </c>
      <c r="AN34" s="105">
        <v>108767957</v>
      </c>
      <c r="AO34" s="19" t="s">
        <v>188</v>
      </c>
      <c r="AP34" s="107">
        <v>267973926</v>
      </c>
      <c r="AQ34" s="19" t="s">
        <v>188</v>
      </c>
      <c r="AR34" s="105">
        <v>2416515890</v>
      </c>
      <c r="AS34" s="19" t="s">
        <v>188</v>
      </c>
      <c r="AT34" s="105">
        <v>10565285475</v>
      </c>
      <c r="AU34" s="105">
        <v>729974546</v>
      </c>
      <c r="AV34" s="105">
        <v>40534396</v>
      </c>
      <c r="AW34" s="105">
        <v>1170225076</v>
      </c>
      <c r="AX34" s="108">
        <v>-7789975</v>
      </c>
      <c r="AY34" s="19" t="s">
        <v>188</v>
      </c>
      <c r="AZ34" s="105">
        <f>705205</f>
        <v>705205</v>
      </c>
      <c r="BA34" s="105">
        <v>38531013</v>
      </c>
      <c r="BB34" s="105">
        <v>529456136</v>
      </c>
      <c r="BC34" s="105">
        <v>191064232</v>
      </c>
      <c r="BD34" s="105">
        <v>205498484</v>
      </c>
      <c r="BE34" s="105">
        <f>145371210</f>
        <v>145371210</v>
      </c>
      <c r="BF34" s="108">
        <f>256947606</f>
        <v>256947606</v>
      </c>
      <c r="BG34" s="105">
        <v>-646304937</v>
      </c>
      <c r="BH34" s="105">
        <f>776170319</f>
        <v>776170319</v>
      </c>
      <c r="BI34" s="108">
        <v>41698975</v>
      </c>
      <c r="BJ34" s="108">
        <v>199989381</v>
      </c>
      <c r="BK34" s="108">
        <f>426833261</f>
        <v>426833261</v>
      </c>
      <c r="BL34" s="105">
        <f>1027880592</f>
        <v>1027880592</v>
      </c>
      <c r="BM34" s="105">
        <f>7367409370</f>
        <v>7367409370</v>
      </c>
      <c r="BN34" s="105">
        <v>475907063</v>
      </c>
      <c r="BO34" s="105">
        <f>2064841282</f>
        <v>2064841282</v>
      </c>
      <c r="BP34" s="105">
        <f>460143127</f>
        <v>460143127</v>
      </c>
      <c r="BQ34" s="19" t="s">
        <v>189</v>
      </c>
      <c r="BR34" s="105">
        <f>198570504</f>
        <v>198570504</v>
      </c>
      <c r="BS34" s="105">
        <f>6004247378</f>
        <v>6004247378</v>
      </c>
      <c r="BT34" s="105">
        <f>155195475</f>
        <v>155195475</v>
      </c>
      <c r="BU34" s="105">
        <f>1600179719</f>
        <v>1600179719</v>
      </c>
      <c r="BV34" s="105">
        <f>197870451</f>
        <v>197870451</v>
      </c>
      <c r="BW34" s="19" t="s">
        <v>189</v>
      </c>
      <c r="BX34" s="105">
        <f>882772100</f>
        <v>882772100</v>
      </c>
      <c r="BY34" s="105">
        <v>282649975</v>
      </c>
      <c r="BZ34" s="105">
        <f>582000852</f>
        <v>582000852</v>
      </c>
      <c r="CA34" s="105">
        <f>-35110011</f>
        <v>-35110011</v>
      </c>
      <c r="CB34" s="105">
        <f>-13006324</f>
        <v>-13006324</v>
      </c>
      <c r="CC34" s="105">
        <v>100413047</v>
      </c>
      <c r="CD34" s="105">
        <v>146058057</v>
      </c>
      <c r="CE34" s="105">
        <v>-16577873</v>
      </c>
      <c r="CF34" s="105">
        <v>2027954530</v>
      </c>
      <c r="CG34" s="105">
        <f>230213929</f>
        <v>230213929</v>
      </c>
      <c r="CH34" s="105">
        <v>2267827012</v>
      </c>
      <c r="CI34" s="105">
        <v>-126424977</v>
      </c>
      <c r="CJ34" s="105">
        <v>144654182</v>
      </c>
      <c r="CK34" s="19" t="s">
        <v>190</v>
      </c>
      <c r="CL34" s="105">
        <v>494125150</v>
      </c>
      <c r="CM34" s="105">
        <v>-205097357</v>
      </c>
      <c r="CN34" s="105">
        <v>-281969571</v>
      </c>
      <c r="CO34" s="105">
        <v>277376635</v>
      </c>
      <c r="CP34" s="105">
        <v>498611432</v>
      </c>
      <c r="CQ34" s="105">
        <v>36966939</v>
      </c>
      <c r="CR34" s="105">
        <v>2362508032</v>
      </c>
      <c r="CS34" s="105">
        <f>1074714826</f>
        <v>1074714826</v>
      </c>
      <c r="CT34" s="19" t="s">
        <v>190</v>
      </c>
      <c r="CU34" s="105">
        <v>533483753</v>
      </c>
      <c r="CV34" s="105">
        <f>3339297704</f>
        <v>3339297704</v>
      </c>
      <c r="CW34" s="19" t="s">
        <v>189</v>
      </c>
      <c r="CX34" s="105">
        <f>133095171</f>
        <v>133095171</v>
      </c>
      <c r="CY34" s="105">
        <v>-118869843</v>
      </c>
      <c r="CZ34" s="105">
        <v>460417364</v>
      </c>
      <c r="DA34" s="19" t="s">
        <v>189</v>
      </c>
      <c r="DB34" s="105">
        <v>616674549</v>
      </c>
      <c r="DC34" s="112">
        <f>409771108</f>
        <v>409771108</v>
      </c>
      <c r="DD34" s="105">
        <v>685807417</v>
      </c>
      <c r="DE34" s="105">
        <f>489221294</f>
        <v>489221294</v>
      </c>
      <c r="DF34" s="105">
        <v>20128065594</v>
      </c>
      <c r="DG34" s="105">
        <v>-243858630</v>
      </c>
      <c r="DH34" s="110" t="s">
        <v>189</v>
      </c>
      <c r="DI34" s="105">
        <v>-298888757</v>
      </c>
      <c r="DJ34" s="105">
        <f>207585640</f>
        <v>207585640</v>
      </c>
      <c r="DK34" s="111" t="s">
        <v>189</v>
      </c>
      <c r="DL34" s="105">
        <v>89579922</v>
      </c>
      <c r="DM34" s="105">
        <v>339462518</v>
      </c>
      <c r="DN34" s="105">
        <v>122338382</v>
      </c>
      <c r="DO34" s="105">
        <v>1593650155</v>
      </c>
      <c r="DP34" s="105">
        <v>85034857</v>
      </c>
      <c r="DQ34" s="105">
        <v>441811334</v>
      </c>
      <c r="DR34" s="105">
        <v>19064874</v>
      </c>
      <c r="DS34" s="105">
        <v>565601327</v>
      </c>
      <c r="DT34" s="105">
        <v>722628177</v>
      </c>
      <c r="DU34" s="105">
        <v>1069921742</v>
      </c>
      <c r="DV34" s="105">
        <v>4333979</v>
      </c>
      <c r="DW34" s="103">
        <v>816195475</v>
      </c>
      <c r="DX34" s="103">
        <v>285431897</v>
      </c>
      <c r="DY34" s="103">
        <v>1346049647</v>
      </c>
      <c r="DZ34" s="103">
        <v>187500389</v>
      </c>
      <c r="EA34" s="103">
        <v>206116609</v>
      </c>
      <c r="EB34" s="103">
        <v>1437221781</v>
      </c>
      <c r="EC34" s="103">
        <v>122053601</v>
      </c>
      <c r="ED34" s="103">
        <v>0</v>
      </c>
      <c r="EE34" s="103">
        <v>1099238939</v>
      </c>
      <c r="EF34" s="103">
        <v>173740729</v>
      </c>
    </row>
    <row r="35" spans="1:136">
      <c r="A35" s="67" t="s">
        <v>193</v>
      </c>
      <c r="B35" s="91" t="s">
        <v>81</v>
      </c>
      <c r="C35" s="105">
        <v>50000000</v>
      </c>
      <c r="D35" s="19" t="s">
        <v>188</v>
      </c>
      <c r="E35" s="105">
        <v>195000000</v>
      </c>
      <c r="F35" s="19" t="s">
        <v>188</v>
      </c>
      <c r="G35" s="19" t="s">
        <v>189</v>
      </c>
      <c r="H35" s="19" t="s">
        <v>189</v>
      </c>
      <c r="I35" s="19" t="s">
        <v>188</v>
      </c>
      <c r="J35" s="105">
        <v>263635000</v>
      </c>
      <c r="K35" s="105">
        <v>1403200</v>
      </c>
      <c r="L35" s="105">
        <v>12850000</v>
      </c>
      <c r="M35" s="105">
        <v>41508000</v>
      </c>
      <c r="N35" s="19" t="s">
        <v>189</v>
      </c>
      <c r="O35" s="105">
        <v>40770000</v>
      </c>
      <c r="P35" s="105">
        <v>209220000</v>
      </c>
      <c r="Q35" s="105">
        <v>325872000</v>
      </c>
      <c r="R35" s="105">
        <v>280000000</v>
      </c>
      <c r="S35" s="105">
        <v>584940000</v>
      </c>
      <c r="T35" s="108">
        <v>10000000</v>
      </c>
      <c r="U35" s="19" t="s">
        <v>188</v>
      </c>
      <c r="V35" s="105">
        <v>1310000</v>
      </c>
      <c r="W35" s="19" t="s">
        <v>189</v>
      </c>
      <c r="X35" s="105">
        <v>300000000</v>
      </c>
      <c r="Y35" s="19" t="s">
        <v>188</v>
      </c>
      <c r="Z35" s="105">
        <v>50000000</v>
      </c>
      <c r="AA35" s="105">
        <v>50000000</v>
      </c>
      <c r="AB35" s="19" t="s">
        <v>188</v>
      </c>
      <c r="AC35" s="19" t="s">
        <v>189</v>
      </c>
      <c r="AD35" s="19" t="s">
        <v>188</v>
      </c>
      <c r="AE35" s="105">
        <v>56725000</v>
      </c>
      <c r="AF35" s="105">
        <v>125682403</v>
      </c>
      <c r="AG35" s="105">
        <v>100000000</v>
      </c>
      <c r="AH35" s="105">
        <v>800000000</v>
      </c>
      <c r="AI35" s="105">
        <v>55000000</v>
      </c>
      <c r="AJ35" s="105">
        <v>23500000</v>
      </c>
      <c r="AK35" s="19" t="s">
        <v>188</v>
      </c>
      <c r="AL35" s="105">
        <v>300000000</v>
      </c>
      <c r="AM35" s="105">
        <v>127986500</v>
      </c>
      <c r="AN35" s="105">
        <f>143000000</f>
        <v>143000000</v>
      </c>
      <c r="AO35" s="19" t="s">
        <v>188</v>
      </c>
      <c r="AP35" s="107">
        <v>216470000</v>
      </c>
      <c r="AQ35" s="19" t="s">
        <v>188</v>
      </c>
      <c r="AR35" s="105">
        <v>300000000</v>
      </c>
      <c r="AS35" s="19" t="s">
        <v>188</v>
      </c>
      <c r="AT35" s="105">
        <v>7562042108</v>
      </c>
      <c r="AU35" s="105">
        <v>31550000</v>
      </c>
      <c r="AV35" s="105">
        <v>131085500</v>
      </c>
      <c r="AW35" s="105">
        <v>100000000</v>
      </c>
      <c r="AX35" s="105">
        <v>130000</v>
      </c>
      <c r="AY35" s="19" t="s">
        <v>188</v>
      </c>
      <c r="AZ35" s="105">
        <f>17750000</f>
        <v>17750000</v>
      </c>
      <c r="BA35" s="105">
        <v>50000000</v>
      </c>
      <c r="BB35" s="105">
        <v>31725000</v>
      </c>
      <c r="BC35" s="105">
        <v>220000000</v>
      </c>
      <c r="BD35" s="105">
        <v>207064500</v>
      </c>
      <c r="BE35" s="105">
        <f>32000000</f>
        <v>32000000</v>
      </c>
      <c r="BF35" s="108">
        <f>70000000</f>
        <v>70000000</v>
      </c>
      <c r="BG35" s="105">
        <v>70386000</v>
      </c>
      <c r="BH35" s="105">
        <v>243093400</v>
      </c>
      <c r="BI35" s="108">
        <v>31000000</v>
      </c>
      <c r="BJ35" s="108">
        <v>0</v>
      </c>
      <c r="BK35" s="108">
        <f>21700000</f>
        <v>21700000</v>
      </c>
      <c r="BL35" s="105">
        <f>300000000</f>
        <v>300000000</v>
      </c>
      <c r="BM35" s="105">
        <f>1899250000</f>
        <v>1899250000</v>
      </c>
      <c r="BN35" s="105">
        <v>100000000</v>
      </c>
      <c r="BO35" s="105">
        <f>12800000</f>
        <v>12800000</v>
      </c>
      <c r="BP35" s="105">
        <f>120070000</f>
        <v>120070000</v>
      </c>
      <c r="BQ35" s="19" t="s">
        <v>189</v>
      </c>
      <c r="BR35" s="105">
        <f>98050000</f>
        <v>98050000</v>
      </c>
      <c r="BS35" s="105">
        <f>13988100</f>
        <v>13988100</v>
      </c>
      <c r="BT35" s="105">
        <f>122000000</f>
        <v>122000000</v>
      </c>
      <c r="BU35" s="105">
        <f>5555000</f>
        <v>5555000</v>
      </c>
      <c r="BV35" s="105">
        <f>23157900</f>
        <v>23157900</v>
      </c>
      <c r="BW35" s="19" t="s">
        <v>189</v>
      </c>
      <c r="BX35" s="105">
        <f>50000000</f>
        <v>50000000</v>
      </c>
      <c r="BY35" s="105">
        <v>10000000</v>
      </c>
      <c r="BZ35" s="105">
        <f>50000000</f>
        <v>50000000</v>
      </c>
      <c r="CA35" s="105">
        <f>30000000</f>
        <v>30000000</v>
      </c>
      <c r="CB35" s="105">
        <f>120000000</f>
        <v>120000000</v>
      </c>
      <c r="CC35" s="105">
        <v>100000000</v>
      </c>
      <c r="CD35" s="105">
        <v>200000000</v>
      </c>
      <c r="CE35" s="105">
        <f>30000000</f>
        <v>30000000</v>
      </c>
      <c r="CF35" s="105">
        <v>1245090000</v>
      </c>
      <c r="CG35" s="105">
        <f>80000000</f>
        <v>80000000</v>
      </c>
      <c r="CH35" s="105">
        <v>300000000</v>
      </c>
      <c r="CI35" s="105">
        <v>30000000</v>
      </c>
      <c r="CJ35" s="105">
        <v>30000000</v>
      </c>
      <c r="CK35" s="19" t="s">
        <v>190</v>
      </c>
      <c r="CL35" s="105">
        <v>56245000</v>
      </c>
      <c r="CM35" s="105">
        <v>0</v>
      </c>
      <c r="CN35" s="105">
        <f>2000000</f>
        <v>2000000</v>
      </c>
      <c r="CO35" s="105">
        <v>60000000</v>
      </c>
      <c r="CP35" s="105">
        <v>696290000</v>
      </c>
      <c r="CQ35" s="105">
        <v>0</v>
      </c>
      <c r="CR35" s="105">
        <v>333050000</v>
      </c>
      <c r="CS35" s="105">
        <f>319494776</f>
        <v>319494776</v>
      </c>
      <c r="CT35" s="19" t="s">
        <v>190</v>
      </c>
      <c r="CU35" s="105">
        <v>100000000</v>
      </c>
      <c r="CV35" s="105">
        <f>950000000</f>
        <v>950000000</v>
      </c>
      <c r="CW35" s="19" t="s">
        <v>189</v>
      </c>
      <c r="CX35" s="105">
        <f>100000000</f>
        <v>100000000</v>
      </c>
      <c r="CY35" s="105">
        <f>40000000</f>
        <v>40000000</v>
      </c>
      <c r="CZ35" s="105">
        <v>106421500</v>
      </c>
      <c r="DA35" s="19" t="s">
        <v>189</v>
      </c>
      <c r="DB35" s="105">
        <v>333298000</v>
      </c>
      <c r="DC35" s="112">
        <f>379261523</f>
        <v>379261523</v>
      </c>
      <c r="DD35" s="105">
        <v>130000000</v>
      </c>
      <c r="DE35" s="105">
        <f>44181000</f>
        <v>44181000</v>
      </c>
      <c r="DF35" s="105">
        <v>18473530000</v>
      </c>
      <c r="DG35" s="105">
        <f>66500000</f>
        <v>66500000</v>
      </c>
      <c r="DH35" s="110" t="s">
        <v>189</v>
      </c>
      <c r="DI35" s="105">
        <f>225145000</f>
        <v>225145000</v>
      </c>
      <c r="DJ35" s="105">
        <f>162329610</f>
        <v>162329610</v>
      </c>
      <c r="DK35" s="111" t="s">
        <v>189</v>
      </c>
      <c r="DL35" s="105">
        <v>320000000</v>
      </c>
      <c r="DM35" s="105">
        <v>50000000</v>
      </c>
      <c r="DN35" s="105">
        <v>80000000</v>
      </c>
      <c r="DO35" s="105">
        <v>377256000</v>
      </c>
      <c r="DP35" s="105">
        <v>10000000</v>
      </c>
      <c r="DQ35" s="105">
        <v>365581000</v>
      </c>
      <c r="DR35" s="105">
        <v>32250000</v>
      </c>
      <c r="DS35" s="105">
        <v>200000000</v>
      </c>
      <c r="DT35" s="105">
        <v>600000000</v>
      </c>
      <c r="DU35" s="105">
        <v>100000000</v>
      </c>
      <c r="DV35" s="105">
        <v>66900000</v>
      </c>
      <c r="DW35" s="103">
        <v>50000000</v>
      </c>
      <c r="DX35" s="103">
        <v>31200000</v>
      </c>
      <c r="DY35" s="103">
        <v>20000000</v>
      </c>
      <c r="DZ35" s="103">
        <v>6000000</v>
      </c>
      <c r="EA35" s="103">
        <v>36750000</v>
      </c>
      <c r="EB35" s="103">
        <v>155000000</v>
      </c>
      <c r="EC35" s="103">
        <v>55000000</v>
      </c>
      <c r="ED35" s="103">
        <v>0</v>
      </c>
      <c r="EE35" s="103">
        <v>106994000</v>
      </c>
      <c r="EF35" s="103">
        <v>55000000</v>
      </c>
    </row>
    <row r="36" spans="1:136">
      <c r="A36" s="67" t="s">
        <v>193</v>
      </c>
      <c r="B36" s="91" t="s">
        <v>11</v>
      </c>
      <c r="C36" s="105">
        <v>0</v>
      </c>
      <c r="D36" s="19" t="s">
        <v>188</v>
      </c>
      <c r="E36" s="105">
        <v>95000000</v>
      </c>
      <c r="F36" s="19" t="s">
        <v>188</v>
      </c>
      <c r="G36" s="19" t="s">
        <v>189</v>
      </c>
      <c r="H36" s="19" t="s">
        <v>189</v>
      </c>
      <c r="I36" s="19" t="s">
        <v>188</v>
      </c>
      <c r="J36" s="105">
        <v>136322730</v>
      </c>
      <c r="K36" s="105">
        <v>1801951460</v>
      </c>
      <c r="L36" s="105">
        <v>901470857</v>
      </c>
      <c r="M36" s="105">
        <v>1208746203</v>
      </c>
      <c r="N36" s="19" t="s">
        <v>189</v>
      </c>
      <c r="O36" s="105">
        <v>0</v>
      </c>
      <c r="P36" s="105">
        <v>232770000</v>
      </c>
      <c r="Q36" s="105">
        <v>41945680808</v>
      </c>
      <c r="R36" s="105">
        <v>0</v>
      </c>
      <c r="S36" s="105">
        <v>3109953295</v>
      </c>
      <c r="T36" s="108">
        <v>0</v>
      </c>
      <c r="U36" s="19" t="s">
        <v>188</v>
      </c>
      <c r="V36" s="105"/>
      <c r="W36" s="19" t="s">
        <v>189</v>
      </c>
      <c r="X36" s="105"/>
      <c r="Y36" s="19" t="s">
        <v>188</v>
      </c>
      <c r="Z36" s="105"/>
      <c r="AA36" s="105"/>
      <c r="AB36" s="19" t="s">
        <v>188</v>
      </c>
      <c r="AC36" s="19" t="s">
        <v>189</v>
      </c>
      <c r="AD36" s="19" t="s">
        <v>188</v>
      </c>
      <c r="AE36" s="105">
        <v>5462605248</v>
      </c>
      <c r="AF36" s="105">
        <v>0</v>
      </c>
      <c r="AG36" s="105">
        <v>0</v>
      </c>
      <c r="AH36" s="19"/>
      <c r="AI36" s="105">
        <v>0</v>
      </c>
      <c r="AJ36" s="105">
        <v>0</v>
      </c>
      <c r="AK36" s="19" t="s">
        <v>188</v>
      </c>
      <c r="AL36" s="19"/>
      <c r="AM36" s="105">
        <v>99986500</v>
      </c>
      <c r="AN36" s="105"/>
      <c r="AO36" s="19" t="s">
        <v>188</v>
      </c>
      <c r="AP36" s="107">
        <v>0</v>
      </c>
      <c r="AQ36" s="19" t="s">
        <v>188</v>
      </c>
      <c r="AR36" s="105">
        <v>478743904</v>
      </c>
      <c r="AS36" s="19" t="s">
        <v>188</v>
      </c>
      <c r="AT36" s="105">
        <v>0</v>
      </c>
      <c r="AU36" s="19"/>
      <c r="AV36" s="105">
        <v>1145452196</v>
      </c>
      <c r="AW36" s="105">
        <v>0</v>
      </c>
      <c r="AX36" s="105">
        <v>0</v>
      </c>
      <c r="AY36" s="19" t="s">
        <v>188</v>
      </c>
      <c r="AZ36" s="105">
        <v>0</v>
      </c>
      <c r="BA36" s="105">
        <v>0</v>
      </c>
      <c r="BB36" s="105">
        <v>87356800</v>
      </c>
      <c r="BC36" s="105">
        <v>0</v>
      </c>
      <c r="BD36" s="105">
        <v>325174612</v>
      </c>
      <c r="BE36" s="19"/>
      <c r="BF36" s="108"/>
      <c r="BG36" s="105">
        <v>3783700251</v>
      </c>
      <c r="BH36" s="105">
        <v>9241360752</v>
      </c>
      <c r="BI36" s="108">
        <v>0</v>
      </c>
      <c r="BJ36" s="108">
        <v>0</v>
      </c>
      <c r="BK36" s="108">
        <f>37500000</f>
        <v>37500000</v>
      </c>
      <c r="BL36" s="105">
        <v>0</v>
      </c>
      <c r="BM36" s="105">
        <v>0</v>
      </c>
      <c r="BN36" s="105">
        <v>0</v>
      </c>
      <c r="BO36" s="105">
        <f>629134727</f>
        <v>629134727</v>
      </c>
      <c r="BP36" s="105">
        <v>0</v>
      </c>
      <c r="BQ36" s="19" t="s">
        <v>189</v>
      </c>
      <c r="BR36" s="105">
        <v>0</v>
      </c>
      <c r="BS36" s="105">
        <f>6045381360</f>
        <v>6045381360</v>
      </c>
      <c r="BT36" s="105">
        <f>18000000</f>
        <v>18000000</v>
      </c>
      <c r="BU36" s="105">
        <f>1006808760</f>
        <v>1006808760</v>
      </c>
      <c r="BV36" s="105">
        <f>346842411</f>
        <v>346842411</v>
      </c>
      <c r="BW36" s="19" t="s">
        <v>189</v>
      </c>
      <c r="BX36" s="105">
        <v>0</v>
      </c>
      <c r="BY36" s="19"/>
      <c r="BZ36" s="105">
        <v>0</v>
      </c>
      <c r="CA36" s="116"/>
      <c r="CB36" s="105">
        <v>0</v>
      </c>
      <c r="CC36" s="105">
        <v>0</v>
      </c>
      <c r="CD36" s="105">
        <v>0</v>
      </c>
      <c r="CE36" s="105">
        <v>0</v>
      </c>
      <c r="CF36" s="105">
        <v>0</v>
      </c>
      <c r="CG36" s="105">
        <v>0</v>
      </c>
      <c r="CH36" s="105">
        <v>447016000</v>
      </c>
      <c r="CI36" s="19"/>
      <c r="CJ36" s="105">
        <v>0</v>
      </c>
      <c r="CK36" s="19" t="s">
        <v>190</v>
      </c>
      <c r="CL36" s="105">
        <v>858392770</v>
      </c>
      <c r="CM36" s="105">
        <v>0</v>
      </c>
      <c r="CN36" s="19"/>
      <c r="CO36" s="105">
        <v>20000000</v>
      </c>
      <c r="CP36" s="105">
        <v>0</v>
      </c>
      <c r="CQ36" s="105">
        <v>0</v>
      </c>
      <c r="CR36" s="105">
        <v>717077278</v>
      </c>
      <c r="CS36" s="105">
        <f>195855871</f>
        <v>195855871</v>
      </c>
      <c r="CT36" s="19" t="s">
        <v>190</v>
      </c>
      <c r="CU36" s="105">
        <v>0</v>
      </c>
      <c r="CV36" s="105">
        <v>0</v>
      </c>
      <c r="CW36" s="19" t="s">
        <v>189</v>
      </c>
      <c r="CX36" s="105">
        <v>0</v>
      </c>
      <c r="CY36" s="105">
        <v>0</v>
      </c>
      <c r="CZ36" s="105">
        <v>5520311345</v>
      </c>
      <c r="DA36" s="19" t="s">
        <v>189</v>
      </c>
      <c r="DB36" s="105">
        <v>696469512</v>
      </c>
      <c r="DC36" s="119"/>
      <c r="DD36" s="105">
        <v>0</v>
      </c>
      <c r="DE36" s="105">
        <f>7506866172</f>
        <v>7506866172</v>
      </c>
      <c r="DF36" s="105">
        <v>85944961526</v>
      </c>
      <c r="DG36" s="19"/>
      <c r="DH36" s="110" t="s">
        <v>189</v>
      </c>
      <c r="DI36" s="105">
        <f>2729903989</f>
        <v>2729903989</v>
      </c>
      <c r="DJ36" s="105">
        <v>0</v>
      </c>
      <c r="DK36" s="111" t="s">
        <v>189</v>
      </c>
      <c r="DL36" s="105">
        <v>0</v>
      </c>
      <c r="DM36" s="105">
        <v>0</v>
      </c>
      <c r="DN36" s="105"/>
      <c r="DO36" s="105">
        <v>2116247370</v>
      </c>
      <c r="DP36" s="105">
        <v>0</v>
      </c>
      <c r="DQ36" s="105">
        <v>0</v>
      </c>
      <c r="DR36" s="105">
        <v>147748500</v>
      </c>
      <c r="DS36" s="105">
        <v>0</v>
      </c>
      <c r="DT36" s="105">
        <v>0</v>
      </c>
      <c r="DU36" s="105">
        <v>375801920</v>
      </c>
      <c r="DV36" s="105"/>
      <c r="DW36" s="103">
        <v>4700000</v>
      </c>
      <c r="DX36" s="103">
        <v>0</v>
      </c>
      <c r="DY36" s="103">
        <v>0</v>
      </c>
      <c r="DZ36" s="103">
        <v>0</v>
      </c>
      <c r="EA36" s="103">
        <v>148250000</v>
      </c>
      <c r="EB36" s="103">
        <v>2201431592</v>
      </c>
      <c r="EC36" s="103"/>
      <c r="ED36" s="103">
        <v>0</v>
      </c>
      <c r="EE36" s="103"/>
      <c r="EF36" s="103">
        <v>95000000</v>
      </c>
    </row>
    <row r="37" spans="1:136">
      <c r="A37" s="67" t="s">
        <v>193</v>
      </c>
      <c r="B37" s="91" t="s">
        <v>31</v>
      </c>
      <c r="C37" s="105">
        <v>0</v>
      </c>
      <c r="D37" s="19" t="s">
        <v>188</v>
      </c>
      <c r="E37" s="105">
        <v>0</v>
      </c>
      <c r="F37" s="19" t="s">
        <v>188</v>
      </c>
      <c r="G37" s="19" t="s">
        <v>189</v>
      </c>
      <c r="H37" s="19" t="s">
        <v>189</v>
      </c>
      <c r="I37" s="19" t="s">
        <v>188</v>
      </c>
      <c r="J37" s="105">
        <v>0</v>
      </c>
      <c r="K37" s="105">
        <v>0</v>
      </c>
      <c r="L37" s="105">
        <v>0</v>
      </c>
      <c r="M37" s="105">
        <v>0</v>
      </c>
      <c r="N37" s="19" t="s">
        <v>189</v>
      </c>
      <c r="O37" s="105">
        <v>0</v>
      </c>
      <c r="P37" s="105">
        <v>-4875000</v>
      </c>
      <c r="Q37" s="105">
        <v>0</v>
      </c>
      <c r="R37" s="105">
        <v>-1208280</v>
      </c>
      <c r="S37" s="105">
        <v>0</v>
      </c>
      <c r="T37" s="108">
        <v>0</v>
      </c>
      <c r="U37" s="19" t="s">
        <v>188</v>
      </c>
      <c r="V37" s="105"/>
      <c r="W37" s="19" t="s">
        <v>189</v>
      </c>
      <c r="X37" s="105"/>
      <c r="Y37" s="19" t="s">
        <v>188</v>
      </c>
      <c r="Z37" s="105">
        <v>-5900000</v>
      </c>
      <c r="AA37" s="105"/>
      <c r="AB37" s="19" t="s">
        <v>188</v>
      </c>
      <c r="AC37" s="19" t="s">
        <v>189</v>
      </c>
      <c r="AD37" s="19" t="s">
        <v>188</v>
      </c>
      <c r="AE37" s="105">
        <v>0</v>
      </c>
      <c r="AF37" s="105">
        <v>0</v>
      </c>
      <c r="AG37" s="105">
        <v>0</v>
      </c>
      <c r="AH37" s="19"/>
      <c r="AI37" s="105">
        <v>0</v>
      </c>
      <c r="AJ37" s="105">
        <v>0</v>
      </c>
      <c r="AK37" s="19" t="s">
        <v>188</v>
      </c>
      <c r="AL37" s="19"/>
      <c r="AM37" s="105">
        <v>0</v>
      </c>
      <c r="AN37" s="105"/>
      <c r="AO37" s="19" t="s">
        <v>188</v>
      </c>
      <c r="AP37" s="107">
        <v>0</v>
      </c>
      <c r="AQ37" s="19" t="s">
        <v>188</v>
      </c>
      <c r="AR37" s="105">
        <v>0</v>
      </c>
      <c r="AS37" s="19" t="s">
        <v>188</v>
      </c>
      <c r="AT37" s="105">
        <v>0</v>
      </c>
      <c r="AU37" s="19"/>
      <c r="AV37" s="105"/>
      <c r="AW37" s="105">
        <v>-914000</v>
      </c>
      <c r="AX37" s="105">
        <v>0</v>
      </c>
      <c r="AY37" s="19" t="s">
        <v>188</v>
      </c>
      <c r="AZ37" s="105">
        <v>0</v>
      </c>
      <c r="BA37" s="105">
        <v>0</v>
      </c>
      <c r="BB37" s="105">
        <v>-30169720</v>
      </c>
      <c r="BC37" s="105">
        <v>0</v>
      </c>
      <c r="BD37" s="105">
        <v>0</v>
      </c>
      <c r="BE37" s="19"/>
      <c r="BF37" s="108"/>
      <c r="BG37" s="105">
        <v>0</v>
      </c>
      <c r="BH37" s="19">
        <v>0</v>
      </c>
      <c r="BI37" s="108">
        <v>0</v>
      </c>
      <c r="BJ37" s="108">
        <v>0</v>
      </c>
      <c r="BK37" s="108"/>
      <c r="BL37" s="105">
        <v>0</v>
      </c>
      <c r="BM37" s="105">
        <v>0</v>
      </c>
      <c r="BN37" s="105">
        <v>0</v>
      </c>
      <c r="BO37" s="105">
        <v>0</v>
      </c>
      <c r="BP37" s="105">
        <v>0</v>
      </c>
      <c r="BQ37" s="19" t="s">
        <v>189</v>
      </c>
      <c r="BR37" s="105">
        <v>0</v>
      </c>
      <c r="BS37" s="105">
        <v>0</v>
      </c>
      <c r="BT37" s="105">
        <v>0</v>
      </c>
      <c r="BU37" s="19"/>
      <c r="BV37" s="105">
        <f>-454000</f>
        <v>-454000</v>
      </c>
      <c r="BW37" s="19" t="s">
        <v>189</v>
      </c>
      <c r="BX37" s="105">
        <v>0</v>
      </c>
      <c r="BY37" s="19"/>
      <c r="BZ37" s="105">
        <v>0</v>
      </c>
      <c r="CA37" s="105"/>
      <c r="CB37" s="105">
        <v>0</v>
      </c>
      <c r="CC37" s="105">
        <v>0</v>
      </c>
      <c r="CD37" s="105">
        <v>-1014000</v>
      </c>
      <c r="CE37" s="105">
        <v>0</v>
      </c>
      <c r="CF37" s="105">
        <v>0</v>
      </c>
      <c r="CG37" s="105">
        <v>0</v>
      </c>
      <c r="CH37" s="105">
        <v>28800000</v>
      </c>
      <c r="CI37" s="19"/>
      <c r="CJ37" s="105">
        <v>0</v>
      </c>
      <c r="CK37" s="19" t="s">
        <v>190</v>
      </c>
      <c r="CL37" s="105">
        <v>0</v>
      </c>
      <c r="CM37" s="105">
        <v>0</v>
      </c>
      <c r="CN37" s="19"/>
      <c r="CO37" s="105">
        <v>0</v>
      </c>
      <c r="CP37" s="105">
        <v>0</v>
      </c>
      <c r="CQ37" s="105">
        <v>0</v>
      </c>
      <c r="CR37" s="105">
        <v>0</v>
      </c>
      <c r="CS37" s="19"/>
      <c r="CT37" s="19" t="s">
        <v>190</v>
      </c>
      <c r="CU37" s="105">
        <v>123081870</v>
      </c>
      <c r="CV37" s="105">
        <v>0</v>
      </c>
      <c r="CW37" s="19" t="s">
        <v>189</v>
      </c>
      <c r="CX37" s="105">
        <v>0</v>
      </c>
      <c r="CY37" s="105">
        <v>0</v>
      </c>
      <c r="CZ37" s="105">
        <v>0</v>
      </c>
      <c r="DA37" s="19" t="s">
        <v>189</v>
      </c>
      <c r="DB37" s="105">
        <v>0</v>
      </c>
      <c r="DC37" s="119"/>
      <c r="DD37" s="105">
        <v>0</v>
      </c>
      <c r="DE37" s="105">
        <v>0</v>
      </c>
      <c r="DF37" s="105">
        <v>1417137408</v>
      </c>
      <c r="DG37" s="19"/>
      <c r="DH37" s="110" t="s">
        <v>189</v>
      </c>
      <c r="DI37" s="105">
        <v>0</v>
      </c>
      <c r="DJ37" s="105">
        <v>0</v>
      </c>
      <c r="DK37" s="111" t="s">
        <v>189</v>
      </c>
      <c r="DL37" s="105">
        <v>0</v>
      </c>
      <c r="DM37" s="105">
        <v>0</v>
      </c>
      <c r="DN37" s="105"/>
      <c r="DO37" s="105">
        <v>-8750000</v>
      </c>
      <c r="DP37" s="105">
        <v>0</v>
      </c>
      <c r="DQ37" s="105">
        <v>0</v>
      </c>
      <c r="DR37" s="105"/>
      <c r="DS37" s="105">
        <v>0</v>
      </c>
      <c r="DT37" s="105">
        <v>0</v>
      </c>
      <c r="DU37" s="105">
        <v>0</v>
      </c>
      <c r="DV37" s="105"/>
      <c r="DW37" s="103"/>
      <c r="DX37" s="103">
        <v>0</v>
      </c>
      <c r="DY37" s="103">
        <v>0</v>
      </c>
      <c r="DZ37" s="103">
        <v>0</v>
      </c>
      <c r="EA37" s="103">
        <v>0</v>
      </c>
      <c r="EB37" s="103">
        <v>0</v>
      </c>
      <c r="EC37" s="103"/>
      <c r="ED37" s="103">
        <v>0</v>
      </c>
      <c r="EE37" s="103"/>
      <c r="EF37" s="103">
        <v>0</v>
      </c>
    </row>
    <row r="38" spans="1:136">
      <c r="A38" s="67" t="s">
        <v>193</v>
      </c>
      <c r="B38" s="91" t="s">
        <v>56</v>
      </c>
      <c r="C38" s="105">
        <v>0</v>
      </c>
      <c r="D38" s="19" t="s">
        <v>188</v>
      </c>
      <c r="E38" s="105">
        <v>0</v>
      </c>
      <c r="F38" s="19" t="s">
        <v>188</v>
      </c>
      <c r="G38" s="19" t="s">
        <v>189</v>
      </c>
      <c r="H38" s="19" t="s">
        <v>189</v>
      </c>
      <c r="I38" s="19" t="s">
        <v>188</v>
      </c>
      <c r="J38" s="105">
        <v>1354954460</v>
      </c>
      <c r="K38" s="105">
        <v>0</v>
      </c>
      <c r="L38" s="105">
        <v>0</v>
      </c>
      <c r="M38" s="105">
        <v>0</v>
      </c>
      <c r="N38" s="19" t="s">
        <v>189</v>
      </c>
      <c r="O38" s="105">
        <v>0</v>
      </c>
      <c r="P38" s="105">
        <v>0</v>
      </c>
      <c r="Q38" s="105">
        <v>0</v>
      </c>
      <c r="R38" s="105">
        <v>0</v>
      </c>
      <c r="S38" s="105">
        <v>0</v>
      </c>
      <c r="T38" s="108">
        <v>0</v>
      </c>
      <c r="U38" s="19" t="s">
        <v>188</v>
      </c>
      <c r="V38" s="105"/>
      <c r="W38" s="19" t="s">
        <v>189</v>
      </c>
      <c r="X38" s="105"/>
      <c r="Y38" s="19" t="s">
        <v>188</v>
      </c>
      <c r="Z38" s="105"/>
      <c r="AA38" s="105"/>
      <c r="AB38" s="19" t="s">
        <v>188</v>
      </c>
      <c r="AC38" s="19" t="s">
        <v>189</v>
      </c>
      <c r="AD38" s="19" t="s">
        <v>188</v>
      </c>
      <c r="AE38" s="105">
        <v>0</v>
      </c>
      <c r="AF38" s="105">
        <v>0</v>
      </c>
      <c r="AG38" s="105">
        <v>0</v>
      </c>
      <c r="AH38" s="19"/>
      <c r="AI38" s="105">
        <v>0</v>
      </c>
      <c r="AJ38" s="105">
        <v>0</v>
      </c>
      <c r="AK38" s="19" t="s">
        <v>188</v>
      </c>
      <c r="AL38" s="19"/>
      <c r="AM38" s="105">
        <v>0</v>
      </c>
      <c r="AN38" s="105"/>
      <c r="AO38" s="19" t="s">
        <v>188</v>
      </c>
      <c r="AP38" s="107">
        <v>0</v>
      </c>
      <c r="AQ38" s="19" t="s">
        <v>188</v>
      </c>
      <c r="AR38" s="105">
        <v>1034703</v>
      </c>
      <c r="AS38" s="19" t="s">
        <v>188</v>
      </c>
      <c r="AT38" s="105">
        <v>0</v>
      </c>
      <c r="AU38" s="19"/>
      <c r="AV38" s="105">
        <v>796426250</v>
      </c>
      <c r="AW38" s="105">
        <v>0</v>
      </c>
      <c r="AX38" s="105">
        <v>0</v>
      </c>
      <c r="AY38" s="19" t="s">
        <v>188</v>
      </c>
      <c r="AZ38" s="105">
        <v>0</v>
      </c>
      <c r="BA38" s="105">
        <v>0</v>
      </c>
      <c r="BB38" s="105"/>
      <c r="BC38" s="105">
        <v>0</v>
      </c>
      <c r="BD38" s="105">
        <v>0</v>
      </c>
      <c r="BE38" s="19"/>
      <c r="BF38" s="19"/>
      <c r="BG38" s="105">
        <v>0</v>
      </c>
      <c r="BH38" s="19">
        <v>0</v>
      </c>
      <c r="BI38" s="108">
        <v>0</v>
      </c>
      <c r="BJ38" s="108">
        <v>0</v>
      </c>
      <c r="BK38" s="108"/>
      <c r="BL38" s="105">
        <v>0</v>
      </c>
      <c r="BM38" s="105">
        <f>5123365652</f>
        <v>5123365652</v>
      </c>
      <c r="BN38" s="105">
        <v>0</v>
      </c>
      <c r="BO38" s="105">
        <v>0</v>
      </c>
      <c r="BP38" s="105">
        <v>0</v>
      </c>
      <c r="BQ38" s="19" t="s">
        <v>189</v>
      </c>
      <c r="BR38" s="105">
        <v>0</v>
      </c>
      <c r="BS38" s="105">
        <v>0</v>
      </c>
      <c r="BT38" s="105">
        <v>0</v>
      </c>
      <c r="BU38" s="19"/>
      <c r="BV38" s="105">
        <v>0</v>
      </c>
      <c r="BW38" s="19" t="s">
        <v>189</v>
      </c>
      <c r="BX38" s="105">
        <v>0</v>
      </c>
      <c r="BY38" s="19"/>
      <c r="BZ38" s="105">
        <v>0</v>
      </c>
      <c r="CA38" s="19"/>
      <c r="CB38" s="105">
        <v>0</v>
      </c>
      <c r="CC38" s="105">
        <v>0</v>
      </c>
      <c r="CD38" s="105">
        <v>0</v>
      </c>
      <c r="CE38" s="105">
        <v>0</v>
      </c>
      <c r="CF38" s="105">
        <v>0</v>
      </c>
      <c r="CG38" s="105">
        <v>0</v>
      </c>
      <c r="CH38" s="19"/>
      <c r="CI38" s="19"/>
      <c r="CJ38" s="105">
        <v>0</v>
      </c>
      <c r="CK38" s="19" t="s">
        <v>190</v>
      </c>
      <c r="CL38" s="105">
        <v>0</v>
      </c>
      <c r="CM38" s="105">
        <v>0</v>
      </c>
      <c r="CN38" s="19"/>
      <c r="CO38" s="105">
        <v>0</v>
      </c>
      <c r="CP38" s="105">
        <v>0</v>
      </c>
      <c r="CQ38" s="105">
        <v>0</v>
      </c>
      <c r="CR38" s="105">
        <v>0</v>
      </c>
      <c r="CS38" s="19"/>
      <c r="CT38" s="19" t="s">
        <v>190</v>
      </c>
      <c r="CU38" s="105">
        <v>0</v>
      </c>
      <c r="CV38" s="105">
        <f>76056541</f>
        <v>76056541</v>
      </c>
      <c r="CW38" s="19" t="s">
        <v>189</v>
      </c>
      <c r="CX38" s="105">
        <v>0</v>
      </c>
      <c r="CY38" s="105">
        <v>0</v>
      </c>
      <c r="CZ38" s="105">
        <v>0</v>
      </c>
      <c r="DA38" s="19" t="s">
        <v>189</v>
      </c>
      <c r="DB38" s="105">
        <v>0</v>
      </c>
      <c r="DC38" s="119"/>
      <c r="DD38" s="105">
        <v>0</v>
      </c>
      <c r="DE38" s="105">
        <v>0</v>
      </c>
      <c r="DF38" s="105">
        <v>0</v>
      </c>
      <c r="DG38" s="19"/>
      <c r="DH38" s="110" t="s">
        <v>189</v>
      </c>
      <c r="DI38" s="105">
        <v>0</v>
      </c>
      <c r="DJ38" s="105">
        <v>0</v>
      </c>
      <c r="DK38" s="111" t="s">
        <v>189</v>
      </c>
      <c r="DL38" s="105">
        <v>0</v>
      </c>
      <c r="DM38" s="105">
        <v>0</v>
      </c>
      <c r="DN38" s="105"/>
      <c r="DO38" s="105">
        <v>0</v>
      </c>
      <c r="DP38" s="105">
        <v>0</v>
      </c>
      <c r="DQ38" s="105">
        <v>0</v>
      </c>
      <c r="DR38" s="105"/>
      <c r="DS38" s="105">
        <v>0</v>
      </c>
      <c r="DT38" s="105">
        <v>0</v>
      </c>
      <c r="DU38" s="105">
        <v>0</v>
      </c>
      <c r="DV38" s="105"/>
      <c r="DW38" s="103"/>
      <c r="DX38" s="103">
        <v>0</v>
      </c>
      <c r="DY38" s="103">
        <v>0</v>
      </c>
      <c r="DZ38" s="103">
        <v>0</v>
      </c>
      <c r="EA38" s="103">
        <v>0</v>
      </c>
      <c r="EB38" s="103">
        <v>0</v>
      </c>
      <c r="EC38" s="103"/>
      <c r="ED38" s="103">
        <v>0</v>
      </c>
      <c r="EE38" s="103"/>
      <c r="EF38" s="103">
        <v>0</v>
      </c>
    </row>
    <row r="39" spans="1:136">
      <c r="A39" s="67" t="s">
        <v>193</v>
      </c>
      <c r="B39" s="91" t="s">
        <v>82</v>
      </c>
      <c r="C39" s="105">
        <v>1986266</v>
      </c>
      <c r="D39" s="19" t="s">
        <v>188</v>
      </c>
      <c r="E39" s="105">
        <v>-151024792</v>
      </c>
      <c r="F39" s="19" t="s">
        <v>188</v>
      </c>
      <c r="G39" s="19" t="s">
        <v>189</v>
      </c>
      <c r="H39" s="19" t="s">
        <v>189</v>
      </c>
      <c r="I39" s="19" t="s">
        <v>188</v>
      </c>
      <c r="J39" s="105">
        <v>1766719101</v>
      </c>
      <c r="K39" s="105">
        <v>274941681</v>
      </c>
      <c r="L39" s="105">
        <v>406327629</v>
      </c>
      <c r="M39" s="105">
        <v>-821093671</v>
      </c>
      <c r="N39" s="19" t="s">
        <v>189</v>
      </c>
      <c r="O39" s="105">
        <v>24601779</v>
      </c>
      <c r="P39" s="105">
        <v>2415895681</v>
      </c>
      <c r="Q39" s="105">
        <v>-33639384682</v>
      </c>
      <c r="R39" s="105">
        <v>159824896</v>
      </c>
      <c r="S39" s="105">
        <v>-3538543355</v>
      </c>
      <c r="T39" s="108">
        <v>172096379</v>
      </c>
      <c r="U39" s="19" t="s">
        <v>188</v>
      </c>
      <c r="V39" s="105">
        <v>1305922487</v>
      </c>
      <c r="W39" s="19" t="s">
        <v>189</v>
      </c>
      <c r="X39" s="105">
        <v>313000443</v>
      </c>
      <c r="Y39" s="19" t="s">
        <v>188</v>
      </c>
      <c r="Z39" s="105">
        <v>1087026755</v>
      </c>
      <c r="AA39" s="105">
        <v>724436142</v>
      </c>
      <c r="AB39" s="19" t="s">
        <v>188</v>
      </c>
      <c r="AC39" s="19" t="s">
        <v>189</v>
      </c>
      <c r="AD39" s="19" t="s">
        <v>188</v>
      </c>
      <c r="AE39" s="105">
        <v>-3948042645</v>
      </c>
      <c r="AF39" s="105">
        <v>2591106969</v>
      </c>
      <c r="AG39" s="105">
        <v>12571219</v>
      </c>
      <c r="AH39" s="105">
        <v>5284987</v>
      </c>
      <c r="AI39" s="108">
        <v>939775642</v>
      </c>
      <c r="AJ39" s="105">
        <v>1231734694</v>
      </c>
      <c r="AK39" s="19" t="s">
        <v>188</v>
      </c>
      <c r="AL39" s="105">
        <v>92511909</v>
      </c>
      <c r="AM39" s="105">
        <v>334494872</v>
      </c>
      <c r="AN39" s="105">
        <v>-34232043</v>
      </c>
      <c r="AO39" s="19" t="s">
        <v>188</v>
      </c>
      <c r="AP39" s="107">
        <v>51503926</v>
      </c>
      <c r="AQ39" s="19" t="s">
        <v>188</v>
      </c>
      <c r="AR39" s="105">
        <v>1636737283</v>
      </c>
      <c r="AS39" s="19" t="s">
        <v>188</v>
      </c>
      <c r="AT39" s="105">
        <v>3003243367</v>
      </c>
      <c r="AU39" s="105">
        <v>698424546</v>
      </c>
      <c r="AV39" s="105">
        <v>-2032429550</v>
      </c>
      <c r="AW39" s="105">
        <v>1071139076</v>
      </c>
      <c r="AX39" s="105">
        <v>-7919975</v>
      </c>
      <c r="AY39" s="19" t="s">
        <v>188</v>
      </c>
      <c r="AZ39" s="105">
        <f>-17044795</f>
        <v>-17044795</v>
      </c>
      <c r="BA39" s="105">
        <v>-11468987</v>
      </c>
      <c r="BB39" s="105">
        <v>440544056</v>
      </c>
      <c r="BC39" s="105">
        <v>-28935768</v>
      </c>
      <c r="BD39" s="105">
        <v>-326740628</v>
      </c>
      <c r="BE39" s="105">
        <f>113371210</f>
        <v>113371210</v>
      </c>
      <c r="BF39" s="105">
        <f>186947606</f>
        <v>186947606</v>
      </c>
      <c r="BG39" s="105">
        <v>-4500391188</v>
      </c>
      <c r="BH39" s="105">
        <v>-8708283833</v>
      </c>
      <c r="BI39" s="108">
        <v>10698975</v>
      </c>
      <c r="BJ39" s="108">
        <v>199989381</v>
      </c>
      <c r="BK39" s="108">
        <f>367633261</f>
        <v>367633261</v>
      </c>
      <c r="BL39" s="105">
        <f>727880592</f>
        <v>727880592</v>
      </c>
      <c r="BM39" s="105">
        <f>344793718</f>
        <v>344793718</v>
      </c>
      <c r="BN39" s="105">
        <v>375907063</v>
      </c>
      <c r="BO39" s="105">
        <f>1422906555</f>
        <v>1422906555</v>
      </c>
      <c r="BP39" s="105">
        <f>340073127</f>
        <v>340073127</v>
      </c>
      <c r="BQ39" s="19" t="s">
        <v>189</v>
      </c>
      <c r="BR39" s="105">
        <f>100520504</f>
        <v>100520504</v>
      </c>
      <c r="BS39" s="105">
        <v>-55122082</v>
      </c>
      <c r="BT39" s="105">
        <f>15195475</f>
        <v>15195475</v>
      </c>
      <c r="BU39" s="105">
        <f>587815959</f>
        <v>587815959</v>
      </c>
      <c r="BV39" s="105">
        <v>-171675860</v>
      </c>
      <c r="BW39" s="19" t="s">
        <v>189</v>
      </c>
      <c r="BX39" s="105">
        <f>832772100</f>
        <v>832772100</v>
      </c>
      <c r="BY39" s="105">
        <v>272649975</v>
      </c>
      <c r="BZ39" s="105">
        <f>532000852</f>
        <v>532000852</v>
      </c>
      <c r="CA39" s="105">
        <f>-65110011</f>
        <v>-65110011</v>
      </c>
      <c r="CB39" s="105">
        <v>-133006324</v>
      </c>
      <c r="CC39" s="105">
        <v>413047</v>
      </c>
      <c r="CD39" s="105">
        <v>-52927943</v>
      </c>
      <c r="CE39" s="105">
        <v>-46577873</v>
      </c>
      <c r="CF39" s="105">
        <v>782864530</v>
      </c>
      <c r="CG39" s="105">
        <f>150213929</f>
        <v>150213929</v>
      </c>
      <c r="CH39" s="105">
        <v>1492011012</v>
      </c>
      <c r="CI39" s="105">
        <v>-156424977</v>
      </c>
      <c r="CJ39" s="105">
        <v>114654182</v>
      </c>
      <c r="CK39" s="19" t="s">
        <v>190</v>
      </c>
      <c r="CL39" s="105">
        <v>-420512620</v>
      </c>
      <c r="CM39" s="105">
        <v>-205097357</v>
      </c>
      <c r="CN39" s="105">
        <v>-283969571</v>
      </c>
      <c r="CO39" s="105">
        <v>197376635</v>
      </c>
      <c r="CP39" s="105">
        <v>-197678568</v>
      </c>
      <c r="CQ39" s="105">
        <v>36966939</v>
      </c>
      <c r="CR39" s="105">
        <v>1312380754</v>
      </c>
      <c r="CS39" s="105">
        <f>559364179</f>
        <v>559364179</v>
      </c>
      <c r="CT39" s="19" t="s">
        <v>190</v>
      </c>
      <c r="CU39" s="105">
        <v>310401883</v>
      </c>
      <c r="CV39" s="105">
        <f>2313241163</f>
        <v>2313241163</v>
      </c>
      <c r="CW39" s="19" t="s">
        <v>189</v>
      </c>
      <c r="CX39" s="105">
        <f>33095171</f>
        <v>33095171</v>
      </c>
      <c r="CY39" s="105">
        <v>-158869843</v>
      </c>
      <c r="CZ39" s="105">
        <v>-5166315481</v>
      </c>
      <c r="DA39" s="19" t="s">
        <v>189</v>
      </c>
      <c r="DB39" s="105">
        <v>-413092963</v>
      </c>
      <c r="DC39" s="112">
        <f>30509585</f>
        <v>30509585</v>
      </c>
      <c r="DD39" s="105">
        <v>555807417</v>
      </c>
      <c r="DE39" s="105">
        <v>-7061825878</v>
      </c>
      <c r="DF39" s="105">
        <v>-85707563340</v>
      </c>
      <c r="DG39" s="105">
        <v>-310358630</v>
      </c>
      <c r="DH39" s="110" t="s">
        <v>189</v>
      </c>
      <c r="DI39" s="105">
        <v>-3253937746</v>
      </c>
      <c r="DJ39" s="105">
        <f>45256030</f>
        <v>45256030</v>
      </c>
      <c r="DK39" s="111" t="s">
        <v>189</v>
      </c>
      <c r="DL39" s="105">
        <v>-230420078</v>
      </c>
      <c r="DM39" s="105">
        <v>289462518</v>
      </c>
      <c r="DN39" s="105">
        <v>42338382</v>
      </c>
      <c r="DO39" s="105">
        <v>-891103215</v>
      </c>
      <c r="DP39" s="105">
        <v>75034857</v>
      </c>
      <c r="DQ39" s="105">
        <v>76230334</v>
      </c>
      <c r="DR39" s="105">
        <v>-160933626</v>
      </c>
      <c r="DS39" s="105">
        <v>365601327</v>
      </c>
      <c r="DT39" s="105">
        <v>122628177</v>
      </c>
      <c r="DU39" s="105">
        <v>594119822</v>
      </c>
      <c r="DV39" s="105">
        <v>-62566021</v>
      </c>
      <c r="DW39" s="103">
        <v>761495475</v>
      </c>
      <c r="DX39" s="103">
        <v>254231897</v>
      </c>
      <c r="DY39" s="103">
        <v>1326049647</v>
      </c>
      <c r="DZ39" s="103">
        <v>181500389</v>
      </c>
      <c r="EA39" s="103">
        <v>21116609</v>
      </c>
      <c r="EB39" s="103">
        <v>-919209811</v>
      </c>
      <c r="EC39" s="103">
        <v>67053601</v>
      </c>
      <c r="ED39" s="103">
        <v>0</v>
      </c>
      <c r="EE39" s="103">
        <v>992244939</v>
      </c>
      <c r="EF39" s="103">
        <v>23740729</v>
      </c>
    </row>
    <row r="40" spans="1:136">
      <c r="A40" s="69" t="s">
        <v>194</v>
      </c>
      <c r="B40" s="92" t="s">
        <v>85</v>
      </c>
      <c r="C40" s="105">
        <v>137110258</v>
      </c>
      <c r="D40" s="19" t="s">
        <v>188</v>
      </c>
      <c r="E40" s="105">
        <v>374266797</v>
      </c>
      <c r="F40" s="19" t="s">
        <v>188</v>
      </c>
      <c r="G40" s="19" t="s">
        <v>189</v>
      </c>
      <c r="H40" s="19" t="s">
        <v>189</v>
      </c>
      <c r="I40" s="19" t="s">
        <v>188</v>
      </c>
      <c r="J40" s="105">
        <v>14494897242</v>
      </c>
      <c r="K40" s="105">
        <v>600466194</v>
      </c>
      <c r="L40" s="108">
        <v>488638431</v>
      </c>
      <c r="M40" s="105">
        <v>355564841</v>
      </c>
      <c r="N40" s="19" t="s">
        <v>189</v>
      </c>
      <c r="O40" s="105">
        <v>178058134</v>
      </c>
      <c r="P40" s="107">
        <v>9842560794</v>
      </c>
      <c r="Q40" s="108">
        <v>18647805287</v>
      </c>
      <c r="R40" s="105">
        <v>2347156393</v>
      </c>
      <c r="S40" s="105">
        <v>739184186</v>
      </c>
      <c r="T40" s="105">
        <v>988902389</v>
      </c>
      <c r="U40" s="19" t="s">
        <v>188</v>
      </c>
      <c r="V40" s="105">
        <v>411434621</v>
      </c>
      <c r="W40" s="19" t="s">
        <v>189</v>
      </c>
      <c r="X40" s="105">
        <v>686292169</v>
      </c>
      <c r="Y40" s="19" t="s">
        <v>188</v>
      </c>
      <c r="Z40" s="105">
        <v>7852518840</v>
      </c>
      <c r="AA40" s="105">
        <v>1372605383</v>
      </c>
      <c r="AB40" s="19" t="s">
        <v>188</v>
      </c>
      <c r="AC40" s="19" t="s">
        <v>189</v>
      </c>
      <c r="AD40" s="19" t="s">
        <v>188</v>
      </c>
      <c r="AE40" s="105">
        <v>3055694876</v>
      </c>
      <c r="AF40" s="105">
        <v>1655744116</v>
      </c>
      <c r="AG40" s="105">
        <v>714174600</v>
      </c>
      <c r="AH40" s="105">
        <v>144272727</v>
      </c>
      <c r="AI40" s="105">
        <v>1760501174</v>
      </c>
      <c r="AJ40" s="105">
        <v>1590030107</v>
      </c>
      <c r="AK40" s="19" t="s">
        <v>188</v>
      </c>
      <c r="AL40" s="105">
        <v>2849160784</v>
      </c>
      <c r="AM40" s="106">
        <f>2135474851</f>
        <v>2135474851</v>
      </c>
      <c r="AN40" s="105">
        <f>88189567</f>
        <v>88189567</v>
      </c>
      <c r="AO40" s="19" t="s">
        <v>188</v>
      </c>
      <c r="AP40" s="105">
        <f>336706046</f>
        <v>336706046</v>
      </c>
      <c r="AQ40" s="19" t="s">
        <v>188</v>
      </c>
      <c r="AR40" s="105">
        <f>7176435233</f>
        <v>7176435233</v>
      </c>
      <c r="AS40" s="19" t="s">
        <v>188</v>
      </c>
      <c r="AT40" s="105">
        <v>10793414548</v>
      </c>
      <c r="AU40" s="105">
        <f>238375580</f>
        <v>238375580</v>
      </c>
      <c r="AV40" s="105">
        <v>1329191863</v>
      </c>
      <c r="AW40" s="105">
        <v>6833946437</v>
      </c>
      <c r="AX40" s="105">
        <v>354083543</v>
      </c>
      <c r="AY40" s="19" t="s">
        <v>188</v>
      </c>
      <c r="AZ40" s="108">
        <f>22226856</f>
        <v>22226856</v>
      </c>
      <c r="BA40" s="105">
        <v>150644485</v>
      </c>
      <c r="BB40" s="105">
        <v>2543896498</v>
      </c>
      <c r="BC40" s="105">
        <v>350715442</v>
      </c>
      <c r="BD40" s="105">
        <v>927981971</v>
      </c>
      <c r="BE40" s="105">
        <f>642190951</f>
        <v>642190951</v>
      </c>
      <c r="BF40" s="105">
        <v>626467066</v>
      </c>
      <c r="BG40" s="105">
        <v>1423207394</v>
      </c>
      <c r="BH40" s="105">
        <f>5065690168</f>
        <v>5065690168</v>
      </c>
      <c r="BI40" s="108">
        <v>2835368669</v>
      </c>
      <c r="BJ40" s="105">
        <v>2964209497</v>
      </c>
      <c r="BK40" s="105">
        <f>2086065930</f>
        <v>2086065930</v>
      </c>
      <c r="BL40" s="105">
        <f>2760939241</f>
        <v>2760939241</v>
      </c>
      <c r="BM40" s="105">
        <f>1869425032</f>
        <v>1869425032</v>
      </c>
      <c r="BN40" s="105">
        <v>568785263</v>
      </c>
      <c r="BO40" s="105">
        <f>9186794556</f>
        <v>9186794556</v>
      </c>
      <c r="BP40" s="105">
        <f>1978252160</f>
        <v>1978252160</v>
      </c>
      <c r="BQ40" s="19" t="s">
        <v>189</v>
      </c>
      <c r="BR40" s="105">
        <f>1467724320</f>
        <v>1467724320</v>
      </c>
      <c r="BS40" s="105">
        <f>1980295444</f>
        <v>1980295444</v>
      </c>
      <c r="BT40" s="105">
        <f>569033754</f>
        <v>569033754</v>
      </c>
      <c r="BU40" s="105">
        <f>7759558509</f>
        <v>7759558509</v>
      </c>
      <c r="BV40" s="105">
        <f>1299479463</f>
        <v>1299479463</v>
      </c>
      <c r="BW40" s="19" t="s">
        <v>189</v>
      </c>
      <c r="BX40" s="105">
        <v>607940060</v>
      </c>
      <c r="BY40" s="105">
        <v>639231787</v>
      </c>
      <c r="BZ40" s="105">
        <f>3174084962</f>
        <v>3174084962</v>
      </c>
      <c r="CA40" s="105">
        <f>100103340</f>
        <v>100103340</v>
      </c>
      <c r="CB40" s="105">
        <f>317037824</f>
        <v>317037824</v>
      </c>
      <c r="CC40" s="105">
        <v>173920701</v>
      </c>
      <c r="CD40" s="105">
        <v>45346551</v>
      </c>
      <c r="CE40" s="105">
        <f>320277364</f>
        <v>320277364</v>
      </c>
      <c r="CF40" s="105">
        <f>7046829779</f>
        <v>7046829779</v>
      </c>
      <c r="CG40" s="105">
        <f>787089997</f>
        <v>787089997</v>
      </c>
      <c r="CH40" s="105">
        <v>4495236719</v>
      </c>
      <c r="CI40" s="105">
        <v>218079000</v>
      </c>
      <c r="CJ40" s="105">
        <f>465052030</f>
        <v>465052030</v>
      </c>
      <c r="CK40" s="19" t="s">
        <v>190</v>
      </c>
      <c r="CL40" s="105">
        <v>997999228</v>
      </c>
      <c r="CM40" s="105">
        <v>404008308</v>
      </c>
      <c r="CN40" s="105">
        <f>274661594</f>
        <v>274661594</v>
      </c>
      <c r="CO40" s="105">
        <v>1660043727</v>
      </c>
      <c r="CP40" s="105">
        <v>6517429045</v>
      </c>
      <c r="CQ40" s="105">
        <v>13660344</v>
      </c>
      <c r="CR40" s="105">
        <f>7567752860</f>
        <v>7567752860</v>
      </c>
      <c r="CS40" s="105">
        <f>7022509495</f>
        <v>7022509495</v>
      </c>
      <c r="CT40" s="19" t="s">
        <v>190</v>
      </c>
      <c r="CU40" s="105">
        <v>3257559299</v>
      </c>
      <c r="CV40" s="105">
        <f>10581565729</f>
        <v>10581565729</v>
      </c>
      <c r="CW40" s="19" t="s">
        <v>189</v>
      </c>
      <c r="CX40" s="105">
        <f>5800850847</f>
        <v>5800850847</v>
      </c>
      <c r="CY40" s="105">
        <f>60268161</f>
        <v>60268161</v>
      </c>
      <c r="CZ40" s="105">
        <f>52141819</f>
        <v>52141819</v>
      </c>
      <c r="DA40" s="19" t="s">
        <v>189</v>
      </c>
      <c r="DB40" s="105">
        <v>277196156</v>
      </c>
      <c r="DC40" s="109">
        <f>244177656</f>
        <v>244177656</v>
      </c>
      <c r="DD40" s="103">
        <v>2225447562</v>
      </c>
      <c r="DE40" s="103">
        <f>392873588</f>
        <v>392873588</v>
      </c>
      <c r="DF40" s="103">
        <v>1601464029</v>
      </c>
      <c r="DG40" s="103">
        <f>888245000</f>
        <v>888245000</v>
      </c>
      <c r="DH40" s="110" t="s">
        <v>189</v>
      </c>
      <c r="DI40" s="103">
        <f>461143864</f>
        <v>461143864</v>
      </c>
      <c r="DJ40" s="103">
        <f>3922491637</f>
        <v>3922491637</v>
      </c>
      <c r="DK40" s="111" t="s">
        <v>189</v>
      </c>
      <c r="DL40" s="103">
        <f>998313038</f>
        <v>998313038</v>
      </c>
      <c r="DM40" s="103">
        <v>947462407</v>
      </c>
      <c r="DN40" s="103">
        <v>698630237</v>
      </c>
      <c r="DO40" s="103">
        <v>4843365857</v>
      </c>
      <c r="DP40" s="103">
        <v>203213489</v>
      </c>
      <c r="DQ40" s="103">
        <v>1212255730</v>
      </c>
      <c r="DR40" s="103">
        <v>186714126</v>
      </c>
      <c r="DS40" s="103">
        <v>4430352923</v>
      </c>
      <c r="DT40" s="103">
        <v>1011090887</v>
      </c>
      <c r="DU40" s="103">
        <v>946246558</v>
      </c>
      <c r="DV40" s="103">
        <v>327862755</v>
      </c>
      <c r="DW40" s="103">
        <v>4209096312</v>
      </c>
      <c r="DX40" s="103">
        <v>1071843314</v>
      </c>
      <c r="DY40" s="103">
        <v>3418118194</v>
      </c>
      <c r="DZ40" s="103">
        <v>1620153240</v>
      </c>
      <c r="EA40" s="103">
        <v>833241997</v>
      </c>
      <c r="EB40" s="103">
        <v>5364170893</v>
      </c>
      <c r="EC40" s="103">
        <v>851209537</v>
      </c>
      <c r="ED40" s="103">
        <v>0</v>
      </c>
      <c r="EE40" s="103">
        <v>1798994783</v>
      </c>
      <c r="EF40" s="103">
        <v>1199874427</v>
      </c>
    </row>
    <row r="41" spans="1:136">
      <c r="A41" s="69" t="s">
        <v>194</v>
      </c>
      <c r="B41" s="93" t="s">
        <v>12</v>
      </c>
      <c r="C41" s="105">
        <v>39360192</v>
      </c>
      <c r="D41" s="19" t="s">
        <v>188</v>
      </c>
      <c r="E41" s="105">
        <v>115114449</v>
      </c>
      <c r="F41" s="19" t="s">
        <v>188</v>
      </c>
      <c r="G41" s="19" t="s">
        <v>189</v>
      </c>
      <c r="H41" s="19" t="s">
        <v>189</v>
      </c>
      <c r="I41" s="19" t="s">
        <v>188</v>
      </c>
      <c r="J41" s="105">
        <v>5131966208</v>
      </c>
      <c r="K41" s="105"/>
      <c r="L41" s="108">
        <v>387444439</v>
      </c>
      <c r="M41" s="105"/>
      <c r="N41" s="19" t="s">
        <v>189</v>
      </c>
      <c r="O41" s="105"/>
      <c r="P41" s="107">
        <f>22292142+28501708+40789001</f>
        <v>91582851</v>
      </c>
      <c r="Q41" s="120">
        <v>962026270</v>
      </c>
      <c r="R41" s="105">
        <v>471256139</v>
      </c>
      <c r="S41" s="105"/>
      <c r="T41" s="105"/>
      <c r="U41" s="19" t="s">
        <v>188</v>
      </c>
      <c r="V41" s="105"/>
      <c r="W41" s="19" t="s">
        <v>189</v>
      </c>
      <c r="X41" s="105">
        <v>18037524</v>
      </c>
      <c r="Y41" s="19" t="s">
        <v>188</v>
      </c>
      <c r="Z41" s="105"/>
      <c r="AA41" s="105">
        <v>146735062</v>
      </c>
      <c r="AB41" s="19" t="s">
        <v>188</v>
      </c>
      <c r="AC41" s="19" t="s">
        <v>189</v>
      </c>
      <c r="AD41" s="19" t="s">
        <v>188</v>
      </c>
      <c r="AE41" s="105">
        <v>269757593</v>
      </c>
      <c r="AF41" s="105">
        <v>153458386</v>
      </c>
      <c r="AG41" s="105">
        <f>33125133</f>
        <v>33125133</v>
      </c>
      <c r="AH41" s="105"/>
      <c r="AI41" s="19"/>
      <c r="AJ41" s="105">
        <v>1526146692</v>
      </c>
      <c r="AK41" s="19" t="s">
        <v>188</v>
      </c>
      <c r="AL41" s="19"/>
      <c r="AM41" s="106"/>
      <c r="AN41" s="105">
        <f>88189567</f>
        <v>88189567</v>
      </c>
      <c r="AO41" s="19" t="s">
        <v>188</v>
      </c>
      <c r="AP41" s="105">
        <v>293545074</v>
      </c>
      <c r="AQ41" s="19" t="s">
        <v>188</v>
      </c>
      <c r="AR41" s="105">
        <f>2551691</f>
        <v>2551691</v>
      </c>
      <c r="AS41" s="19" t="s">
        <v>188</v>
      </c>
      <c r="AT41" s="105"/>
      <c r="AU41" s="19"/>
      <c r="AV41" s="108">
        <f>230631580</f>
        <v>230631580</v>
      </c>
      <c r="AW41" s="105"/>
      <c r="AX41" s="105">
        <v>354083543</v>
      </c>
      <c r="AY41" s="19" t="s">
        <v>188</v>
      </c>
      <c r="AZ41" s="108">
        <f>22226856</f>
        <v>22226856</v>
      </c>
      <c r="BA41" s="105">
        <v>47343675</v>
      </c>
      <c r="BB41" s="105">
        <f>1690658320</f>
        <v>1690658320</v>
      </c>
      <c r="BC41" s="105"/>
      <c r="BD41" s="105">
        <v>927981971</v>
      </c>
      <c r="BE41" s="105">
        <f>152850220</f>
        <v>152850220</v>
      </c>
      <c r="BF41" s="105">
        <f>234412607</f>
        <v>234412607</v>
      </c>
      <c r="BG41" s="105"/>
      <c r="BH41" s="105">
        <f>1270668000</f>
        <v>1270668000</v>
      </c>
      <c r="BI41" s="108">
        <v>674553337</v>
      </c>
      <c r="BJ41" s="105">
        <f>2251665000</f>
        <v>2251665000</v>
      </c>
      <c r="BK41" s="105"/>
      <c r="BL41" s="105">
        <f>258109236</f>
        <v>258109236</v>
      </c>
      <c r="BM41" s="19"/>
      <c r="BN41" s="19"/>
      <c r="BO41" s="19"/>
      <c r="BP41" s="19"/>
      <c r="BQ41" s="19" t="s">
        <v>189</v>
      </c>
      <c r="BR41" s="105">
        <f>277649071</f>
        <v>277649071</v>
      </c>
      <c r="BS41" s="19"/>
      <c r="BT41" s="105">
        <v>0</v>
      </c>
      <c r="BU41" s="105">
        <f>7759558509</f>
        <v>7759558509</v>
      </c>
      <c r="BV41" s="19"/>
      <c r="BW41" s="19" t="s">
        <v>189</v>
      </c>
      <c r="BX41" s="19"/>
      <c r="BY41" s="105">
        <v>639231787</v>
      </c>
      <c r="BZ41" s="105">
        <f>2305993335</f>
        <v>2305993335</v>
      </c>
      <c r="CA41" s="19"/>
      <c r="CB41" s="19"/>
      <c r="CC41" s="19"/>
      <c r="CD41" s="19"/>
      <c r="CE41" s="19"/>
      <c r="CF41" s="105">
        <f>574242732</f>
        <v>574242732</v>
      </c>
      <c r="CG41" s="19"/>
      <c r="CH41" s="105">
        <f>212349819+16742000</f>
        <v>229091819</v>
      </c>
      <c r="CI41" s="19"/>
      <c r="CJ41" s="105">
        <f>183154628+104200218+93651176+57828548+430460</f>
        <v>439265030</v>
      </c>
      <c r="CK41" s="19" t="s">
        <v>190</v>
      </c>
      <c r="CL41" s="19"/>
      <c r="CM41" s="19"/>
      <c r="CN41" s="19"/>
      <c r="CO41" s="19"/>
      <c r="CP41" s="19"/>
      <c r="CQ41" s="105">
        <f>13660344</f>
        <v>13660344</v>
      </c>
      <c r="CR41" s="19"/>
      <c r="CS41" s="19"/>
      <c r="CT41" s="19" t="s">
        <v>190</v>
      </c>
      <c r="CU41" s="19"/>
      <c r="CV41" s="19"/>
      <c r="CW41" s="19" t="s">
        <v>189</v>
      </c>
      <c r="CX41" s="105">
        <v>0</v>
      </c>
      <c r="CY41" s="19"/>
      <c r="CZ41" s="105">
        <f>52141819</f>
        <v>52141819</v>
      </c>
      <c r="DA41" s="19" t="s">
        <v>189</v>
      </c>
      <c r="DB41" s="105">
        <v>277196156</v>
      </c>
      <c r="DC41" s="114"/>
      <c r="DD41" s="115"/>
      <c r="DE41" s="115"/>
      <c r="DF41" s="115"/>
      <c r="DG41" s="103">
        <f>40038140</f>
        <v>40038140</v>
      </c>
      <c r="DH41" s="110" t="s">
        <v>189</v>
      </c>
      <c r="DI41" s="103">
        <f>41080758</f>
        <v>41080758</v>
      </c>
      <c r="DJ41" s="115"/>
      <c r="DK41" s="111" t="s">
        <v>189</v>
      </c>
      <c r="DL41" s="103">
        <f>383798399</f>
        <v>383798399</v>
      </c>
      <c r="DM41" s="103">
        <v>4436642</v>
      </c>
      <c r="DN41" s="103"/>
      <c r="DO41" s="103">
        <v>4289592125</v>
      </c>
      <c r="DP41" s="103">
        <v>182213489</v>
      </c>
      <c r="DQ41" s="103">
        <v>1083447220</v>
      </c>
      <c r="DR41" s="103"/>
      <c r="DS41" s="103"/>
      <c r="DT41" s="103"/>
      <c r="DU41" s="103">
        <v>47878920</v>
      </c>
      <c r="DV41" s="103"/>
      <c r="DW41" s="103"/>
      <c r="DX41" s="103">
        <v>780396956</v>
      </c>
      <c r="DY41" s="103"/>
      <c r="DZ41" s="103"/>
      <c r="EA41" s="103"/>
      <c r="EB41" s="103"/>
      <c r="EC41" s="103">
        <v>48472442</v>
      </c>
      <c r="ED41" s="103"/>
      <c r="EE41" s="103"/>
      <c r="EF41" s="103"/>
    </row>
    <row r="42" spans="1:136">
      <c r="A42" s="69" t="s">
        <v>194</v>
      </c>
      <c r="B42" s="93" t="s">
        <v>22</v>
      </c>
      <c r="C42" s="105">
        <v>70477611</v>
      </c>
      <c r="D42" s="19" t="s">
        <v>188</v>
      </c>
      <c r="E42" s="105">
        <v>222975076</v>
      </c>
      <c r="F42" s="19" t="s">
        <v>188</v>
      </c>
      <c r="G42" s="19" t="s">
        <v>189</v>
      </c>
      <c r="H42" s="19" t="s">
        <v>189</v>
      </c>
      <c r="I42" s="19" t="s">
        <v>188</v>
      </c>
      <c r="J42" s="105">
        <v>6531692253</v>
      </c>
      <c r="K42" s="105">
        <v>239651260</v>
      </c>
      <c r="L42" s="108">
        <v>101193992</v>
      </c>
      <c r="M42" s="105"/>
      <c r="N42" s="19" t="s">
        <v>189</v>
      </c>
      <c r="O42" s="105"/>
      <c r="P42" s="107"/>
      <c r="Q42" s="108">
        <v>13404833048</v>
      </c>
      <c r="R42" s="105">
        <v>1847902887</v>
      </c>
      <c r="S42" s="105">
        <v>510427186</v>
      </c>
      <c r="T42" s="105">
        <v>729841481</v>
      </c>
      <c r="U42" s="19" t="s">
        <v>188</v>
      </c>
      <c r="V42" s="105"/>
      <c r="W42" s="19" t="s">
        <v>189</v>
      </c>
      <c r="X42" s="105">
        <v>668254645</v>
      </c>
      <c r="Y42" s="19" t="s">
        <v>188</v>
      </c>
      <c r="Z42" s="105"/>
      <c r="AA42" s="105">
        <v>208039190</v>
      </c>
      <c r="AB42" s="19" t="s">
        <v>188</v>
      </c>
      <c r="AC42" s="19" t="s">
        <v>189</v>
      </c>
      <c r="AD42" s="19" t="s">
        <v>188</v>
      </c>
      <c r="AE42" s="105">
        <v>2740886823</v>
      </c>
      <c r="AF42" s="105"/>
      <c r="AG42" s="105"/>
      <c r="AH42" s="105"/>
      <c r="AI42" s="105">
        <v>852886671</v>
      </c>
      <c r="AJ42" s="105"/>
      <c r="AK42" s="19" t="s">
        <v>188</v>
      </c>
      <c r="AL42" s="105">
        <v>2847061420</v>
      </c>
      <c r="AM42" s="106">
        <f>1546511210</f>
        <v>1546511210</v>
      </c>
      <c r="AN42" s="105"/>
      <c r="AO42" s="19" t="s">
        <v>188</v>
      </c>
      <c r="AP42" s="105"/>
      <c r="AQ42" s="19" t="s">
        <v>188</v>
      </c>
      <c r="AR42" s="105">
        <f>7170115284</f>
        <v>7170115284</v>
      </c>
      <c r="AS42" s="19" t="s">
        <v>188</v>
      </c>
      <c r="AT42" s="105">
        <v>9238514585</v>
      </c>
      <c r="AU42" s="19"/>
      <c r="AV42" s="108"/>
      <c r="AW42" s="105">
        <v>43490910</v>
      </c>
      <c r="AX42" s="105"/>
      <c r="AY42" s="19" t="s">
        <v>188</v>
      </c>
      <c r="AZ42" s="108"/>
      <c r="BA42" s="105">
        <v>35301654</v>
      </c>
      <c r="BB42" s="105">
        <f>615467568</f>
        <v>615467568</v>
      </c>
      <c r="BC42" s="105">
        <f>340635442</f>
        <v>340635442</v>
      </c>
      <c r="BD42" s="19"/>
      <c r="BE42" s="105">
        <f>345093548</f>
        <v>345093548</v>
      </c>
      <c r="BF42" s="105">
        <f>292333063</f>
        <v>292333063</v>
      </c>
      <c r="BG42" s="105"/>
      <c r="BH42" s="105"/>
      <c r="BI42" s="108">
        <v>2160815332</v>
      </c>
      <c r="BJ42" s="105"/>
      <c r="BK42" s="105"/>
      <c r="BL42" s="105"/>
      <c r="BM42" s="105">
        <f>1028952000+840473032</f>
        <v>1869425032</v>
      </c>
      <c r="BN42" s="105">
        <f>54556146</f>
        <v>54556146</v>
      </c>
      <c r="BO42" s="19"/>
      <c r="BP42" s="19"/>
      <c r="BQ42" s="19" t="s">
        <v>189</v>
      </c>
      <c r="BR42" s="105">
        <f>27199762</f>
        <v>27199762</v>
      </c>
      <c r="BS42" s="105">
        <f>1980295444</f>
        <v>1980295444</v>
      </c>
      <c r="BT42" s="105">
        <f>194789500</f>
        <v>194789500</v>
      </c>
      <c r="BU42" s="19"/>
      <c r="BV42" s="105">
        <f>759537002</f>
        <v>759537002</v>
      </c>
      <c r="BW42" s="19" t="s">
        <v>189</v>
      </c>
      <c r="BX42" s="105">
        <v>20521795</v>
      </c>
      <c r="BY42" s="19"/>
      <c r="BZ42" s="19"/>
      <c r="CA42" s="19"/>
      <c r="CB42" s="19"/>
      <c r="CC42" s="105">
        <v>127825746</v>
      </c>
      <c r="CD42" s="19"/>
      <c r="CE42" s="105">
        <f>203126109</f>
        <v>203126109</v>
      </c>
      <c r="CF42" s="19"/>
      <c r="CG42" s="19"/>
      <c r="CH42" s="105">
        <v>4266144900</v>
      </c>
      <c r="CI42" s="19"/>
      <c r="CJ42" s="19"/>
      <c r="CK42" s="19" t="s">
        <v>190</v>
      </c>
      <c r="CL42" s="105">
        <v>997999228</v>
      </c>
      <c r="CM42" s="105">
        <f>180390850+188273985+33525292</f>
        <v>402190127</v>
      </c>
      <c r="CN42" s="105">
        <f>254382959</f>
        <v>254382959</v>
      </c>
      <c r="CO42" s="105">
        <v>1660043727</v>
      </c>
      <c r="CP42" s="19"/>
      <c r="CQ42" s="19"/>
      <c r="CR42" s="19"/>
      <c r="CS42" s="19"/>
      <c r="CT42" s="19" t="s">
        <v>190</v>
      </c>
      <c r="CU42" s="19"/>
      <c r="CV42" s="105">
        <f>10581565729</f>
        <v>10581565729</v>
      </c>
      <c r="CW42" s="19" t="s">
        <v>189</v>
      </c>
      <c r="CX42" s="19"/>
      <c r="CY42" s="105">
        <f>60268161</f>
        <v>60268161</v>
      </c>
      <c r="CZ42" s="105">
        <v>0</v>
      </c>
      <c r="DA42" s="19" t="s">
        <v>189</v>
      </c>
      <c r="DB42" s="19"/>
      <c r="DC42" s="114"/>
      <c r="DD42" s="103">
        <v>84433007</v>
      </c>
      <c r="DE42" s="103">
        <f>267446570</f>
        <v>267446570</v>
      </c>
      <c r="DF42" s="103">
        <v>449341354</v>
      </c>
      <c r="DG42" s="115"/>
      <c r="DH42" s="110" t="s">
        <v>189</v>
      </c>
      <c r="DI42" s="103">
        <f>420063106</f>
        <v>420063106</v>
      </c>
      <c r="DJ42" s="115"/>
      <c r="DK42" s="111" t="s">
        <v>189</v>
      </c>
      <c r="DL42" s="115"/>
      <c r="DM42" s="103">
        <v>896525765</v>
      </c>
      <c r="DN42" s="103"/>
      <c r="DO42" s="103">
        <v>326442850</v>
      </c>
      <c r="DP42" s="103"/>
      <c r="DQ42" s="103"/>
      <c r="DR42" s="103">
        <v>186714126</v>
      </c>
      <c r="DS42" s="103">
        <v>2325321668</v>
      </c>
      <c r="DT42" s="103">
        <v>1011090887</v>
      </c>
      <c r="DU42" s="103">
        <v>779293100</v>
      </c>
      <c r="DV42" s="103">
        <v>41059633</v>
      </c>
      <c r="DW42" s="103"/>
      <c r="DX42" s="103">
        <v>261016358</v>
      </c>
      <c r="DY42" s="103">
        <v>3415141252</v>
      </c>
      <c r="DZ42" s="103"/>
      <c r="EA42" s="103">
        <v>507724660</v>
      </c>
      <c r="EB42" s="103">
        <v>5324535593</v>
      </c>
      <c r="EC42" s="103">
        <v>802737095</v>
      </c>
      <c r="ED42" s="103"/>
      <c r="EE42" s="103"/>
      <c r="EF42" s="103">
        <v>164734547</v>
      </c>
    </row>
    <row r="43" spans="1:136">
      <c r="A43" s="69" t="s">
        <v>194</v>
      </c>
      <c r="B43" s="93" t="s">
        <v>28</v>
      </c>
      <c r="C43" s="105">
        <v>27272455</v>
      </c>
      <c r="D43" s="19" t="s">
        <v>188</v>
      </c>
      <c r="E43" s="105">
        <v>36177272</v>
      </c>
      <c r="F43" s="19" t="s">
        <v>188</v>
      </c>
      <c r="G43" s="19" t="s">
        <v>189</v>
      </c>
      <c r="H43" s="19" t="s">
        <v>189</v>
      </c>
      <c r="I43" s="19" t="s">
        <v>188</v>
      </c>
      <c r="J43" s="105">
        <v>2474629541</v>
      </c>
      <c r="K43" s="105"/>
      <c r="L43" s="108"/>
      <c r="M43" s="105">
        <v>118503630</v>
      </c>
      <c r="N43" s="19" t="s">
        <v>189</v>
      </c>
      <c r="O43" s="105">
        <f>41068400+37640000</f>
        <v>78708400</v>
      </c>
      <c r="P43" s="107">
        <f>797461550+43923870+98931732+1043409140+10301000+4810838900+455735490+267454100+22319600+105451700+924196530+48320208+66000000+881229678+109345000</f>
        <v>9684918498</v>
      </c>
      <c r="Q43" s="108">
        <v>4280945969</v>
      </c>
      <c r="R43" s="105">
        <v>14276908</v>
      </c>
      <c r="S43" s="105">
        <v>228757000</v>
      </c>
      <c r="T43" s="105">
        <v>142060908</v>
      </c>
      <c r="U43" s="19" t="s">
        <v>188</v>
      </c>
      <c r="V43" s="105">
        <v>411434621</v>
      </c>
      <c r="W43" s="19" t="s">
        <v>189</v>
      </c>
      <c r="X43" s="105"/>
      <c r="Y43" s="19" t="s">
        <v>188</v>
      </c>
      <c r="Z43" s="105">
        <v>7830985540</v>
      </c>
      <c r="AA43" s="105">
        <v>46669200</v>
      </c>
      <c r="AB43" s="19" t="s">
        <v>188</v>
      </c>
      <c r="AC43" s="19" t="s">
        <v>189</v>
      </c>
      <c r="AD43" s="19" t="s">
        <v>188</v>
      </c>
      <c r="AE43" s="105">
        <f>12927273+32123187</f>
        <v>45050460</v>
      </c>
      <c r="AF43" s="105">
        <v>53699264</v>
      </c>
      <c r="AG43" s="105">
        <f>634159922+41914090</f>
        <v>676074012</v>
      </c>
      <c r="AH43" s="105"/>
      <c r="AI43" s="105">
        <v>907614503</v>
      </c>
      <c r="AJ43" s="105">
        <v>63845915</v>
      </c>
      <c r="AK43" s="19" t="s">
        <v>188</v>
      </c>
      <c r="AL43" s="19"/>
      <c r="AM43" s="106">
        <f>588781820+181821</f>
        <v>588963641</v>
      </c>
      <c r="AN43" s="105"/>
      <c r="AO43" s="19" t="s">
        <v>188</v>
      </c>
      <c r="AP43" s="105"/>
      <c r="AQ43" s="19" t="s">
        <v>188</v>
      </c>
      <c r="AR43" s="105"/>
      <c r="AS43" s="19" t="s">
        <v>188</v>
      </c>
      <c r="AT43" s="105">
        <f>352197677+6760000</f>
        <v>358957677</v>
      </c>
      <c r="AU43" s="105">
        <f>59154700+75064900</f>
        <v>134219600</v>
      </c>
      <c r="AV43" s="108">
        <f>934872193+163688090</f>
        <v>1098560283</v>
      </c>
      <c r="AW43" s="105">
        <f>3719275240+30909091+1186732014</f>
        <v>4936916345</v>
      </c>
      <c r="AX43" s="105"/>
      <c r="AY43" s="19" t="s">
        <v>188</v>
      </c>
      <c r="AZ43" s="108">
        <v>0</v>
      </c>
      <c r="BA43" s="105"/>
      <c r="BB43" s="105">
        <f>92965610</f>
        <v>92965610</v>
      </c>
      <c r="BC43" s="19"/>
      <c r="BD43" s="19"/>
      <c r="BE43" s="105">
        <f>144247183</f>
        <v>144247183</v>
      </c>
      <c r="BF43" s="105">
        <f>29491396</f>
        <v>29491396</v>
      </c>
      <c r="BG43" s="105">
        <f>45943694</f>
        <v>45943694</v>
      </c>
      <c r="BH43" s="105">
        <f>3094129238</f>
        <v>3094129238</v>
      </c>
      <c r="BI43" s="19"/>
      <c r="BJ43" s="105"/>
      <c r="BK43" s="105">
        <v>1766727516</v>
      </c>
      <c r="BL43" s="105">
        <f>2502830005</f>
        <v>2502830005</v>
      </c>
      <c r="BM43" s="19"/>
      <c r="BN43" s="105">
        <f>485149908</f>
        <v>485149908</v>
      </c>
      <c r="BO43" s="105">
        <f>8210580009+27792630+8270000</f>
        <v>8246642639</v>
      </c>
      <c r="BP43" s="19"/>
      <c r="BQ43" s="19" t="s">
        <v>189</v>
      </c>
      <c r="BR43" s="19"/>
      <c r="BS43" s="19"/>
      <c r="BT43" s="105">
        <f>374244254</f>
        <v>374244254</v>
      </c>
      <c r="BU43" s="19"/>
      <c r="BV43" s="19"/>
      <c r="BW43" s="19" t="s">
        <v>189</v>
      </c>
      <c r="BX43" s="105">
        <f>504420592</f>
        <v>504420592</v>
      </c>
      <c r="BY43" s="19"/>
      <c r="BZ43" s="19"/>
      <c r="CA43" s="19"/>
      <c r="CB43" s="105">
        <f>317037824</f>
        <v>317037824</v>
      </c>
      <c r="CC43" s="19"/>
      <c r="CD43" s="105">
        <f>21784551+23562000</f>
        <v>45346551</v>
      </c>
      <c r="CE43" s="105">
        <v>111992254</v>
      </c>
      <c r="CF43" s="105">
        <f>67579000+39440750+1198763247+184851400+3603365400+504675870+692338110+122773270</f>
        <v>6413787047</v>
      </c>
      <c r="CG43" s="105">
        <f>686287272</f>
        <v>686287272</v>
      </c>
      <c r="CH43" s="19"/>
      <c r="CI43" s="19"/>
      <c r="CJ43" s="19"/>
      <c r="CK43" s="19" t="s">
        <v>190</v>
      </c>
      <c r="CL43" s="19"/>
      <c r="CM43" s="105">
        <v>1818181</v>
      </c>
      <c r="CN43" s="105">
        <f>7665000+12613635</f>
        <v>20278635</v>
      </c>
      <c r="CO43" s="19"/>
      <c r="CP43" s="105">
        <f>332935523+1430221800+3148481260</f>
        <v>4911638583</v>
      </c>
      <c r="CQ43" s="19"/>
      <c r="CR43" s="105">
        <f>879316460+6447219400+237238000+3979000</f>
        <v>7567752860</v>
      </c>
      <c r="CS43" s="105">
        <f>1523517632+3133063840</f>
        <v>4656581472</v>
      </c>
      <c r="CT43" s="19" t="s">
        <v>190</v>
      </c>
      <c r="CU43" s="105">
        <v>3257559299</v>
      </c>
      <c r="CV43" s="19"/>
      <c r="CW43" s="19" t="s">
        <v>189</v>
      </c>
      <c r="CX43" s="105">
        <f>5558020615</f>
        <v>5558020615</v>
      </c>
      <c r="CY43" s="19"/>
      <c r="CZ43" s="105">
        <v>0</v>
      </c>
      <c r="DA43" s="19" t="s">
        <v>189</v>
      </c>
      <c r="DB43" s="19"/>
      <c r="DC43" s="109">
        <f>2409036+5000000</f>
        <v>7409036</v>
      </c>
      <c r="DD43" s="103">
        <f>641362630+309160990+63978140+14426700+349755+2164300+976229850+133342190</f>
        <v>2141014555</v>
      </c>
      <c r="DE43" s="103">
        <f>57893875</f>
        <v>57893875</v>
      </c>
      <c r="DF43" s="115"/>
      <c r="DG43" s="103">
        <f>610116750+232322860+5767250</f>
        <v>848206860</v>
      </c>
      <c r="DH43" s="110" t="s">
        <v>189</v>
      </c>
      <c r="DI43" s="115"/>
      <c r="DJ43" s="103">
        <f>693888487+3052316450+176126700+160000</f>
        <v>3922491637</v>
      </c>
      <c r="DK43" s="111" t="s">
        <v>189</v>
      </c>
      <c r="DL43" s="103">
        <f>614514639</f>
        <v>614514639</v>
      </c>
      <c r="DM43" s="103"/>
      <c r="DN43" s="103">
        <v>691814785</v>
      </c>
      <c r="DO43" s="103"/>
      <c r="DP43" s="103"/>
      <c r="DQ43" s="103">
        <v>128808510</v>
      </c>
      <c r="DR43" s="103"/>
      <c r="DS43" s="103">
        <v>2105031255</v>
      </c>
      <c r="DT43" s="103"/>
      <c r="DU43" s="103">
        <v>0</v>
      </c>
      <c r="DV43" s="103"/>
      <c r="DW43" s="103">
        <v>4182889740</v>
      </c>
      <c r="DX43" s="103"/>
      <c r="DY43" s="103">
        <v>2976942</v>
      </c>
      <c r="DZ43" s="103">
        <v>1601853240</v>
      </c>
      <c r="EA43" s="103">
        <v>325517337</v>
      </c>
      <c r="EB43" s="103"/>
      <c r="EC43" s="103"/>
      <c r="ED43" s="103"/>
      <c r="EE43" s="103">
        <v>1798994783</v>
      </c>
      <c r="EF43" s="103">
        <v>1035139880</v>
      </c>
    </row>
    <row r="44" spans="1:136">
      <c r="A44" s="69" t="s">
        <v>194</v>
      </c>
      <c r="B44" s="93" t="s">
        <v>24</v>
      </c>
      <c r="C44" s="105"/>
      <c r="D44" s="19" t="s">
        <v>188</v>
      </c>
      <c r="E44" s="105"/>
      <c r="F44" s="19" t="s">
        <v>188</v>
      </c>
      <c r="G44" s="19" t="s">
        <v>189</v>
      </c>
      <c r="H44" s="19" t="s">
        <v>189</v>
      </c>
      <c r="I44" s="19" t="s">
        <v>188</v>
      </c>
      <c r="J44" s="105">
        <f>245192108+3713505+107703627</f>
        <v>356609240</v>
      </c>
      <c r="K44" s="105">
        <v>360814934</v>
      </c>
      <c r="L44" s="108"/>
      <c r="M44" s="105">
        <v>237061211</v>
      </c>
      <c r="N44" s="19" t="s">
        <v>189</v>
      </c>
      <c r="O44" s="105">
        <f>60863734+10486000+28000000</f>
        <v>99349734</v>
      </c>
      <c r="P44" s="107">
        <f>5040000+61019445</f>
        <v>66059445</v>
      </c>
      <c r="Q44" s="108"/>
      <c r="R44" s="105">
        <f>4629550+9090909</f>
        <v>13720459</v>
      </c>
      <c r="S44" s="105"/>
      <c r="T44" s="105">
        <v>117000000</v>
      </c>
      <c r="U44" s="19" t="s">
        <v>188</v>
      </c>
      <c r="V44" s="105"/>
      <c r="W44" s="19" t="s">
        <v>189</v>
      </c>
      <c r="X44" s="105"/>
      <c r="Y44" s="19" t="s">
        <v>188</v>
      </c>
      <c r="Z44" s="105">
        <v>21533300</v>
      </c>
      <c r="AA44" s="105">
        <f>397551264+329157169+9242449+118946959+116264090</f>
        <v>971161931</v>
      </c>
      <c r="AB44" s="19" t="s">
        <v>188</v>
      </c>
      <c r="AC44" s="19" t="s">
        <v>189</v>
      </c>
      <c r="AD44" s="19" t="s">
        <v>188</v>
      </c>
      <c r="AE44" s="105"/>
      <c r="AF44" s="105">
        <f>522289245+511999321+264300000+149997900</f>
        <v>1448586466</v>
      </c>
      <c r="AG44" s="105">
        <f>3600000+1375455</f>
        <v>4975455</v>
      </c>
      <c r="AH44" s="105">
        <v>144272727</v>
      </c>
      <c r="AI44" s="19"/>
      <c r="AJ44" s="105">
        <v>37500</v>
      </c>
      <c r="AK44" s="19" t="s">
        <v>188</v>
      </c>
      <c r="AL44" s="105">
        <v>2099364</v>
      </c>
      <c r="AM44" s="121"/>
      <c r="AN44" s="105"/>
      <c r="AO44" s="19" t="s">
        <v>188</v>
      </c>
      <c r="AP44" s="105">
        <f>43160972</f>
        <v>43160972</v>
      </c>
      <c r="AQ44" s="19" t="s">
        <v>188</v>
      </c>
      <c r="AR44" s="105">
        <f>3768258</f>
        <v>3768258</v>
      </c>
      <c r="AS44" s="19" t="s">
        <v>188</v>
      </c>
      <c r="AT44" s="105">
        <v>1195942286</v>
      </c>
      <c r="AU44" s="105">
        <v>104155980</v>
      </c>
      <c r="AV44" s="19"/>
      <c r="AW44" s="105">
        <f>1392590091+435949091+25000000</f>
        <v>1853539182</v>
      </c>
      <c r="AX44" s="105"/>
      <c r="AY44" s="19" t="s">
        <v>188</v>
      </c>
      <c r="AZ44" s="19"/>
      <c r="BA44" s="105">
        <v>67999156</v>
      </c>
      <c r="BB44" s="105">
        <f>144805000</f>
        <v>144805000</v>
      </c>
      <c r="BC44" s="105">
        <f>10080000</f>
        <v>10080000</v>
      </c>
      <c r="BD44" s="19"/>
      <c r="BE44" s="19"/>
      <c r="BF44" s="105">
        <f>15230000+55000000</f>
        <v>70230000</v>
      </c>
      <c r="BG44" s="105">
        <f>1364036955+13226745</f>
        <v>1377263700</v>
      </c>
      <c r="BH44" s="105">
        <f>700892930</f>
        <v>700892930</v>
      </c>
      <c r="BI44" s="19"/>
      <c r="BJ44" s="105">
        <f>712544497</f>
        <v>712544497</v>
      </c>
      <c r="BK44" s="105">
        <f>118178064+148181260+52979090</f>
        <v>319338414</v>
      </c>
      <c r="BL44" s="19"/>
      <c r="BM44" s="19"/>
      <c r="BN44" s="105">
        <f>29079209</f>
        <v>29079209</v>
      </c>
      <c r="BO44" s="105">
        <f>890036040+50115877</f>
        <v>940151917</v>
      </c>
      <c r="BP44" s="105">
        <f>1930712550+47539610</f>
        <v>1978252160</v>
      </c>
      <c r="BQ44" s="19" t="s">
        <v>189</v>
      </c>
      <c r="BR44" s="105">
        <f>630000+1162245487</f>
        <v>1162875487</v>
      </c>
      <c r="BS44" s="105">
        <v>0</v>
      </c>
      <c r="BT44" s="19"/>
      <c r="BU44" s="19"/>
      <c r="BV44" s="105">
        <f>539942461</f>
        <v>539942461</v>
      </c>
      <c r="BW44" s="19" t="s">
        <v>189</v>
      </c>
      <c r="BX44" s="105">
        <f>82997673</f>
        <v>82997673</v>
      </c>
      <c r="BY44" s="19"/>
      <c r="BZ44" s="105">
        <f>868091627</f>
        <v>868091627</v>
      </c>
      <c r="CA44" s="105">
        <f>100103340</f>
        <v>100103340</v>
      </c>
      <c r="CB44" s="19"/>
      <c r="CC44" s="105">
        <v>46094955</v>
      </c>
      <c r="CD44" s="19"/>
      <c r="CE44" s="105">
        <f>159001+5000000</f>
        <v>5159001</v>
      </c>
      <c r="CF44" s="105">
        <f>58800000</f>
        <v>58800000</v>
      </c>
      <c r="CG44" s="105">
        <f>100802725</f>
        <v>100802725</v>
      </c>
      <c r="CH44" s="19"/>
      <c r="CI44" s="105">
        <f>133998000+84081000</f>
        <v>218079000</v>
      </c>
      <c r="CJ44" s="105">
        <f>15600000+10187000</f>
        <v>25787000</v>
      </c>
      <c r="CK44" s="19" t="s">
        <v>190</v>
      </c>
      <c r="CL44" s="19"/>
      <c r="CM44" s="19"/>
      <c r="CN44" s="19"/>
      <c r="CO44" s="19"/>
      <c r="CP44" s="105">
        <f>9163686+1596626776</f>
        <v>1605790462</v>
      </c>
      <c r="CQ44" s="19"/>
      <c r="CR44" s="19"/>
      <c r="CS44" s="105">
        <f>996337948+1355320075+14270000</f>
        <v>2365928023</v>
      </c>
      <c r="CT44" s="19" t="s">
        <v>190</v>
      </c>
      <c r="CU44" s="19"/>
      <c r="CV44" s="19"/>
      <c r="CW44" s="19" t="s">
        <v>189</v>
      </c>
      <c r="CX44" s="105">
        <f>242830232</f>
        <v>242830232</v>
      </c>
      <c r="CY44" s="19"/>
      <c r="CZ44" s="19"/>
      <c r="DA44" s="19" t="s">
        <v>189</v>
      </c>
      <c r="DB44" s="19"/>
      <c r="DC44" s="109">
        <f>124489506+28324415+69614250+246000+14094449</f>
        <v>236768620</v>
      </c>
      <c r="DD44" s="115"/>
      <c r="DE44" s="103">
        <f>67533143</f>
        <v>67533143</v>
      </c>
      <c r="DF44" s="103">
        <v>1152122675</v>
      </c>
      <c r="DG44" s="115"/>
      <c r="DH44" s="110" t="s">
        <v>189</v>
      </c>
      <c r="DI44" s="115"/>
      <c r="DJ44" s="115"/>
      <c r="DK44" s="111" t="s">
        <v>189</v>
      </c>
      <c r="DL44" s="103">
        <v>0</v>
      </c>
      <c r="DM44" s="103">
        <v>46500000</v>
      </c>
      <c r="DN44" s="103">
        <v>6815452</v>
      </c>
      <c r="DO44" s="103">
        <v>227330882</v>
      </c>
      <c r="DP44" s="103">
        <v>21000000</v>
      </c>
      <c r="DQ44" s="103"/>
      <c r="DR44" s="103"/>
      <c r="DS44" s="103"/>
      <c r="DT44" s="103"/>
      <c r="DU44" s="103">
        <v>119074538</v>
      </c>
      <c r="DV44" s="103">
        <v>286803122</v>
      </c>
      <c r="DW44" s="103">
        <v>26206572</v>
      </c>
      <c r="DX44" s="103">
        <v>30430000</v>
      </c>
      <c r="DY44" s="103"/>
      <c r="DZ44" s="103">
        <v>18300000</v>
      </c>
      <c r="EA44" s="103"/>
      <c r="EB44" s="103">
        <v>39635300</v>
      </c>
      <c r="EC44" s="103"/>
      <c r="ED44" s="103"/>
      <c r="EE44" s="103"/>
      <c r="EF44" s="103"/>
    </row>
    <row r="45" spans="1:136">
      <c r="A45" s="69" t="s">
        <v>194</v>
      </c>
      <c r="B45" s="92" t="s">
        <v>144</v>
      </c>
      <c r="C45" s="105">
        <v>57379378</v>
      </c>
      <c r="D45" s="19" t="s">
        <v>188</v>
      </c>
      <c r="E45" s="105">
        <v>95437033</v>
      </c>
      <c r="F45" s="19" t="s">
        <v>188</v>
      </c>
      <c r="G45" s="19" t="s">
        <v>189</v>
      </c>
      <c r="H45" s="19" t="s">
        <v>189</v>
      </c>
      <c r="I45" s="19" t="s">
        <v>188</v>
      </c>
      <c r="J45" s="105">
        <v>11239203745</v>
      </c>
      <c r="K45" s="105">
        <v>421233063</v>
      </c>
      <c r="L45" s="108">
        <v>276761672</v>
      </c>
      <c r="M45" s="105">
        <v>0</v>
      </c>
      <c r="N45" s="19" t="s">
        <v>189</v>
      </c>
      <c r="O45" s="105">
        <v>0</v>
      </c>
      <c r="P45" s="107" t="s">
        <v>192</v>
      </c>
      <c r="Q45" s="108">
        <v>19906548344</v>
      </c>
      <c r="R45" s="105">
        <v>1906147468</v>
      </c>
      <c r="S45" s="105">
        <v>318535932</v>
      </c>
      <c r="T45" s="105">
        <v>199596338</v>
      </c>
      <c r="U45" s="19" t="s">
        <v>188</v>
      </c>
      <c r="V45" s="105"/>
      <c r="W45" s="19" t="s">
        <v>189</v>
      </c>
      <c r="X45" s="105">
        <v>351874561</v>
      </c>
      <c r="Y45" s="19" t="s">
        <v>188</v>
      </c>
      <c r="Z45" s="105"/>
      <c r="AA45" s="105">
        <v>411686277</v>
      </c>
      <c r="AB45" s="19" t="s">
        <v>188</v>
      </c>
      <c r="AC45" s="19" t="s">
        <v>189</v>
      </c>
      <c r="AD45" s="19" t="s">
        <v>188</v>
      </c>
      <c r="AE45" s="105">
        <v>1759648384</v>
      </c>
      <c r="AF45" s="105">
        <v>1170733848</v>
      </c>
      <c r="AG45" s="105">
        <v>4940000</v>
      </c>
      <c r="AH45" s="19"/>
      <c r="AI45" s="105">
        <v>1132297909</v>
      </c>
      <c r="AJ45" s="105">
        <v>780739816</v>
      </c>
      <c r="AK45" s="19" t="s">
        <v>188</v>
      </c>
      <c r="AL45" s="105">
        <v>2282631831</v>
      </c>
      <c r="AM45" s="121">
        <v>1195991215</v>
      </c>
      <c r="AN45" s="105">
        <f>39110660</f>
        <v>39110660</v>
      </c>
      <c r="AO45" s="19" t="s">
        <v>188</v>
      </c>
      <c r="AP45" s="105">
        <v>73503099</v>
      </c>
      <c r="AQ45" s="19" t="s">
        <v>188</v>
      </c>
      <c r="AR45" s="105">
        <v>5324786953</v>
      </c>
      <c r="AS45" s="19" t="s">
        <v>188</v>
      </c>
      <c r="AT45" s="108">
        <v>8608869641</v>
      </c>
      <c r="AU45" s="19"/>
      <c r="AV45" s="105">
        <f>107408930</f>
        <v>107408930</v>
      </c>
      <c r="AW45" s="105">
        <v>646505505</v>
      </c>
      <c r="AX45" s="105">
        <v>83241458</v>
      </c>
      <c r="AY45" s="19" t="s">
        <v>188</v>
      </c>
      <c r="AZ45" s="105">
        <v>13408512</v>
      </c>
      <c r="BA45" s="108">
        <v>16769135</v>
      </c>
      <c r="BB45" s="105">
        <f>1434738258</f>
        <v>1434738258</v>
      </c>
      <c r="BC45" s="105">
        <v>196987391</v>
      </c>
      <c r="BD45" s="105">
        <v>258833329</v>
      </c>
      <c r="BE45" s="105">
        <f>237423561</f>
        <v>237423561</v>
      </c>
      <c r="BF45" s="105">
        <f>223077563</f>
        <v>223077563</v>
      </c>
      <c r="BG45" s="108">
        <v>0</v>
      </c>
      <c r="BH45" s="105">
        <v>618312590</v>
      </c>
      <c r="BI45" s="108">
        <v>482901746</v>
      </c>
      <c r="BJ45" s="105">
        <v>1781298702</v>
      </c>
      <c r="BK45" s="105"/>
      <c r="BL45" s="105">
        <f>1231799385</f>
        <v>1231799385</v>
      </c>
      <c r="BM45" s="105">
        <f>1323330848</f>
        <v>1323330848</v>
      </c>
      <c r="BN45" s="105">
        <v>69256550</v>
      </c>
      <c r="BO45" s="105">
        <v>0</v>
      </c>
      <c r="BP45" s="105">
        <v>0</v>
      </c>
      <c r="BQ45" s="19" t="s">
        <v>189</v>
      </c>
      <c r="BR45" s="105">
        <v>489828197</v>
      </c>
      <c r="BS45" s="105">
        <f>522431141</f>
        <v>522431141</v>
      </c>
      <c r="BT45" s="105">
        <f>194621197</f>
        <v>194621197</v>
      </c>
      <c r="BU45" s="105">
        <f>5019091668</f>
        <v>5019091668</v>
      </c>
      <c r="BV45" s="105">
        <f>502832664</f>
        <v>502832664</v>
      </c>
      <c r="BW45" s="19" t="s">
        <v>189</v>
      </c>
      <c r="BX45" s="105">
        <v>0</v>
      </c>
      <c r="BY45" s="105">
        <v>155671775</v>
      </c>
      <c r="BZ45" s="105">
        <f>1511286310</f>
        <v>1511286310</v>
      </c>
      <c r="CA45" s="19"/>
      <c r="CB45" s="105">
        <v>0</v>
      </c>
      <c r="CC45" s="105">
        <v>74955300</v>
      </c>
      <c r="CD45" s="105">
        <v>0</v>
      </c>
      <c r="CE45" s="105">
        <f>209271992</f>
        <v>209271992</v>
      </c>
      <c r="CF45" s="105">
        <f>246372877</f>
        <v>246372877</v>
      </c>
      <c r="CG45" s="105">
        <v>0</v>
      </c>
      <c r="CH45" s="105">
        <v>3356054034</v>
      </c>
      <c r="CI45" s="19"/>
      <c r="CJ45" s="105">
        <f>183153159</f>
        <v>183153159</v>
      </c>
      <c r="CK45" s="19" t="s">
        <v>190</v>
      </c>
      <c r="CL45" s="105">
        <v>443052293</v>
      </c>
      <c r="CM45" s="105">
        <v>143356436</v>
      </c>
      <c r="CN45" s="105">
        <f>100372126</f>
        <v>100372126</v>
      </c>
      <c r="CO45" s="105">
        <v>1313552782</v>
      </c>
      <c r="CP45" s="105">
        <v>91259926</v>
      </c>
      <c r="CQ45" s="105">
        <v>0</v>
      </c>
      <c r="CR45" s="105">
        <v>0</v>
      </c>
      <c r="CS45" s="105">
        <f>800628759</f>
        <v>800628759</v>
      </c>
      <c r="CT45" s="19" t="s">
        <v>190</v>
      </c>
      <c r="CU45" s="105">
        <v>2724135561</v>
      </c>
      <c r="CV45" s="105">
        <f>8739333840</f>
        <v>8739333840</v>
      </c>
      <c r="CW45" s="19" t="s">
        <v>189</v>
      </c>
      <c r="CX45" s="105">
        <f>4374806249</f>
        <v>4374806249</v>
      </c>
      <c r="CY45" s="105">
        <f>72679173</f>
        <v>72679173</v>
      </c>
      <c r="CZ45" s="105">
        <f>52141819</f>
        <v>52141819</v>
      </c>
      <c r="DA45" s="19" t="s">
        <v>189</v>
      </c>
      <c r="DB45" s="105">
        <v>0</v>
      </c>
      <c r="DC45" s="114"/>
      <c r="DD45" s="103">
        <v>0</v>
      </c>
      <c r="DE45" s="103">
        <f>1970202061</f>
        <v>1970202061</v>
      </c>
      <c r="DF45" s="103">
        <v>2480761283</v>
      </c>
      <c r="DG45" s="103">
        <f>12986954</f>
        <v>12986954</v>
      </c>
      <c r="DH45" s="110" t="s">
        <v>189</v>
      </c>
      <c r="DI45" s="103">
        <f>390268173</f>
        <v>390268173</v>
      </c>
      <c r="DJ45" s="103">
        <v>0</v>
      </c>
      <c r="DK45" s="111" t="s">
        <v>189</v>
      </c>
      <c r="DL45" s="103">
        <f>252417603</f>
        <v>252417603</v>
      </c>
      <c r="DM45" s="103">
        <v>682177706</v>
      </c>
      <c r="DN45" s="103">
        <v>314376664</v>
      </c>
      <c r="DO45" s="103">
        <v>4511415799</v>
      </c>
      <c r="DP45" s="103">
        <v>54130796</v>
      </c>
      <c r="DQ45" s="103">
        <v>902535152</v>
      </c>
      <c r="DR45" s="103">
        <v>66395543</v>
      </c>
      <c r="DS45" s="103">
        <v>3864058699</v>
      </c>
      <c r="DT45" s="103">
        <v>929510007</v>
      </c>
      <c r="DU45" s="103">
        <v>706257991</v>
      </c>
      <c r="DV45" s="103">
        <v>14713491</v>
      </c>
      <c r="DW45" s="103">
        <v>0</v>
      </c>
      <c r="DX45" s="103">
        <v>373573794</v>
      </c>
      <c r="DY45" s="103">
        <v>3184319234</v>
      </c>
      <c r="DZ45" s="103">
        <v>0</v>
      </c>
      <c r="EA45" s="103">
        <v>208693283</v>
      </c>
      <c r="EB45" s="103">
        <v>3715216151</v>
      </c>
      <c r="EC45" s="103"/>
      <c r="ED45" s="103">
        <v>0</v>
      </c>
      <c r="EE45" s="103"/>
      <c r="EF45" s="103">
        <v>148818182</v>
      </c>
    </row>
    <row r="46" spans="1:136">
      <c r="A46" s="69" t="s">
        <v>194</v>
      </c>
      <c r="B46" s="93" t="s">
        <v>67</v>
      </c>
      <c r="C46" s="105">
        <v>17633025</v>
      </c>
      <c r="D46" s="19" t="s">
        <v>188</v>
      </c>
      <c r="E46" s="105">
        <v>26553725</v>
      </c>
      <c r="F46" s="19" t="s">
        <v>188</v>
      </c>
      <c r="G46" s="19" t="s">
        <v>189</v>
      </c>
      <c r="H46" s="19" t="s">
        <v>189</v>
      </c>
      <c r="I46" s="19" t="s">
        <v>188</v>
      </c>
      <c r="J46" s="105">
        <v>5145301906</v>
      </c>
      <c r="K46" s="105"/>
      <c r="L46" s="108">
        <v>26926605</v>
      </c>
      <c r="M46" s="19"/>
      <c r="N46" s="19" t="s">
        <v>189</v>
      </c>
      <c r="O46" s="19"/>
      <c r="P46" s="107" t="s">
        <v>192</v>
      </c>
      <c r="Q46" s="108">
        <v>627643228</v>
      </c>
      <c r="R46" s="105">
        <v>422597436</v>
      </c>
      <c r="S46" s="105"/>
      <c r="T46" s="105">
        <v>0</v>
      </c>
      <c r="U46" s="19" t="s">
        <v>188</v>
      </c>
      <c r="V46" s="105"/>
      <c r="W46" s="19" t="s">
        <v>189</v>
      </c>
      <c r="X46" s="105">
        <v>7722791</v>
      </c>
      <c r="Y46" s="19" t="s">
        <v>188</v>
      </c>
      <c r="Z46" s="105"/>
      <c r="AA46" s="105">
        <v>115196500</v>
      </c>
      <c r="AB46" s="19" t="s">
        <v>188</v>
      </c>
      <c r="AC46" s="19" t="s">
        <v>189</v>
      </c>
      <c r="AD46" s="19" t="s">
        <v>188</v>
      </c>
      <c r="AE46" s="105">
        <v>203860937</v>
      </c>
      <c r="AF46" s="105"/>
      <c r="AG46" s="105">
        <v>4940000</v>
      </c>
      <c r="AH46" s="19"/>
      <c r="AI46" s="105"/>
      <c r="AJ46" s="105">
        <v>780739816</v>
      </c>
      <c r="AK46" s="19" t="s">
        <v>188</v>
      </c>
      <c r="AL46" s="105">
        <v>4109458</v>
      </c>
      <c r="AM46" s="121"/>
      <c r="AN46" s="105">
        <f>39110660</f>
        <v>39110660</v>
      </c>
      <c r="AO46" s="19" t="s">
        <v>188</v>
      </c>
      <c r="AP46" s="105">
        <v>73503099</v>
      </c>
      <c r="AQ46" s="19" t="s">
        <v>188</v>
      </c>
      <c r="AR46" s="105">
        <v>2208182</v>
      </c>
      <c r="AS46" s="19" t="s">
        <v>188</v>
      </c>
      <c r="AT46" s="108">
        <v>0</v>
      </c>
      <c r="AU46" s="19"/>
      <c r="AV46" s="105">
        <f>107408930</f>
        <v>107408930</v>
      </c>
      <c r="AW46" s="105">
        <v>0</v>
      </c>
      <c r="AX46" s="105">
        <v>83241458</v>
      </c>
      <c r="AY46" s="19" t="s">
        <v>188</v>
      </c>
      <c r="AZ46" s="105">
        <v>13408512</v>
      </c>
      <c r="BA46" s="108">
        <v>16769135</v>
      </c>
      <c r="BB46" s="105">
        <v>874816338</v>
      </c>
      <c r="BC46" s="19"/>
      <c r="BD46" s="105">
        <v>258833329</v>
      </c>
      <c r="BE46" s="105">
        <f>97772366</f>
        <v>97772366</v>
      </c>
      <c r="BF46" s="105">
        <f>117084921</f>
        <v>117084921</v>
      </c>
      <c r="BG46" s="19"/>
      <c r="BH46" s="105">
        <v>618312590</v>
      </c>
      <c r="BI46" s="108">
        <v>148476973</v>
      </c>
      <c r="BJ46" s="105">
        <v>1781298702</v>
      </c>
      <c r="BK46" s="105"/>
      <c r="BL46" s="105">
        <f>229383000</f>
        <v>229383000</v>
      </c>
      <c r="BM46" s="19"/>
      <c r="BN46" s="105">
        <v>0</v>
      </c>
      <c r="BO46" s="19"/>
      <c r="BP46" s="19"/>
      <c r="BQ46" s="19" t="s">
        <v>189</v>
      </c>
      <c r="BR46" s="105">
        <v>451319817</v>
      </c>
      <c r="BS46" s="19"/>
      <c r="BT46" s="105">
        <v>0</v>
      </c>
      <c r="BU46" s="105">
        <f>5019091668</f>
        <v>5019091668</v>
      </c>
      <c r="BV46" s="19"/>
      <c r="BW46" s="19" t="s">
        <v>189</v>
      </c>
      <c r="BX46" s="19"/>
      <c r="BY46" s="105">
        <v>155671775</v>
      </c>
      <c r="BZ46" s="105">
        <f>1511286310</f>
        <v>1511286310</v>
      </c>
      <c r="CA46" s="19"/>
      <c r="CB46" s="19"/>
      <c r="CC46" s="19"/>
      <c r="CD46" s="19"/>
      <c r="CE46" s="19"/>
      <c r="CF46" s="105">
        <f>246372877</f>
        <v>246372877</v>
      </c>
      <c r="CG46" s="19"/>
      <c r="CH46" s="105">
        <v>212397001</v>
      </c>
      <c r="CI46" s="19"/>
      <c r="CJ46" s="105">
        <f>39716070+43423775+24336818+6522092+36483849+32670555</f>
        <v>183153159</v>
      </c>
      <c r="CK46" s="19" t="s">
        <v>190</v>
      </c>
      <c r="CL46" s="19"/>
      <c r="CM46" s="19"/>
      <c r="CN46" s="19"/>
      <c r="CO46" s="19"/>
      <c r="CP46" s="105">
        <v>91259926</v>
      </c>
      <c r="CQ46" s="105">
        <v>0</v>
      </c>
      <c r="CR46" s="19"/>
      <c r="CS46" s="19"/>
      <c r="CT46" s="19" t="s">
        <v>190</v>
      </c>
      <c r="CU46" s="105">
        <v>0</v>
      </c>
      <c r="CV46" s="105">
        <v>0</v>
      </c>
      <c r="CW46" s="19" t="s">
        <v>189</v>
      </c>
      <c r="CX46" s="105">
        <v>0</v>
      </c>
      <c r="CY46" s="19"/>
      <c r="CZ46" s="105">
        <f>52141819</f>
        <v>52141819</v>
      </c>
      <c r="DA46" s="19" t="s">
        <v>189</v>
      </c>
      <c r="DB46" s="19"/>
      <c r="DC46" s="114"/>
      <c r="DD46" s="115"/>
      <c r="DE46" s="103"/>
      <c r="DF46" s="115"/>
      <c r="DG46" s="103">
        <f>12986954</f>
        <v>12986954</v>
      </c>
      <c r="DH46" s="110" t="s">
        <v>189</v>
      </c>
      <c r="DI46" s="103">
        <f>10777002</f>
        <v>10777002</v>
      </c>
      <c r="DJ46" s="115"/>
      <c r="DK46" s="111" t="s">
        <v>189</v>
      </c>
      <c r="DL46" s="103">
        <f>252417603</f>
        <v>252417603</v>
      </c>
      <c r="DM46" s="103">
        <v>4158583</v>
      </c>
      <c r="DN46" s="103">
        <v>12343325</v>
      </c>
      <c r="DO46" s="103">
        <v>4080373742</v>
      </c>
      <c r="DP46" s="103">
        <v>54130796</v>
      </c>
      <c r="DQ46" s="103">
        <v>902535152</v>
      </c>
      <c r="DR46" s="103">
        <v>6493033</v>
      </c>
      <c r="DS46" s="103"/>
      <c r="DT46" s="103">
        <v>0</v>
      </c>
      <c r="DU46" s="103">
        <v>13459000</v>
      </c>
      <c r="DV46" s="103"/>
      <c r="DW46" s="103"/>
      <c r="DX46" s="103">
        <v>0</v>
      </c>
      <c r="DY46" s="103">
        <v>0</v>
      </c>
      <c r="DZ46" s="103"/>
      <c r="EA46" s="103"/>
      <c r="EB46" s="103"/>
      <c r="EC46" s="103">
        <v>53630313</v>
      </c>
      <c r="ED46" s="103"/>
      <c r="EE46" s="103"/>
      <c r="EF46" s="103"/>
    </row>
    <row r="47" spans="1:136">
      <c r="A47" s="69" t="s">
        <v>194</v>
      </c>
      <c r="B47" s="93" t="s">
        <v>72</v>
      </c>
      <c r="C47" s="105">
        <v>39746353</v>
      </c>
      <c r="D47" s="19" t="s">
        <v>188</v>
      </c>
      <c r="E47" s="105">
        <v>68883308</v>
      </c>
      <c r="F47" s="19" t="s">
        <v>188</v>
      </c>
      <c r="G47" s="19" t="s">
        <v>189</v>
      </c>
      <c r="H47" s="19" t="s">
        <v>189</v>
      </c>
      <c r="I47" s="19" t="s">
        <v>188</v>
      </c>
      <c r="J47" s="105">
        <v>6093901839</v>
      </c>
      <c r="K47" s="105">
        <v>421233063</v>
      </c>
      <c r="L47" s="108">
        <v>249835067</v>
      </c>
      <c r="M47" s="19"/>
      <c r="N47" s="19" t="s">
        <v>189</v>
      </c>
      <c r="O47" s="19"/>
      <c r="P47" s="107"/>
      <c r="Q47" s="108">
        <v>14029926217</v>
      </c>
      <c r="R47" s="105">
        <v>1483550032</v>
      </c>
      <c r="S47" s="105">
        <v>318535932</v>
      </c>
      <c r="T47" s="105">
        <v>199596338</v>
      </c>
      <c r="U47" s="19" t="s">
        <v>188</v>
      </c>
      <c r="V47" s="105"/>
      <c r="W47" s="19" t="s">
        <v>189</v>
      </c>
      <c r="X47" s="105">
        <v>344151770</v>
      </c>
      <c r="Y47" s="19" t="s">
        <v>188</v>
      </c>
      <c r="Z47" s="105"/>
      <c r="AA47" s="105">
        <v>294703697</v>
      </c>
      <c r="AB47" s="19" t="s">
        <v>188</v>
      </c>
      <c r="AC47" s="19" t="s">
        <v>189</v>
      </c>
      <c r="AD47" s="19" t="s">
        <v>188</v>
      </c>
      <c r="AE47" s="105">
        <v>1555787447</v>
      </c>
      <c r="AF47" s="105">
        <v>1170733848</v>
      </c>
      <c r="AG47" s="105"/>
      <c r="AH47" s="19"/>
      <c r="AI47" s="105">
        <v>1132297909</v>
      </c>
      <c r="AJ47" s="19"/>
      <c r="AK47" s="19" t="s">
        <v>188</v>
      </c>
      <c r="AL47" s="105">
        <v>2278522373</v>
      </c>
      <c r="AM47" s="122">
        <v>1195991215</v>
      </c>
      <c r="AN47" s="105"/>
      <c r="AO47" s="19" t="s">
        <v>188</v>
      </c>
      <c r="AP47" s="105"/>
      <c r="AQ47" s="19" t="s">
        <v>188</v>
      </c>
      <c r="AR47" s="105">
        <v>5322578771</v>
      </c>
      <c r="AS47" s="19" t="s">
        <v>188</v>
      </c>
      <c r="AT47" s="105">
        <v>8608869641</v>
      </c>
      <c r="AU47" s="19"/>
      <c r="AV47" s="19"/>
      <c r="AW47" s="105">
        <v>646505505</v>
      </c>
      <c r="AX47" s="105"/>
      <c r="AY47" s="19" t="s">
        <v>188</v>
      </c>
      <c r="AZ47" s="105"/>
      <c r="BA47" s="108"/>
      <c r="BB47" s="105">
        <f>559921920</f>
        <v>559921920</v>
      </c>
      <c r="BC47" s="105">
        <v>196987391</v>
      </c>
      <c r="BD47" s="105"/>
      <c r="BE47" s="105">
        <f>139651195</f>
        <v>139651195</v>
      </c>
      <c r="BF47" s="108">
        <f>105992642</f>
        <v>105992642</v>
      </c>
      <c r="BG47" s="19"/>
      <c r="BH47" s="19"/>
      <c r="BI47" s="108">
        <v>334424773</v>
      </c>
      <c r="BJ47" s="19"/>
      <c r="BK47" s="105"/>
      <c r="BL47" s="105"/>
      <c r="BM47" s="105">
        <f>1323330848</f>
        <v>1323330848</v>
      </c>
      <c r="BN47" s="105">
        <v>69256550</v>
      </c>
      <c r="BO47" s="19"/>
      <c r="BP47" s="19"/>
      <c r="BQ47" s="19" t="s">
        <v>189</v>
      </c>
      <c r="BR47" s="105">
        <v>38508380</v>
      </c>
      <c r="BS47" s="105">
        <f>522431141</f>
        <v>522431141</v>
      </c>
      <c r="BT47" s="105">
        <f>194621197</f>
        <v>194621197</v>
      </c>
      <c r="BU47" s="19"/>
      <c r="BV47" s="105">
        <f>502832664</f>
        <v>502832664</v>
      </c>
      <c r="BW47" s="19" t="s">
        <v>189</v>
      </c>
      <c r="BX47" s="19"/>
      <c r="BY47" s="19"/>
      <c r="BZ47" s="19"/>
      <c r="CA47" s="19"/>
      <c r="CB47" s="19"/>
      <c r="CC47" s="105">
        <v>74955300</v>
      </c>
      <c r="CD47" s="19"/>
      <c r="CE47" s="105">
        <f>209271992</f>
        <v>209271992</v>
      </c>
      <c r="CF47" s="19"/>
      <c r="CG47" s="19"/>
      <c r="CH47" s="105">
        <v>3143657033</v>
      </c>
      <c r="CI47" s="19"/>
      <c r="CJ47" s="19"/>
      <c r="CK47" s="19" t="s">
        <v>190</v>
      </c>
      <c r="CL47" s="105">
        <v>443052293</v>
      </c>
      <c r="CM47" s="105">
        <f>60038645+78623972+4693819</f>
        <v>143356436</v>
      </c>
      <c r="CN47" s="105">
        <f>100372126</f>
        <v>100372126</v>
      </c>
      <c r="CO47" s="105">
        <v>1313552782</v>
      </c>
      <c r="CP47" s="19"/>
      <c r="CQ47" s="19"/>
      <c r="CR47" s="19"/>
      <c r="CS47" s="19"/>
      <c r="CT47" s="19" t="s">
        <v>190</v>
      </c>
      <c r="CU47" s="19"/>
      <c r="CV47" s="105">
        <f>8739333840</f>
        <v>8739333840</v>
      </c>
      <c r="CW47" s="19" t="s">
        <v>189</v>
      </c>
      <c r="CX47" s="19"/>
      <c r="CY47" s="105">
        <f>72679173</f>
        <v>72679173</v>
      </c>
      <c r="CZ47" s="105">
        <v>0</v>
      </c>
      <c r="DA47" s="19" t="s">
        <v>189</v>
      </c>
      <c r="DB47" s="19"/>
      <c r="DC47" s="114"/>
      <c r="DD47" s="115"/>
      <c r="DE47" s="103">
        <f>1970202061</f>
        <v>1970202061</v>
      </c>
      <c r="DF47" s="103">
        <v>1328540934</v>
      </c>
      <c r="DG47" s="115"/>
      <c r="DH47" s="110" t="s">
        <v>189</v>
      </c>
      <c r="DI47" s="103">
        <f>379491171</f>
        <v>379491171</v>
      </c>
      <c r="DJ47" s="115"/>
      <c r="DK47" s="111" t="s">
        <v>189</v>
      </c>
      <c r="DL47" s="115"/>
      <c r="DM47" s="103">
        <v>678019123</v>
      </c>
      <c r="DN47" s="103"/>
      <c r="DO47" s="103">
        <v>431042057</v>
      </c>
      <c r="DP47" s="103"/>
      <c r="DQ47" s="103"/>
      <c r="DR47" s="103">
        <v>59902510</v>
      </c>
      <c r="DS47" s="103">
        <v>1808659491</v>
      </c>
      <c r="DT47" s="103">
        <v>929510007</v>
      </c>
      <c r="DU47" s="103">
        <v>692798991</v>
      </c>
      <c r="DV47" s="103">
        <v>14713491</v>
      </c>
      <c r="DW47" s="103"/>
      <c r="DX47" s="103">
        <v>373573794</v>
      </c>
      <c r="DY47" s="103">
        <v>3184319234</v>
      </c>
      <c r="DZ47" s="103"/>
      <c r="EA47" s="103">
        <v>208693283</v>
      </c>
      <c r="EB47" s="103">
        <v>3715216151</v>
      </c>
      <c r="EC47" s="103">
        <v>299080417</v>
      </c>
      <c r="ED47" s="103"/>
      <c r="EE47" s="103"/>
      <c r="EF47" s="103">
        <v>148818182</v>
      </c>
    </row>
    <row r="48" spans="1:136">
      <c r="A48" s="69" t="s">
        <v>194</v>
      </c>
      <c r="B48" s="93" t="s">
        <v>63</v>
      </c>
      <c r="C48" s="105"/>
      <c r="D48" s="19" t="s">
        <v>188</v>
      </c>
      <c r="E48" s="105"/>
      <c r="F48" s="19" t="s">
        <v>188</v>
      </c>
      <c r="G48" s="19" t="s">
        <v>189</v>
      </c>
      <c r="H48" s="19" t="s">
        <v>189</v>
      </c>
      <c r="I48" s="19" t="s">
        <v>188</v>
      </c>
      <c r="J48" s="105"/>
      <c r="K48" s="105"/>
      <c r="L48" s="108"/>
      <c r="M48" s="19"/>
      <c r="N48" s="19" t="s">
        <v>189</v>
      </c>
      <c r="O48" s="19"/>
      <c r="P48" s="107"/>
      <c r="Q48" s="108"/>
      <c r="R48" s="105"/>
      <c r="S48" s="105"/>
      <c r="T48" s="105"/>
      <c r="U48" s="19" t="s">
        <v>188</v>
      </c>
      <c r="V48" s="105"/>
      <c r="W48" s="19" t="s">
        <v>189</v>
      </c>
      <c r="X48" s="105"/>
      <c r="Y48" s="19" t="s">
        <v>188</v>
      </c>
      <c r="Z48" s="105"/>
      <c r="AA48" s="105">
        <v>1786080</v>
      </c>
      <c r="AB48" s="19" t="s">
        <v>188</v>
      </c>
      <c r="AC48" s="19" t="s">
        <v>189</v>
      </c>
      <c r="AD48" s="19" t="s">
        <v>188</v>
      </c>
      <c r="AE48" s="105"/>
      <c r="AF48" s="105"/>
      <c r="AG48" s="105"/>
      <c r="AH48" s="19"/>
      <c r="AI48" s="105">
        <v>0</v>
      </c>
      <c r="AJ48" s="19"/>
      <c r="AK48" s="19" t="s">
        <v>188</v>
      </c>
      <c r="AL48" s="19"/>
      <c r="AM48" s="108"/>
      <c r="AN48" s="105"/>
      <c r="AO48" s="19" t="s">
        <v>188</v>
      </c>
      <c r="AP48" s="105"/>
      <c r="AQ48" s="19" t="s">
        <v>188</v>
      </c>
      <c r="AR48" s="105"/>
      <c r="AS48" s="19" t="s">
        <v>188</v>
      </c>
      <c r="AT48" s="105"/>
      <c r="AU48" s="19"/>
      <c r="AV48" s="19"/>
      <c r="AW48" s="105"/>
      <c r="AX48" s="105"/>
      <c r="AY48" s="19" t="s">
        <v>188</v>
      </c>
      <c r="AZ48" s="105"/>
      <c r="BA48" s="108"/>
      <c r="BB48" s="19"/>
      <c r="BC48" s="19"/>
      <c r="BD48" s="105"/>
      <c r="BE48" s="19"/>
      <c r="BF48" s="19"/>
      <c r="BG48" s="19"/>
      <c r="BH48" s="19"/>
      <c r="BI48" s="19"/>
      <c r="BJ48" s="19"/>
      <c r="BK48" s="19"/>
      <c r="BL48" s="105">
        <f>1002416385</f>
        <v>1002416385</v>
      </c>
      <c r="BM48" s="19"/>
      <c r="BN48" s="19"/>
      <c r="BO48" s="19"/>
      <c r="BP48" s="19"/>
      <c r="BQ48" s="19" t="s">
        <v>189</v>
      </c>
      <c r="BR48" s="19"/>
      <c r="BS48" s="19"/>
      <c r="BT48" s="19"/>
      <c r="BU48" s="19"/>
      <c r="BV48" s="19"/>
      <c r="BW48" s="19" t="s">
        <v>189</v>
      </c>
      <c r="BX48" s="19"/>
      <c r="BY48" s="19"/>
      <c r="BZ48" s="19"/>
      <c r="CA48" s="19"/>
      <c r="CB48" s="19"/>
      <c r="CC48" s="19"/>
      <c r="CD48" s="19"/>
      <c r="CE48" s="19"/>
      <c r="CF48" s="19"/>
      <c r="CG48" s="19"/>
      <c r="CH48" s="19"/>
      <c r="CI48" s="19"/>
      <c r="CJ48" s="19"/>
      <c r="CK48" s="19" t="s">
        <v>190</v>
      </c>
      <c r="CL48" s="19"/>
      <c r="CM48" s="19"/>
      <c r="CN48" s="19"/>
      <c r="CO48" s="19"/>
      <c r="CP48" s="19"/>
      <c r="CQ48" s="19"/>
      <c r="CR48" s="19"/>
      <c r="CS48" s="105">
        <f>800628759</f>
        <v>800628759</v>
      </c>
      <c r="CT48" s="19" t="s">
        <v>190</v>
      </c>
      <c r="CU48" s="105">
        <v>2724135561</v>
      </c>
      <c r="CV48" s="19"/>
      <c r="CW48" s="19" t="s">
        <v>189</v>
      </c>
      <c r="CX48" s="105">
        <f>4374806249</f>
        <v>4374806249</v>
      </c>
      <c r="CY48" s="19"/>
      <c r="CZ48" s="105"/>
      <c r="DA48" s="19" t="s">
        <v>189</v>
      </c>
      <c r="DB48" s="19"/>
      <c r="DC48" s="114"/>
      <c r="DD48" s="115"/>
      <c r="DE48" s="115"/>
      <c r="DF48" s="115"/>
      <c r="DG48" s="115"/>
      <c r="DH48" s="110" t="s">
        <v>189</v>
      </c>
      <c r="DI48" s="115"/>
      <c r="DJ48" s="115"/>
      <c r="DK48" s="111" t="s">
        <v>189</v>
      </c>
      <c r="DL48" s="115"/>
      <c r="DM48" s="103"/>
      <c r="DN48" s="103">
        <v>302033339</v>
      </c>
      <c r="DO48" s="103"/>
      <c r="DP48" s="103"/>
      <c r="DQ48" s="103"/>
      <c r="DR48" s="103"/>
      <c r="DS48" s="103">
        <v>2055399208</v>
      </c>
      <c r="DT48" s="103"/>
      <c r="DU48" s="103"/>
      <c r="DV48" s="103"/>
      <c r="DW48" s="103"/>
      <c r="DX48" s="103"/>
      <c r="DY48" s="103"/>
      <c r="DZ48" s="103"/>
      <c r="EA48" s="103"/>
      <c r="EB48" s="103"/>
      <c r="EC48" s="103"/>
      <c r="ED48" s="103"/>
      <c r="EE48" s="103"/>
      <c r="EF48" s="103"/>
    </row>
    <row r="49" spans="1:136">
      <c r="A49" s="69" t="s">
        <v>194</v>
      </c>
      <c r="B49" s="93" t="s">
        <v>64</v>
      </c>
      <c r="C49" s="105"/>
      <c r="D49" s="19" t="s">
        <v>188</v>
      </c>
      <c r="E49" s="105"/>
      <c r="F49" s="19" t="s">
        <v>188</v>
      </c>
      <c r="G49" s="19" t="s">
        <v>189</v>
      </c>
      <c r="H49" s="19" t="s">
        <v>189</v>
      </c>
      <c r="I49" s="19" t="s">
        <v>188</v>
      </c>
      <c r="J49" s="105"/>
      <c r="K49" s="105"/>
      <c r="L49" s="108"/>
      <c r="M49" s="19"/>
      <c r="N49" s="19" t="s">
        <v>189</v>
      </c>
      <c r="O49" s="19"/>
      <c r="P49" s="107"/>
      <c r="Q49" s="108">
        <v>5248978899</v>
      </c>
      <c r="R49" s="105"/>
      <c r="S49" s="105"/>
      <c r="T49" s="105"/>
      <c r="U49" s="19" t="s">
        <v>188</v>
      </c>
      <c r="V49" s="105"/>
      <c r="W49" s="19" t="s">
        <v>189</v>
      </c>
      <c r="X49" s="105"/>
      <c r="Y49" s="19" t="s">
        <v>188</v>
      </c>
      <c r="Z49" s="105"/>
      <c r="AA49" s="105"/>
      <c r="AB49" s="19" t="s">
        <v>188</v>
      </c>
      <c r="AC49" s="19" t="s">
        <v>189</v>
      </c>
      <c r="AD49" s="19" t="s">
        <v>188</v>
      </c>
      <c r="AE49" s="19"/>
      <c r="AF49" s="105"/>
      <c r="AG49" s="19"/>
      <c r="AH49" s="19"/>
      <c r="AI49" s="19"/>
      <c r="AJ49" s="19"/>
      <c r="AK49" s="19" t="s">
        <v>188</v>
      </c>
      <c r="AL49" s="19"/>
      <c r="AM49" s="108"/>
      <c r="AN49" s="19"/>
      <c r="AO49" s="19" t="s">
        <v>188</v>
      </c>
      <c r="AP49" s="19"/>
      <c r="AQ49" s="19" t="s">
        <v>188</v>
      </c>
      <c r="AR49" s="105"/>
      <c r="AS49" s="19" t="s">
        <v>188</v>
      </c>
      <c r="AT49" s="105"/>
      <c r="AU49" s="19"/>
      <c r="AV49" s="19"/>
      <c r="AW49" s="105"/>
      <c r="AX49" s="19"/>
      <c r="AY49" s="19" t="s">
        <v>188</v>
      </c>
      <c r="AZ49" s="105"/>
      <c r="BA49" s="19"/>
      <c r="BB49" s="19"/>
      <c r="BC49" s="19"/>
      <c r="BD49" s="19"/>
      <c r="BE49" s="19"/>
      <c r="BF49" s="19"/>
      <c r="BG49" s="19"/>
      <c r="BH49" s="19"/>
      <c r="BI49" s="19"/>
      <c r="BJ49" s="19"/>
      <c r="BK49" s="19"/>
      <c r="BL49" s="19"/>
      <c r="BM49" s="19"/>
      <c r="BN49" s="19"/>
      <c r="BO49" s="19"/>
      <c r="BP49" s="19"/>
      <c r="BQ49" s="19" t="s">
        <v>189</v>
      </c>
      <c r="BR49" s="19"/>
      <c r="BS49" s="19"/>
      <c r="BT49" s="19"/>
      <c r="BU49" s="19"/>
      <c r="BV49" s="19"/>
      <c r="BW49" s="19" t="s">
        <v>189</v>
      </c>
      <c r="BX49" s="19"/>
      <c r="BY49" s="19"/>
      <c r="BZ49" s="19"/>
      <c r="CA49" s="19"/>
      <c r="CB49" s="19"/>
      <c r="CC49" s="19"/>
      <c r="CD49" s="19"/>
      <c r="CE49" s="19"/>
      <c r="CF49" s="19"/>
      <c r="CG49" s="19"/>
      <c r="CH49" s="19"/>
      <c r="CI49" s="19"/>
      <c r="CJ49" s="19"/>
      <c r="CK49" s="19" t="s">
        <v>190</v>
      </c>
      <c r="CL49" s="19"/>
      <c r="CM49" s="19"/>
      <c r="CN49" s="19"/>
      <c r="CO49" s="19"/>
      <c r="CP49" s="19"/>
      <c r="CQ49" s="19"/>
      <c r="CR49" s="19"/>
      <c r="CS49" s="19"/>
      <c r="CT49" s="19" t="s">
        <v>190</v>
      </c>
      <c r="CU49" s="19"/>
      <c r="CV49" s="19"/>
      <c r="CW49" s="19" t="s">
        <v>189</v>
      </c>
      <c r="CX49" s="19"/>
      <c r="CY49" s="19"/>
      <c r="CZ49" s="19"/>
      <c r="DA49" s="19" t="s">
        <v>189</v>
      </c>
      <c r="DB49" s="19"/>
      <c r="DC49" s="114"/>
      <c r="DD49" s="115"/>
      <c r="DE49" s="115"/>
      <c r="DF49" s="103">
        <v>1152220349</v>
      </c>
      <c r="DG49" s="115"/>
      <c r="DH49" s="110" t="s">
        <v>189</v>
      </c>
      <c r="DI49" s="115"/>
      <c r="DJ49" s="115"/>
      <c r="DK49" s="111" t="s">
        <v>189</v>
      </c>
      <c r="DL49" s="115"/>
      <c r="DM49" s="103"/>
      <c r="DN49" s="103"/>
      <c r="DO49" s="103"/>
      <c r="DP49" s="103"/>
      <c r="DQ49" s="103"/>
      <c r="DR49" s="103"/>
      <c r="DS49" s="103"/>
      <c r="DT49" s="103"/>
      <c r="DU49" s="103"/>
      <c r="DV49" s="103"/>
      <c r="DW49" s="103"/>
      <c r="DX49" s="103"/>
      <c r="DY49" s="103"/>
      <c r="DZ49" s="103"/>
      <c r="EA49" s="103"/>
      <c r="EB49" s="103"/>
      <c r="EC49" s="103"/>
      <c r="ED49" s="103"/>
      <c r="EE49" s="103"/>
      <c r="EF49" s="103"/>
    </row>
    <row r="50" spans="1:136">
      <c r="A50" s="69" t="s">
        <v>194</v>
      </c>
      <c r="B50" s="92" t="s">
        <v>14</v>
      </c>
      <c r="C50" s="105">
        <v>79730880</v>
      </c>
      <c r="D50" s="19" t="s">
        <v>188</v>
      </c>
      <c r="E50" s="105">
        <v>278829764</v>
      </c>
      <c r="F50" s="19" t="s">
        <v>188</v>
      </c>
      <c r="G50" s="19" t="s">
        <v>189</v>
      </c>
      <c r="H50" s="19" t="s">
        <v>189</v>
      </c>
      <c r="I50" s="19" t="s">
        <v>188</v>
      </c>
      <c r="J50" s="105">
        <v>3255693497</v>
      </c>
      <c r="K50" s="105">
        <v>179233131</v>
      </c>
      <c r="L50" s="108">
        <v>211876759</v>
      </c>
      <c r="M50" s="105">
        <v>355564841</v>
      </c>
      <c r="N50" s="19" t="s">
        <v>189</v>
      </c>
      <c r="O50" s="105">
        <v>178058134</v>
      </c>
      <c r="P50" s="107">
        <v>9773074952</v>
      </c>
      <c r="Q50" s="108">
        <v>-1258743057</v>
      </c>
      <c r="R50" s="105">
        <v>441008925</v>
      </c>
      <c r="S50" s="105">
        <v>420648254</v>
      </c>
      <c r="T50" s="105">
        <v>789306051</v>
      </c>
      <c r="U50" s="19" t="s">
        <v>188</v>
      </c>
      <c r="V50" s="105">
        <v>411434621</v>
      </c>
      <c r="W50" s="19" t="s">
        <v>189</v>
      </c>
      <c r="X50" s="105">
        <v>334417608</v>
      </c>
      <c r="Y50" s="19" t="s">
        <v>188</v>
      </c>
      <c r="Z50" s="105">
        <v>7852518840</v>
      </c>
      <c r="AA50" s="105">
        <v>960919106</v>
      </c>
      <c r="AB50" s="19" t="s">
        <v>188</v>
      </c>
      <c r="AC50" s="19" t="s">
        <v>189</v>
      </c>
      <c r="AD50" s="19" t="s">
        <v>188</v>
      </c>
      <c r="AE50" s="105">
        <v>1296046492</v>
      </c>
      <c r="AF50" s="105">
        <v>485010268</v>
      </c>
      <c r="AG50" s="105">
        <v>709234600</v>
      </c>
      <c r="AH50" s="105">
        <v>144272727</v>
      </c>
      <c r="AI50" s="105">
        <v>628203265</v>
      </c>
      <c r="AJ50" s="105">
        <v>809290291</v>
      </c>
      <c r="AK50" s="19" t="s">
        <v>188</v>
      </c>
      <c r="AL50" s="105">
        <v>566528953</v>
      </c>
      <c r="AM50" s="108">
        <v>939483636</v>
      </c>
      <c r="AN50" s="105">
        <f>49078907</f>
        <v>49078907</v>
      </c>
      <c r="AO50" s="19" t="s">
        <v>188</v>
      </c>
      <c r="AP50" s="105">
        <v>263202947</v>
      </c>
      <c r="AQ50" s="19" t="s">
        <v>188</v>
      </c>
      <c r="AR50" s="105">
        <v>1851648280</v>
      </c>
      <c r="AS50" s="19" t="s">
        <v>188</v>
      </c>
      <c r="AT50" s="105">
        <v>2184544907</v>
      </c>
      <c r="AU50" s="105">
        <v>238375580</v>
      </c>
      <c r="AV50" s="105">
        <v>1221782933</v>
      </c>
      <c r="AW50" s="105">
        <v>6187440932</v>
      </c>
      <c r="AX50" s="105">
        <v>270842085</v>
      </c>
      <c r="AY50" s="19" t="s">
        <v>188</v>
      </c>
      <c r="AZ50" s="105">
        <v>8818344</v>
      </c>
      <c r="BA50" s="105">
        <v>133875350</v>
      </c>
      <c r="BB50" s="105">
        <v>1109158240</v>
      </c>
      <c r="BC50" s="105">
        <v>153728051</v>
      </c>
      <c r="BD50" s="105">
        <v>669148642</v>
      </c>
      <c r="BE50" s="105">
        <f>404767390</f>
        <v>404767390</v>
      </c>
      <c r="BF50" s="105">
        <f>403389503</f>
        <v>403389503</v>
      </c>
      <c r="BG50" s="105">
        <v>1423207394</v>
      </c>
      <c r="BH50" s="105">
        <f>4447377578</f>
        <v>4447377578</v>
      </c>
      <c r="BI50" s="108">
        <v>2352466923</v>
      </c>
      <c r="BJ50" s="105">
        <v>1182910795</v>
      </c>
      <c r="BK50" s="105">
        <f>2086065930</f>
        <v>2086065930</v>
      </c>
      <c r="BL50" s="105">
        <f>1529139856</f>
        <v>1529139856</v>
      </c>
      <c r="BM50" s="105">
        <f>546094184</f>
        <v>546094184</v>
      </c>
      <c r="BN50" s="105">
        <v>499528713</v>
      </c>
      <c r="BO50" s="105">
        <f>9186794556</f>
        <v>9186794556</v>
      </c>
      <c r="BP50" s="105">
        <f>1978252160</f>
        <v>1978252160</v>
      </c>
      <c r="BQ50" s="19" t="s">
        <v>189</v>
      </c>
      <c r="BR50" s="105">
        <f>977896123</f>
        <v>977896123</v>
      </c>
      <c r="BS50" s="105">
        <f>1457864303</f>
        <v>1457864303</v>
      </c>
      <c r="BT50" s="105">
        <f>374412557</f>
        <v>374412557</v>
      </c>
      <c r="BU50" s="105">
        <f>2740466841</f>
        <v>2740466841</v>
      </c>
      <c r="BV50" s="105">
        <f>796646799</f>
        <v>796646799</v>
      </c>
      <c r="BW50" s="19" t="s">
        <v>189</v>
      </c>
      <c r="BX50" s="105">
        <f>607940060</f>
        <v>607940060</v>
      </c>
      <c r="BY50" s="105">
        <v>483560012</v>
      </c>
      <c r="BZ50" s="105">
        <f>1662798652</f>
        <v>1662798652</v>
      </c>
      <c r="CA50" s="105">
        <f>100103340</f>
        <v>100103340</v>
      </c>
      <c r="CB50" s="105">
        <f>317037824</f>
        <v>317037824</v>
      </c>
      <c r="CC50" s="105">
        <v>98965401</v>
      </c>
      <c r="CD50" s="105">
        <f>45346551</f>
        <v>45346551</v>
      </c>
      <c r="CE50" s="105">
        <f>111005372</f>
        <v>111005372</v>
      </c>
      <c r="CF50" s="105">
        <f>6800456902</f>
        <v>6800456902</v>
      </c>
      <c r="CG50" s="105">
        <f>787089997</f>
        <v>787089997</v>
      </c>
      <c r="CH50" s="105">
        <v>1139182685</v>
      </c>
      <c r="CI50" s="105">
        <v>218079000</v>
      </c>
      <c r="CJ50" s="105">
        <f>281898871</f>
        <v>281898871</v>
      </c>
      <c r="CK50" s="19" t="s">
        <v>190</v>
      </c>
      <c r="CL50" s="105">
        <v>554946935</v>
      </c>
      <c r="CM50" s="105">
        <v>260651872</v>
      </c>
      <c r="CN50" s="105">
        <f>174289468</f>
        <v>174289468</v>
      </c>
      <c r="CO50" s="105">
        <v>346490945</v>
      </c>
      <c r="CP50" s="105">
        <v>6426169119</v>
      </c>
      <c r="CQ50" s="105">
        <v>13660344</v>
      </c>
      <c r="CR50" s="105">
        <f>7567752860</f>
        <v>7567752860</v>
      </c>
      <c r="CS50" s="105">
        <f>6221880736</f>
        <v>6221880736</v>
      </c>
      <c r="CT50" s="19" t="s">
        <v>190</v>
      </c>
      <c r="CU50" s="105">
        <v>533423738</v>
      </c>
      <c r="CV50" s="105">
        <f>1842231889</f>
        <v>1842231889</v>
      </c>
      <c r="CW50" s="19" t="s">
        <v>189</v>
      </c>
      <c r="CX50" s="105">
        <f>1426044598</f>
        <v>1426044598</v>
      </c>
      <c r="CY50" s="105">
        <v>-12411012</v>
      </c>
      <c r="CZ50" s="105">
        <v>0</v>
      </c>
      <c r="DA50" s="19" t="s">
        <v>189</v>
      </c>
      <c r="DB50" s="105">
        <v>277196156</v>
      </c>
      <c r="DC50" s="109">
        <f>244177656</f>
        <v>244177656</v>
      </c>
      <c r="DD50" s="103">
        <f>2225447562</f>
        <v>2225447562</v>
      </c>
      <c r="DE50" s="103">
        <v>-1577328473</v>
      </c>
      <c r="DF50" s="103">
        <v>-879297254</v>
      </c>
      <c r="DG50" s="103">
        <f>875258046</f>
        <v>875258046</v>
      </c>
      <c r="DH50" s="110" t="s">
        <v>189</v>
      </c>
      <c r="DI50" s="103">
        <f>70875691</f>
        <v>70875691</v>
      </c>
      <c r="DJ50" s="103">
        <f>3922491637</f>
        <v>3922491637</v>
      </c>
      <c r="DK50" s="111" t="s">
        <v>189</v>
      </c>
      <c r="DL50" s="103">
        <f>745895435</f>
        <v>745895435</v>
      </c>
      <c r="DM50" s="103">
        <v>265284701</v>
      </c>
      <c r="DN50" s="103">
        <v>384253573</v>
      </c>
      <c r="DO50" s="103">
        <v>331950058</v>
      </c>
      <c r="DP50" s="103">
        <v>149082693</v>
      </c>
      <c r="DQ50" s="103">
        <v>309720578</v>
      </c>
      <c r="DR50" s="103">
        <v>120318583</v>
      </c>
      <c r="DS50" s="103">
        <v>566294224</v>
      </c>
      <c r="DT50" s="103">
        <v>81580880</v>
      </c>
      <c r="DU50" s="103">
        <v>239988567</v>
      </c>
      <c r="DV50" s="103">
        <v>313149264</v>
      </c>
      <c r="DW50" s="103">
        <v>4209096312</v>
      </c>
      <c r="DX50" s="103">
        <v>698269520</v>
      </c>
      <c r="DY50" s="103">
        <v>233798960</v>
      </c>
      <c r="DZ50" s="103">
        <v>1620153240</v>
      </c>
      <c r="EA50" s="103">
        <v>624548714</v>
      </c>
      <c r="EB50" s="103">
        <v>1648954742</v>
      </c>
      <c r="EC50" s="103">
        <v>498498807</v>
      </c>
      <c r="ED50" s="103">
        <v>0</v>
      </c>
      <c r="EE50" s="103">
        <v>1798994783</v>
      </c>
      <c r="EF50" s="103">
        <v>1051056245</v>
      </c>
    </row>
    <row r="51" spans="1:136">
      <c r="A51" s="69" t="s">
        <v>194</v>
      </c>
      <c r="B51" s="92" t="s">
        <v>102</v>
      </c>
      <c r="C51" s="105">
        <v>79212010</v>
      </c>
      <c r="D51" s="19" t="s">
        <v>188</v>
      </c>
      <c r="E51" s="105">
        <v>276316644</v>
      </c>
      <c r="F51" s="19" t="s">
        <v>188</v>
      </c>
      <c r="G51" s="19" t="s">
        <v>189</v>
      </c>
      <c r="H51" s="19" t="s">
        <v>189</v>
      </c>
      <c r="I51" s="19" t="s">
        <v>188</v>
      </c>
      <c r="J51" s="105">
        <v>2846705953</v>
      </c>
      <c r="K51" s="105">
        <v>332938548</v>
      </c>
      <c r="L51" s="108">
        <v>662930035</v>
      </c>
      <c r="M51" s="105">
        <v>457114010</v>
      </c>
      <c r="N51" s="19" t="s">
        <v>189</v>
      </c>
      <c r="O51" s="105">
        <v>152536671</v>
      </c>
      <c r="P51" s="107">
        <v>9456592865</v>
      </c>
      <c r="Q51" s="108">
        <v>8403108397</v>
      </c>
      <c r="R51" s="105">
        <v>431024810</v>
      </c>
      <c r="S51" s="105">
        <v>709916699</v>
      </c>
      <c r="T51" s="105">
        <v>865744857</v>
      </c>
      <c r="U51" s="19" t="s">
        <v>188</v>
      </c>
      <c r="V51" s="105">
        <f>651916962+434325246</f>
        <v>1086242208</v>
      </c>
      <c r="W51" s="19" t="s">
        <v>189</v>
      </c>
      <c r="X51" s="105">
        <v>472627122</v>
      </c>
      <c r="Y51" s="19" t="s">
        <v>188</v>
      </c>
      <c r="Z51" s="105">
        <v>7980879971</v>
      </c>
      <c r="AA51" s="105">
        <v>773892429</v>
      </c>
      <c r="AB51" s="19" t="s">
        <v>188</v>
      </c>
      <c r="AC51" s="19" t="s">
        <v>189</v>
      </c>
      <c r="AD51" s="19" t="s">
        <v>188</v>
      </c>
      <c r="AE51" s="105">
        <v>1772775204</v>
      </c>
      <c r="AF51" s="105">
        <v>183181599</v>
      </c>
      <c r="AG51" s="105">
        <v>640246856</v>
      </c>
      <c r="AH51" s="105">
        <v>149211834</v>
      </c>
      <c r="AI51" s="105">
        <v>671928057</v>
      </c>
      <c r="AJ51" s="105">
        <v>2010164388</v>
      </c>
      <c r="AK51" s="19" t="s">
        <v>188</v>
      </c>
      <c r="AL51" s="105">
        <v>2213984579</v>
      </c>
      <c r="AM51" s="108">
        <v>842137494</v>
      </c>
      <c r="AN51" s="105">
        <f>106329728</f>
        <v>106329728</v>
      </c>
      <c r="AO51" s="19" t="s">
        <v>188</v>
      </c>
      <c r="AP51" s="105">
        <v>254051726</v>
      </c>
      <c r="AQ51" s="19" t="s">
        <v>188</v>
      </c>
      <c r="AR51" s="105">
        <v>935004873</v>
      </c>
      <c r="AS51" s="19" t="s">
        <v>188</v>
      </c>
      <c r="AT51" s="105">
        <v>952307991</v>
      </c>
      <c r="AU51" s="105">
        <v>295913860</v>
      </c>
      <c r="AV51" s="105">
        <v>2714725262</v>
      </c>
      <c r="AW51" s="105">
        <v>6082922735</v>
      </c>
      <c r="AX51" s="105">
        <v>267492962</v>
      </c>
      <c r="AY51" s="19" t="s">
        <v>188</v>
      </c>
      <c r="AZ51" s="108">
        <v>13162534</v>
      </c>
      <c r="BA51" s="105">
        <v>146789364</v>
      </c>
      <c r="BB51" s="105">
        <v>1159645033</v>
      </c>
      <c r="BC51" s="105">
        <v>185109727</v>
      </c>
      <c r="BD51" s="105">
        <v>632008896</v>
      </c>
      <c r="BE51" s="105">
        <f>398308533</f>
        <v>398308533</v>
      </c>
      <c r="BF51" s="105">
        <f>350536540</f>
        <v>350536540</v>
      </c>
      <c r="BG51" s="105">
        <v>2438694271</v>
      </c>
      <c r="BH51" s="105">
        <f>6690061434</f>
        <v>6690061434</v>
      </c>
      <c r="BI51" s="108">
        <v>1828374211</v>
      </c>
      <c r="BJ51" s="105">
        <v>1346441859</v>
      </c>
      <c r="BK51" s="105">
        <f>1971743643</f>
        <v>1971743643</v>
      </c>
      <c r="BL51" s="105">
        <f>1528973371</f>
        <v>1528973371</v>
      </c>
      <c r="BM51" s="105">
        <f>355151535</f>
        <v>355151535</v>
      </c>
      <c r="BN51" s="105">
        <v>457321197</v>
      </c>
      <c r="BO51" s="105">
        <f>9322266040</f>
        <v>9322266040</v>
      </c>
      <c r="BP51" s="105">
        <f>1899749274</f>
        <v>1899749274</v>
      </c>
      <c r="BQ51" s="19" t="s">
        <v>189</v>
      </c>
      <c r="BR51" s="105">
        <f>963199261</f>
        <v>963199261</v>
      </c>
      <c r="BS51" s="105">
        <f>2834263251</f>
        <v>2834263251</v>
      </c>
      <c r="BT51" s="105">
        <f>486546446</f>
        <v>486546446</v>
      </c>
      <c r="BU51" s="105">
        <f>3007985658</f>
        <v>3007985658</v>
      </c>
      <c r="BV51" s="105">
        <f>714181515</f>
        <v>714181515</v>
      </c>
      <c r="BW51" s="19" t="s">
        <v>189</v>
      </c>
      <c r="BX51" s="105">
        <f>654224599</f>
        <v>654224599</v>
      </c>
      <c r="BY51" s="105">
        <v>406847679</v>
      </c>
      <c r="BZ51" s="105">
        <f>1559903487</f>
        <v>1559903487</v>
      </c>
      <c r="CA51" s="105">
        <f>87276966</f>
        <v>87276966</v>
      </c>
      <c r="CB51" s="105">
        <f>345601537</f>
        <v>345601537</v>
      </c>
      <c r="CC51" s="105">
        <v>91932174</v>
      </c>
      <c r="CD51" s="105">
        <f>110664662</f>
        <v>110664662</v>
      </c>
      <c r="CE51" s="105">
        <f>126514211</f>
        <v>126514211</v>
      </c>
      <c r="CF51" s="105">
        <f>6622872923</f>
        <v>6622872923</v>
      </c>
      <c r="CG51" s="105">
        <f>763931822</f>
        <v>763931822</v>
      </c>
      <c r="CH51" s="105">
        <v>697437072</v>
      </c>
      <c r="CI51" s="105">
        <v>270892093</v>
      </c>
      <c r="CJ51" s="105">
        <f>312233357</f>
        <v>312233357</v>
      </c>
      <c r="CK51" s="19" t="s">
        <v>190</v>
      </c>
      <c r="CL51" s="105">
        <v>830357015</v>
      </c>
      <c r="CM51" s="105">
        <v>456120212</v>
      </c>
      <c r="CN51" s="105">
        <f>172182702</f>
        <v>172182702</v>
      </c>
      <c r="CO51" s="105">
        <v>324092127</v>
      </c>
      <c r="CP51" s="105">
        <v>6464596266</v>
      </c>
      <c r="CQ51" s="105">
        <v>69148837</v>
      </c>
      <c r="CR51" s="105">
        <f>7497640393</f>
        <v>7497640393</v>
      </c>
      <c r="CS51" s="105">
        <f>6194449652</f>
        <v>6194449652</v>
      </c>
      <c r="CT51" s="19" t="s">
        <v>190</v>
      </c>
      <c r="CU51" s="105">
        <v>397582290</v>
      </c>
      <c r="CV51" s="105">
        <f>1083979360</f>
        <v>1083979360</v>
      </c>
      <c r="CW51" s="19" t="s">
        <v>189</v>
      </c>
      <c r="CX51" s="105">
        <f>1423960710</f>
        <v>1423960710</v>
      </c>
      <c r="CY51" s="105">
        <v>40621398</v>
      </c>
      <c r="CZ51" s="105">
        <v>1799022431</v>
      </c>
      <c r="DA51" s="19" t="s">
        <v>189</v>
      </c>
      <c r="DB51" s="105">
        <v>628385534</v>
      </c>
      <c r="DC51" s="109">
        <f>302102856</f>
        <v>302102856</v>
      </c>
      <c r="DD51" s="103">
        <f>2184957246</f>
        <v>2184957246</v>
      </c>
      <c r="DE51" s="103">
        <v>929706320</v>
      </c>
      <c r="DF51" s="103">
        <v>21297926099</v>
      </c>
      <c r="DG51" s="103">
        <f>937809817</f>
        <v>937809817</v>
      </c>
      <c r="DH51" s="110" t="s">
        <v>189</v>
      </c>
      <c r="DI51" s="103">
        <f>405115631</f>
        <v>405115631</v>
      </c>
      <c r="DJ51" s="103">
        <f>3998131944</f>
        <v>3998131944</v>
      </c>
      <c r="DK51" s="111" t="s">
        <v>189</v>
      </c>
      <c r="DL51" s="103">
        <f>700459305</f>
        <v>700459305</v>
      </c>
      <c r="DM51" s="103">
        <v>252917720</v>
      </c>
      <c r="DN51" s="103">
        <v>230012596</v>
      </c>
      <c r="DO51" s="103">
        <v>816357484</v>
      </c>
      <c r="DP51" s="103">
        <v>143465989</v>
      </c>
      <c r="DQ51" s="103">
        <v>290510737</v>
      </c>
      <c r="DR51" s="103">
        <v>352225361</v>
      </c>
      <c r="DS51" s="103">
        <v>381580165</v>
      </c>
      <c r="DT51" s="103">
        <v>83719844</v>
      </c>
      <c r="DU51" s="103">
        <v>129034957</v>
      </c>
      <c r="DV51" s="103">
        <v>399826976</v>
      </c>
      <c r="DW51" s="103">
        <v>4071872845</v>
      </c>
      <c r="DX51" s="103">
        <v>339872279</v>
      </c>
      <c r="DY51" s="103">
        <v>939958018</v>
      </c>
      <c r="DZ51" s="103">
        <v>1584818584</v>
      </c>
      <c r="EA51" s="103">
        <v>657237528</v>
      </c>
      <c r="EB51" s="103">
        <v>1370801984</v>
      </c>
      <c r="EC51" s="103">
        <v>415009009</v>
      </c>
      <c r="ED51" s="103">
        <v>0</v>
      </c>
      <c r="EE51" s="103">
        <v>1497742840</v>
      </c>
      <c r="EF51" s="103">
        <v>1027706408</v>
      </c>
    </row>
    <row r="52" spans="1:136">
      <c r="A52" s="69" t="s">
        <v>194</v>
      </c>
      <c r="B52" s="93" t="s">
        <v>26</v>
      </c>
      <c r="C52" s="105">
        <f>21600000+232815</f>
        <v>21832815</v>
      </c>
      <c r="D52" s="19" t="s">
        <v>188</v>
      </c>
      <c r="E52" s="105">
        <f>112803200+7583740</f>
        <v>120386940</v>
      </c>
      <c r="F52" s="19" t="s">
        <v>188</v>
      </c>
      <c r="G52" s="19" t="s">
        <v>189</v>
      </c>
      <c r="H52" s="19" t="s">
        <v>189</v>
      </c>
      <c r="I52" s="19" t="s">
        <v>188</v>
      </c>
      <c r="J52" s="105">
        <f>794660010+11700000+17875605+116533000</f>
        <v>940768615</v>
      </c>
      <c r="K52" s="105">
        <f>123952926+24043840</f>
        <v>147996766</v>
      </c>
      <c r="L52" s="108">
        <f>248565226+43063662</f>
        <v>291628888</v>
      </c>
      <c r="M52" s="105">
        <f>77949450+299143290+41042200</f>
        <v>418134940</v>
      </c>
      <c r="N52" s="19" t="s">
        <v>189</v>
      </c>
      <c r="O52" s="105">
        <f>74908024+8282231</f>
        <v>83190255</v>
      </c>
      <c r="P52" s="107">
        <f>7286838922+22785020+94656+51636590+535227667</f>
        <v>7896582855</v>
      </c>
      <c r="Q52" s="105">
        <f>4210274679+342118834</f>
        <v>4552393513</v>
      </c>
      <c r="R52" s="105">
        <f>57600000+93480970+400000+12047810</f>
        <v>163528780</v>
      </c>
      <c r="S52" s="105">
        <v>381385657</v>
      </c>
      <c r="T52" s="105">
        <f>35200000+342187460+1624000+44310240</f>
        <v>423321700</v>
      </c>
      <c r="U52" s="19" t="s">
        <v>188</v>
      </c>
      <c r="V52" s="105">
        <f>27500000+399292067+14222296+147509383+11549420</f>
        <v>600073166</v>
      </c>
      <c r="W52" s="19" t="s">
        <v>189</v>
      </c>
      <c r="X52" s="105">
        <f>135281189+1340000+8343083</f>
        <v>144964272</v>
      </c>
      <c r="Y52" s="19" t="s">
        <v>188</v>
      </c>
      <c r="Z52" s="105">
        <f>6543159830+32802980+535906255</f>
        <v>7111869065</v>
      </c>
      <c r="AA52" s="108">
        <f>213847487+7944000+20508398+59235254+1452000+2404524+3311400+246543</f>
        <v>308949606</v>
      </c>
      <c r="AB52" s="19" t="s">
        <v>188</v>
      </c>
      <c r="AC52" s="19" t="s">
        <v>189</v>
      </c>
      <c r="AD52" s="19" t="s">
        <v>188</v>
      </c>
      <c r="AE52" s="108">
        <f>288600000+789055922+5597573+69076876+500000+24091677</f>
        <v>1176922048</v>
      </c>
      <c r="AF52" s="105">
        <f>100800000+9293742</f>
        <v>110093742</v>
      </c>
      <c r="AG52" s="105">
        <f>378366078+3550000</f>
        <v>381916078</v>
      </c>
      <c r="AH52" s="105">
        <f>117284000+8024480</f>
        <v>125308480</v>
      </c>
      <c r="AI52" s="105">
        <f>149537390+359800700+43682940</f>
        <v>553021030</v>
      </c>
      <c r="AJ52" s="105">
        <f>1105081000+1078797193+162285115</f>
        <v>2346163308</v>
      </c>
      <c r="AK52" s="19" t="s">
        <v>188</v>
      </c>
      <c r="AL52" s="105">
        <f>3416785458+27130518+17449586+365201051</f>
        <v>3826566613</v>
      </c>
      <c r="AM52" s="108">
        <f>71500000+390266045+10850000+17833243</f>
        <v>490449288</v>
      </c>
      <c r="AN52" s="105">
        <f>90525000</f>
        <v>90525000</v>
      </c>
      <c r="AO52" s="19" t="s">
        <v>188</v>
      </c>
      <c r="AP52" s="105">
        <f>79210720+3042070</f>
        <v>82252790</v>
      </c>
      <c r="AQ52" s="19" t="s">
        <v>188</v>
      </c>
      <c r="AR52" s="105">
        <f>207008571+2680000+236640+83524535</f>
        <v>293449746</v>
      </c>
      <c r="AS52" s="19" t="s">
        <v>188</v>
      </c>
      <c r="AT52" s="105">
        <f>137777835+326734765+46141536</f>
        <v>510654136</v>
      </c>
      <c r="AU52" s="105">
        <f>187336370+3000000+1752800+13624912</f>
        <v>205714082</v>
      </c>
      <c r="AV52" s="105">
        <f>36000000+1167285824+3400000+47343009</f>
        <v>1254028833</v>
      </c>
      <c r="AW52" s="105">
        <f>1878160318+8852410+108801056</f>
        <v>1995813784</v>
      </c>
      <c r="AX52" s="105">
        <f>180193002+2850000+25011940+20862030</f>
        <v>228916972</v>
      </c>
      <c r="AY52" s="19" t="s">
        <v>188</v>
      </c>
      <c r="AZ52" s="108"/>
      <c r="BA52" s="105">
        <f>77608000+669580</f>
        <v>78277580</v>
      </c>
      <c r="BB52" s="105">
        <f>252500000+13507309</f>
        <v>266007309</v>
      </c>
      <c r="BC52" s="105">
        <f>30000000+1580127</f>
        <v>31580127</v>
      </c>
      <c r="BD52" s="105">
        <f>531257679+2773000+14683398</f>
        <v>548714077</v>
      </c>
      <c r="BE52" s="105">
        <f>287817526+21334284</f>
        <v>309151810</v>
      </c>
      <c r="BF52" s="105">
        <f>181939716+2429855+4100323</f>
        <v>188469894</v>
      </c>
      <c r="BG52" s="105">
        <f>1268537704+97229388</f>
        <v>1365767092</v>
      </c>
      <c r="BH52" s="105">
        <f>180000000+971697050+7526774+76891866</f>
        <v>1236115690</v>
      </c>
      <c r="BI52" s="105">
        <v>211923017</v>
      </c>
      <c r="BJ52" s="105">
        <f>448869631+20857072+2774388</f>
        <v>472501091</v>
      </c>
      <c r="BK52" s="105">
        <f>230227127+23889051</f>
        <v>254116178</v>
      </c>
      <c r="BL52" s="105">
        <f>864761020+31718291</f>
        <v>896479311</v>
      </c>
      <c r="BM52" s="105">
        <f>158293980+400000+6600625</f>
        <v>165294605</v>
      </c>
      <c r="BN52" s="105">
        <f>54000000+193391675+12146000+15836646</f>
        <v>275374321</v>
      </c>
      <c r="BO52" s="105">
        <f>7630453761+592048062</f>
        <v>8222501823</v>
      </c>
      <c r="BP52" s="105">
        <f>1411807890+22900000+103478510</f>
        <v>1538186400</v>
      </c>
      <c r="BQ52" s="19" t="s">
        <v>189</v>
      </c>
      <c r="BR52" s="105">
        <f>267493781+342654315+42688880+24045499</f>
        <v>676882475</v>
      </c>
      <c r="BS52" s="105">
        <f>480249584+6155810+16256748</f>
        <v>502662142</v>
      </c>
      <c r="BT52" s="105">
        <f>471803410</f>
        <v>471803410</v>
      </c>
      <c r="BU52" s="105">
        <f>1015532136+8300000+85607907</f>
        <v>1109440043</v>
      </c>
      <c r="BV52" s="105">
        <f>198839911+3221885</f>
        <v>202061796</v>
      </c>
      <c r="BW52" s="19" t="s">
        <v>189</v>
      </c>
      <c r="BX52" s="105">
        <f>48040000+274895370+3200000+1000000+7802622</f>
        <v>334937992</v>
      </c>
      <c r="BY52" s="105">
        <f>213834912+4300000+1100000+4659049</f>
        <v>223893961</v>
      </c>
      <c r="BZ52" s="105">
        <f>279420000</f>
        <v>279420000</v>
      </c>
      <c r="CA52" s="105">
        <f>15564000</f>
        <v>15564000</v>
      </c>
      <c r="CB52" s="105">
        <f>42000000+124342774+1666943</f>
        <v>168009717</v>
      </c>
      <c r="CC52" s="105">
        <v>48000000</v>
      </c>
      <c r="CD52" s="105">
        <f>66819680+96700</f>
        <v>66916380</v>
      </c>
      <c r="CE52" s="105">
        <f>39600000</f>
        <v>39600000</v>
      </c>
      <c r="CF52" s="105">
        <f>5202516970+20600000+4464300+425219380</f>
        <v>5652800650</v>
      </c>
      <c r="CG52" s="105">
        <f>74400000+300828645+5463165+13572796</f>
        <v>394264606</v>
      </c>
      <c r="CH52" s="105">
        <f>113810000+59107233</f>
        <v>172917233</v>
      </c>
      <c r="CI52" s="105">
        <f>34100000+153950000+500000+16228992</f>
        <v>204778992</v>
      </c>
      <c r="CJ52" s="105">
        <f>191875140+800000+14273337</f>
        <v>206948477</v>
      </c>
      <c r="CK52" s="19" t="s">
        <v>190</v>
      </c>
      <c r="CL52" s="108">
        <f>402963354+6412000</f>
        <v>409375354</v>
      </c>
      <c r="CM52" s="108">
        <f>203056570+114480000+10690800+27946560</f>
        <v>356173930</v>
      </c>
      <c r="CN52" s="105">
        <f>66260000+4913970</f>
        <v>71173970</v>
      </c>
      <c r="CO52" s="105">
        <f>186259030+44213032</f>
        <v>230472062</v>
      </c>
      <c r="CP52" s="105">
        <f>5186952093+5038646+315359753</f>
        <v>5507350492</v>
      </c>
      <c r="CQ52" s="105"/>
      <c r="CR52" s="105">
        <f>6252279726+502520718</f>
        <v>6754800444</v>
      </c>
      <c r="CS52" s="105">
        <f>4418256782+53677858+78627000+359158744</f>
        <v>4909720384</v>
      </c>
      <c r="CT52" s="19" t="s">
        <v>190</v>
      </c>
      <c r="CU52" s="105">
        <f>62944800+39479687</f>
        <v>102424487</v>
      </c>
      <c r="CV52" s="105">
        <f>263375000+263823326+12586290</f>
        <v>539784616</v>
      </c>
      <c r="CW52" s="19" t="s">
        <v>189</v>
      </c>
      <c r="CX52" s="105">
        <f>814986293+2583800+11066130+363950563</f>
        <v>1192586786</v>
      </c>
      <c r="CY52" s="105">
        <f>26400000</f>
        <v>26400000</v>
      </c>
      <c r="CZ52" s="105">
        <f>640239943+4350820+8555556+26439353</f>
        <v>679585672</v>
      </c>
      <c r="DA52" s="19" t="s">
        <v>189</v>
      </c>
      <c r="DB52" s="105">
        <f>306431320+29947817</f>
        <v>336379137</v>
      </c>
      <c r="DC52" s="109">
        <f>37685660+4040287</f>
        <v>41725947</v>
      </c>
      <c r="DD52" s="103">
        <f>532654470+3250000+39879986+64199490+4479216+73117362+5309498+560982880+46483134+29137360+2534888+99517940+8066720+146045390+10020315+10914000+587170</f>
        <v>1637179819</v>
      </c>
      <c r="DE52" s="103">
        <f>130520000+288896506+27377587</f>
        <v>446794093</v>
      </c>
      <c r="DF52" s="103">
        <f>4729024610+479156942</f>
        <v>5208181552</v>
      </c>
      <c r="DG52" s="103">
        <f>617846047+54915820</f>
        <v>672761867</v>
      </c>
      <c r="DH52" s="110" t="s">
        <v>189</v>
      </c>
      <c r="DI52" s="103">
        <f>106780000+81956406+13078319</f>
        <v>201814725</v>
      </c>
      <c r="DJ52" s="103">
        <f>3298664815+16286400+10373549+276317133+255113799</f>
        <v>3856755696</v>
      </c>
      <c r="DK52" s="111" t="s">
        <v>189</v>
      </c>
      <c r="DL52" s="103">
        <f>40095990+357667254+11397000+7143834</f>
        <v>416304078</v>
      </c>
      <c r="DM52" s="103">
        <v>94444036</v>
      </c>
      <c r="DN52" s="103">
        <v>78435691</v>
      </c>
      <c r="DO52" s="103">
        <v>297621368</v>
      </c>
      <c r="DP52" s="103">
        <v>118156332</v>
      </c>
      <c r="DQ52" s="103">
        <v>323269922</v>
      </c>
      <c r="DR52" s="103">
        <v>169438012</v>
      </c>
      <c r="DS52" s="103">
        <v>244269635</v>
      </c>
      <c r="DT52" s="103">
        <v>30607400</v>
      </c>
      <c r="DU52" s="103">
        <v>24057172</v>
      </c>
      <c r="DV52" s="103">
        <v>69639389</v>
      </c>
      <c r="DW52" s="103">
        <v>3651021402</v>
      </c>
      <c r="DX52" s="103">
        <v>323086543</v>
      </c>
      <c r="DY52" s="103">
        <v>646728750</v>
      </c>
      <c r="DZ52" s="103">
        <v>1418213909</v>
      </c>
      <c r="EA52" s="103">
        <v>224579609</v>
      </c>
      <c r="EB52" s="103">
        <v>636750494</v>
      </c>
      <c r="EC52" s="103">
        <v>84352670</v>
      </c>
      <c r="ED52" s="103"/>
      <c r="EE52" s="103">
        <v>1162340633</v>
      </c>
      <c r="EF52" s="103">
        <v>255552888</v>
      </c>
    </row>
    <row r="53" spans="1:136">
      <c r="A53" s="69" t="s">
        <v>194</v>
      </c>
      <c r="B53" s="93" t="s">
        <v>35</v>
      </c>
      <c r="C53" s="105"/>
      <c r="D53" s="19" t="s">
        <v>188</v>
      </c>
      <c r="E53" s="105"/>
      <c r="F53" s="19" t="s">
        <v>188</v>
      </c>
      <c r="G53" s="19" t="s">
        <v>189</v>
      </c>
      <c r="H53" s="19" t="s">
        <v>189</v>
      </c>
      <c r="I53" s="19" t="s">
        <v>188</v>
      </c>
      <c r="J53" s="105">
        <v>0</v>
      </c>
      <c r="K53" s="105"/>
      <c r="L53" s="108"/>
      <c r="M53" s="105">
        <v>-249742994</v>
      </c>
      <c r="N53" s="19" t="s">
        <v>189</v>
      </c>
      <c r="O53" s="105">
        <v>0</v>
      </c>
      <c r="P53" s="107"/>
      <c r="Q53" s="105"/>
      <c r="R53" s="105">
        <v>-3600000</v>
      </c>
      <c r="S53" s="105"/>
      <c r="T53" s="105">
        <v>-10800000</v>
      </c>
      <c r="U53" s="19" t="s">
        <v>188</v>
      </c>
      <c r="V53" s="105"/>
      <c r="W53" s="19" t="s">
        <v>189</v>
      </c>
      <c r="X53" s="105"/>
      <c r="Y53" s="19" t="s">
        <v>188</v>
      </c>
      <c r="Z53" s="105"/>
      <c r="AA53" s="108"/>
      <c r="AB53" s="19" t="s">
        <v>188</v>
      </c>
      <c r="AC53" s="19" t="s">
        <v>189</v>
      </c>
      <c r="AD53" s="19" t="s">
        <v>188</v>
      </c>
      <c r="AE53" s="108"/>
      <c r="AF53" s="105"/>
      <c r="AG53" s="105"/>
      <c r="AH53" s="105"/>
      <c r="AI53" s="105"/>
      <c r="AJ53" s="105">
        <v>-1227382814</v>
      </c>
      <c r="AK53" s="19" t="s">
        <v>188</v>
      </c>
      <c r="AL53" s="105">
        <f>-2723271857-233459487</f>
        <v>-2956731344</v>
      </c>
      <c r="AM53" s="108">
        <v>-35230580</v>
      </c>
      <c r="AN53" s="105"/>
      <c r="AO53" s="19" t="s">
        <v>188</v>
      </c>
      <c r="AP53" s="105"/>
      <c r="AQ53" s="19" t="s">
        <v>188</v>
      </c>
      <c r="AR53" s="105">
        <v>-57425000</v>
      </c>
      <c r="AS53" s="19" t="s">
        <v>188</v>
      </c>
      <c r="AT53" s="105"/>
      <c r="AU53" s="105">
        <f>-21754960-12208000-74376000-1211373-1350000</f>
        <v>-110900333</v>
      </c>
      <c r="AV53" s="105"/>
      <c r="AW53" s="105">
        <v>-213416721</v>
      </c>
      <c r="AX53" s="105">
        <v>-2400000</v>
      </c>
      <c r="AY53" s="19" t="s">
        <v>188</v>
      </c>
      <c r="AZ53" s="108"/>
      <c r="BA53" s="105"/>
      <c r="BB53" s="105"/>
      <c r="BC53" s="105"/>
      <c r="BD53" s="105">
        <v>-123067000</v>
      </c>
      <c r="BE53" s="105">
        <f>-8934020-7359994-2700000-90249070-19334520</f>
        <v>-128577604</v>
      </c>
      <c r="BF53" s="105">
        <f>-6000000</f>
        <v>-6000000</v>
      </c>
      <c r="BG53" s="105">
        <v>-139691000</v>
      </c>
      <c r="BH53" s="105"/>
      <c r="BI53" s="105"/>
      <c r="BJ53" s="105"/>
      <c r="BK53" s="105">
        <f>-19368450</f>
        <v>-19368450</v>
      </c>
      <c r="BL53" s="105"/>
      <c r="BM53" s="19"/>
      <c r="BN53" s="105">
        <v>0</v>
      </c>
      <c r="BO53" s="105">
        <v>-6250000</v>
      </c>
      <c r="BP53" s="105">
        <v>0</v>
      </c>
      <c r="BQ53" s="19" t="s">
        <v>189</v>
      </c>
      <c r="BR53" s="105">
        <f>-31954180-5750000-71584140</f>
        <v>-109288320</v>
      </c>
      <c r="BS53" s="19"/>
      <c r="BT53" s="105">
        <f>-52459000</f>
        <v>-52459000</v>
      </c>
      <c r="BU53" s="105"/>
      <c r="BV53" s="105"/>
      <c r="BW53" s="19" t="s">
        <v>189</v>
      </c>
      <c r="BX53" s="105">
        <f>-51604680-8563322-4500000</f>
        <v>-64668002</v>
      </c>
      <c r="BY53" s="105"/>
      <c r="BZ53" s="105"/>
      <c r="CA53" s="105"/>
      <c r="CB53" s="105">
        <v>-6400000</v>
      </c>
      <c r="CC53" s="105"/>
      <c r="CD53" s="105">
        <v>-37750020</v>
      </c>
      <c r="CE53" s="19"/>
      <c r="CF53" s="105">
        <v>-48212040</v>
      </c>
      <c r="CG53" s="105"/>
      <c r="CH53" s="105"/>
      <c r="CI53" s="105">
        <f>-4000000-30804550</f>
        <v>-34804550</v>
      </c>
      <c r="CJ53" s="105">
        <v>-19477340</v>
      </c>
      <c r="CK53" s="19" t="s">
        <v>190</v>
      </c>
      <c r="CL53" s="108"/>
      <c r="CM53" s="108">
        <v>-59706000</v>
      </c>
      <c r="CN53" s="105"/>
      <c r="CO53" s="105"/>
      <c r="CP53" s="105">
        <f>-64462420-54196140</f>
        <v>-118658560</v>
      </c>
      <c r="CQ53" s="105"/>
      <c r="CR53" s="105"/>
      <c r="CS53" s="105"/>
      <c r="CT53" s="19" t="s">
        <v>190</v>
      </c>
      <c r="CU53" s="105"/>
      <c r="CV53" s="105"/>
      <c r="CW53" s="19" t="s">
        <v>189</v>
      </c>
      <c r="CX53" s="105"/>
      <c r="CY53" s="105"/>
      <c r="CZ53" s="105"/>
      <c r="DA53" s="19" t="s">
        <v>189</v>
      </c>
      <c r="DB53" s="105"/>
      <c r="DC53" s="109"/>
      <c r="DD53" s="103">
        <v>-12000000</v>
      </c>
      <c r="DE53" s="115"/>
      <c r="DF53" s="103"/>
      <c r="DG53" s="103"/>
      <c r="DH53" s="110" t="s">
        <v>189</v>
      </c>
      <c r="DI53" s="103">
        <v>0</v>
      </c>
      <c r="DJ53" s="103">
        <v>-8400000</v>
      </c>
      <c r="DK53" s="111" t="s">
        <v>189</v>
      </c>
      <c r="DL53" s="103">
        <f>-65894890-1200000</f>
        <v>-67094890</v>
      </c>
      <c r="DM53" s="103"/>
      <c r="DN53" s="103"/>
      <c r="DO53" s="103"/>
      <c r="DP53" s="103">
        <v>-46103310</v>
      </c>
      <c r="DQ53" s="103">
        <v>-131495450</v>
      </c>
      <c r="DR53" s="103"/>
      <c r="DS53" s="103">
        <v>-92723800</v>
      </c>
      <c r="DT53" s="103"/>
      <c r="DU53" s="103"/>
      <c r="DV53" s="103"/>
      <c r="DW53" s="103"/>
      <c r="DX53" s="103">
        <v>-157964000</v>
      </c>
      <c r="DY53" s="103"/>
      <c r="DZ53" s="103"/>
      <c r="EA53" s="103"/>
      <c r="EB53" s="103"/>
      <c r="EC53" s="103">
        <v>-19931030</v>
      </c>
      <c r="ED53" s="103"/>
      <c r="EE53" s="103">
        <v>-275355200</v>
      </c>
      <c r="EF53" s="103"/>
    </row>
    <row r="54" spans="1:136">
      <c r="A54" s="69" t="s">
        <v>194</v>
      </c>
      <c r="B54" s="93" t="s">
        <v>73</v>
      </c>
      <c r="C54" s="105">
        <v>4067401</v>
      </c>
      <c r="D54" s="19" t="s">
        <v>188</v>
      </c>
      <c r="E54" s="105"/>
      <c r="F54" s="19" t="s">
        <v>188</v>
      </c>
      <c r="G54" s="19" t="s">
        <v>189</v>
      </c>
      <c r="H54" s="19" t="s">
        <v>189</v>
      </c>
      <c r="I54" s="19" t="s">
        <v>188</v>
      </c>
      <c r="J54" s="105">
        <v>1177486</v>
      </c>
      <c r="K54" s="105">
        <f>2000305+8273269</f>
        <v>10273574</v>
      </c>
      <c r="L54" s="108">
        <v>1254166</v>
      </c>
      <c r="M54" s="105">
        <f>2695154+31097269</f>
        <v>33792423</v>
      </c>
      <c r="N54" s="19" t="s">
        <v>189</v>
      </c>
      <c r="O54" s="105"/>
      <c r="P54" s="107">
        <v>152224032</v>
      </c>
      <c r="Q54" s="105">
        <f>322740682+120580693</f>
        <v>443321375</v>
      </c>
      <c r="R54" s="105">
        <v>30149254</v>
      </c>
      <c r="S54" s="105"/>
      <c r="T54" s="105">
        <f>51337467+5288000</f>
        <v>56625467</v>
      </c>
      <c r="U54" s="19" t="s">
        <v>188</v>
      </c>
      <c r="V54" s="105"/>
      <c r="W54" s="19" t="s">
        <v>189</v>
      </c>
      <c r="X54" s="105">
        <f>18769506+1084486</f>
        <v>19853992</v>
      </c>
      <c r="Y54" s="19" t="s">
        <v>188</v>
      </c>
      <c r="Z54" s="105">
        <v>55413819</v>
      </c>
      <c r="AA54" s="108">
        <f>24425401+914060</f>
        <v>25339461</v>
      </c>
      <c r="AB54" s="19" t="s">
        <v>188</v>
      </c>
      <c r="AC54" s="19" t="s">
        <v>189</v>
      </c>
      <c r="AD54" s="19" t="s">
        <v>188</v>
      </c>
      <c r="AE54" s="108">
        <v>37548621</v>
      </c>
      <c r="AF54" s="105">
        <f>6785903+5153333</f>
        <v>11939236</v>
      </c>
      <c r="AG54" s="105">
        <f>2729312</f>
        <v>2729312</v>
      </c>
      <c r="AH54" s="105">
        <v>0</v>
      </c>
      <c r="AI54" s="105">
        <f>8800229+2516000</f>
        <v>11316229</v>
      </c>
      <c r="AJ54" s="105">
        <f>75228913+3647093</f>
        <v>78876006</v>
      </c>
      <c r="AK54" s="19" t="s">
        <v>188</v>
      </c>
      <c r="AL54" s="105">
        <f>216440623+1374433</f>
        <v>217815056</v>
      </c>
      <c r="AM54" s="105">
        <f>21942883+56486588</f>
        <v>78429471</v>
      </c>
      <c r="AN54" s="105"/>
      <c r="AO54" s="19" t="s">
        <v>188</v>
      </c>
      <c r="AP54" s="105"/>
      <c r="AQ54" s="19" t="s">
        <v>188</v>
      </c>
      <c r="AR54" s="105">
        <v>37366652</v>
      </c>
      <c r="AS54" s="19" t="s">
        <v>188</v>
      </c>
      <c r="AT54" s="105">
        <v>155680976</v>
      </c>
      <c r="AU54" s="105">
        <v>35916431</v>
      </c>
      <c r="AV54" s="105">
        <v>9207466</v>
      </c>
      <c r="AW54" s="105">
        <f>118274338+416764</f>
        <v>118691102</v>
      </c>
      <c r="AX54" s="105">
        <f>348967</f>
        <v>348967</v>
      </c>
      <c r="AY54" s="19" t="s">
        <v>188</v>
      </c>
      <c r="AZ54" s="108"/>
      <c r="BA54" s="105">
        <f>182599+504222</f>
        <v>686821</v>
      </c>
      <c r="BB54" s="105">
        <f>14788413+32476754</f>
        <v>47265167</v>
      </c>
      <c r="BC54" s="105">
        <f>35743407</f>
        <v>35743407</v>
      </c>
      <c r="BD54" s="105">
        <v>48412175</v>
      </c>
      <c r="BE54" s="105"/>
      <c r="BF54" s="105">
        <f>2446362+6677527</f>
        <v>9123889</v>
      </c>
      <c r="BG54" s="105">
        <f>14095676+1799999</f>
        <v>15895675</v>
      </c>
      <c r="BH54" s="105">
        <f>1397872192+5093328</f>
        <v>1402965520</v>
      </c>
      <c r="BI54" s="105">
        <v>762217</v>
      </c>
      <c r="BJ54" s="105">
        <f>28172221</f>
        <v>28172221</v>
      </c>
      <c r="BK54" s="105">
        <f>4634621</f>
        <v>4634621</v>
      </c>
      <c r="BL54" s="105">
        <f>25859047</f>
        <v>25859047</v>
      </c>
      <c r="BM54" s="105">
        <f>13697955+507737</f>
        <v>14205692</v>
      </c>
      <c r="BN54" s="105">
        <f>3478788</f>
        <v>3478788</v>
      </c>
      <c r="BO54" s="105">
        <f>5156898</f>
        <v>5156898</v>
      </c>
      <c r="BP54" s="105"/>
      <c r="BQ54" s="19" t="s">
        <v>189</v>
      </c>
      <c r="BR54" s="105">
        <f>14631040+457760</f>
        <v>15088800</v>
      </c>
      <c r="BS54" s="105">
        <f>678017589+42972935</f>
        <v>720990524</v>
      </c>
      <c r="BT54" s="19"/>
      <c r="BU54" s="105"/>
      <c r="BV54" s="105">
        <f>4344940+744333</f>
        <v>5089273</v>
      </c>
      <c r="BW54" s="19" t="s">
        <v>189</v>
      </c>
      <c r="BX54" s="105">
        <f>404906+568000</f>
        <v>972906</v>
      </c>
      <c r="BY54" s="105">
        <f>9153958+1245830</f>
        <v>10399788</v>
      </c>
      <c r="BZ54" s="105">
        <f>24250932+217647207</f>
        <v>241898139</v>
      </c>
      <c r="CA54" s="105">
        <f>1227590+2140000</f>
        <v>3367590</v>
      </c>
      <c r="CB54" s="105">
        <f>13873566</f>
        <v>13873566</v>
      </c>
      <c r="CC54" s="105">
        <v>2156800</v>
      </c>
      <c r="CD54" s="105">
        <f>19999411</f>
        <v>19999411</v>
      </c>
      <c r="CE54" s="19"/>
      <c r="CF54" s="105">
        <f>67359416</f>
        <v>67359416</v>
      </c>
      <c r="CG54" s="105"/>
      <c r="CH54" s="105">
        <f>92699270+18690314</f>
        <v>111389584</v>
      </c>
      <c r="CI54" s="105">
        <f>2023285+880000</f>
        <v>2903285</v>
      </c>
      <c r="CJ54" s="105">
        <f>1179816</f>
        <v>1179816</v>
      </c>
      <c r="CK54" s="19" t="s">
        <v>190</v>
      </c>
      <c r="CL54" s="108">
        <f>373800</f>
        <v>373800</v>
      </c>
      <c r="CM54" s="108">
        <v>13520285</v>
      </c>
      <c r="CN54" s="105">
        <f>1031623</f>
        <v>1031623</v>
      </c>
      <c r="CO54" s="105">
        <f>9938252+5275000</f>
        <v>15213252</v>
      </c>
      <c r="CP54" s="105">
        <f>27899125</f>
        <v>27899125</v>
      </c>
      <c r="CQ54" s="105">
        <f>35340195</f>
        <v>35340195</v>
      </c>
      <c r="CR54" s="105">
        <f>1327163</f>
        <v>1327163</v>
      </c>
      <c r="CS54" s="105">
        <f>8870811</f>
        <v>8870811</v>
      </c>
      <c r="CT54" s="19" t="s">
        <v>190</v>
      </c>
      <c r="CU54" s="105">
        <f>1060000</f>
        <v>1060000</v>
      </c>
      <c r="CV54" s="105">
        <f>38412703+33432859</f>
        <v>71845562</v>
      </c>
      <c r="CW54" s="19" t="s">
        <v>189</v>
      </c>
      <c r="CX54" s="105">
        <f>3777315</f>
        <v>3777315</v>
      </c>
      <c r="CY54" s="105"/>
      <c r="CZ54" s="105">
        <f xml:space="preserve"> 17096464+2101025</f>
        <v>19197489</v>
      </c>
      <c r="DA54" s="19" t="s">
        <v>189</v>
      </c>
      <c r="DB54" s="105">
        <f>7243973+15257372</f>
        <v>22501345</v>
      </c>
      <c r="DC54" s="109"/>
      <c r="DD54" s="103"/>
      <c r="DE54" s="103">
        <f>63724151+1226639</f>
        <v>64950790</v>
      </c>
      <c r="DF54" s="103">
        <f>927880662+60893938</f>
        <v>988774600</v>
      </c>
      <c r="DG54" s="103">
        <f>1338894</f>
        <v>1338894</v>
      </c>
      <c r="DH54" s="110" t="s">
        <v>189</v>
      </c>
      <c r="DI54" s="103">
        <f>5919167+30673946</f>
        <v>36593113</v>
      </c>
      <c r="DJ54" s="103">
        <f>783941</f>
        <v>783941</v>
      </c>
      <c r="DK54" s="111" t="s">
        <v>189</v>
      </c>
      <c r="DL54" s="103">
        <f>43584226+13713666</f>
        <v>57297892</v>
      </c>
      <c r="DM54" s="103">
        <v>19624618</v>
      </c>
      <c r="DN54" s="103">
        <v>11703792</v>
      </c>
      <c r="DO54" s="103">
        <v>1287000</v>
      </c>
      <c r="DP54" s="103">
        <v>0</v>
      </c>
      <c r="DQ54" s="103"/>
      <c r="DR54" s="103">
        <v>22876552</v>
      </c>
      <c r="DS54" s="103">
        <v>28907490</v>
      </c>
      <c r="DT54" s="103"/>
      <c r="DU54" s="103"/>
      <c r="DV54" s="103"/>
      <c r="DW54" s="103">
        <v>22535949</v>
      </c>
      <c r="DX54" s="103">
        <v>41218082</v>
      </c>
      <c r="DY54" s="103">
        <v>31411008</v>
      </c>
      <c r="DZ54" s="103">
        <v>6111435</v>
      </c>
      <c r="EA54" s="103">
        <v>102646915</v>
      </c>
      <c r="EB54" s="103">
        <v>39967273</v>
      </c>
      <c r="EC54" s="103">
        <v>42405286</v>
      </c>
      <c r="ED54" s="103"/>
      <c r="EE54" s="103">
        <v>16402022</v>
      </c>
      <c r="EF54" s="103"/>
    </row>
    <row r="55" spans="1:136">
      <c r="A55" s="69" t="s">
        <v>194</v>
      </c>
      <c r="B55" s="93" t="s">
        <v>58</v>
      </c>
      <c r="C55" s="105"/>
      <c r="D55" s="19" t="s">
        <v>188</v>
      </c>
      <c r="E55" s="105"/>
      <c r="F55" s="19" t="s">
        <v>188</v>
      </c>
      <c r="G55" s="19" t="s">
        <v>189</v>
      </c>
      <c r="H55" s="19" t="s">
        <v>189</v>
      </c>
      <c r="I55" s="19" t="s">
        <v>188</v>
      </c>
      <c r="J55" s="105">
        <v>13700073</v>
      </c>
      <c r="K55" s="105"/>
      <c r="L55" s="108"/>
      <c r="M55" s="105">
        <v>2743820</v>
      </c>
      <c r="N55" s="19" t="s">
        <v>189</v>
      </c>
      <c r="O55" s="105"/>
      <c r="P55" s="107"/>
      <c r="Q55" s="105">
        <v>11745800</v>
      </c>
      <c r="R55" s="105"/>
      <c r="S55" s="105"/>
      <c r="T55" s="105"/>
      <c r="U55" s="19" t="s">
        <v>188</v>
      </c>
      <c r="V55" s="105"/>
      <c r="W55" s="19" t="s">
        <v>189</v>
      </c>
      <c r="X55" s="105"/>
      <c r="Y55" s="19" t="s">
        <v>188</v>
      </c>
      <c r="Z55" s="105">
        <v>71615</v>
      </c>
      <c r="AA55" s="108"/>
      <c r="AB55" s="19" t="s">
        <v>188</v>
      </c>
      <c r="AC55" s="19" t="s">
        <v>189</v>
      </c>
      <c r="AD55" s="19" t="s">
        <v>188</v>
      </c>
      <c r="AE55" s="108">
        <v>1207491</v>
      </c>
      <c r="AF55" s="105"/>
      <c r="AG55" s="105"/>
      <c r="AH55" s="105"/>
      <c r="AI55" s="105"/>
      <c r="AJ55" s="105"/>
      <c r="AK55" s="19" t="s">
        <v>188</v>
      </c>
      <c r="AL55" s="105"/>
      <c r="AM55" s="105"/>
      <c r="AN55" s="105"/>
      <c r="AO55" s="19" t="s">
        <v>188</v>
      </c>
      <c r="AP55" s="105"/>
      <c r="AQ55" s="19" t="s">
        <v>188</v>
      </c>
      <c r="AR55" s="105">
        <v>1551724</v>
      </c>
      <c r="AS55" s="19" t="s">
        <v>188</v>
      </c>
      <c r="AT55" s="105"/>
      <c r="AU55" s="105"/>
      <c r="AV55" s="105"/>
      <c r="AW55" s="105"/>
      <c r="AX55" s="105"/>
      <c r="AY55" s="19" t="s">
        <v>188</v>
      </c>
      <c r="AZ55" s="108"/>
      <c r="BA55" s="105"/>
      <c r="BB55" s="105"/>
      <c r="BC55" s="105"/>
      <c r="BD55" s="105"/>
      <c r="BE55" s="105"/>
      <c r="BF55" s="105"/>
      <c r="BG55" s="105"/>
      <c r="BH55" s="105"/>
      <c r="BI55" s="105"/>
      <c r="BJ55" s="105"/>
      <c r="BK55" s="105"/>
      <c r="BL55" s="105"/>
      <c r="BM55" s="19"/>
      <c r="BN55" s="19"/>
      <c r="BO55" s="105"/>
      <c r="BP55" s="105"/>
      <c r="BQ55" s="19" t="s">
        <v>189</v>
      </c>
      <c r="BR55" s="105"/>
      <c r="BS55" s="105">
        <f>154050000</f>
        <v>154050000</v>
      </c>
      <c r="BT55" s="19"/>
      <c r="BU55" s="105">
        <f>713841</f>
        <v>713841</v>
      </c>
      <c r="BV55" s="105"/>
      <c r="BW55" s="19" t="s">
        <v>189</v>
      </c>
      <c r="BX55" s="105"/>
      <c r="BY55" s="105">
        <v>176083</v>
      </c>
      <c r="BZ55" s="105"/>
      <c r="CA55" s="105"/>
      <c r="CB55" s="105">
        <f>14804570</f>
        <v>14804570</v>
      </c>
      <c r="CC55" s="105"/>
      <c r="CD55" s="105">
        <f>10000000</f>
        <v>10000000</v>
      </c>
      <c r="CE55" s="19"/>
      <c r="CF55" s="105"/>
      <c r="CG55" s="105"/>
      <c r="CH55" s="105">
        <v>12654473</v>
      </c>
      <c r="CI55" s="105"/>
      <c r="CJ55" s="105"/>
      <c r="CK55" s="19" t="s">
        <v>190</v>
      </c>
      <c r="CL55" s="108"/>
      <c r="CM55" s="108"/>
      <c r="CN55" s="105"/>
      <c r="CO55" s="105">
        <v>5065318</v>
      </c>
      <c r="CP55" s="105"/>
      <c r="CQ55" s="105"/>
      <c r="CR55" s="105"/>
      <c r="CS55" s="105"/>
      <c r="CT55" s="19" t="s">
        <v>190</v>
      </c>
      <c r="CU55" s="105">
        <f>3768135</f>
        <v>3768135</v>
      </c>
      <c r="CV55" s="105"/>
      <c r="CW55" s="19" t="s">
        <v>189</v>
      </c>
      <c r="CX55" s="105"/>
      <c r="CY55" s="105"/>
      <c r="CZ55" s="105"/>
      <c r="DA55" s="19" t="s">
        <v>189</v>
      </c>
      <c r="DB55" s="105">
        <f>31575000</f>
        <v>31575000</v>
      </c>
      <c r="DC55" s="109"/>
      <c r="DD55" s="103"/>
      <c r="DE55" s="115"/>
      <c r="DF55" s="103">
        <f>309250246</f>
        <v>309250246</v>
      </c>
      <c r="DG55" s="103">
        <f>-12202</f>
        <v>-12202</v>
      </c>
      <c r="DH55" s="110" t="s">
        <v>189</v>
      </c>
      <c r="DI55" s="103"/>
      <c r="DJ55" s="103"/>
      <c r="DK55" s="111" t="s">
        <v>189</v>
      </c>
      <c r="DL55" s="103"/>
      <c r="DM55" s="103"/>
      <c r="DN55" s="103"/>
      <c r="DO55" s="103"/>
      <c r="DP55" s="103"/>
      <c r="DQ55" s="103"/>
      <c r="DR55" s="103"/>
      <c r="DS55" s="103">
        <v>19931171</v>
      </c>
      <c r="DT55" s="103">
        <v>12771600</v>
      </c>
      <c r="DU55" s="103"/>
      <c r="DV55" s="103"/>
      <c r="DW55" s="103"/>
      <c r="DX55" s="103"/>
      <c r="DY55" s="103"/>
      <c r="DZ55" s="103"/>
      <c r="EA55" s="103"/>
      <c r="EB55" s="103">
        <v>4769606</v>
      </c>
      <c r="EC55" s="103"/>
      <c r="ED55" s="103"/>
      <c r="EE55" s="103"/>
      <c r="EF55" s="103"/>
    </row>
    <row r="56" spans="1:136">
      <c r="A56" s="69" t="s">
        <v>194</v>
      </c>
      <c r="B56" s="93" t="s">
        <v>55</v>
      </c>
      <c r="C56" s="105">
        <v>2145890</v>
      </c>
      <c r="D56" s="19" t="s">
        <v>188</v>
      </c>
      <c r="E56" s="105">
        <v>4384190</v>
      </c>
      <c r="F56" s="19" t="s">
        <v>188</v>
      </c>
      <c r="G56" s="19" t="s">
        <v>189</v>
      </c>
      <c r="H56" s="19" t="s">
        <v>189</v>
      </c>
      <c r="I56" s="19" t="s">
        <v>188</v>
      </c>
      <c r="J56" s="105">
        <v>49635091</v>
      </c>
      <c r="K56" s="105">
        <v>4745980</v>
      </c>
      <c r="L56" s="108">
        <v>17846380</v>
      </c>
      <c r="M56" s="105">
        <v>16479700</v>
      </c>
      <c r="N56" s="19" t="s">
        <v>189</v>
      </c>
      <c r="O56" s="105">
        <v>3486120</v>
      </c>
      <c r="P56" s="107">
        <v>14366910</v>
      </c>
      <c r="Q56" s="105">
        <v>39561970</v>
      </c>
      <c r="R56" s="105">
        <v>4703540</v>
      </c>
      <c r="S56" s="105">
        <v>24580754</v>
      </c>
      <c r="T56" s="105">
        <v>23483721</v>
      </c>
      <c r="U56" s="19" t="s">
        <v>188</v>
      </c>
      <c r="V56" s="105">
        <v>754753</v>
      </c>
      <c r="W56" s="19" t="s">
        <v>189</v>
      </c>
      <c r="X56" s="105">
        <v>6375650</v>
      </c>
      <c r="Y56" s="19" t="s">
        <v>188</v>
      </c>
      <c r="Z56" s="105">
        <v>144284823</v>
      </c>
      <c r="AA56" s="108">
        <v>1075498</v>
      </c>
      <c r="AB56" s="19" t="s">
        <v>188</v>
      </c>
      <c r="AC56" s="19" t="s">
        <v>189</v>
      </c>
      <c r="AD56" s="19" t="s">
        <v>188</v>
      </c>
      <c r="AE56" s="108">
        <v>40835120</v>
      </c>
      <c r="AF56" s="105">
        <v>5356125</v>
      </c>
      <c r="AG56" s="105">
        <f>29576380</f>
        <v>29576380</v>
      </c>
      <c r="AH56" s="105">
        <v>5153440</v>
      </c>
      <c r="AI56" s="105">
        <v>1326760</v>
      </c>
      <c r="AJ56" s="105">
        <v>7820805</v>
      </c>
      <c r="AK56" s="19" t="s">
        <v>188</v>
      </c>
      <c r="AL56" s="105">
        <v>2288160</v>
      </c>
      <c r="AM56" s="105">
        <f>18306070</f>
        <v>18306070</v>
      </c>
      <c r="AN56" s="105"/>
      <c r="AO56" s="19" t="s">
        <v>188</v>
      </c>
      <c r="AP56" s="105">
        <f>1905740</f>
        <v>1905740</v>
      </c>
      <c r="AQ56" s="19" t="s">
        <v>188</v>
      </c>
      <c r="AR56" s="105">
        <v>29356050</v>
      </c>
      <c r="AS56" s="19" t="s">
        <v>188</v>
      </c>
      <c r="AT56" s="105">
        <v>1722661</v>
      </c>
      <c r="AU56" s="105">
        <v>7070770</v>
      </c>
      <c r="AV56" s="105">
        <v>107652269</v>
      </c>
      <c r="AW56" s="105">
        <v>84480742</v>
      </c>
      <c r="AX56" s="105">
        <f>6937230</f>
        <v>6937230</v>
      </c>
      <c r="AY56" s="19" t="s">
        <v>188</v>
      </c>
      <c r="AZ56" s="108"/>
      <c r="BA56" s="105">
        <v>2069260</v>
      </c>
      <c r="BB56" s="105">
        <v>17615210</v>
      </c>
      <c r="BC56" s="105">
        <f>5936305</f>
        <v>5936305</v>
      </c>
      <c r="BD56" s="105">
        <v>780500</v>
      </c>
      <c r="BE56" s="105">
        <f>13234920</f>
        <v>13234920</v>
      </c>
      <c r="BF56" s="105">
        <f>14777524</f>
        <v>14777524</v>
      </c>
      <c r="BG56" s="105">
        <f>24960412</f>
        <v>24960412</v>
      </c>
      <c r="BH56" s="105">
        <f>46652510</f>
        <v>46652510</v>
      </c>
      <c r="BI56" s="105">
        <v>15597110</v>
      </c>
      <c r="BJ56" s="105">
        <f>18317320</f>
        <v>18317320</v>
      </c>
      <c r="BK56" s="105">
        <f>15329970</f>
        <v>15329970</v>
      </c>
      <c r="BL56" s="105">
        <f>16447750</f>
        <v>16447750</v>
      </c>
      <c r="BM56" s="105">
        <f>15414480</f>
        <v>15414480</v>
      </c>
      <c r="BN56" s="105">
        <f>11831520</f>
        <v>11831520</v>
      </c>
      <c r="BO56" s="105">
        <f>119440</f>
        <v>119440</v>
      </c>
      <c r="BP56" s="105">
        <f>1566413</f>
        <v>1566413</v>
      </c>
      <c r="BQ56" s="19" t="s">
        <v>189</v>
      </c>
      <c r="BR56" s="105">
        <f>26517788</f>
        <v>26517788</v>
      </c>
      <c r="BS56" s="105">
        <f>26710050</f>
        <v>26710050</v>
      </c>
      <c r="BT56" s="105">
        <f>186480</f>
        <v>186480</v>
      </c>
      <c r="BU56" s="105">
        <f>37649020</f>
        <v>37649020</v>
      </c>
      <c r="BV56" s="105">
        <f>3465503</f>
        <v>3465503</v>
      </c>
      <c r="BW56" s="19" t="s">
        <v>189</v>
      </c>
      <c r="BX56" s="105">
        <f>1266170</f>
        <v>1266170</v>
      </c>
      <c r="BY56" s="105">
        <v>6607100</v>
      </c>
      <c r="BZ56" s="105">
        <f>63061486</f>
        <v>63061486</v>
      </c>
      <c r="CA56" s="105">
        <f>3483457</f>
        <v>3483457</v>
      </c>
      <c r="CB56" s="105">
        <f>2857181</f>
        <v>2857181</v>
      </c>
      <c r="CC56" s="105">
        <v>247840</v>
      </c>
      <c r="CD56" s="105">
        <f>3161840</f>
        <v>3161840</v>
      </c>
      <c r="CE56" s="105">
        <f>3464220</f>
        <v>3464220</v>
      </c>
      <c r="CF56" s="105">
        <f>84088419</f>
        <v>84088419</v>
      </c>
      <c r="CG56" s="105">
        <f>6826090</f>
        <v>6826090</v>
      </c>
      <c r="CH56" s="105">
        <f>22470761</f>
        <v>22470761</v>
      </c>
      <c r="CI56" s="105">
        <f>7810600</f>
        <v>7810600</v>
      </c>
      <c r="CJ56" s="105">
        <f>436750</f>
        <v>436750</v>
      </c>
      <c r="CK56" s="19" t="s">
        <v>190</v>
      </c>
      <c r="CL56" s="108">
        <f>8693210</f>
        <v>8693210</v>
      </c>
      <c r="CM56" s="108">
        <v>12480670</v>
      </c>
      <c r="CN56" s="105">
        <f>2659040</f>
        <v>2659040</v>
      </c>
      <c r="CO56" s="105">
        <v>1367369</v>
      </c>
      <c r="CP56" s="105">
        <f>104323900</f>
        <v>104323900</v>
      </c>
      <c r="CQ56" s="105">
        <f>324500</f>
        <v>324500</v>
      </c>
      <c r="CR56" s="105">
        <f>453151960</f>
        <v>453151960</v>
      </c>
      <c r="CS56" s="105">
        <f>113869415</f>
        <v>113869415</v>
      </c>
      <c r="CT56" s="19" t="s">
        <v>190</v>
      </c>
      <c r="CU56" s="105">
        <f>3372730</f>
        <v>3372730</v>
      </c>
      <c r="CV56" s="105">
        <f>55899315</f>
        <v>55899315</v>
      </c>
      <c r="CW56" s="19" t="s">
        <v>189</v>
      </c>
      <c r="CX56" s="105">
        <f>539983</f>
        <v>539983</v>
      </c>
      <c r="CY56" s="105">
        <f>1513250</f>
        <v>1513250</v>
      </c>
      <c r="CZ56" s="105">
        <f>25272870</f>
        <v>25272870</v>
      </c>
      <c r="DA56" s="19" t="s">
        <v>189</v>
      </c>
      <c r="DB56" s="105">
        <f>421960</f>
        <v>421960</v>
      </c>
      <c r="DC56" s="109">
        <f>55000</f>
        <v>55000</v>
      </c>
      <c r="DD56" s="103">
        <v>0</v>
      </c>
      <c r="DE56" s="103">
        <f>36515230</f>
        <v>36515230</v>
      </c>
      <c r="DF56" s="103">
        <f>231592966</f>
        <v>231592966</v>
      </c>
      <c r="DG56" s="103">
        <f>23440020</f>
        <v>23440020</v>
      </c>
      <c r="DH56" s="110" t="s">
        <v>189</v>
      </c>
      <c r="DI56" s="103">
        <f>19388687</f>
        <v>19388687</v>
      </c>
      <c r="DJ56" s="103">
        <f>5066860</f>
        <v>5066860</v>
      </c>
      <c r="DK56" s="111" t="s">
        <v>189</v>
      </c>
      <c r="DL56" s="103">
        <f>11534125</f>
        <v>11534125</v>
      </c>
      <c r="DM56" s="103">
        <v>9626720</v>
      </c>
      <c r="DN56" s="103">
        <v>2239470</v>
      </c>
      <c r="DO56" s="103">
        <v>23316539</v>
      </c>
      <c r="DP56" s="103">
        <v>2659580</v>
      </c>
      <c r="DQ56" s="103">
        <v>12000323</v>
      </c>
      <c r="DR56" s="103">
        <v>5914900</v>
      </c>
      <c r="DS56" s="103">
        <v>18067010</v>
      </c>
      <c r="DT56" s="103">
        <v>0</v>
      </c>
      <c r="DU56" s="103">
        <v>614310</v>
      </c>
      <c r="DV56" s="103">
        <v>6336020</v>
      </c>
      <c r="DW56" s="103">
        <v>2162680</v>
      </c>
      <c r="DX56" s="103">
        <v>12500060</v>
      </c>
      <c r="DY56" s="103">
        <v>88734970</v>
      </c>
      <c r="DZ56" s="103">
        <v>1451350</v>
      </c>
      <c r="EA56" s="103">
        <v>6075520</v>
      </c>
      <c r="EB56" s="103">
        <v>38045300</v>
      </c>
      <c r="EC56" s="103">
        <v>11677669</v>
      </c>
      <c r="ED56" s="103"/>
      <c r="EE56" s="103">
        <v>19276320</v>
      </c>
      <c r="EF56" s="103">
        <v>23434310</v>
      </c>
    </row>
    <row r="57" spans="1:136">
      <c r="A57" s="69" t="s">
        <v>194</v>
      </c>
      <c r="B57" s="93" t="s">
        <v>77</v>
      </c>
      <c r="C57" s="105">
        <f>2963336+1391497+909800+282346+989029+17859930+455190+4441552+15000+259001+37454+6533776+14308676+24426+694891</f>
        <v>51165904</v>
      </c>
      <c r="D57" s="19" t="s">
        <v>188</v>
      </c>
      <c r="E57" s="105">
        <f>12144617+1111825+300000+417545+5512170+88960000+1160000+4052284+4412527+457000+7483994+16658248+72577+1050490+77652+7674585</f>
        <v>151545514</v>
      </c>
      <c r="F57" s="19" t="s">
        <v>188</v>
      </c>
      <c r="G57" s="19" t="s">
        <v>189</v>
      </c>
      <c r="H57" s="19" t="s">
        <v>189</v>
      </c>
      <c r="I57" s="19" t="s">
        <v>188</v>
      </c>
      <c r="J57" s="105">
        <f>104200766+49133475+13370002+7406576+144570+1538756+140219986+1426666+27513884+14076080+296324826+549830690+27690255+1206853+169780+24503116+356461443+3781611+5020000+217405353</f>
        <v>1841424688</v>
      </c>
      <c r="K57" s="105">
        <f>1405270+6893177+21434424+8400000+723300+20344429+3999625+89025211+5381332+1028860+589840+8211760+85000+2400000</f>
        <v>169922228</v>
      </c>
      <c r="L57" s="108">
        <f>18882052+7133079+11708877+74027273+376000+19760905+33682415+57435646+20471632+17954492+3151531+17496041+8150252+2149001+89900+13675174+1140500+44915831</f>
        <v>352200601</v>
      </c>
      <c r="M57" s="105">
        <f>18549850+2863611+27091+3689179+32051995+13223620+385640+2027673+2271500+623358+140125350+9598254+10269000</f>
        <v>235706121</v>
      </c>
      <c r="N57" s="19" t="s">
        <v>189</v>
      </c>
      <c r="O57" s="105">
        <f>770000+3187000+4127890+668516+121021+27720000+1325710+4691650+473160+424320+7626239+5000000+4238790+5486000</f>
        <v>65860296</v>
      </c>
      <c r="P57" s="107">
        <f>89200570+3080000+1750000+5957340+4533650+15295500+16486796+44388583+17622000+14488000+25023880+43415405+148500+2209000+2511990+3644000+572773430+5635730+77490137+71138844+1512200+128842260+4245000+3742780+19957560+600000+64226933+49301725+6451760+42782040+9195500+1179910+1486400+3600000+39501645</f>
        <v>1393419068</v>
      </c>
      <c r="Q57" s="105">
        <f>46068723+513702168+173237051+688353882+50557073+65353507+87964861+177071804+746183732+164089619+55519082+274811398+6083639+302930+22488100+18151591+2048388+264098191</f>
        <v>3356085739</v>
      </c>
      <c r="R57" s="105">
        <f>14724867+735432+1349320+611624+276170+7063210+9238637+54954860+2158590+782200+10728108+20655163+97576056+5038999+10350000</f>
        <v>236243236</v>
      </c>
      <c r="S57" s="105">
        <f>10096160+23257973+29378039+3069580+45449439+186648322+3919582+2039201+12125024+10696663+8322549+433182-31485426</f>
        <v>303950288</v>
      </c>
      <c r="T57" s="105">
        <f>21368073+4510660+2923266+4740770+11957069+8727272+3936097+1990225+14963637+50760358+200000+1997953+18249895+139628521+78494014+200000+39987772-31521613</f>
        <v>373113969</v>
      </c>
      <c r="U57" s="19" t="s">
        <v>188</v>
      </c>
      <c r="V57" s="105">
        <f>1478600+850040+996600+213160+129400+32800+370000+9300000+1682900+121830000+35268790+336810+38100+314650+791793+9400+26831702+967000+30900+3275260+2694694+3460000+19529462+4073303+369091+340818+8395473+1720000+1219132+891572+5375015+2363000+65860+73780054+583920+589845+4715727+145764019+4735399</f>
        <v>485414289</v>
      </c>
      <c r="W57" s="19" t="s">
        <v>189</v>
      </c>
      <c r="X57" s="105">
        <f>8798640+31782716+915700+1230916+21912000+8201490+39600000+10534507+50000+661943+3781881+458000+37381557+38672386+44809566+4168430+4909016+29488250+14076210</f>
        <v>301433208</v>
      </c>
      <c r="Y57" s="19" t="s">
        <v>188</v>
      </c>
      <c r="Z57" s="105">
        <f>330616645+177650+19495070+7175689+40549+6232162+33973280+13695000+145998222+8106557+1157200+12725370+1210000+1078400+33433306+37606946+4150000+9909703+58900+2400000</f>
        <v>669240649</v>
      </c>
      <c r="AA57" s="108">
        <f>32127552+8037847+1043000+3950000+2448899+988031+5097482+8325161+397900+1649620+1565715+12776124+28406427+2046670+16764948+4871772+9724110+13896182+12556344+32628650+60719484+7000000+302550+234526+88660000+614120+3900243+6667556+392200+990000+41573+259870+17273400+1014510+15806066+1067110+252003+785383+91740+61980+21409108+1283965+201400+203490+4603130+595800+1755500+399902+237873+33880+4500+2050767+311801</f>
        <v>438527864</v>
      </c>
      <c r="AB57" s="19" t="s">
        <v>188</v>
      </c>
      <c r="AC57" s="19" t="s">
        <v>189</v>
      </c>
      <c r="AD57" s="19" t="s">
        <v>188</v>
      </c>
      <c r="AE57" s="108">
        <f>10040425+23287115+4295843+7082611+8351736+203048996+64623017+11180919+13428680+315114+1030559+4858513+160567363+2445970+1705063</f>
        <v>516261924</v>
      </c>
      <c r="AF57" s="105">
        <f>6212723+596500+725095+26360+1304456+1875000+1007773+810000+1618745+749700+2332600+33150577+3655967+1727000</f>
        <v>55792496</v>
      </c>
      <c r="AG57" s="105">
        <f>3668316+158650+171200+4577642+1049867+9823881+91877707+7740920+4794189+58000+1560000+615400+50811+15679864+82143720+885460+1169459</f>
        <v>226025086</v>
      </c>
      <c r="AH57" s="105">
        <f>8451671+63973+7130+6166162+47273+44547+858531+390627+2720000</f>
        <v>18749914</v>
      </c>
      <c r="AI57" s="105">
        <f>57654350+3138821+9650100+2071948+2313293+2721600+2039335+3686371+187654+82000+303800+1907294+11982927+244545+8280000</f>
        <v>106264038</v>
      </c>
      <c r="AJ57" s="105">
        <f>194156730+11930663+7691335+780000+7553613+1483919+21228244+305761471+25866640+26255631+8355231+1568182+60000+1121379+46031656+83908022+60684367+250000</f>
        <v>804687083</v>
      </c>
      <c r="AK57" s="19" t="s">
        <v>188</v>
      </c>
      <c r="AL57" s="105">
        <f>49491533+3515960+460000+15353820+53054656+255979634+6290697+334867937-218365099+16208793+16312716+5120030+5183300+2673950+40016745+234180192+3044000+49480436+680714140-429537346</f>
        <v>1124046094</v>
      </c>
      <c r="AM57" s="105">
        <f>15706576+12587070+2282370+5422508+30840000+37543990+2307829+10779627+1804092+6467710+363991+11816820+127454890+24805772</f>
        <v>290183245</v>
      </c>
      <c r="AN57" s="105">
        <f>489425+994600+1713702+1150616+8400000+140000+18000+2898385</f>
        <v>15804728</v>
      </c>
      <c r="AO57" s="19" t="s">
        <v>188</v>
      </c>
      <c r="AP57" s="105">
        <f>51133396+187700+32400+2198714+4831195+7359424+17228127+83000+10397440+10944054+50000+456000+20454+14781810+45548452+4641030</f>
        <v>169893196</v>
      </c>
      <c r="AQ57" s="19" t="s">
        <v>188</v>
      </c>
      <c r="AR57" s="105">
        <f>89254412+13661143+29969881+1199366+4098470+1704182+119487585+52018982+163768068-76940000+118976839+8381736+25044326+47236031+28111970+4732710</f>
        <v>630705701</v>
      </c>
      <c r="AS57" s="19" t="s">
        <v>188</v>
      </c>
      <c r="AT57" s="105">
        <f>62280917+12204940+4917000+1972294+90000+20916676+34386210+4665438+3500+6269180+11718318+1105270+2387830+690146+61543006+2171500+12417663+900+5639600+38869830</f>
        <v>284250218</v>
      </c>
      <c r="AU57" s="105">
        <f>37031840-4480000+34952735+1042820+400000+1290831+574260+3965464+19658176+1100000+2713470+1792704+576700+413000+247000+210000+166580+16318589+14114841+100000+800000+13132500+5263000-5000000+19958400-20000000+20000000-20000000+44000000-32000000+15000000-15000000+20000000-20000000+12800000-12800000+28000000-28000000+3770000-4000000+15000000-15000000</f>
        <v>158112910</v>
      </c>
      <c r="AV57" s="105">
        <f>107882035+131842450+41610218+9402673+407981+85243790+83550517+53789834+65068359+3567219+1356630+918628+666424+155583057+385821714+73905085+31670390+109149690+2400000</f>
        <v>1343836694</v>
      </c>
      <c r="AW57" s="105">
        <f>777047990+223463298+8855741+36943729+12926974+4619302+273480368+3788638+62493566+33546302+6213955+50511727+4908248+3432641+340122838+116166704+24317818+14192408+966659000+982801721+52942035+2880000+95038825</f>
        <v>4097353828</v>
      </c>
      <c r="AX57" s="105">
        <f>4443439+541700+100000+1278559+1624182+10470090+4500+48000+450000+2648408+12080915</f>
        <v>33689793</v>
      </c>
      <c r="AY57" s="19" t="s">
        <v>188</v>
      </c>
      <c r="AZ57" s="108">
        <f>2416540+12200+12000+664356+675288+126955+36000+488000+14319+3370174+5262102+60000+18000+6600</f>
        <v>13162534</v>
      </c>
      <c r="BA57" s="105">
        <f>3888070+4658967+1448516+4742230+411433+28047911+13057381+1042935+483343+2331273+208094+1266884+170000+3998666</f>
        <v>65755703</v>
      </c>
      <c r="BB57" s="105">
        <f>28774994+1104431+961700+1729208+10554058+109758912+15424564+10659516+67421701+724017+570378+8641500+4130541+217822240+85158870+180907318+31087944+53325455</f>
        <v>828757347</v>
      </c>
      <c r="BC57" s="105">
        <f>6751038+1408034+430600+1146568+493520+666190+28655056+5133957+3497144+17145717+28579978+17169359+772727</f>
        <v>111849888</v>
      </c>
      <c r="BD57" s="105">
        <f>4748170+1533060+201000+4116136+24307006+12551000+56384930+1150000+50000+650000+283610+4587340+28764079+17715063+127750</f>
        <v>157169144</v>
      </c>
      <c r="BE57" s="105">
        <f>34239163+1058532+393000+1233806+1369270+4534293+6515000+10636910+3716333+220000+22300+43006070+20888596+2181080+24000000-23951226+1800000+6139980+66496300</f>
        <v>204499407</v>
      </c>
      <c r="BF57" s="105">
        <f>6422471+3093667+10537411+2482671+2469406+8592969+23488338+3807411+17599477+4023213+670500+916320+11819+21492783+36755790+1642217+158770</f>
        <v>144165233</v>
      </c>
      <c r="BG57" s="105">
        <f>121502044+2876441+699000+13010332+60380000+27389170+787731399+672945+477590+419052+4708808+133909960+1234720+471139+2857587+13421905</f>
        <v>1171762092</v>
      </c>
      <c r="BH57" s="105">
        <f>71888629+19005492+2014800+4542450+138110241+148758946+335700978+42844455+43287490+40601212+541922110+5499640+18345515+1188691+141198635+2431386780+4078920+13952730</f>
        <v>4004327714</v>
      </c>
      <c r="BI57" s="105">
        <f>12155250+16821774+14584303+48781384+7968850+1105116307+3206426+110421149+12950226+601067+227125340+421000+1449342+138090+3886528+360000+34104831</f>
        <v>1600091867</v>
      </c>
      <c r="BJ57" s="105">
        <f>21815610+490000+4180050+2676461+7144097+6592164+137935805+5652930+11485000+248641897+42100255+298554406+26748700+13433852</f>
        <v>827451227</v>
      </c>
      <c r="BK57" s="108">
        <f>128890546+12318604+10564900+900000+4976364+6745315+8763000+8970740+6562100+48000+1950000+6236790+4823080+11837990+89462463+256132+1411745300+1980000</f>
        <v>1717031324</v>
      </c>
      <c r="BL57" s="105">
        <f>128060584+18764809+10794000+3563576+542438+2507867+17040000+26107283+23315547+205954+4109000+323210+153160+4688742+181953323+1800000+166257770</f>
        <v>590187263</v>
      </c>
      <c r="BM57" s="105">
        <f>24188888+14513639+36233170+6143862+995700+1462294+11713351+420488+1155260+624000+138182+3278526+12448504+45935287+985607</f>
        <v>160236758</v>
      </c>
      <c r="BN57" s="105">
        <f>29775850+2269951+1700000+778351+457181+3337003+1788548+55000+21341924+16110031+29472727+4136083+38000+1594000+25238298+19683035+8858586+2000</f>
        <v>166636568</v>
      </c>
      <c r="BO57" s="105">
        <f>549995110+1391500+1623600+9773655+25312687+8100304+923160+38985280+3142100+7208200+5992640+17491348+40000+140000+11553380+13922010+77800+100000+360700+1554634+1927700+1400240+84721481+3495190+4018650+307486510</f>
        <v>1100737879</v>
      </c>
      <c r="BP57" s="105">
        <f>12288120+444200+1272600+1449780+1914000+63624000+1196000+11215920+27227058+320000+470700+8609020+1754160+11489170+25363785+53397730+16851618+4390000+16315000+95144200+5259400</f>
        <v>359996461</v>
      </c>
      <c r="BQ57" s="19" t="s">
        <v>189</v>
      </c>
      <c r="BR57" s="105">
        <f>28910985+1306498+1306900+2733209+5123548+19122932+110291079+3085000+19758423+4843654+218400+827700+39693195+70988206+581000+16330158+28377631+500000</f>
        <v>353998518</v>
      </c>
      <c r="BS57" s="105">
        <f>57798790+17605212+5881660+2848070+1357122+32706297+72989975+19078421+11876783+705542044+2388756+1914000+143685+37014832+202018936+226050200+32635752</f>
        <v>1429850535</v>
      </c>
      <c r="BT57" s="105">
        <f>9302659+850650+717437+1255628+2350260+16848496+49100000-22000000+433190+13000+3951874+7697607-3640000+134755</f>
        <v>67015556</v>
      </c>
      <c r="BU57" s="105">
        <f>92876233+76610045+4798925+7330000+2063659+2176818+49303888+64801585+787912+19529464+28547118+3384300+405851+23420+384441189+1844563+86934774+1699080+13155625+267563348+750311866+1593091</f>
        <v>1860182754</v>
      </c>
      <c r="BV57" s="105">
        <f>15231665+12854391+13939989+58200000+4013800+47422042+28257500+2113538+19306800+175198142+43803877+10413142+21660899+128000+1830058+582592+1500000+47108508</f>
        <v>503564943</v>
      </c>
      <c r="BW57" s="19" t="s">
        <v>189</v>
      </c>
      <c r="BX57" s="105">
        <f>13962528+6090739+3294660+676507+4611400+32378256-13282920+31312217+2108134+2343637+2448134+71235+25224437+213098200+570567+14741858+22291816+19774128</f>
        <v>381715533</v>
      </c>
      <c r="BY57" s="105">
        <f>17756040+4334627+8780010+2144890+1111673+32135950+11957910+890000+9003736+11130493+10119122+24339634+27983598+1371414+600000+2111650</f>
        <v>165770747</v>
      </c>
      <c r="BZ57" s="105">
        <f>32292601+331667414+18317766+3716540+27764500+8032748+1077700+67629958+74960690+168039143+3009555+30633202+471200+1525133+198651783+7733929</f>
        <v>975523862</v>
      </c>
      <c r="CA57" s="105">
        <f>217520+2160532+1893302+8360050+2085100+42897767+1864894+445874+39980+4713900+183000</f>
        <v>64861919</v>
      </c>
      <c r="CB57" s="105">
        <f>9764474+237200+931000+411165+62191307+5947240+22887270+2727273+4754183+14276132+6981286+7091373+14256600</f>
        <v>152456503</v>
      </c>
      <c r="CC57" s="105">
        <f>1251187+493620+12000000+250000+8929668+531230+1730785+16151044+190000</f>
        <v>41527534</v>
      </c>
      <c r="CD57" s="105">
        <f>11863000+3019785+99000+1463860+14520000+1780687+1718840+6500+1892040+5503609+50000+6419730</f>
        <v>48337051</v>
      </c>
      <c r="CE57" s="105">
        <f>8124279+1432000+300000+1751525+2255926+506131+35550000+1667108+196588+662150+4329869+23442676+3231739</f>
        <v>83449991</v>
      </c>
      <c r="CF57" s="105">
        <f>320865229+964450+1580000+7491957+16219641+6095464+77120000+1491908+91965961+36265188+12242500+360000+8982660+793510+53265356+62740602+3510546+21990470+25397395+242822+30448229+62712360+4690000+8902020+10498210</f>
        <v>866836478</v>
      </c>
      <c r="CG57" s="105">
        <f>26694418+2922565+572400+1311950+23330+1868016+10318183+5812713+11985372+654546+49876298+111129253+115066991+24605091</f>
        <v>362841126</v>
      </c>
      <c r="CH57" s="105">
        <f>29160480+18422421+28619217+1858799+224718913-162370000+35575181+46272362+7343307+2020000+5969410+66539376+7404063+7762380+635467+5981415+52092230</f>
        <v>378005021</v>
      </c>
      <c r="CI57" s="105">
        <f>10380882+466510+720000+2330508+127350+3315520+17752200+16315974+477000+105500+3853290+9706032+363000+24290000</f>
        <v>90203766</v>
      </c>
      <c r="CJ57" s="105">
        <f>21067140+1729322+2699317+9342450+21100000+200000+2076084+4458695+1410587+2729383+25251673+1115545+4775658+122000+2700000+15600000+6767800</f>
        <v>123145654</v>
      </c>
      <c r="CK57" s="19" t="s">
        <v>190</v>
      </c>
      <c r="CL57" s="108">
        <f>5262440+24406943+53226262+19563100+1353000+14233794+101200000+128248144+25171995+6226371+2662283+18463743+39858+7356718+4500000</f>
        <v>411914651</v>
      </c>
      <c r="CM57" s="108">
        <f>24249000+900000+28002919+2880136+200000+2809642+2643840+269050+9039610+768000+10095710+937270+253091+2810909+3459768+23249113+21083269</f>
        <v>133651327</v>
      </c>
      <c r="CN57" s="105">
        <f>6675420+597761+6429218+1060991+90270+7020000+4882190+4458360+2821274+6856782+1211640+15756800+19149497+499046+1788820+18020000</f>
        <v>97318069</v>
      </c>
      <c r="CO57" s="105">
        <f>4334830+15594989+188978+308191+7477631+9583608+21050897+3838491+2058401+4160444+3297666+80000</f>
        <v>71974126</v>
      </c>
      <c r="CP57" s="105">
        <f>75551297+258066916+8974619+187570+19110364+52386+11990203+85095700+17468310+97678548+10875870+435400+2072000+21805516+16347240+6771860+104893190+120442906+5320655+15001237+19277296+17928400+28333826</f>
        <v>943681309</v>
      </c>
      <c r="CQ57" s="105">
        <f>689500+229000+231609+15600000+5454546+300464+9655442+1299945+23636</f>
        <v>33484142</v>
      </c>
      <c r="CR57" s="105">
        <f>124062050+1364000+6116070+4001750+19152000+825000+49468530+2977400+291500+2549500+3749050+15759580+2491110+4711520+32254716+2003080+4390000+1738000+415670+5557740+4482560</f>
        <v>288360826</v>
      </c>
      <c r="CS57" s="105">
        <f>178950957+69603200+350000+13962484+7469571+73318160+286308360+23940567+1371818+9219600+1839753+1609180+130992961+58324432+3709182+7123493+277095194+15220000+1580130</f>
        <v>1161989042</v>
      </c>
      <c r="CT57" s="19" t="s">
        <v>190</v>
      </c>
      <c r="CU57" s="105">
        <f>2273090+34808583+22744259+7892983+22652510+8480944+32639583+59478718+394297+7695706+87317685+578580</f>
        <v>286956938</v>
      </c>
      <c r="CV57" s="105">
        <f>49516204+46387168+83239680+4984261+69641887+18590263+15460000+354000+377000+1718964+4397900+44911800+76870740</f>
        <v>416449867</v>
      </c>
      <c r="CW57" s="19" t="s">
        <v>189</v>
      </c>
      <c r="CX57" s="105">
        <f>15709182+1483600+17979230+1458260+19500000+5157196+1553770+12044000+1727435+138729+25776945+108280279+16248000</f>
        <v>227056626</v>
      </c>
      <c r="CY57" s="105">
        <f>1892530+16500+62000+694680+136440+20910+29902+226974+16282+109850+120268+1755435+4165640+80820+3379917</f>
        <v>12708148</v>
      </c>
      <c r="CZ57" s="105">
        <f>68752173+39691884+18809982+1373970+672188+7079909+11659493+27609369+757948877+24000+3800000+872311+269475+58090851+90635416+708000-13031498</f>
        <v>1074966400</v>
      </c>
      <c r="DA57" s="19" t="s">
        <v>189</v>
      </c>
      <c r="DB57" s="105">
        <f>31259680+13272502+20125224+11926790+300000+4260701+2998670+49955225+46302210+12937326+6237198+54620+377946+37500000</f>
        <v>237508092</v>
      </c>
      <c r="DC57" s="109">
        <f>6088350+1008000+870450+24080+50000+4615730+9200+923700+863400+110000+400000+1218000+1800000+2477400+1257000+25605584+73814250+134237505+95400+470000+1692830+2691030</f>
        <v>260321909</v>
      </c>
      <c r="DD57" s="103">
        <f>4850980+856000+1241396+858135+1288000+45443540+4098130+1330000+257680+4377630+1296400+1320000+9377723+349775+41487268+255689887+64298182+24600200+96632401+124100</f>
        <v>559777427</v>
      </c>
      <c r="DE57" s="103">
        <f>17518454+41438205+10186700+2457074+1737473+35396200+1380000+87978176+6130933+22053747+19331276+118500+75000+468521+5401406+125135342+4639200</f>
        <v>381446207</v>
      </c>
      <c r="DF57" s="103">
        <f>298508355+698019329+584814457+3649518+11888309+612092022+924076293+7348018+9235033348+1763051402+59095154+33183782+21343365+73891442+750000+28019813+19506010+22206983+163649135</f>
        <v>14560126735</v>
      </c>
      <c r="DG57" s="103">
        <f>39319210+12206349+1358000+3282119+360000+7813035+65177762+6804320+2151530+1131580+900000+1796300+1272400+25116100+61154580+1682160+7315793+1440000</f>
        <v>240281238</v>
      </c>
      <c r="DH57" s="110" t="s">
        <v>189</v>
      </c>
      <c r="DI57" s="103">
        <f>4665920+3936290+172600+1897542+2241151+7635621+9900000+41290349+5215587+466914+5478780+58248392+1519960+4650000</f>
        <v>147319106</v>
      </c>
      <c r="DJ57" s="103">
        <f>6000000+14795700+1006400+9162230+25080000+434023+347045+8891109+865000+8172692+330000+19198727+9243500+2807160+1211400+36380461</f>
        <v>143925447</v>
      </c>
      <c r="DK57" s="111" t="s">
        <v>189</v>
      </c>
      <c r="DL57" s="103">
        <f>58219464+5248350+685400+880261+13564274+15060843+28920000+10126186+20398824+26268969+88876941+11478588+1090000+1600000</f>
        <v>282418100</v>
      </c>
      <c r="DM57" s="103">
        <v>129222346</v>
      </c>
      <c r="DN57" s="103">
        <v>137633643</v>
      </c>
      <c r="DO57" s="103">
        <v>494132577</v>
      </c>
      <c r="DP57" s="103">
        <v>68753387</v>
      </c>
      <c r="DQ57" s="103">
        <v>86735942</v>
      </c>
      <c r="DR57" s="103">
        <v>153995897</v>
      </c>
      <c r="DS57" s="103">
        <v>163128659</v>
      </c>
      <c r="DT57" s="103">
        <v>40340844</v>
      </c>
      <c r="DU57" s="103">
        <v>104363475</v>
      </c>
      <c r="DV57" s="103">
        <v>323851567</v>
      </c>
      <c r="DW57" s="103">
        <v>396152814</v>
      </c>
      <c r="DX57" s="103">
        <v>121031594</v>
      </c>
      <c r="DY57" s="103">
        <v>173083290</v>
      </c>
      <c r="DZ57" s="103">
        <v>159041890</v>
      </c>
      <c r="EA57" s="103">
        <v>323935484</v>
      </c>
      <c r="EB57" s="103">
        <v>651269311</v>
      </c>
      <c r="EC57" s="103">
        <v>296504414</v>
      </c>
      <c r="ED57" s="103"/>
      <c r="EE57" s="103">
        <v>575079065</v>
      </c>
      <c r="EF57" s="103">
        <v>748719210</v>
      </c>
    </row>
    <row r="58" spans="1:136">
      <c r="A58" s="69" t="s">
        <v>194</v>
      </c>
      <c r="B58" s="92" t="s">
        <v>87</v>
      </c>
      <c r="C58" s="105">
        <v>518870</v>
      </c>
      <c r="D58" s="19" t="s">
        <v>188</v>
      </c>
      <c r="E58" s="105">
        <v>2513120</v>
      </c>
      <c r="F58" s="19" t="s">
        <v>188</v>
      </c>
      <c r="G58" s="19" t="s">
        <v>189</v>
      </c>
      <c r="H58" s="19" t="s">
        <v>189</v>
      </c>
      <c r="I58" s="19" t="s">
        <v>188</v>
      </c>
      <c r="J58" s="105">
        <v>408987544</v>
      </c>
      <c r="K58" s="105">
        <v>-153705417</v>
      </c>
      <c r="L58" s="108">
        <v>-451053276</v>
      </c>
      <c r="M58" s="105">
        <v>-101549169</v>
      </c>
      <c r="N58" s="19" t="s">
        <v>189</v>
      </c>
      <c r="O58" s="105">
        <v>25521463</v>
      </c>
      <c r="P58" s="107">
        <v>316482087</v>
      </c>
      <c r="Q58" s="105">
        <v>-9661851454</v>
      </c>
      <c r="R58" s="105">
        <v>9984115</v>
      </c>
      <c r="S58" s="105">
        <v>-289268445</v>
      </c>
      <c r="T58" s="105">
        <v>-76438806</v>
      </c>
      <c r="U58" s="19" t="s">
        <v>188</v>
      </c>
      <c r="V58" s="105">
        <v>-674807587</v>
      </c>
      <c r="W58" s="19" t="s">
        <v>189</v>
      </c>
      <c r="X58" s="105">
        <v>-138209514</v>
      </c>
      <c r="Y58" s="19" t="s">
        <v>188</v>
      </c>
      <c r="Z58" s="105">
        <v>-128361131</v>
      </c>
      <c r="AA58" s="105">
        <v>187026677</v>
      </c>
      <c r="AB58" s="19" t="s">
        <v>188</v>
      </c>
      <c r="AC58" s="19" t="s">
        <v>189</v>
      </c>
      <c r="AD58" s="19" t="s">
        <v>188</v>
      </c>
      <c r="AE58" s="105">
        <v>-476728712</v>
      </c>
      <c r="AF58" s="105">
        <v>301828669</v>
      </c>
      <c r="AG58" s="105">
        <v>68987744</v>
      </c>
      <c r="AH58" s="105">
        <v>-4939107</v>
      </c>
      <c r="AI58" s="105">
        <v>-43724792</v>
      </c>
      <c r="AJ58" s="105">
        <v>-1200874097</v>
      </c>
      <c r="AK58" s="19" t="s">
        <v>188</v>
      </c>
      <c r="AL58" s="105">
        <v>-1647455626</v>
      </c>
      <c r="AM58" s="105">
        <v>97346142</v>
      </c>
      <c r="AN58" s="108">
        <v>-57250821</v>
      </c>
      <c r="AO58" s="19" t="s">
        <v>188</v>
      </c>
      <c r="AP58" s="105">
        <v>9151221</v>
      </c>
      <c r="AQ58" s="19" t="s">
        <v>188</v>
      </c>
      <c r="AR58" s="105">
        <v>916643407</v>
      </c>
      <c r="AS58" s="19" t="s">
        <v>188</v>
      </c>
      <c r="AT58" s="105">
        <v>1232236916</v>
      </c>
      <c r="AU58" s="105">
        <v>-57538280</v>
      </c>
      <c r="AV58" s="105">
        <v>-1492942329</v>
      </c>
      <c r="AW58" s="19">
        <v>104518197</v>
      </c>
      <c r="AX58" s="105">
        <v>3349123</v>
      </c>
      <c r="AY58" s="19" t="s">
        <v>188</v>
      </c>
      <c r="AZ58" s="105">
        <v>-4344190</v>
      </c>
      <c r="BA58" s="105">
        <v>-12914014</v>
      </c>
      <c r="BB58" s="105">
        <v>-50486793</v>
      </c>
      <c r="BC58" s="105">
        <v>-31381676</v>
      </c>
      <c r="BD58" s="105">
        <v>37139746</v>
      </c>
      <c r="BE58" s="105">
        <v>6458857</v>
      </c>
      <c r="BF58" s="105">
        <v>52852963</v>
      </c>
      <c r="BG58" s="105">
        <v>-1015486877</v>
      </c>
      <c r="BH58" s="105">
        <v>-2242683856</v>
      </c>
      <c r="BI58" s="105">
        <v>524092712</v>
      </c>
      <c r="BJ58" s="105">
        <v>-163531064</v>
      </c>
      <c r="BK58" s="108">
        <v>114322287</v>
      </c>
      <c r="BL58" s="105">
        <v>166485</v>
      </c>
      <c r="BM58" s="105">
        <v>190942649</v>
      </c>
      <c r="BN58" s="105">
        <v>42207516</v>
      </c>
      <c r="BO58" s="105">
        <v>-135471484</v>
      </c>
      <c r="BP58" s="105">
        <v>78502886</v>
      </c>
      <c r="BQ58" s="19" t="s">
        <v>189</v>
      </c>
      <c r="BR58" s="105">
        <v>14696862</v>
      </c>
      <c r="BS58" s="105">
        <v>-1376398948</v>
      </c>
      <c r="BT58" s="105">
        <v>-112133889</v>
      </c>
      <c r="BU58" s="105">
        <v>-267518817</v>
      </c>
      <c r="BV58" s="105">
        <v>82465284</v>
      </c>
      <c r="BW58" s="19" t="s">
        <v>189</v>
      </c>
      <c r="BX58" s="105">
        <v>-46284539</v>
      </c>
      <c r="BY58" s="105">
        <v>76712333</v>
      </c>
      <c r="BZ58" s="105">
        <v>102895165</v>
      </c>
      <c r="CA58" s="105">
        <v>12826374</v>
      </c>
      <c r="CB58" s="105">
        <v>-28563713</v>
      </c>
      <c r="CC58" s="105">
        <v>7033227</v>
      </c>
      <c r="CD58" s="105">
        <v>-65318111</v>
      </c>
      <c r="CE58" s="105">
        <v>-15508839</v>
      </c>
      <c r="CF58" s="105">
        <v>177583979</v>
      </c>
      <c r="CG58" s="105">
        <v>23158175</v>
      </c>
      <c r="CH58" s="105">
        <v>441745613</v>
      </c>
      <c r="CI58" s="105">
        <v>-52813093</v>
      </c>
      <c r="CJ58" s="105">
        <v>-30334486</v>
      </c>
      <c r="CK58" s="19" t="s">
        <v>190</v>
      </c>
      <c r="CL58" s="105">
        <v>-275410080</v>
      </c>
      <c r="CM58" s="105">
        <v>-195468340</v>
      </c>
      <c r="CN58" s="105">
        <v>2106766</v>
      </c>
      <c r="CO58" s="105">
        <v>22398818</v>
      </c>
      <c r="CP58" s="105">
        <v>-38427147</v>
      </c>
      <c r="CQ58" s="105">
        <v>-55488493</v>
      </c>
      <c r="CR58" s="105">
        <v>70112467</v>
      </c>
      <c r="CS58" s="105">
        <v>27431084</v>
      </c>
      <c r="CT58" s="19" t="s">
        <v>190</v>
      </c>
      <c r="CU58" s="105">
        <v>135841448</v>
      </c>
      <c r="CV58" s="105">
        <v>758252529</v>
      </c>
      <c r="CW58" s="19" t="s">
        <v>189</v>
      </c>
      <c r="CX58" s="105">
        <v>2083888</v>
      </c>
      <c r="CY58" s="105">
        <v>-53032410</v>
      </c>
      <c r="CZ58" s="105">
        <v>-1799022431</v>
      </c>
      <c r="DA58" s="19" t="s">
        <v>189</v>
      </c>
      <c r="DB58" s="105">
        <v>-351189378</v>
      </c>
      <c r="DC58" s="112">
        <v>-57925200</v>
      </c>
      <c r="DD58" s="105">
        <v>40490316</v>
      </c>
      <c r="DE58" s="105">
        <v>-2507034793</v>
      </c>
      <c r="DF58" s="105">
        <v>-22177223353</v>
      </c>
      <c r="DG58" s="105">
        <v>-62551771</v>
      </c>
      <c r="DH58" s="110" t="s">
        <v>189</v>
      </c>
      <c r="DI58" s="105">
        <v>-334239940</v>
      </c>
      <c r="DJ58" s="105">
        <v>-75640307</v>
      </c>
      <c r="DK58" s="111" t="s">
        <v>189</v>
      </c>
      <c r="DL58" s="105">
        <v>45436130</v>
      </c>
      <c r="DM58" s="105">
        <v>12366981</v>
      </c>
      <c r="DN58" s="105">
        <v>154240977</v>
      </c>
      <c r="DO58" s="105">
        <v>-484407426</v>
      </c>
      <c r="DP58" s="105">
        <v>5616704</v>
      </c>
      <c r="DQ58" s="105">
        <v>19209841</v>
      </c>
      <c r="DR58" s="105">
        <v>-231906778</v>
      </c>
      <c r="DS58" s="105">
        <v>184714059</v>
      </c>
      <c r="DT58" s="105">
        <v>-2138964</v>
      </c>
      <c r="DU58" s="105">
        <v>110953610</v>
      </c>
      <c r="DV58" s="105">
        <v>-86677712</v>
      </c>
      <c r="DW58" s="105">
        <v>137223467</v>
      </c>
      <c r="DX58" s="105">
        <v>358397241</v>
      </c>
      <c r="DY58" s="105">
        <v>-706159058</v>
      </c>
      <c r="DZ58" s="105">
        <v>35334656</v>
      </c>
      <c r="EA58" s="105">
        <v>-32688814</v>
      </c>
      <c r="EB58" s="105">
        <v>278152758</v>
      </c>
      <c r="EC58" s="105">
        <v>83489798</v>
      </c>
      <c r="ED58" s="105">
        <v>0</v>
      </c>
      <c r="EE58" s="105">
        <v>301251943</v>
      </c>
      <c r="EF58" s="105">
        <v>23349837</v>
      </c>
    </row>
    <row r="59" spans="1:136">
      <c r="A59" s="69" t="s">
        <v>194</v>
      </c>
      <c r="B59" s="92" t="s">
        <v>16</v>
      </c>
      <c r="C59" s="105">
        <v>7277790</v>
      </c>
      <c r="D59" s="19" t="s">
        <v>188</v>
      </c>
      <c r="E59" s="105">
        <v>39968006</v>
      </c>
      <c r="F59" s="19" t="s">
        <v>188</v>
      </c>
      <c r="G59" s="19" t="s">
        <v>189</v>
      </c>
      <c r="H59" s="19" t="s">
        <v>189</v>
      </c>
      <c r="I59" s="19" t="s">
        <v>188</v>
      </c>
      <c r="J59" s="105">
        <v>116477662</v>
      </c>
      <c r="K59" s="105">
        <v>79106550</v>
      </c>
      <c r="L59" s="108">
        <v>133873361</v>
      </c>
      <c r="M59" s="105">
        <v>262215482</v>
      </c>
      <c r="N59" s="19" t="s">
        <v>189</v>
      </c>
      <c r="O59" s="105">
        <v>31659</v>
      </c>
      <c r="P59" s="107">
        <v>279779980</v>
      </c>
      <c r="Q59" s="105">
        <v>615505032</v>
      </c>
      <c r="R59" s="105">
        <v>70145986</v>
      </c>
      <c r="S59" s="105">
        <v>355476587</v>
      </c>
      <c r="T59" s="105">
        <v>8393839</v>
      </c>
      <c r="U59" s="19" t="s">
        <v>188</v>
      </c>
      <c r="V59" s="105">
        <v>1171146198</v>
      </c>
      <c r="W59" s="19" t="s">
        <v>189</v>
      </c>
      <c r="X59" s="105">
        <v>155254216</v>
      </c>
      <c r="Y59" s="19" t="s">
        <v>188</v>
      </c>
      <c r="Z59" s="105">
        <v>226418784</v>
      </c>
      <c r="AA59" s="105">
        <f>148269755+25500000</f>
        <v>173769755</v>
      </c>
      <c r="AB59" s="19" t="s">
        <v>188</v>
      </c>
      <c r="AC59" s="19" t="s">
        <v>189</v>
      </c>
      <c r="AD59" s="19" t="s">
        <v>188</v>
      </c>
      <c r="AE59" s="105">
        <v>683065244</v>
      </c>
      <c r="AF59" s="105">
        <v>32608069</v>
      </c>
      <c r="AG59" s="105">
        <v>50213230</v>
      </c>
      <c r="AH59" s="105">
        <v>119572766</v>
      </c>
      <c r="AI59" s="105">
        <v>74622431</v>
      </c>
      <c r="AJ59" s="105">
        <v>2877098351</v>
      </c>
      <c r="AK59" s="19" t="s">
        <v>188</v>
      </c>
      <c r="AL59" s="105">
        <v>1623696950</v>
      </c>
      <c r="AM59" s="105">
        <v>8197441</v>
      </c>
      <c r="AN59" s="108">
        <f>63</f>
        <v>63</v>
      </c>
      <c r="AO59" s="19" t="s">
        <v>188</v>
      </c>
      <c r="AP59" s="105">
        <v>47527288</v>
      </c>
      <c r="AQ59" s="19" t="s">
        <v>188</v>
      </c>
      <c r="AR59" s="105">
        <v>16929971</v>
      </c>
      <c r="AS59" s="19" t="s">
        <v>188</v>
      </c>
      <c r="AT59" s="105">
        <v>276680173</v>
      </c>
      <c r="AU59" s="105">
        <v>70358027</v>
      </c>
      <c r="AV59" s="105">
        <v>425135755</v>
      </c>
      <c r="AW59" s="19">
        <v>300743727</v>
      </c>
      <c r="AX59" s="105">
        <v>5693257</v>
      </c>
      <c r="AY59" s="19" t="s">
        <v>188</v>
      </c>
      <c r="AZ59" s="105">
        <v>0</v>
      </c>
      <c r="BA59" s="105">
        <v>15212729</v>
      </c>
      <c r="BB59" s="105">
        <f>112939210</f>
        <v>112939210</v>
      </c>
      <c r="BC59" s="105">
        <v>49192855</v>
      </c>
      <c r="BD59" s="105">
        <v>27511832</v>
      </c>
      <c r="BE59" s="105">
        <f>46408254</f>
        <v>46408254</v>
      </c>
      <c r="BF59" s="105">
        <f>489512</f>
        <v>489512</v>
      </c>
      <c r="BG59" s="105">
        <v>60242374</v>
      </c>
      <c r="BH59" s="105">
        <f>287169448</f>
        <v>287169448</v>
      </c>
      <c r="BI59" s="105">
        <v>5514394</v>
      </c>
      <c r="BJ59" s="105">
        <v>229431580</v>
      </c>
      <c r="BK59" s="108">
        <f>28293912</f>
        <v>28293912</v>
      </c>
      <c r="BL59" s="105">
        <v>90993076</v>
      </c>
      <c r="BM59" s="105">
        <f>135576199</f>
        <v>135576199</v>
      </c>
      <c r="BN59" s="105">
        <v>1745860</v>
      </c>
      <c r="BO59" s="105">
        <f>362824232</f>
        <v>362824232</v>
      </c>
      <c r="BP59" s="105">
        <f>87336698</f>
        <v>87336698</v>
      </c>
      <c r="BQ59" s="19" t="s">
        <v>189</v>
      </c>
      <c r="BR59" s="105">
        <f>42621390</f>
        <v>42621390</v>
      </c>
      <c r="BS59" s="105">
        <f>1674170200</f>
        <v>1674170200</v>
      </c>
      <c r="BT59" s="105">
        <f>31101885</f>
        <v>31101885</v>
      </c>
      <c r="BU59" s="105">
        <f>41147871</f>
        <v>41147871</v>
      </c>
      <c r="BV59" s="105">
        <f>2054311</f>
        <v>2054311</v>
      </c>
      <c r="BW59" s="19" t="s">
        <v>189</v>
      </c>
      <c r="BX59" s="105">
        <f>115972804</f>
        <v>115972804</v>
      </c>
      <c r="BY59" s="105">
        <v>16948632</v>
      </c>
      <c r="BZ59" s="105">
        <f>23380307</f>
        <v>23380307</v>
      </c>
      <c r="CA59" s="105">
        <f>5003687</f>
        <v>5003687</v>
      </c>
      <c r="CB59" s="105">
        <f>7170922</f>
        <v>7170922</v>
      </c>
      <c r="CC59" s="105">
        <v>60037298</v>
      </c>
      <c r="CD59" s="105">
        <v>68264429</v>
      </c>
      <c r="CE59" s="105">
        <f>31393927</f>
        <v>31393927</v>
      </c>
      <c r="CF59" s="105">
        <f>391426161</f>
        <v>391426161</v>
      </c>
      <c r="CG59" s="105">
        <f>684294</f>
        <v>684294</v>
      </c>
      <c r="CH59" s="105">
        <v>47910083</v>
      </c>
      <c r="CI59" s="105">
        <v>20765606</v>
      </c>
      <c r="CJ59" s="105">
        <f>27523511</f>
        <v>27523511</v>
      </c>
      <c r="CK59" s="19" t="s">
        <v>190</v>
      </c>
      <c r="CL59" s="105">
        <v>351519573</v>
      </c>
      <c r="CM59" s="105">
        <v>296033673</v>
      </c>
      <c r="CN59" s="105">
        <f>9113564</f>
        <v>9113564</v>
      </c>
      <c r="CO59" s="105">
        <v>74126441</v>
      </c>
      <c r="CP59" s="105">
        <v>223871430</v>
      </c>
      <c r="CQ59" s="105">
        <v>88822819</v>
      </c>
      <c r="CR59" s="105">
        <f>225344502</f>
        <v>225344502</v>
      </c>
      <c r="CS59" s="105">
        <f>37336700</f>
        <v>37336700</v>
      </c>
      <c r="CT59" s="19" t="s">
        <v>190</v>
      </c>
      <c r="CU59" s="105">
        <f>25415208</f>
        <v>25415208</v>
      </c>
      <c r="CV59" s="105">
        <f>1724338</f>
        <v>1724338</v>
      </c>
      <c r="CW59" s="19" t="s">
        <v>189</v>
      </c>
      <c r="CX59" s="105">
        <f>525407</f>
        <v>525407</v>
      </c>
      <c r="CY59" s="105">
        <f>5198020</f>
        <v>5198020</v>
      </c>
      <c r="CZ59" s="105">
        <v>27977684</v>
      </c>
      <c r="DA59" s="19" t="s">
        <v>189</v>
      </c>
      <c r="DB59" s="105">
        <v>55337837</v>
      </c>
      <c r="DC59" s="109">
        <f>36854960</f>
        <v>36854960</v>
      </c>
      <c r="DD59" s="103">
        <v>18503129</v>
      </c>
      <c r="DE59" s="103">
        <f>196584665</f>
        <v>196584665</v>
      </c>
      <c r="DF59" s="103">
        <v>1059417196</v>
      </c>
      <c r="DG59" s="103">
        <f>41658435</f>
        <v>41658435</v>
      </c>
      <c r="DH59" s="110" t="s">
        <v>189</v>
      </c>
      <c r="DI59" s="103">
        <f>2459739673</f>
        <v>2459739673</v>
      </c>
      <c r="DJ59" s="103">
        <f>26459688</f>
        <v>26459688</v>
      </c>
      <c r="DK59" s="111" t="s">
        <v>189</v>
      </c>
      <c r="DL59" s="103">
        <f>13431298</f>
        <v>13431298</v>
      </c>
      <c r="DM59" s="103">
        <v>48957922</v>
      </c>
      <c r="DN59" s="103">
        <v>16264631</v>
      </c>
      <c r="DO59" s="103">
        <v>43506547</v>
      </c>
      <c r="DP59" s="103">
        <v>12438479</v>
      </c>
      <c r="DQ59" s="103">
        <v>13117740</v>
      </c>
      <c r="DR59" s="103">
        <v>173983606</v>
      </c>
      <c r="DS59" s="103">
        <v>51446726</v>
      </c>
      <c r="DT59" s="103">
        <v>96701900</v>
      </c>
      <c r="DU59" s="103">
        <v>110020344</v>
      </c>
      <c r="DV59" s="103">
        <v>65971416</v>
      </c>
      <c r="DW59" s="103">
        <v>52449357</v>
      </c>
      <c r="DX59" s="103">
        <v>169903037</v>
      </c>
      <c r="DY59" s="103">
        <v>961242130</v>
      </c>
      <c r="DZ59" s="103">
        <v>3758907</v>
      </c>
      <c r="EA59" s="103">
        <v>56561148</v>
      </c>
      <c r="EB59" s="103">
        <v>7047097</v>
      </c>
      <c r="EC59" s="103">
        <v>2720503</v>
      </c>
      <c r="ED59" s="103">
        <v>0</v>
      </c>
      <c r="EE59" s="103">
        <v>24653322</v>
      </c>
      <c r="EF59" s="103">
        <v>6897133</v>
      </c>
    </row>
    <row r="60" spans="1:136">
      <c r="A60" s="69" t="s">
        <v>194</v>
      </c>
      <c r="B60" s="93" t="s">
        <v>177</v>
      </c>
      <c r="C60" s="105">
        <v>6015</v>
      </c>
      <c r="D60" s="19" t="s">
        <v>188</v>
      </c>
      <c r="E60" s="105">
        <v>9673</v>
      </c>
      <c r="F60" s="19" t="s">
        <v>188</v>
      </c>
      <c r="G60" s="19" t="s">
        <v>189</v>
      </c>
      <c r="H60" s="19" t="s">
        <v>189</v>
      </c>
      <c r="I60" s="19" t="s">
        <v>188</v>
      </c>
      <c r="J60" s="105">
        <v>22541435</v>
      </c>
      <c r="K60" s="105">
        <v>977192</v>
      </c>
      <c r="L60" s="108">
        <v>250559</v>
      </c>
      <c r="M60" s="105">
        <v>67311</v>
      </c>
      <c r="N60" s="19" t="s">
        <v>189</v>
      </c>
      <c r="O60" s="105">
        <v>31090</v>
      </c>
      <c r="P60" s="107">
        <v>1213080</v>
      </c>
      <c r="Q60" s="105">
        <v>22315461</v>
      </c>
      <c r="R60" s="105">
        <v>62917</v>
      </c>
      <c r="S60" s="105">
        <v>159198</v>
      </c>
      <c r="T60" s="105">
        <v>17536</v>
      </c>
      <c r="U60" s="19" t="s">
        <v>188</v>
      </c>
      <c r="V60" s="105">
        <v>1907860</v>
      </c>
      <c r="W60" s="19" t="s">
        <v>189</v>
      </c>
      <c r="X60" s="105">
        <v>8557211</v>
      </c>
      <c r="Y60" s="19" t="s">
        <v>188</v>
      </c>
      <c r="Z60" s="105">
        <v>805118</v>
      </c>
      <c r="AA60" s="105">
        <v>389799</v>
      </c>
      <c r="AB60" s="19" t="s">
        <v>188</v>
      </c>
      <c r="AC60" s="19" t="s">
        <v>189</v>
      </c>
      <c r="AD60" s="19" t="s">
        <v>188</v>
      </c>
      <c r="AE60" s="105">
        <v>723190</v>
      </c>
      <c r="AF60" s="105">
        <f>1067822</f>
        <v>1067822</v>
      </c>
      <c r="AG60" s="105">
        <f>18237</f>
        <v>18237</v>
      </c>
      <c r="AH60" s="105">
        <v>6859571</v>
      </c>
      <c r="AI60" s="105">
        <v>16233136</v>
      </c>
      <c r="AJ60" s="105">
        <v>2680886</v>
      </c>
      <c r="AK60" s="19" t="s">
        <v>188</v>
      </c>
      <c r="AL60" s="105">
        <v>1239141</v>
      </c>
      <c r="AM60" s="105">
        <v>2273883</v>
      </c>
      <c r="AN60" s="108">
        <f>63</f>
        <v>63</v>
      </c>
      <c r="AO60" s="19" t="s">
        <v>188</v>
      </c>
      <c r="AP60" s="105">
        <v>17750</v>
      </c>
      <c r="AQ60" s="19" t="s">
        <v>188</v>
      </c>
      <c r="AR60" s="105">
        <v>5179089</v>
      </c>
      <c r="AS60" s="19" t="s">
        <v>188</v>
      </c>
      <c r="AT60" s="108">
        <v>81971992</v>
      </c>
      <c r="AU60" s="105">
        <v>46507</v>
      </c>
      <c r="AV60" s="105">
        <v>1400211</v>
      </c>
      <c r="AW60" s="105">
        <v>4286211</v>
      </c>
      <c r="AX60" s="105">
        <f>35741</f>
        <v>35741</v>
      </c>
      <c r="AY60" s="19" t="s">
        <v>188</v>
      </c>
      <c r="AZ60" s="105"/>
      <c r="BA60" s="105">
        <v>39041</v>
      </c>
      <c r="BB60" s="105">
        <f>1904803</f>
        <v>1904803</v>
      </c>
      <c r="BC60" s="105">
        <f>14948</f>
        <v>14948</v>
      </c>
      <c r="BD60" s="105">
        <v>361734</v>
      </c>
      <c r="BE60" s="105">
        <f>2283681</f>
        <v>2283681</v>
      </c>
      <c r="BF60" s="105">
        <f>36901</f>
        <v>36901</v>
      </c>
      <c r="BG60" s="105">
        <f>2148080</f>
        <v>2148080</v>
      </c>
      <c r="BH60" s="105">
        <f>371433</f>
        <v>371433</v>
      </c>
      <c r="BI60" s="105">
        <v>122299</v>
      </c>
      <c r="BJ60" s="105">
        <f>16541</f>
        <v>16541</v>
      </c>
      <c r="BK60" s="108">
        <f>506135</f>
        <v>506135</v>
      </c>
      <c r="BL60" s="105">
        <f>10044796</f>
        <v>10044796</v>
      </c>
      <c r="BM60" s="105">
        <f>3032625</f>
        <v>3032625</v>
      </c>
      <c r="BN60" s="105">
        <f>94108</f>
        <v>94108</v>
      </c>
      <c r="BO60" s="105">
        <f>4853083</f>
        <v>4853083</v>
      </c>
      <c r="BP60" s="105">
        <f>61468</f>
        <v>61468</v>
      </c>
      <c r="BQ60" s="19" t="s">
        <v>189</v>
      </c>
      <c r="BR60" s="105">
        <f>83629</f>
        <v>83629</v>
      </c>
      <c r="BS60" s="105">
        <f>395835</f>
        <v>395835</v>
      </c>
      <c r="BT60" s="105">
        <f>83482</f>
        <v>83482</v>
      </c>
      <c r="BU60" s="105">
        <f>89666</f>
        <v>89666</v>
      </c>
      <c r="BV60" s="105">
        <f>272350</f>
        <v>272350</v>
      </c>
      <c r="BW60" s="19" t="s">
        <v>189</v>
      </c>
      <c r="BX60" s="105">
        <f>11581513</f>
        <v>11581513</v>
      </c>
      <c r="BY60" s="105">
        <v>159819</v>
      </c>
      <c r="BZ60" s="105">
        <f>712946</f>
        <v>712946</v>
      </c>
      <c r="CA60" s="105">
        <f>3536</f>
        <v>3536</v>
      </c>
      <c r="CB60" s="105">
        <f>31608</f>
        <v>31608</v>
      </c>
      <c r="CC60" s="105">
        <v>1283</v>
      </c>
      <c r="CD60" s="105">
        <f>21633</f>
        <v>21633</v>
      </c>
      <c r="CE60" s="105">
        <f>1728</f>
        <v>1728</v>
      </c>
      <c r="CF60" s="105">
        <f>2681234</f>
        <v>2681234</v>
      </c>
      <c r="CG60" s="105">
        <f>35281</f>
        <v>35281</v>
      </c>
      <c r="CH60" s="105">
        <v>95294</v>
      </c>
      <c r="CI60" s="105">
        <v>9023</v>
      </c>
      <c r="CJ60" s="105">
        <f>977960</f>
        <v>977960</v>
      </c>
      <c r="CK60" s="19" t="s">
        <v>190</v>
      </c>
      <c r="CL60" s="105">
        <v>186456</v>
      </c>
      <c r="CM60" s="105">
        <v>65199</v>
      </c>
      <c r="CN60" s="105">
        <f>6848</f>
        <v>6848</v>
      </c>
      <c r="CO60" s="105">
        <v>67125</v>
      </c>
      <c r="CP60" s="105">
        <f>743146</f>
        <v>743146</v>
      </c>
      <c r="CQ60" s="105">
        <f>10481</f>
        <v>10481</v>
      </c>
      <c r="CR60" s="105">
        <f>32276155</f>
        <v>32276155</v>
      </c>
      <c r="CS60" s="105">
        <f>575944</f>
        <v>575944</v>
      </c>
      <c r="CT60" s="19" t="s">
        <v>190</v>
      </c>
      <c r="CU60" s="105">
        <f>25394576</f>
        <v>25394576</v>
      </c>
      <c r="CV60" s="105">
        <f>424218</f>
        <v>424218</v>
      </c>
      <c r="CW60" s="19" t="s">
        <v>189</v>
      </c>
      <c r="CX60" s="105">
        <f>223553</f>
        <v>223553</v>
      </c>
      <c r="CY60" s="105">
        <f>768</f>
        <v>768</v>
      </c>
      <c r="CZ60" s="105">
        <v>7274851</v>
      </c>
      <c r="DA60" s="19" t="s">
        <v>189</v>
      </c>
      <c r="DB60" s="105">
        <v>151366</v>
      </c>
      <c r="DC60" s="109">
        <f>12200561</f>
        <v>12200561</v>
      </c>
      <c r="DD60" s="103">
        <v>11209624</v>
      </c>
      <c r="DE60" s="103">
        <f>10092850</f>
        <v>10092850</v>
      </c>
      <c r="DF60" s="103">
        <v>765510843</v>
      </c>
      <c r="DG60" s="103">
        <f>10688964</f>
        <v>10688964</v>
      </c>
      <c r="DH60" s="110" t="s">
        <v>189</v>
      </c>
      <c r="DI60" s="103">
        <f>146107</f>
        <v>146107</v>
      </c>
      <c r="DJ60" s="103">
        <f>8243456</f>
        <v>8243456</v>
      </c>
      <c r="DK60" s="111" t="s">
        <v>189</v>
      </c>
      <c r="DL60" s="103">
        <f>530430</f>
        <v>530430</v>
      </c>
      <c r="DM60" s="103">
        <v>28072</v>
      </c>
      <c r="DN60" s="103">
        <v>54967</v>
      </c>
      <c r="DO60" s="103">
        <v>358652</v>
      </c>
      <c r="DP60" s="103">
        <v>98752</v>
      </c>
      <c r="DQ60" s="103">
        <v>66113</v>
      </c>
      <c r="DR60" s="103">
        <v>32494</v>
      </c>
      <c r="DS60" s="103">
        <v>46127</v>
      </c>
      <c r="DT60" s="103">
        <v>41908</v>
      </c>
      <c r="DU60" s="103">
        <v>20254</v>
      </c>
      <c r="DV60" s="103">
        <v>19228</v>
      </c>
      <c r="DW60" s="103">
        <v>8040200</v>
      </c>
      <c r="DX60" s="103">
        <v>54932</v>
      </c>
      <c r="DY60" s="103">
        <v>451963</v>
      </c>
      <c r="DZ60" s="103">
        <v>77647</v>
      </c>
      <c r="EA60" s="103">
        <v>257806</v>
      </c>
      <c r="EB60" s="103">
        <v>931303</v>
      </c>
      <c r="EC60" s="103">
        <v>77981</v>
      </c>
      <c r="ED60" s="103"/>
      <c r="EE60" s="103">
        <v>15933128</v>
      </c>
      <c r="EF60" s="103">
        <v>508204</v>
      </c>
    </row>
    <row r="61" spans="1:136">
      <c r="A61" s="69" t="s">
        <v>194</v>
      </c>
      <c r="B61" s="93" t="s">
        <v>62</v>
      </c>
      <c r="C61" s="105"/>
      <c r="D61" s="19" t="s">
        <v>188</v>
      </c>
      <c r="E61" s="105"/>
      <c r="F61" s="19" t="s">
        <v>188</v>
      </c>
      <c r="G61" s="19" t="s">
        <v>189</v>
      </c>
      <c r="H61" s="19" t="s">
        <v>189</v>
      </c>
      <c r="I61" s="19" t="s">
        <v>188</v>
      </c>
      <c r="J61" s="105"/>
      <c r="K61" s="105"/>
      <c r="L61" s="108"/>
      <c r="M61" s="105"/>
      <c r="N61" s="19" t="s">
        <v>189</v>
      </c>
      <c r="O61" s="105"/>
      <c r="P61" s="107">
        <v>453545</v>
      </c>
      <c r="Q61" s="105"/>
      <c r="R61" s="105"/>
      <c r="S61" s="105"/>
      <c r="T61" s="105">
        <v>191</v>
      </c>
      <c r="U61" s="19" t="s">
        <v>188</v>
      </c>
      <c r="V61" s="105">
        <v>196625459</v>
      </c>
      <c r="W61" s="19" t="s">
        <v>189</v>
      </c>
      <c r="X61" s="105"/>
      <c r="Y61" s="19" t="s">
        <v>188</v>
      </c>
      <c r="Z61" s="105">
        <v>10692086</v>
      </c>
      <c r="AA61" s="105"/>
      <c r="AB61" s="19" t="s">
        <v>188</v>
      </c>
      <c r="AC61" s="19" t="s">
        <v>189</v>
      </c>
      <c r="AD61" s="19" t="s">
        <v>188</v>
      </c>
      <c r="AE61" s="105"/>
      <c r="AF61" s="105"/>
      <c r="AG61" s="105">
        <f>2830225</f>
        <v>2830225</v>
      </c>
      <c r="AH61" s="105"/>
      <c r="AI61" s="19"/>
      <c r="AJ61" s="105"/>
      <c r="AK61" s="19" t="s">
        <v>188</v>
      </c>
      <c r="AL61" s="105">
        <v>915826</v>
      </c>
      <c r="AM61" s="105"/>
      <c r="AN61" s="108"/>
      <c r="AO61" s="19" t="s">
        <v>188</v>
      </c>
      <c r="AP61" s="105"/>
      <c r="AQ61" s="19" t="s">
        <v>188</v>
      </c>
      <c r="AR61" s="105">
        <v>89373</v>
      </c>
      <c r="AS61" s="19" t="s">
        <v>188</v>
      </c>
      <c r="AT61" s="108">
        <v>339188</v>
      </c>
      <c r="AU61" s="105"/>
      <c r="AV61" s="105">
        <v>30161906</v>
      </c>
      <c r="AW61" s="105"/>
      <c r="AX61" s="105"/>
      <c r="AY61" s="19" t="s">
        <v>188</v>
      </c>
      <c r="AZ61" s="105"/>
      <c r="BA61" s="105"/>
      <c r="BB61" s="105"/>
      <c r="BC61" s="105"/>
      <c r="BD61" s="19"/>
      <c r="BE61" s="105"/>
      <c r="BF61" s="105"/>
      <c r="BG61" s="105">
        <f>154200</f>
        <v>154200</v>
      </c>
      <c r="BH61" s="105"/>
      <c r="BI61" s="19"/>
      <c r="BJ61" s="105"/>
      <c r="BK61" s="108"/>
      <c r="BL61" s="105">
        <f>15110018</f>
        <v>15110018</v>
      </c>
      <c r="BM61" s="19"/>
      <c r="BN61" s="105">
        <f>512146</f>
        <v>512146</v>
      </c>
      <c r="BO61" s="19"/>
      <c r="BP61" s="19"/>
      <c r="BQ61" s="19" t="s">
        <v>189</v>
      </c>
      <c r="BR61" s="19"/>
      <c r="BS61" s="19"/>
      <c r="BT61" s="19"/>
      <c r="BU61" s="105">
        <f>582903</f>
        <v>582903</v>
      </c>
      <c r="BV61" s="19"/>
      <c r="BW61" s="19" t="s">
        <v>189</v>
      </c>
      <c r="BX61" s="19"/>
      <c r="BY61" s="19"/>
      <c r="BZ61" s="19"/>
      <c r="CA61" s="19"/>
      <c r="CB61" s="19"/>
      <c r="CC61" s="19"/>
      <c r="CD61" s="19"/>
      <c r="CE61" s="19"/>
      <c r="CF61" s="19"/>
      <c r="CG61" s="19"/>
      <c r="CH61" s="105">
        <v>5689047</v>
      </c>
      <c r="CI61" s="19"/>
      <c r="CJ61" s="19"/>
      <c r="CK61" s="19" t="s">
        <v>190</v>
      </c>
      <c r="CL61" s="19"/>
      <c r="CM61" s="19"/>
      <c r="CN61" s="19"/>
      <c r="CO61" s="19"/>
      <c r="CP61" s="19"/>
      <c r="CQ61" s="19"/>
      <c r="CR61" s="19"/>
      <c r="CS61" s="19"/>
      <c r="CT61" s="19" t="s">
        <v>190</v>
      </c>
      <c r="CU61" s="105"/>
      <c r="CV61" s="105">
        <v>0</v>
      </c>
      <c r="CW61" s="19" t="s">
        <v>189</v>
      </c>
      <c r="CX61" s="19"/>
      <c r="CY61" s="19"/>
      <c r="CZ61" s="105">
        <v>2358396</v>
      </c>
      <c r="DA61" s="19" t="s">
        <v>189</v>
      </c>
      <c r="DB61" s="19"/>
      <c r="DC61" s="114"/>
      <c r="DD61" s="103">
        <v>7293505</v>
      </c>
      <c r="DE61" s="103">
        <f>20639896</f>
        <v>20639896</v>
      </c>
      <c r="DF61" s="103">
        <f>127534750+49242914+69267243</f>
        <v>246044907</v>
      </c>
      <c r="DG61" s="115"/>
      <c r="DH61" s="110" t="s">
        <v>189</v>
      </c>
      <c r="DI61" s="103">
        <f>2229121924</f>
        <v>2229121924</v>
      </c>
      <c r="DJ61" s="115"/>
      <c r="DK61" s="111" t="s">
        <v>189</v>
      </c>
      <c r="DL61" s="103">
        <v>0</v>
      </c>
      <c r="DM61" s="103"/>
      <c r="DN61" s="103"/>
      <c r="DO61" s="103">
        <v>11500000</v>
      </c>
      <c r="DP61" s="103"/>
      <c r="DQ61" s="103"/>
      <c r="DR61" s="103"/>
      <c r="DS61" s="103"/>
      <c r="DT61" s="103"/>
      <c r="DU61" s="103"/>
      <c r="DV61" s="103"/>
      <c r="DW61" s="103"/>
      <c r="DX61" s="103">
        <v>3635364</v>
      </c>
      <c r="DY61" s="103"/>
      <c r="DZ61" s="103"/>
      <c r="EA61" s="103"/>
      <c r="EB61" s="103"/>
      <c r="EC61" s="103"/>
      <c r="ED61" s="103"/>
      <c r="EE61" s="103">
        <v>448500</v>
      </c>
      <c r="EF61" s="103"/>
    </row>
    <row r="62" spans="1:136">
      <c r="A62" s="69" t="s">
        <v>194</v>
      </c>
      <c r="B62" s="93" t="s">
        <v>20</v>
      </c>
      <c r="C62" s="105">
        <v>605434</v>
      </c>
      <c r="D62" s="19" t="s">
        <v>188</v>
      </c>
      <c r="E62" s="105">
        <v>30333</v>
      </c>
      <c r="F62" s="19" t="s">
        <v>188</v>
      </c>
      <c r="G62" s="19" t="s">
        <v>189</v>
      </c>
      <c r="H62" s="19" t="s">
        <v>189</v>
      </c>
      <c r="I62" s="19" t="s">
        <v>188</v>
      </c>
      <c r="J62" s="105">
        <v>63660379</v>
      </c>
      <c r="K62" s="105">
        <v>524664</v>
      </c>
      <c r="L62" s="108">
        <v>55276279</v>
      </c>
      <c r="M62" s="105">
        <v>98162</v>
      </c>
      <c r="N62" s="19" t="s">
        <v>189</v>
      </c>
      <c r="O62" s="105">
        <v>569</v>
      </c>
      <c r="P62" s="107">
        <v>114072623</v>
      </c>
      <c r="Q62" s="105"/>
      <c r="R62" s="105">
        <v>26624768</v>
      </c>
      <c r="S62" s="105"/>
      <c r="T62" s="105">
        <v>8376112</v>
      </c>
      <c r="U62" s="19" t="s">
        <v>188</v>
      </c>
      <c r="V62" s="105">
        <v>205969</v>
      </c>
      <c r="W62" s="19" t="s">
        <v>189</v>
      </c>
      <c r="X62" s="105">
        <v>1903088</v>
      </c>
      <c r="Y62" s="19" t="s">
        <v>188</v>
      </c>
      <c r="Z62" s="105">
        <v>2641734</v>
      </c>
      <c r="AA62" s="105">
        <v>30845528</v>
      </c>
      <c r="AB62" s="19" t="s">
        <v>188</v>
      </c>
      <c r="AC62" s="19" t="s">
        <v>189</v>
      </c>
      <c r="AD62" s="19" t="s">
        <v>188</v>
      </c>
      <c r="AE62" s="105">
        <v>2881439</v>
      </c>
      <c r="AF62" s="105">
        <f>31540247</f>
        <v>31540247</v>
      </c>
      <c r="AG62" s="105">
        <f>47364768</f>
        <v>47364768</v>
      </c>
      <c r="AH62" s="105">
        <v>42635</v>
      </c>
      <c r="AI62" s="105">
        <v>18066312</v>
      </c>
      <c r="AJ62" s="105">
        <v>5163503</v>
      </c>
      <c r="AK62" s="19" t="s">
        <v>188</v>
      </c>
      <c r="AL62" s="105">
        <v>5787986</v>
      </c>
      <c r="AM62" s="105">
        <v>923558</v>
      </c>
      <c r="AN62" s="108"/>
      <c r="AO62" s="19" t="s">
        <v>188</v>
      </c>
      <c r="AP62" s="105">
        <v>10228998</v>
      </c>
      <c r="AQ62" s="19" t="s">
        <v>188</v>
      </c>
      <c r="AR62" s="105"/>
      <c r="AS62" s="19" t="s">
        <v>188</v>
      </c>
      <c r="AT62" s="108">
        <v>8749739</v>
      </c>
      <c r="AU62" s="105">
        <v>67311520</v>
      </c>
      <c r="AV62" s="105">
        <v>15559752</v>
      </c>
      <c r="AW62" s="105">
        <v>529924</v>
      </c>
      <c r="AX62" s="105">
        <f>5657516</f>
        <v>5657516</v>
      </c>
      <c r="AY62" s="19" t="s">
        <v>188</v>
      </c>
      <c r="AZ62" s="105"/>
      <c r="BA62" s="105">
        <v>13724840</v>
      </c>
      <c r="BB62" s="105">
        <v>2516587</v>
      </c>
      <c r="BC62" s="105">
        <f>5279525</f>
        <v>5279525</v>
      </c>
      <c r="BD62" s="105">
        <v>2869444</v>
      </c>
      <c r="BE62" s="105">
        <f>2997289</f>
        <v>2997289</v>
      </c>
      <c r="BF62" s="105">
        <v>452611</v>
      </c>
      <c r="BG62" s="105">
        <f>12189188</f>
        <v>12189188</v>
      </c>
      <c r="BH62" s="105">
        <f>286798015</f>
        <v>286798015</v>
      </c>
      <c r="BI62" s="19"/>
      <c r="BJ62" s="105">
        <f>519659</f>
        <v>519659</v>
      </c>
      <c r="BK62" s="108">
        <f>27787777</f>
        <v>27787777</v>
      </c>
      <c r="BL62" s="105">
        <f>43964818</f>
        <v>43964818</v>
      </c>
      <c r="BM62" s="105">
        <f>10457439</f>
        <v>10457439</v>
      </c>
      <c r="BN62" s="105">
        <f>710162</f>
        <v>710162</v>
      </c>
      <c r="BO62" s="105">
        <f>9180080</f>
        <v>9180080</v>
      </c>
      <c r="BP62" s="105">
        <f>51328720</f>
        <v>51328720</v>
      </c>
      <c r="BQ62" s="19" t="s">
        <v>189</v>
      </c>
      <c r="BR62" s="105">
        <f>28530977</f>
        <v>28530977</v>
      </c>
      <c r="BS62" s="105">
        <f>255397569</f>
        <v>255397569</v>
      </c>
      <c r="BT62" s="105">
        <f>31018403</f>
        <v>31018403</v>
      </c>
      <c r="BU62" s="105">
        <f>14820392</f>
        <v>14820392</v>
      </c>
      <c r="BV62" s="105">
        <f>1781961</f>
        <v>1781961</v>
      </c>
      <c r="BW62" s="19" t="s">
        <v>189</v>
      </c>
      <c r="BX62" s="105">
        <f>36573745</f>
        <v>36573745</v>
      </c>
      <c r="BY62" s="105">
        <v>137493</v>
      </c>
      <c r="BZ62" s="105">
        <f>22667361</f>
        <v>22667361</v>
      </c>
      <c r="CA62" s="19"/>
      <c r="CB62" s="105">
        <f>904613</f>
        <v>904613</v>
      </c>
      <c r="CC62" s="105">
        <v>36015</v>
      </c>
      <c r="CD62" s="105">
        <f>64897676</f>
        <v>64897676</v>
      </c>
      <c r="CE62" s="105">
        <f>256216</f>
        <v>256216</v>
      </c>
      <c r="CF62" s="105">
        <f>10566644</f>
        <v>10566644</v>
      </c>
      <c r="CG62" s="105">
        <f>649013</f>
        <v>649013</v>
      </c>
      <c r="CH62" s="105">
        <v>25297486</v>
      </c>
      <c r="CI62" s="105">
        <v>756583</v>
      </c>
      <c r="CJ62" s="105">
        <f>26545551</f>
        <v>26545551</v>
      </c>
      <c r="CK62" s="19" t="s">
        <v>190</v>
      </c>
      <c r="CL62" s="105">
        <v>351247703</v>
      </c>
      <c r="CM62" s="105">
        <v>43867211</v>
      </c>
      <c r="CN62" s="105">
        <f>9106716</f>
        <v>9106716</v>
      </c>
      <c r="CO62" s="105">
        <v>74059316</v>
      </c>
      <c r="CP62" s="105">
        <f>111642434</f>
        <v>111642434</v>
      </c>
      <c r="CQ62" s="105">
        <f>10000</f>
        <v>10000</v>
      </c>
      <c r="CR62" s="105">
        <f>193068347</f>
        <v>193068347</v>
      </c>
      <c r="CS62" s="105">
        <f>36760756</f>
        <v>36760756</v>
      </c>
      <c r="CT62" s="19" t="s">
        <v>190</v>
      </c>
      <c r="CU62" s="105">
        <f>20632</f>
        <v>20632</v>
      </c>
      <c r="CV62" s="105">
        <f>1300120</f>
        <v>1300120</v>
      </c>
      <c r="CW62" s="19" t="s">
        <v>189</v>
      </c>
      <c r="CX62" s="105">
        <f>4854</f>
        <v>4854</v>
      </c>
      <c r="CY62" s="105">
        <f>5197252</f>
        <v>5197252</v>
      </c>
      <c r="CZ62" s="105">
        <v>880048</v>
      </c>
      <c r="DA62" s="19" t="s">
        <v>189</v>
      </c>
      <c r="DB62" s="19"/>
      <c r="DC62" s="109">
        <f>6411483</f>
        <v>6411483</v>
      </c>
      <c r="DD62" s="115"/>
      <c r="DE62" s="103">
        <f>6229829</f>
        <v>6229829</v>
      </c>
      <c r="DF62" s="115"/>
      <c r="DG62" s="103">
        <f>9969471</f>
        <v>9969471</v>
      </c>
      <c r="DH62" s="110" t="s">
        <v>189</v>
      </c>
      <c r="DI62" s="103">
        <f>7172465</f>
        <v>7172465</v>
      </c>
      <c r="DJ62" s="103">
        <f>326232</f>
        <v>326232</v>
      </c>
      <c r="DK62" s="111" t="s">
        <v>189</v>
      </c>
      <c r="DL62" s="103">
        <v>1900868</v>
      </c>
      <c r="DM62" s="103">
        <v>1005250</v>
      </c>
      <c r="DN62" s="103">
        <v>16209664</v>
      </c>
      <c r="DO62" s="103">
        <v>31625644</v>
      </c>
      <c r="DP62" s="103">
        <v>6339727</v>
      </c>
      <c r="DQ62" s="103">
        <v>2981567</v>
      </c>
      <c r="DR62" s="103">
        <v>6801031</v>
      </c>
      <c r="DS62" s="103">
        <v>14511</v>
      </c>
      <c r="DT62" s="103">
        <v>12323132</v>
      </c>
      <c r="DU62" s="103">
        <v>5000090</v>
      </c>
      <c r="DV62" s="103">
        <v>108348</v>
      </c>
      <c r="DW62" s="103">
        <v>44409157</v>
      </c>
      <c r="DX62" s="103">
        <v>1320080</v>
      </c>
      <c r="DY62" s="103">
        <v>348147</v>
      </c>
      <c r="DZ62" s="103">
        <v>30260</v>
      </c>
      <c r="EA62" s="103">
        <v>55143716</v>
      </c>
      <c r="EB62" s="103">
        <v>4479013</v>
      </c>
      <c r="EC62" s="103">
        <v>2642522</v>
      </c>
      <c r="ED62" s="103"/>
      <c r="EE62" s="103">
        <v>473311</v>
      </c>
      <c r="EF62" s="103"/>
    </row>
    <row r="63" spans="1:136">
      <c r="A63" s="69" t="s">
        <v>194</v>
      </c>
      <c r="B63" s="93" t="s">
        <v>145</v>
      </c>
      <c r="C63" s="105"/>
      <c r="D63" s="19" t="s">
        <v>188</v>
      </c>
      <c r="E63" s="105"/>
      <c r="F63" s="19" t="s">
        <v>188</v>
      </c>
      <c r="G63" s="19" t="s">
        <v>189</v>
      </c>
      <c r="H63" s="19" t="s">
        <v>189</v>
      </c>
      <c r="I63" s="19" t="s">
        <v>188</v>
      </c>
      <c r="J63" s="105"/>
      <c r="K63" s="105"/>
      <c r="L63" s="108"/>
      <c r="M63" s="105"/>
      <c r="N63" s="19" t="s">
        <v>189</v>
      </c>
      <c r="O63" s="105"/>
      <c r="P63" s="107"/>
      <c r="Q63" s="105"/>
      <c r="R63" s="105"/>
      <c r="S63" s="105"/>
      <c r="T63" s="105"/>
      <c r="U63" s="19" t="s">
        <v>188</v>
      </c>
      <c r="V63" s="105"/>
      <c r="W63" s="19" t="s">
        <v>189</v>
      </c>
      <c r="X63" s="105"/>
      <c r="Y63" s="19" t="s">
        <v>188</v>
      </c>
      <c r="Z63" s="105"/>
      <c r="AA63" s="105"/>
      <c r="AB63" s="19" t="s">
        <v>188</v>
      </c>
      <c r="AC63" s="19" t="s">
        <v>189</v>
      </c>
      <c r="AD63" s="19" t="s">
        <v>188</v>
      </c>
      <c r="AE63" s="105"/>
      <c r="AF63" s="105"/>
      <c r="AG63" s="19"/>
      <c r="AH63" s="105"/>
      <c r="AI63" s="19"/>
      <c r="AJ63" s="105"/>
      <c r="AK63" s="19" t="s">
        <v>188</v>
      </c>
      <c r="AL63" s="19"/>
      <c r="AM63" s="105"/>
      <c r="AN63" s="108"/>
      <c r="AO63" s="19" t="s">
        <v>188</v>
      </c>
      <c r="AP63" s="105"/>
      <c r="AQ63" s="19" t="s">
        <v>188</v>
      </c>
      <c r="AR63" s="105"/>
      <c r="AS63" s="19" t="s">
        <v>188</v>
      </c>
      <c r="AT63" s="105"/>
      <c r="AU63" s="105"/>
      <c r="AV63" s="105"/>
      <c r="AW63" s="105">
        <v>5708267</v>
      </c>
      <c r="AX63" s="105"/>
      <c r="AY63" s="19" t="s">
        <v>188</v>
      </c>
      <c r="AZ63" s="105"/>
      <c r="BA63" s="105"/>
      <c r="BB63" s="105"/>
      <c r="BC63" s="105"/>
      <c r="BD63" s="19"/>
      <c r="BE63" s="105"/>
      <c r="BF63" s="19"/>
      <c r="BG63" s="19"/>
      <c r="BH63" s="19"/>
      <c r="BI63" s="19"/>
      <c r="BJ63" s="105"/>
      <c r="BK63" s="108"/>
      <c r="BL63" s="105"/>
      <c r="BM63" s="19"/>
      <c r="BN63" s="105">
        <f>426744</f>
        <v>426744</v>
      </c>
      <c r="BO63" s="19"/>
      <c r="BP63" s="19"/>
      <c r="BQ63" s="19" t="s">
        <v>189</v>
      </c>
      <c r="BR63" s="19"/>
      <c r="BS63" s="19"/>
      <c r="BT63" s="19"/>
      <c r="BU63" s="19"/>
      <c r="BV63" s="19"/>
      <c r="BW63" s="19" t="s">
        <v>189</v>
      </c>
      <c r="BX63" s="19"/>
      <c r="BY63" s="19"/>
      <c r="BZ63" s="19"/>
      <c r="CA63" s="19"/>
      <c r="CB63" s="19"/>
      <c r="CC63" s="19"/>
      <c r="CD63" s="19"/>
      <c r="CE63" s="19"/>
      <c r="CF63" s="19"/>
      <c r="CG63" s="19"/>
      <c r="CH63" s="19"/>
      <c r="CI63" s="19"/>
      <c r="CJ63" s="19"/>
      <c r="CK63" s="19" t="s">
        <v>190</v>
      </c>
      <c r="CL63" s="19"/>
      <c r="CM63" s="19"/>
      <c r="CN63" s="19"/>
      <c r="CO63" s="19"/>
      <c r="CP63" s="19"/>
      <c r="CQ63" s="19"/>
      <c r="CR63" s="19"/>
      <c r="CS63" s="19"/>
      <c r="CT63" s="19" t="s">
        <v>190</v>
      </c>
      <c r="CU63" s="19"/>
      <c r="CV63" s="19"/>
      <c r="CW63" s="19" t="s">
        <v>189</v>
      </c>
      <c r="CX63" s="19"/>
      <c r="CY63" s="19"/>
      <c r="CZ63" s="19"/>
      <c r="DA63" s="19" t="s">
        <v>189</v>
      </c>
      <c r="DB63" s="19"/>
      <c r="DC63" s="114"/>
      <c r="DD63" s="115"/>
      <c r="DE63" s="115"/>
      <c r="DF63" s="115"/>
      <c r="DG63" s="115"/>
      <c r="DH63" s="110" t="s">
        <v>189</v>
      </c>
      <c r="DI63" s="115"/>
      <c r="DJ63" s="115"/>
      <c r="DK63" s="111" t="s">
        <v>189</v>
      </c>
      <c r="DL63" s="115"/>
      <c r="DM63" s="103"/>
      <c r="DN63" s="103"/>
      <c r="DO63" s="103"/>
      <c r="DP63" s="103"/>
      <c r="DQ63" s="103"/>
      <c r="DR63" s="103"/>
      <c r="DS63" s="103"/>
      <c r="DT63" s="103"/>
      <c r="DU63" s="103"/>
      <c r="DV63" s="103"/>
      <c r="DW63" s="103"/>
      <c r="DX63" s="103"/>
      <c r="DY63" s="103"/>
      <c r="DZ63" s="103"/>
      <c r="EA63" s="103"/>
      <c r="EB63" s="103"/>
      <c r="EC63" s="103"/>
      <c r="ED63" s="103"/>
      <c r="EE63" s="103"/>
      <c r="EF63" s="103"/>
    </row>
    <row r="64" spans="1:136">
      <c r="A64" s="69" t="s">
        <v>194</v>
      </c>
      <c r="B64" s="94" t="s">
        <v>78</v>
      </c>
      <c r="C64" s="105">
        <v>5000000</v>
      </c>
      <c r="D64" s="19" t="s">
        <v>188</v>
      </c>
      <c r="E64" s="105">
        <v>39928000</v>
      </c>
      <c r="F64" s="19" t="s">
        <v>188</v>
      </c>
      <c r="G64" s="19" t="s">
        <v>189</v>
      </c>
      <c r="H64" s="19" t="s">
        <v>189</v>
      </c>
      <c r="I64" s="19" t="s">
        <v>188</v>
      </c>
      <c r="J64" s="105">
        <v>22080750</v>
      </c>
      <c r="K64" s="105">
        <v>77597157</v>
      </c>
      <c r="L64" s="108"/>
      <c r="M64" s="105">
        <v>262050009</v>
      </c>
      <c r="N64" s="19" t="s">
        <v>189</v>
      </c>
      <c r="O64" s="105"/>
      <c r="P64" s="122">
        <v>107853273</v>
      </c>
      <c r="Q64" s="107"/>
      <c r="R64" s="107">
        <v>43458295</v>
      </c>
      <c r="S64" s="105">
        <v>353096208</v>
      </c>
      <c r="T64" s="105"/>
      <c r="U64" s="19" t="s">
        <v>188</v>
      </c>
      <c r="V64" s="105">
        <v>790564211</v>
      </c>
      <c r="W64" s="19" t="s">
        <v>189</v>
      </c>
      <c r="X64" s="105">
        <v>139598400</v>
      </c>
      <c r="Y64" s="19" t="s">
        <v>188</v>
      </c>
      <c r="Z64" s="105">
        <v>212279846</v>
      </c>
      <c r="AA64" s="105">
        <v>5950000</v>
      </c>
      <c r="AB64" s="19" t="s">
        <v>188</v>
      </c>
      <c r="AC64" s="19" t="s">
        <v>189</v>
      </c>
      <c r="AD64" s="19" t="s">
        <v>188</v>
      </c>
      <c r="AE64" s="105">
        <v>675000000</v>
      </c>
      <c r="AF64" s="105"/>
      <c r="AG64" s="19"/>
      <c r="AH64" s="105">
        <v>90990502</v>
      </c>
      <c r="AI64" s="19"/>
      <c r="AJ64" s="105">
        <v>2869253962</v>
      </c>
      <c r="AK64" s="19" t="s">
        <v>188</v>
      </c>
      <c r="AL64" s="105">
        <v>1169691687</v>
      </c>
      <c r="AM64" s="105">
        <v>5000000</v>
      </c>
      <c r="AN64" s="108"/>
      <c r="AO64" s="19" t="s">
        <v>188</v>
      </c>
      <c r="AP64" s="105">
        <v>37280540</v>
      </c>
      <c r="AQ64" s="19" t="s">
        <v>188</v>
      </c>
      <c r="AR64" s="105"/>
      <c r="AS64" s="19" t="s">
        <v>188</v>
      </c>
      <c r="AT64" s="108">
        <v>48482126</v>
      </c>
      <c r="AU64" s="105">
        <v>3000000</v>
      </c>
      <c r="AV64" s="105">
        <v>347937471</v>
      </c>
      <c r="AW64" s="105">
        <v>290219325</v>
      </c>
      <c r="AX64" s="19"/>
      <c r="AY64" s="19" t="s">
        <v>188</v>
      </c>
      <c r="AZ64" s="105"/>
      <c r="BA64" s="105"/>
      <c r="BB64" s="105">
        <v>108517820</v>
      </c>
      <c r="BC64" s="105">
        <f>10898382</f>
        <v>10898382</v>
      </c>
      <c r="BD64" s="105">
        <v>22888174</v>
      </c>
      <c r="BE64" s="105">
        <v>41127284</v>
      </c>
      <c r="BF64" s="19"/>
      <c r="BG64" s="105">
        <v>45750906</v>
      </c>
      <c r="BH64" s="19"/>
      <c r="BI64" s="19"/>
      <c r="BJ64" s="105">
        <v>228895380</v>
      </c>
      <c r="BK64" s="108"/>
      <c r="BL64" s="105">
        <v>21873444</v>
      </c>
      <c r="BM64" s="105">
        <v>122086135</v>
      </c>
      <c r="BN64" s="19"/>
      <c r="BO64" s="105">
        <v>348791069</v>
      </c>
      <c r="BP64" s="105">
        <v>8110000</v>
      </c>
      <c r="BQ64" s="19" t="s">
        <v>189</v>
      </c>
      <c r="BR64" s="105">
        <f>14006784</f>
        <v>14006784</v>
      </c>
      <c r="BS64" s="105">
        <v>1252282094</v>
      </c>
      <c r="BT64" s="19"/>
      <c r="BU64" s="105">
        <f>23083537</f>
        <v>23083537</v>
      </c>
      <c r="BV64" s="19"/>
      <c r="BW64" s="19" t="s">
        <v>189</v>
      </c>
      <c r="BX64" s="105">
        <v>67817546</v>
      </c>
      <c r="BY64" s="105">
        <v>16380000</v>
      </c>
      <c r="BZ64" s="19"/>
      <c r="CA64" s="19"/>
      <c r="CB64" s="105">
        <v>6234701</v>
      </c>
      <c r="CC64" s="19"/>
      <c r="CD64" s="19"/>
      <c r="CE64" s="19"/>
      <c r="CF64" s="105">
        <v>378178283</v>
      </c>
      <c r="CG64" s="19"/>
      <c r="CH64" s="105">
        <v>5000000</v>
      </c>
      <c r="CI64" s="105">
        <v>20000000</v>
      </c>
      <c r="CJ64" s="19"/>
      <c r="CK64" s="19" t="s">
        <v>190</v>
      </c>
      <c r="CL64" s="19"/>
      <c r="CM64" s="105">
        <v>206835233</v>
      </c>
      <c r="CN64" s="19"/>
      <c r="CO64" s="19"/>
      <c r="CP64" s="105">
        <v>83270402</v>
      </c>
      <c r="CQ64" s="19"/>
      <c r="CR64" s="19"/>
      <c r="CS64" s="19"/>
      <c r="CT64" s="19" t="s">
        <v>190</v>
      </c>
      <c r="CU64" s="19"/>
      <c r="CV64" s="19"/>
      <c r="CW64" s="19" t="s">
        <v>189</v>
      </c>
      <c r="CX64" s="19"/>
      <c r="CY64" s="19"/>
      <c r="CZ64" s="105">
        <v>17250000</v>
      </c>
      <c r="DA64" s="19" t="s">
        <v>189</v>
      </c>
      <c r="DB64" s="105">
        <f>55186471</f>
        <v>55186471</v>
      </c>
      <c r="DC64" s="109">
        <v>18054780</v>
      </c>
      <c r="DD64" s="115"/>
      <c r="DE64" s="103">
        <v>159622090</v>
      </c>
      <c r="DF64" s="115"/>
      <c r="DG64" s="103">
        <v>21000000</v>
      </c>
      <c r="DH64" s="110" t="s">
        <v>189</v>
      </c>
      <c r="DI64" s="103">
        <v>164994000</v>
      </c>
      <c r="DJ64" s="103">
        <v>17890000</v>
      </c>
      <c r="DK64" s="111" t="s">
        <v>189</v>
      </c>
      <c r="DL64" s="103">
        <v>11000000</v>
      </c>
      <c r="DM64" s="103">
        <v>47924600</v>
      </c>
      <c r="DN64" s="103"/>
      <c r="DO64" s="103"/>
      <c r="DP64" s="103">
        <v>6000000</v>
      </c>
      <c r="DQ64" s="103">
        <v>10070060</v>
      </c>
      <c r="DR64" s="103">
        <v>93183540</v>
      </c>
      <c r="DS64" s="103">
        <v>23000000</v>
      </c>
      <c r="DT64" s="103">
        <v>84336860</v>
      </c>
      <c r="DU64" s="103">
        <v>105000000</v>
      </c>
      <c r="DV64" s="103">
        <v>65843840</v>
      </c>
      <c r="DW64" s="103"/>
      <c r="DX64" s="103"/>
      <c r="DY64" s="103">
        <v>871549020</v>
      </c>
      <c r="DZ64" s="103"/>
      <c r="EA64" s="103"/>
      <c r="EB64" s="103"/>
      <c r="EC64" s="103"/>
      <c r="ED64" s="103"/>
      <c r="EE64" s="103"/>
      <c r="EF64" s="103"/>
    </row>
    <row r="65" spans="1:136">
      <c r="A65" s="69" t="s">
        <v>194</v>
      </c>
      <c r="B65" s="95" t="s">
        <v>178</v>
      </c>
      <c r="C65" s="105"/>
      <c r="D65" s="19" t="s">
        <v>188</v>
      </c>
      <c r="E65" s="105"/>
      <c r="F65" s="19" t="s">
        <v>188</v>
      </c>
      <c r="G65" s="19" t="s">
        <v>189</v>
      </c>
      <c r="H65" s="19" t="s">
        <v>189</v>
      </c>
      <c r="I65" s="19" t="s">
        <v>188</v>
      </c>
      <c r="J65" s="105">
        <v>22080750</v>
      </c>
      <c r="K65" s="105">
        <v>77597157</v>
      </c>
      <c r="L65" s="108"/>
      <c r="M65" s="105">
        <v>220465634</v>
      </c>
      <c r="N65" s="19" t="s">
        <v>189</v>
      </c>
      <c r="O65" s="105"/>
      <c r="P65" s="107"/>
      <c r="Q65" s="105"/>
      <c r="R65" s="105">
        <v>37081170</v>
      </c>
      <c r="S65" s="105">
        <v>353096208</v>
      </c>
      <c r="T65" s="19"/>
      <c r="U65" s="19" t="s">
        <v>188</v>
      </c>
      <c r="V65" s="105"/>
      <c r="W65" s="19" t="s">
        <v>189</v>
      </c>
      <c r="X65" s="105">
        <v>96598400</v>
      </c>
      <c r="Y65" s="19" t="s">
        <v>188</v>
      </c>
      <c r="Z65" s="105"/>
      <c r="AA65" s="105"/>
      <c r="AB65" s="19" t="s">
        <v>188</v>
      </c>
      <c r="AC65" s="19" t="s">
        <v>189</v>
      </c>
      <c r="AD65" s="19" t="s">
        <v>188</v>
      </c>
      <c r="AE65" s="105"/>
      <c r="AF65" s="105"/>
      <c r="AG65" s="19"/>
      <c r="AH65" s="105"/>
      <c r="AI65" s="19"/>
      <c r="AJ65" s="105"/>
      <c r="AK65" s="19" t="s">
        <v>188</v>
      </c>
      <c r="AL65" s="19"/>
      <c r="AM65" s="105"/>
      <c r="AN65" s="19"/>
      <c r="AO65" s="19" t="s">
        <v>188</v>
      </c>
      <c r="AP65" s="105"/>
      <c r="AQ65" s="19" t="s">
        <v>188</v>
      </c>
      <c r="AR65" s="19"/>
      <c r="AS65" s="19" t="s">
        <v>188</v>
      </c>
      <c r="AT65" s="105"/>
      <c r="AU65" s="105"/>
      <c r="AV65" s="105">
        <v>238892471</v>
      </c>
      <c r="AW65" s="105">
        <v>10363800</v>
      </c>
      <c r="AX65" s="19"/>
      <c r="AY65" s="19" t="s">
        <v>188</v>
      </c>
      <c r="AZ65" s="105"/>
      <c r="BA65" s="105"/>
      <c r="BB65" s="105">
        <v>6183860</v>
      </c>
      <c r="BC65" s="105"/>
      <c r="BD65" s="105"/>
      <c r="BE65" s="19"/>
      <c r="BF65" s="19"/>
      <c r="BG65" s="105"/>
      <c r="BH65" s="105"/>
      <c r="BI65" s="19"/>
      <c r="BJ65" s="105">
        <f>228895380</f>
        <v>228895380</v>
      </c>
      <c r="BK65" s="108"/>
      <c r="BL65" s="105">
        <f>1800000</f>
        <v>1800000</v>
      </c>
      <c r="BM65" s="19"/>
      <c r="BN65" s="19"/>
      <c r="BO65" s="19"/>
      <c r="BP65" s="19"/>
      <c r="BQ65" s="19" t="s">
        <v>189</v>
      </c>
      <c r="BR65" s="105"/>
      <c r="BS65" s="105">
        <f>1252282094</f>
        <v>1252282094</v>
      </c>
      <c r="BT65" s="19"/>
      <c r="BU65" s="105"/>
      <c r="BV65" s="19"/>
      <c r="BW65" s="19" t="s">
        <v>189</v>
      </c>
      <c r="BX65" s="19"/>
      <c r="BY65" s="105">
        <v>16380000</v>
      </c>
      <c r="BZ65" s="19"/>
      <c r="CA65" s="19"/>
      <c r="CB65" s="19"/>
      <c r="CC65" s="19"/>
      <c r="CD65" s="19"/>
      <c r="CE65" s="19"/>
      <c r="CF65" s="19"/>
      <c r="CG65" s="19"/>
      <c r="CH65" s="105">
        <v>5000000</v>
      </c>
      <c r="CI65" s="19"/>
      <c r="CJ65" s="19"/>
      <c r="CK65" s="19" t="s">
        <v>190</v>
      </c>
      <c r="CL65" s="19"/>
      <c r="CM65" s="19"/>
      <c r="CN65" s="19"/>
      <c r="CO65" s="19"/>
      <c r="CP65" s="19"/>
      <c r="CQ65" s="19"/>
      <c r="CR65" s="19"/>
      <c r="CS65" s="19"/>
      <c r="CT65" s="19" t="s">
        <v>190</v>
      </c>
      <c r="CU65" s="19"/>
      <c r="CV65" s="19"/>
      <c r="CW65" s="19" t="s">
        <v>189</v>
      </c>
      <c r="CX65" s="19"/>
      <c r="CY65" s="19"/>
      <c r="CZ65" s="105">
        <v>17250000</v>
      </c>
      <c r="DA65" s="19" t="s">
        <v>189</v>
      </c>
      <c r="DB65" s="19"/>
      <c r="DC65" s="114"/>
      <c r="DD65" s="115"/>
      <c r="DE65" s="103">
        <f>150622090</f>
        <v>150622090</v>
      </c>
      <c r="DF65" s="115"/>
      <c r="DG65" s="103">
        <f>10000000</f>
        <v>10000000</v>
      </c>
      <c r="DH65" s="110" t="s">
        <v>189</v>
      </c>
      <c r="DI65" s="115"/>
      <c r="DJ65" s="115"/>
      <c r="DK65" s="111" t="s">
        <v>189</v>
      </c>
      <c r="DL65" s="115"/>
      <c r="DM65" s="103">
        <v>47924600</v>
      </c>
      <c r="DN65" s="103"/>
      <c r="DO65" s="103"/>
      <c r="DP65" s="103"/>
      <c r="DQ65" s="103">
        <v>10070060</v>
      </c>
      <c r="DR65" s="103"/>
      <c r="DS65" s="103">
        <v>23000000</v>
      </c>
      <c r="DT65" s="103">
        <v>84336860</v>
      </c>
      <c r="DU65" s="103">
        <v>105000000</v>
      </c>
      <c r="DV65" s="103">
        <v>60843840</v>
      </c>
      <c r="DW65" s="103"/>
      <c r="DX65" s="103"/>
      <c r="DY65" s="103">
        <v>1400610</v>
      </c>
      <c r="DZ65" s="103"/>
      <c r="EA65" s="103"/>
      <c r="EB65" s="103"/>
      <c r="EC65" s="103"/>
      <c r="ED65" s="103"/>
      <c r="EE65" s="103"/>
      <c r="EF65" s="103"/>
    </row>
    <row r="66" spans="1:136">
      <c r="A66" s="69" t="s">
        <v>194</v>
      </c>
      <c r="B66" s="95" t="s">
        <v>7</v>
      </c>
      <c r="C66" s="105">
        <v>5000000</v>
      </c>
      <c r="D66" s="19" t="s">
        <v>188</v>
      </c>
      <c r="E66" s="105">
        <v>39928000</v>
      </c>
      <c r="F66" s="19" t="s">
        <v>188</v>
      </c>
      <c r="G66" s="19" t="s">
        <v>189</v>
      </c>
      <c r="H66" s="19" t="s">
        <v>189</v>
      </c>
      <c r="I66" s="19" t="s">
        <v>188</v>
      </c>
      <c r="J66" s="105"/>
      <c r="K66" s="105"/>
      <c r="L66" s="108"/>
      <c r="M66" s="105"/>
      <c r="N66" s="19" t="s">
        <v>189</v>
      </c>
      <c r="O66" s="105"/>
      <c r="P66" s="107">
        <v>37772580</v>
      </c>
      <c r="Q66" s="105"/>
      <c r="R66" s="105"/>
      <c r="S66" s="116"/>
      <c r="T66" s="19"/>
      <c r="U66" s="19" t="s">
        <v>188</v>
      </c>
      <c r="V66" s="105">
        <v>635922911</v>
      </c>
      <c r="W66" s="19" t="s">
        <v>189</v>
      </c>
      <c r="X66" s="105">
        <v>43000000</v>
      </c>
      <c r="Y66" s="19" t="s">
        <v>188</v>
      </c>
      <c r="Z66" s="105"/>
      <c r="AA66" s="105">
        <v>5950000</v>
      </c>
      <c r="AB66" s="19" t="s">
        <v>188</v>
      </c>
      <c r="AC66" s="19" t="s">
        <v>189</v>
      </c>
      <c r="AD66" s="19" t="s">
        <v>188</v>
      </c>
      <c r="AE66" s="105"/>
      <c r="AF66" s="105"/>
      <c r="AG66" s="19"/>
      <c r="AH66" s="105"/>
      <c r="AI66" s="19"/>
      <c r="AJ66" s="105"/>
      <c r="AK66" s="19" t="s">
        <v>188</v>
      </c>
      <c r="AL66" s="105">
        <v>474529709</v>
      </c>
      <c r="AM66" s="105">
        <v>5000000</v>
      </c>
      <c r="AN66" s="19"/>
      <c r="AO66" s="19" t="s">
        <v>188</v>
      </c>
      <c r="AP66" s="105"/>
      <c r="AQ66" s="19" t="s">
        <v>188</v>
      </c>
      <c r="AR66" s="105"/>
      <c r="AS66" s="19" t="s">
        <v>188</v>
      </c>
      <c r="AT66" s="105">
        <v>12688522</v>
      </c>
      <c r="AU66" s="105"/>
      <c r="AV66" s="105">
        <v>109045000</v>
      </c>
      <c r="AW66" s="105">
        <v>279855525</v>
      </c>
      <c r="AX66" s="19"/>
      <c r="AY66" s="19" t="s">
        <v>188</v>
      </c>
      <c r="AZ66" s="105"/>
      <c r="BA66" s="105"/>
      <c r="BB66" s="105"/>
      <c r="BC66" s="105">
        <f>10898382</f>
        <v>10898382</v>
      </c>
      <c r="BD66" s="105"/>
      <c r="BE66" s="105">
        <f>41127284</f>
        <v>41127284</v>
      </c>
      <c r="BF66" s="19"/>
      <c r="BG66" s="105"/>
      <c r="BH66" s="105"/>
      <c r="BI66" s="19"/>
      <c r="BJ66" s="19"/>
      <c r="BK66" s="108"/>
      <c r="BL66" s="105">
        <f>20073444</f>
        <v>20073444</v>
      </c>
      <c r="BM66" s="105">
        <f>34084770</f>
        <v>34084770</v>
      </c>
      <c r="BN66" s="19"/>
      <c r="BO66" s="19"/>
      <c r="BP66" s="19"/>
      <c r="BQ66" s="19" t="s">
        <v>189</v>
      </c>
      <c r="BR66" s="105">
        <v>0</v>
      </c>
      <c r="BS66" s="19"/>
      <c r="BT66" s="19"/>
      <c r="BU66" s="105"/>
      <c r="BV66" s="19"/>
      <c r="BW66" s="19" t="s">
        <v>189</v>
      </c>
      <c r="BX66" s="105">
        <v>54500885</v>
      </c>
      <c r="BY66" s="19"/>
      <c r="BZ66" s="19"/>
      <c r="CA66" s="19"/>
      <c r="CB66" s="19"/>
      <c r="CC66" s="19"/>
      <c r="CD66" s="19"/>
      <c r="CE66" s="19"/>
      <c r="CF66" s="105">
        <f>199941763</f>
        <v>199941763</v>
      </c>
      <c r="CG66" s="19"/>
      <c r="CH66" s="19"/>
      <c r="CI66" s="19"/>
      <c r="CJ66" s="19"/>
      <c r="CK66" s="19" t="s">
        <v>190</v>
      </c>
      <c r="CL66" s="19"/>
      <c r="CM66" s="105">
        <v>193500433</v>
      </c>
      <c r="CN66" s="19"/>
      <c r="CO66" s="19"/>
      <c r="CP66" s="19"/>
      <c r="CQ66" s="19"/>
      <c r="CR66" s="19"/>
      <c r="CS66" s="19"/>
      <c r="CT66" s="19" t="s">
        <v>190</v>
      </c>
      <c r="CU66" s="19"/>
      <c r="CV66" s="19"/>
      <c r="CW66" s="19" t="s">
        <v>189</v>
      </c>
      <c r="CX66" s="19"/>
      <c r="CY66" s="19"/>
      <c r="CZ66" s="105"/>
      <c r="DA66" s="19" t="s">
        <v>189</v>
      </c>
      <c r="DB66" s="105">
        <f>55186471</f>
        <v>55186471</v>
      </c>
      <c r="DC66" s="114"/>
      <c r="DD66" s="115"/>
      <c r="DE66" s="103"/>
      <c r="DF66" s="115"/>
      <c r="DG66" s="115"/>
      <c r="DH66" s="110" t="s">
        <v>189</v>
      </c>
      <c r="DI66" s="115"/>
      <c r="DJ66" s="103">
        <f>5000000</f>
        <v>5000000</v>
      </c>
      <c r="DK66" s="111" t="s">
        <v>189</v>
      </c>
      <c r="DL66" s="103">
        <f>5000000</f>
        <v>5000000</v>
      </c>
      <c r="DM66" s="103"/>
      <c r="DN66" s="103"/>
      <c r="DO66" s="103"/>
      <c r="DP66" s="103"/>
      <c r="DQ66" s="103"/>
      <c r="DR66" s="103">
        <v>93183540</v>
      </c>
      <c r="DS66" s="103"/>
      <c r="DT66" s="103"/>
      <c r="DU66" s="103"/>
      <c r="DV66" s="103">
        <v>5000000</v>
      </c>
      <c r="DW66" s="103"/>
      <c r="DX66" s="103"/>
      <c r="DY66" s="103">
        <v>869468410</v>
      </c>
      <c r="DZ66" s="103"/>
      <c r="EA66" s="103"/>
      <c r="EB66" s="103"/>
      <c r="EC66" s="103"/>
      <c r="ED66" s="103"/>
      <c r="EE66" s="103"/>
      <c r="EF66" s="103"/>
    </row>
    <row r="67" spans="1:136">
      <c r="A67" s="69" t="s">
        <v>194</v>
      </c>
      <c r="B67" s="95" t="s">
        <v>25</v>
      </c>
      <c r="C67" s="105"/>
      <c r="D67" s="19" t="s">
        <v>188</v>
      </c>
      <c r="E67" s="105"/>
      <c r="F67" s="19" t="s">
        <v>188</v>
      </c>
      <c r="G67" s="19" t="s">
        <v>189</v>
      </c>
      <c r="H67" s="19" t="s">
        <v>189</v>
      </c>
      <c r="I67" s="19" t="s">
        <v>188</v>
      </c>
      <c r="J67" s="105"/>
      <c r="K67" s="105"/>
      <c r="L67" s="108"/>
      <c r="M67" s="105"/>
      <c r="N67" s="19" t="s">
        <v>189</v>
      </c>
      <c r="O67" s="105"/>
      <c r="P67" s="107">
        <v>70080693</v>
      </c>
      <c r="Q67" s="105"/>
      <c r="R67" s="105">
        <v>5000000</v>
      </c>
      <c r="S67" s="105"/>
      <c r="T67" s="19"/>
      <c r="U67" s="19" t="s">
        <v>188</v>
      </c>
      <c r="V67" s="105">
        <v>154641300</v>
      </c>
      <c r="W67" s="19" t="s">
        <v>189</v>
      </c>
      <c r="X67" s="105"/>
      <c r="Y67" s="19" t="s">
        <v>188</v>
      </c>
      <c r="Z67" s="105">
        <v>3000000</v>
      </c>
      <c r="AA67" s="105"/>
      <c r="AB67" s="19" t="s">
        <v>188</v>
      </c>
      <c r="AC67" s="19" t="s">
        <v>189</v>
      </c>
      <c r="AD67" s="19" t="s">
        <v>188</v>
      </c>
      <c r="AE67" s="105"/>
      <c r="AF67" s="105"/>
      <c r="AG67" s="19"/>
      <c r="AH67" s="105"/>
      <c r="AI67" s="19"/>
      <c r="AJ67" s="105">
        <f>46855383+2035553339</f>
        <v>2082408722</v>
      </c>
      <c r="AK67" s="19" t="s">
        <v>188</v>
      </c>
      <c r="AL67" s="105">
        <f>306958350+300408628</f>
        <v>607366978</v>
      </c>
      <c r="AM67" s="105"/>
      <c r="AN67" s="19"/>
      <c r="AO67" s="19" t="s">
        <v>188</v>
      </c>
      <c r="AP67" s="105"/>
      <c r="AQ67" s="19" t="s">
        <v>188</v>
      </c>
      <c r="AR67" s="105"/>
      <c r="AS67" s="19" t="s">
        <v>188</v>
      </c>
      <c r="AT67" s="105">
        <f>35793604</f>
        <v>35793604</v>
      </c>
      <c r="AU67" s="105"/>
      <c r="AV67" s="19"/>
      <c r="AW67" s="105"/>
      <c r="AX67" s="19"/>
      <c r="AY67" s="19" t="s">
        <v>188</v>
      </c>
      <c r="AZ67" s="105"/>
      <c r="BA67" s="105"/>
      <c r="BB67" s="105">
        <v>102333960</v>
      </c>
      <c r="BC67" s="105"/>
      <c r="BD67" s="105">
        <v>5487320</v>
      </c>
      <c r="BE67" s="19"/>
      <c r="BF67" s="19"/>
      <c r="BG67" s="105">
        <f>45750906</f>
        <v>45750906</v>
      </c>
      <c r="BH67" s="105"/>
      <c r="BI67" s="19"/>
      <c r="BJ67" s="19"/>
      <c r="BK67" s="108"/>
      <c r="BL67" s="19"/>
      <c r="BM67" s="105">
        <f>88001365</f>
        <v>88001365</v>
      </c>
      <c r="BN67" s="19"/>
      <c r="BO67" s="105">
        <f>5400000</f>
        <v>5400000</v>
      </c>
      <c r="BP67" s="105">
        <f>8110000</f>
        <v>8110000</v>
      </c>
      <c r="BQ67" s="19" t="s">
        <v>189</v>
      </c>
      <c r="BR67" s="105">
        <f>14006784</f>
        <v>14006784</v>
      </c>
      <c r="BS67" s="19"/>
      <c r="BT67" s="19"/>
      <c r="BU67" s="105"/>
      <c r="BV67" s="19"/>
      <c r="BW67" s="19" t="s">
        <v>189</v>
      </c>
      <c r="BX67" s="19"/>
      <c r="BY67" s="19"/>
      <c r="BZ67" s="19"/>
      <c r="CA67" s="19"/>
      <c r="CB67" s="105">
        <f>6234701</f>
        <v>6234701</v>
      </c>
      <c r="CC67" s="19"/>
      <c r="CD67" s="19"/>
      <c r="CE67" s="19"/>
      <c r="CF67" s="105">
        <f>37602380+69473140</f>
        <v>107075520</v>
      </c>
      <c r="CG67" s="19"/>
      <c r="CH67" s="19"/>
      <c r="CI67" s="19"/>
      <c r="CJ67" s="19"/>
      <c r="CK67" s="19" t="s">
        <v>190</v>
      </c>
      <c r="CL67" s="19"/>
      <c r="CM67" s="105">
        <v>13334800</v>
      </c>
      <c r="CN67" s="19"/>
      <c r="CO67" s="19"/>
      <c r="CP67" s="105">
        <f>83270402</f>
        <v>83270402</v>
      </c>
      <c r="CQ67" s="19"/>
      <c r="CR67" s="19"/>
      <c r="CS67" s="19"/>
      <c r="CT67" s="19" t="s">
        <v>190</v>
      </c>
      <c r="CU67" s="19"/>
      <c r="CV67" s="19"/>
      <c r="CW67" s="19" t="s">
        <v>189</v>
      </c>
      <c r="CX67" s="19"/>
      <c r="CY67" s="19"/>
      <c r="CZ67" s="105"/>
      <c r="DA67" s="19" t="s">
        <v>189</v>
      </c>
      <c r="DB67" s="19"/>
      <c r="DC67" s="109">
        <f>14527980+3526800</f>
        <v>18054780</v>
      </c>
      <c r="DD67" s="115"/>
      <c r="DE67" s="103"/>
      <c r="DF67" s="115"/>
      <c r="DG67" s="115"/>
      <c r="DH67" s="110" t="s">
        <v>189</v>
      </c>
      <c r="DI67" s="115"/>
      <c r="DJ67" s="103">
        <f>12890000</f>
        <v>12890000</v>
      </c>
      <c r="DK67" s="111" t="s">
        <v>189</v>
      </c>
      <c r="DL67" s="115"/>
      <c r="DM67" s="103"/>
      <c r="DN67" s="103"/>
      <c r="DO67" s="103"/>
      <c r="DP67" s="103"/>
      <c r="DQ67" s="103">
        <v>0</v>
      </c>
      <c r="DR67" s="103"/>
      <c r="DS67" s="103"/>
      <c r="DT67" s="103"/>
      <c r="DU67" s="103"/>
      <c r="DV67" s="103"/>
      <c r="DW67" s="103"/>
      <c r="DX67" s="103"/>
      <c r="DY67" s="103">
        <v>680000</v>
      </c>
      <c r="DZ67" s="103"/>
      <c r="EA67" s="103"/>
      <c r="EB67" s="103"/>
      <c r="EC67" s="103"/>
      <c r="ED67" s="103"/>
      <c r="EE67" s="103"/>
      <c r="EF67" s="103"/>
    </row>
    <row r="68" spans="1:136">
      <c r="A68" s="69" t="s">
        <v>194</v>
      </c>
      <c r="B68" s="95" t="s">
        <v>17</v>
      </c>
      <c r="C68" s="105"/>
      <c r="D68" s="19" t="s">
        <v>188</v>
      </c>
      <c r="E68" s="105"/>
      <c r="F68" s="19" t="s">
        <v>188</v>
      </c>
      <c r="G68" s="19" t="s">
        <v>189</v>
      </c>
      <c r="H68" s="19" t="s">
        <v>189</v>
      </c>
      <c r="I68" s="19" t="s">
        <v>188</v>
      </c>
      <c r="J68" s="105"/>
      <c r="K68" s="105"/>
      <c r="L68" s="108"/>
      <c r="M68" s="105">
        <v>41584375</v>
      </c>
      <c r="N68" s="19" t="s">
        <v>189</v>
      </c>
      <c r="O68" s="105"/>
      <c r="P68" s="107"/>
      <c r="Q68" s="105"/>
      <c r="R68" s="105">
        <v>1377125</v>
      </c>
      <c r="S68" s="105"/>
      <c r="T68" s="19"/>
      <c r="U68" s="19" t="s">
        <v>188</v>
      </c>
      <c r="V68" s="105"/>
      <c r="W68" s="19" t="s">
        <v>189</v>
      </c>
      <c r="X68" s="105"/>
      <c r="Y68" s="19" t="s">
        <v>188</v>
      </c>
      <c r="Z68" s="105">
        <f>26700000+182579846</f>
        <v>209279846</v>
      </c>
      <c r="AA68" s="123"/>
      <c r="AB68" s="19" t="s">
        <v>188</v>
      </c>
      <c r="AC68" s="19" t="s">
        <v>189</v>
      </c>
      <c r="AD68" s="19" t="s">
        <v>188</v>
      </c>
      <c r="AE68" s="105">
        <v>675000000</v>
      </c>
      <c r="AF68" s="105"/>
      <c r="AG68" s="19"/>
      <c r="AH68" s="105">
        <v>90990502</v>
      </c>
      <c r="AI68" s="19"/>
      <c r="AJ68" s="105">
        <f>168314000+607531240+11000000</f>
        <v>786845240</v>
      </c>
      <c r="AK68" s="19" t="s">
        <v>188</v>
      </c>
      <c r="AL68" s="105">
        <v>87795000</v>
      </c>
      <c r="AM68" s="105"/>
      <c r="AN68" s="19"/>
      <c r="AO68" s="19" t="s">
        <v>188</v>
      </c>
      <c r="AP68" s="105">
        <v>37280540</v>
      </c>
      <c r="AQ68" s="19" t="s">
        <v>188</v>
      </c>
      <c r="AR68" s="105"/>
      <c r="AS68" s="19" t="s">
        <v>188</v>
      </c>
      <c r="AT68" s="19"/>
      <c r="AU68" s="105">
        <v>3000000</v>
      </c>
      <c r="AV68" s="19"/>
      <c r="AW68" s="105"/>
      <c r="AX68" s="19"/>
      <c r="AY68" s="19" t="s">
        <v>188</v>
      </c>
      <c r="AZ68" s="105"/>
      <c r="BA68" s="105"/>
      <c r="BB68" s="105"/>
      <c r="BC68" s="105"/>
      <c r="BD68" s="105">
        <v>17400854</v>
      </c>
      <c r="BE68" s="19"/>
      <c r="BF68" s="19"/>
      <c r="BG68" s="105">
        <v>0</v>
      </c>
      <c r="BH68" s="105"/>
      <c r="BI68" s="19"/>
      <c r="BJ68" s="105">
        <v>0</v>
      </c>
      <c r="BK68" s="108"/>
      <c r="BL68" s="19"/>
      <c r="BM68" s="19"/>
      <c r="BN68" s="19"/>
      <c r="BO68" s="105">
        <f>78053600+265337469</f>
        <v>343391069</v>
      </c>
      <c r="BP68" s="19"/>
      <c r="BQ68" s="19" t="s">
        <v>189</v>
      </c>
      <c r="BR68" s="19"/>
      <c r="BS68" s="19"/>
      <c r="BT68" s="19"/>
      <c r="BU68" s="105">
        <f>23083537</f>
        <v>23083537</v>
      </c>
      <c r="BV68" s="19"/>
      <c r="BW68" s="19" t="s">
        <v>189</v>
      </c>
      <c r="BX68" s="105">
        <f>13316661</f>
        <v>13316661</v>
      </c>
      <c r="BY68" s="19"/>
      <c r="BZ68" s="19"/>
      <c r="CA68" s="19"/>
      <c r="CB68" s="19"/>
      <c r="CC68" s="19"/>
      <c r="CD68" s="19"/>
      <c r="CE68" s="19"/>
      <c r="CF68" s="105">
        <f>71161000</f>
        <v>71161000</v>
      </c>
      <c r="CG68" s="19"/>
      <c r="CH68" s="19"/>
      <c r="CI68" s="105">
        <f>15000000+5000000</f>
        <v>20000000</v>
      </c>
      <c r="CJ68" s="19"/>
      <c r="CK68" s="19" t="s">
        <v>190</v>
      </c>
      <c r="CL68" s="19"/>
      <c r="CM68" s="19"/>
      <c r="CN68" s="19"/>
      <c r="CO68" s="19"/>
      <c r="CP68" s="19"/>
      <c r="CQ68" s="19"/>
      <c r="CR68" s="19"/>
      <c r="CS68" s="19"/>
      <c r="CT68" s="19" t="s">
        <v>190</v>
      </c>
      <c r="CU68" s="19"/>
      <c r="CV68" s="19"/>
      <c r="CW68" s="19" t="s">
        <v>189</v>
      </c>
      <c r="CX68" s="19"/>
      <c r="CY68" s="19"/>
      <c r="CZ68" s="19"/>
      <c r="DA68" s="19" t="s">
        <v>189</v>
      </c>
      <c r="DB68" s="19"/>
      <c r="DC68" s="114"/>
      <c r="DD68" s="115"/>
      <c r="DE68" s="103">
        <f>9000000</f>
        <v>9000000</v>
      </c>
      <c r="DF68" s="115"/>
      <c r="DG68" s="103">
        <f>11000000</f>
        <v>11000000</v>
      </c>
      <c r="DH68" s="110" t="s">
        <v>189</v>
      </c>
      <c r="DI68" s="103">
        <f>164994000</f>
        <v>164994000</v>
      </c>
      <c r="DJ68" s="115"/>
      <c r="DK68" s="111" t="s">
        <v>189</v>
      </c>
      <c r="DL68" s="103">
        <f>6000000</f>
        <v>6000000</v>
      </c>
      <c r="DM68" s="103"/>
      <c r="DN68" s="103"/>
      <c r="DO68" s="103"/>
      <c r="DP68" s="103">
        <v>6000000</v>
      </c>
      <c r="DQ68" s="103"/>
      <c r="DR68" s="103"/>
      <c r="DS68" s="103"/>
      <c r="DT68" s="103"/>
      <c r="DU68" s="103"/>
      <c r="DV68" s="103"/>
      <c r="DW68" s="103"/>
      <c r="DX68" s="103"/>
      <c r="DY68" s="103"/>
      <c r="DZ68" s="103"/>
      <c r="EA68" s="103"/>
      <c r="EB68" s="103"/>
      <c r="EC68" s="103"/>
      <c r="ED68" s="103"/>
      <c r="EE68" s="103"/>
      <c r="EF68" s="103"/>
    </row>
    <row r="69" spans="1:136">
      <c r="A69" s="69" t="s">
        <v>194</v>
      </c>
      <c r="B69" s="93" t="s">
        <v>41</v>
      </c>
      <c r="C69" s="105">
        <v>1666341</v>
      </c>
      <c r="D69" s="19" t="s">
        <v>188</v>
      </c>
      <c r="E69" s="105"/>
      <c r="F69" s="19" t="s">
        <v>188</v>
      </c>
      <c r="G69" s="19" t="s">
        <v>189</v>
      </c>
      <c r="H69" s="19" t="s">
        <v>189</v>
      </c>
      <c r="I69" s="19" t="s">
        <v>188</v>
      </c>
      <c r="J69" s="105">
        <f>2400000+5795098</f>
        <v>8195098</v>
      </c>
      <c r="K69" s="105">
        <v>7537</v>
      </c>
      <c r="L69" s="108">
        <f>2214931+76131592</f>
        <v>78346523</v>
      </c>
      <c r="M69" s="105"/>
      <c r="N69" s="19" t="s">
        <v>189</v>
      </c>
      <c r="O69" s="105"/>
      <c r="P69" s="107">
        <f>52447459+3740000</f>
        <v>56187459</v>
      </c>
      <c r="Q69" s="105">
        <f>28150688+565038883</f>
        <v>593189571</v>
      </c>
      <c r="R69" s="105">
        <v>6</v>
      </c>
      <c r="S69" s="105">
        <v>2221181</v>
      </c>
      <c r="T69" s="19"/>
      <c r="U69" s="19" t="s">
        <v>188</v>
      </c>
      <c r="V69" s="105">
        <f>24860512+109141074+47841113</f>
        <v>181842699</v>
      </c>
      <c r="W69" s="19" t="s">
        <v>189</v>
      </c>
      <c r="X69" s="105">
        <f>3286171+1909346</f>
        <v>5195517</v>
      </c>
      <c r="Y69" s="19" t="s">
        <v>188</v>
      </c>
      <c r="Z69" s="105"/>
      <c r="AA69" s="105">
        <f>4350978+6733450+100000000+25500000</f>
        <v>136584428</v>
      </c>
      <c r="AB69" s="19" t="s">
        <v>188</v>
      </c>
      <c r="AC69" s="19" t="s">
        <v>189</v>
      </c>
      <c r="AD69" s="19" t="s">
        <v>188</v>
      </c>
      <c r="AE69" s="105">
        <v>4460615</v>
      </c>
      <c r="AF69" s="105"/>
      <c r="AG69" s="19"/>
      <c r="AH69" s="105">
        <v>21680058</v>
      </c>
      <c r="AI69" s="105">
        <f>25965123+14357860</f>
        <v>40322983</v>
      </c>
      <c r="AJ69" s="19"/>
      <c r="AK69" s="19" t="s">
        <v>188</v>
      </c>
      <c r="AL69" s="105">
        <f>427087310+18975000</f>
        <v>446062310</v>
      </c>
      <c r="AM69" s="105"/>
      <c r="AN69" s="19"/>
      <c r="AO69" s="19" t="s">
        <v>188</v>
      </c>
      <c r="AP69" s="19"/>
      <c r="AQ69" s="19" t="s">
        <v>188</v>
      </c>
      <c r="AR69" s="105">
        <f>5910075+4751434+1000000</f>
        <v>11661509</v>
      </c>
      <c r="AS69" s="19" t="s">
        <v>188</v>
      </c>
      <c r="AT69" s="108">
        <f>2782908+127487200+6127020+740000</f>
        <v>137137128</v>
      </c>
      <c r="AU69" s="105"/>
      <c r="AV69" s="105">
        <f>13567849+16508566</f>
        <v>30076415</v>
      </c>
      <c r="AW69" s="19"/>
      <c r="AX69" s="19"/>
      <c r="AY69" s="19" t="s">
        <v>188</v>
      </c>
      <c r="AZ69" s="105"/>
      <c r="BA69" s="105">
        <v>1448848</v>
      </c>
      <c r="BB69" s="108"/>
      <c r="BC69" s="105">
        <f>33000000</f>
        <v>33000000</v>
      </c>
      <c r="BD69" s="105">
        <v>1392480</v>
      </c>
      <c r="BE69" s="19"/>
      <c r="BF69" s="19"/>
      <c r="BG69" s="19"/>
      <c r="BH69" s="105"/>
      <c r="BI69" s="105">
        <v>5392095</v>
      </c>
      <c r="BJ69" s="19"/>
      <c r="BK69" s="108"/>
      <c r="BL69" s="19"/>
      <c r="BM69" s="19"/>
      <c r="BN69" s="105">
        <f>2700</f>
        <v>2700</v>
      </c>
      <c r="BO69" s="19"/>
      <c r="BP69" s="105">
        <f>1040000+26796510</f>
        <v>27836510</v>
      </c>
      <c r="BQ69" s="19" t="s">
        <v>189</v>
      </c>
      <c r="BR69" s="19"/>
      <c r="BS69" s="105">
        <f>166094702</f>
        <v>166094702</v>
      </c>
      <c r="BT69" s="19"/>
      <c r="BU69" s="105">
        <f>2035020+536353</f>
        <v>2571373</v>
      </c>
      <c r="BV69" s="19"/>
      <c r="BW69" s="19" t="s">
        <v>189</v>
      </c>
      <c r="BX69" s="19"/>
      <c r="BY69" s="105">
        <v>271320</v>
      </c>
      <c r="BZ69" s="19"/>
      <c r="CA69" s="105">
        <f>5000151</f>
        <v>5000151</v>
      </c>
      <c r="CB69" s="19"/>
      <c r="CC69" s="105">
        <v>60000000</v>
      </c>
      <c r="CD69" s="105">
        <f>3345120</f>
        <v>3345120</v>
      </c>
      <c r="CE69" s="105">
        <f>31135983</f>
        <v>31135983</v>
      </c>
      <c r="CF69" s="19"/>
      <c r="CG69" s="19"/>
      <c r="CH69" s="105">
        <f>1565080+10263176</f>
        <v>11828256</v>
      </c>
      <c r="CI69" s="19"/>
      <c r="CJ69" s="19"/>
      <c r="CK69" s="19" t="s">
        <v>190</v>
      </c>
      <c r="CL69" s="105">
        <v>85414</v>
      </c>
      <c r="CM69" s="105">
        <f>17766030+27500000</f>
        <v>45266030</v>
      </c>
      <c r="CN69" s="19"/>
      <c r="CO69" s="19"/>
      <c r="CP69" s="105">
        <f>4142148+10000000+3383300+10690000</f>
        <v>28215448</v>
      </c>
      <c r="CQ69" s="105">
        <f>88802338</f>
        <v>88802338</v>
      </c>
      <c r="CR69" s="19"/>
      <c r="CS69" s="19"/>
      <c r="CT69" s="19" t="s">
        <v>190</v>
      </c>
      <c r="CU69" s="19"/>
      <c r="CV69" s="19"/>
      <c r="CW69" s="19" t="s">
        <v>189</v>
      </c>
      <c r="CX69" s="105">
        <f>297000</f>
        <v>297000</v>
      </c>
      <c r="CY69" s="19"/>
      <c r="CZ69" s="105">
        <v>214389</v>
      </c>
      <c r="DA69" s="19" t="s">
        <v>189</v>
      </c>
      <c r="DB69" s="124"/>
      <c r="DC69" s="109">
        <f>188136</f>
        <v>188136</v>
      </c>
      <c r="DD69" s="115"/>
      <c r="DE69" s="115"/>
      <c r="DF69" s="103">
        <f>32531236+14463884+866326</f>
        <v>47861446</v>
      </c>
      <c r="DG69" s="115"/>
      <c r="DH69" s="110" t="s">
        <v>189</v>
      </c>
      <c r="DI69" s="103">
        <f>1953+58303224</f>
        <v>58305177</v>
      </c>
      <c r="DJ69" s="115"/>
      <c r="DK69" s="111" t="s">
        <v>189</v>
      </c>
      <c r="DL69" s="115"/>
      <c r="DM69" s="103"/>
      <c r="DN69" s="103"/>
      <c r="DO69" s="103">
        <v>22251</v>
      </c>
      <c r="DP69" s="103"/>
      <c r="DQ69" s="103"/>
      <c r="DR69" s="103">
        <v>73966541</v>
      </c>
      <c r="DS69" s="103">
        <v>28386088</v>
      </c>
      <c r="DT69" s="103"/>
      <c r="DU69" s="103"/>
      <c r="DV69" s="103"/>
      <c r="DW69" s="103"/>
      <c r="DX69" s="103">
        <v>164892661</v>
      </c>
      <c r="DY69" s="103">
        <v>88893000</v>
      </c>
      <c r="DZ69" s="103">
        <v>3651000</v>
      </c>
      <c r="EA69" s="103">
        <v>1159626</v>
      </c>
      <c r="EB69" s="103">
        <v>1636781</v>
      </c>
      <c r="EC69" s="103"/>
      <c r="ED69" s="103"/>
      <c r="EE69" s="103">
        <v>7798383</v>
      </c>
      <c r="EF69" s="103">
        <v>6388929</v>
      </c>
    </row>
    <row r="70" spans="1:136">
      <c r="A70" s="69" t="s">
        <v>194</v>
      </c>
      <c r="B70" s="92" t="s">
        <v>10</v>
      </c>
      <c r="C70" s="105">
        <v>6376192</v>
      </c>
      <c r="D70" s="19" t="s">
        <v>188</v>
      </c>
      <c r="E70" s="105">
        <v>13259922</v>
      </c>
      <c r="F70" s="19" t="s">
        <v>188</v>
      </c>
      <c r="G70" s="19" t="s">
        <v>189</v>
      </c>
      <c r="H70" s="19" t="s">
        <v>189</v>
      </c>
      <c r="I70" s="19" t="s">
        <v>188</v>
      </c>
      <c r="J70" s="105">
        <v>396256394</v>
      </c>
      <c r="K70" s="105">
        <v>306443</v>
      </c>
      <c r="L70" s="108">
        <v>101190526</v>
      </c>
      <c r="M70" s="105">
        <v>2544901</v>
      </c>
      <c r="N70" s="19" t="s">
        <v>189</v>
      </c>
      <c r="O70" s="105">
        <v>0</v>
      </c>
      <c r="P70" s="107">
        <v>58983970</v>
      </c>
      <c r="Q70" s="105">
        <v>1272114943</v>
      </c>
      <c r="R70" s="105">
        <v>95642959</v>
      </c>
      <c r="S70" s="105">
        <v>89192374</v>
      </c>
      <c r="T70" s="105">
        <v>107128618</v>
      </c>
      <c r="U70" s="19" t="s">
        <v>188</v>
      </c>
      <c r="V70" s="105">
        <v>480804042</v>
      </c>
      <c r="W70" s="19" t="s">
        <v>189</v>
      </c>
      <c r="X70" s="105">
        <v>11862241</v>
      </c>
      <c r="Y70" s="19" t="s">
        <v>188</v>
      </c>
      <c r="Z70" s="105">
        <v>42672569</v>
      </c>
      <c r="AA70" s="105">
        <v>114454236</v>
      </c>
      <c r="AB70" s="19" t="s">
        <v>188</v>
      </c>
      <c r="AC70" s="19" t="s">
        <v>189</v>
      </c>
      <c r="AD70" s="19" t="s">
        <v>188</v>
      </c>
      <c r="AE70" s="105">
        <v>43098228</v>
      </c>
      <c r="AF70" s="105">
        <v>2431351</v>
      </c>
      <c r="AG70" s="105">
        <v>35789386</v>
      </c>
      <c r="AH70" s="105">
        <v>206700</v>
      </c>
      <c r="AI70" s="105">
        <v>75160710</v>
      </c>
      <c r="AJ70" s="105">
        <v>1036417369</v>
      </c>
      <c r="AK70" s="19" t="s">
        <v>188</v>
      </c>
      <c r="AL70" s="105">
        <v>7572421</v>
      </c>
      <c r="AM70" s="105">
        <v>20984739</v>
      </c>
      <c r="AN70" s="105">
        <v>4014</v>
      </c>
      <c r="AO70" s="19" t="s">
        <v>188</v>
      </c>
      <c r="AP70" s="105">
        <f>5998219</f>
        <v>5998219</v>
      </c>
      <c r="AQ70" s="19" t="s">
        <v>188</v>
      </c>
      <c r="AR70" s="105">
        <v>163995089</v>
      </c>
      <c r="AS70" s="19" t="s">
        <v>188</v>
      </c>
      <c r="AT70" s="105">
        <v>467229178</v>
      </c>
      <c r="AU70" s="105">
        <v>8444436</v>
      </c>
      <c r="AV70" s="105">
        <v>956826097</v>
      </c>
      <c r="AW70" s="105">
        <v>14615614</v>
      </c>
      <c r="AX70" s="105">
        <v>2709670</v>
      </c>
      <c r="AY70" s="19" t="s">
        <v>188</v>
      </c>
      <c r="AZ70" s="105">
        <v>0</v>
      </c>
      <c r="BA70" s="105">
        <v>881195</v>
      </c>
      <c r="BB70" s="108">
        <f>39829897</f>
        <v>39829897</v>
      </c>
      <c r="BC70" s="105">
        <f>18763117</f>
        <v>18763117</v>
      </c>
      <c r="BD70" s="105">
        <v>11866602</v>
      </c>
      <c r="BE70" s="105">
        <f>42555176</f>
        <v>42555176</v>
      </c>
      <c r="BF70" s="105">
        <f>45077574</f>
        <v>45077574</v>
      </c>
      <c r="BG70" s="105">
        <v>149911740</v>
      </c>
      <c r="BH70" s="105">
        <f>84015300</f>
        <v>84015300</v>
      </c>
      <c r="BI70" s="105">
        <v>50927122</v>
      </c>
      <c r="BJ70" s="105">
        <v>47915351</v>
      </c>
      <c r="BK70" s="108">
        <f>20801176</f>
        <v>20801176</v>
      </c>
      <c r="BL70" s="105">
        <f>19776739</f>
        <v>19776739</v>
      </c>
      <c r="BM70" s="105">
        <f>163563027</f>
        <v>163563027</v>
      </c>
      <c r="BN70" s="105">
        <f>36900140</f>
        <v>36900140</v>
      </c>
      <c r="BO70" s="105">
        <f>34233240</f>
        <v>34233240</v>
      </c>
      <c r="BP70" s="105">
        <f>17735020</f>
        <v>17735020</v>
      </c>
      <c r="BQ70" s="19" t="s">
        <v>189</v>
      </c>
      <c r="BR70" s="105">
        <f>56164714</f>
        <v>56164714</v>
      </c>
      <c r="BS70" s="105">
        <f>285925922</f>
        <v>285925922</v>
      </c>
      <c r="BT70" s="105">
        <f>3042881</f>
        <v>3042881</v>
      </c>
      <c r="BU70" s="105">
        <f>43675797</f>
        <v>43675797</v>
      </c>
      <c r="BV70" s="105">
        <f>31890665</f>
        <v>31890665</v>
      </c>
      <c r="BW70" s="19" t="s">
        <v>189</v>
      </c>
      <c r="BX70" s="105">
        <f>120649</f>
        <v>120649</v>
      </c>
      <c r="BY70" s="105">
        <v>32581412</v>
      </c>
      <c r="BZ70" s="105">
        <f>40004564</f>
        <v>40004564</v>
      </c>
      <c r="CA70" s="105">
        <f>15705711</f>
        <v>15705711</v>
      </c>
      <c r="CB70" s="105">
        <f>1679205</f>
        <v>1679205</v>
      </c>
      <c r="CC70" s="105">
        <v>10455305</v>
      </c>
      <c r="CD70" s="105">
        <f>2849453</f>
        <v>2849453</v>
      </c>
      <c r="CE70" s="105">
        <f>14131151</f>
        <v>14131151</v>
      </c>
      <c r="CF70" s="105">
        <f>166057337</f>
        <v>166057337</v>
      </c>
      <c r="CG70" s="105">
        <f>7032351</f>
        <v>7032351</v>
      </c>
      <c r="CH70" s="105">
        <v>155716500</v>
      </c>
      <c r="CI70" s="105">
        <v>2550169</v>
      </c>
      <c r="CJ70" s="105">
        <v>310683</v>
      </c>
      <c r="CK70" s="19" t="s">
        <v>190</v>
      </c>
      <c r="CL70" s="105">
        <v>41034729</v>
      </c>
      <c r="CM70" s="105">
        <v>46982872</v>
      </c>
      <c r="CN70" s="105">
        <f>2623231</f>
        <v>2623231</v>
      </c>
      <c r="CO70" s="105">
        <v>15162205</v>
      </c>
      <c r="CP70" s="105">
        <f>116763671</f>
        <v>116763671</v>
      </c>
      <c r="CQ70" s="105">
        <f>49950934</f>
        <v>49950934</v>
      </c>
      <c r="CR70" s="105">
        <f>25000000</f>
        <v>25000000</v>
      </c>
      <c r="CS70" s="105">
        <f>7804366</f>
        <v>7804366</v>
      </c>
      <c r="CT70" s="19" t="s">
        <v>190</v>
      </c>
      <c r="CU70" s="105">
        <f>7451014</f>
        <v>7451014</v>
      </c>
      <c r="CV70" s="105">
        <v>264175997</v>
      </c>
      <c r="CW70" s="19" t="s">
        <v>189</v>
      </c>
      <c r="CX70" s="105">
        <f>1311089</f>
        <v>1311089</v>
      </c>
      <c r="CY70" s="105">
        <f>130810</f>
        <v>130810</v>
      </c>
      <c r="CZ70" s="105">
        <v>266813786</v>
      </c>
      <c r="DA70" s="19" t="s">
        <v>189</v>
      </c>
      <c r="DB70" s="105">
        <f>25734002</f>
        <v>25734002</v>
      </c>
      <c r="DC70" s="114"/>
      <c r="DD70" s="103">
        <v>39889035</v>
      </c>
      <c r="DE70" s="103">
        <v>491875306</v>
      </c>
      <c r="DF70" s="103">
        <v>1607942853</v>
      </c>
      <c r="DG70" s="103">
        <f>12734492</f>
        <v>12734492</v>
      </c>
      <c r="DH70" s="110" t="s">
        <v>189</v>
      </c>
      <c r="DI70" s="103">
        <f>287028701</f>
        <v>287028701</v>
      </c>
      <c r="DJ70" s="103">
        <f>5777853</f>
        <v>5777853</v>
      </c>
      <c r="DK70" s="111" t="s">
        <v>189</v>
      </c>
      <c r="DL70" s="103">
        <f>18860154</f>
        <v>18860154</v>
      </c>
      <c r="DM70" s="103">
        <v>23267287</v>
      </c>
      <c r="DN70" s="103">
        <v>44274748</v>
      </c>
      <c r="DO70" s="103">
        <v>287042451</v>
      </c>
      <c r="DP70" s="103">
        <v>1622159</v>
      </c>
      <c r="DQ70" s="103">
        <v>8469698</v>
      </c>
      <c r="DR70" s="103">
        <v>7943394</v>
      </c>
      <c r="DS70" s="103">
        <v>50518886</v>
      </c>
      <c r="DT70" s="103">
        <v>42886350</v>
      </c>
      <c r="DU70" s="103">
        <v>23930709</v>
      </c>
      <c r="DV70" s="103">
        <v>1274360</v>
      </c>
      <c r="DW70" s="103">
        <v>1955680</v>
      </c>
      <c r="DX70" s="103">
        <v>92636403</v>
      </c>
      <c r="DY70" s="103">
        <v>74165204</v>
      </c>
      <c r="DZ70" s="103">
        <v>25304950</v>
      </c>
      <c r="EA70" s="103">
        <v>14607009</v>
      </c>
      <c r="EB70" s="103">
        <v>172351972</v>
      </c>
      <c r="EC70" s="103">
        <v>43347859</v>
      </c>
      <c r="ED70" s="103">
        <v>0</v>
      </c>
      <c r="EE70" s="103">
        <v>36769769</v>
      </c>
      <c r="EF70" s="103">
        <v>26171405</v>
      </c>
    </row>
    <row r="71" spans="1:136">
      <c r="A71" s="69" t="s">
        <v>194</v>
      </c>
      <c r="B71" s="93" t="s">
        <v>60</v>
      </c>
      <c r="C71" s="105">
        <v>6197717</v>
      </c>
      <c r="D71" s="19" t="s">
        <v>188</v>
      </c>
      <c r="E71" s="105">
        <v>5428252</v>
      </c>
      <c r="F71" s="19" t="s">
        <v>188</v>
      </c>
      <c r="G71" s="19" t="s">
        <v>189</v>
      </c>
      <c r="H71" s="19" t="s">
        <v>189</v>
      </c>
      <c r="I71" s="19" t="s">
        <v>188</v>
      </c>
      <c r="J71" s="105">
        <v>212635179</v>
      </c>
      <c r="K71" s="105"/>
      <c r="L71" s="108">
        <v>76139721</v>
      </c>
      <c r="M71" s="105">
        <v>2261576</v>
      </c>
      <c r="N71" s="19" t="s">
        <v>189</v>
      </c>
      <c r="O71" s="105"/>
      <c r="P71" s="107">
        <v>53042001</v>
      </c>
      <c r="Q71" s="105">
        <v>1260255552</v>
      </c>
      <c r="R71" s="105">
        <v>95640211</v>
      </c>
      <c r="S71" s="105">
        <v>84412796</v>
      </c>
      <c r="T71" s="105">
        <v>78608091</v>
      </c>
      <c r="U71" s="19" t="s">
        <v>188</v>
      </c>
      <c r="V71" s="105"/>
      <c r="W71" s="19" t="s">
        <v>189</v>
      </c>
      <c r="X71" s="105"/>
      <c r="Y71" s="19" t="s">
        <v>188</v>
      </c>
      <c r="Z71" s="105">
        <v>17655096</v>
      </c>
      <c r="AA71" s="105">
        <v>551366</v>
      </c>
      <c r="AB71" s="19" t="s">
        <v>188</v>
      </c>
      <c r="AC71" s="19" t="s">
        <v>189</v>
      </c>
      <c r="AD71" s="19" t="s">
        <v>188</v>
      </c>
      <c r="AE71" s="105">
        <v>29956362</v>
      </c>
      <c r="AF71" s="105">
        <f>981418</f>
        <v>981418</v>
      </c>
      <c r="AG71" s="105">
        <f>35767678</f>
        <v>35767678</v>
      </c>
      <c r="AH71" s="105">
        <v>206685</v>
      </c>
      <c r="AI71" s="105">
        <v>12160575</v>
      </c>
      <c r="AJ71" s="105">
        <v>25172470</v>
      </c>
      <c r="AK71" s="19" t="s">
        <v>188</v>
      </c>
      <c r="AL71" s="105">
        <v>440638</v>
      </c>
      <c r="AM71" s="105">
        <f>14245763</f>
        <v>14245763</v>
      </c>
      <c r="AN71" s="105">
        <v>4014</v>
      </c>
      <c r="AO71" s="19" t="s">
        <v>188</v>
      </c>
      <c r="AP71" s="105">
        <f>2182658</f>
        <v>2182658</v>
      </c>
      <c r="AQ71" s="19" t="s">
        <v>188</v>
      </c>
      <c r="AR71" s="105">
        <v>128958317</v>
      </c>
      <c r="AS71" s="19" t="s">
        <v>188</v>
      </c>
      <c r="AT71" s="105">
        <v>321096202</v>
      </c>
      <c r="AU71" s="105">
        <v>7245286</v>
      </c>
      <c r="AV71" s="105">
        <f>107790230</f>
        <v>107790230</v>
      </c>
      <c r="AW71" s="105">
        <v>80102449</v>
      </c>
      <c r="AX71" s="105"/>
      <c r="AY71" s="19" t="s">
        <v>188</v>
      </c>
      <c r="AZ71" s="105"/>
      <c r="BA71" s="105">
        <v>575717</v>
      </c>
      <c r="BB71" s="108">
        <v>35999255</v>
      </c>
      <c r="BC71" s="105">
        <f>18711952</f>
        <v>18711952</v>
      </c>
      <c r="BD71" s="105">
        <v>11668240</v>
      </c>
      <c r="BE71" s="105">
        <f>26442798</f>
        <v>26442798</v>
      </c>
      <c r="BF71" s="105">
        <f>41519274</f>
        <v>41519274</v>
      </c>
      <c r="BG71" s="108">
        <f>34863359</f>
        <v>34863359</v>
      </c>
      <c r="BH71" s="105">
        <f>83323136</f>
        <v>83323136</v>
      </c>
      <c r="BI71" s="105">
        <v>50926156</v>
      </c>
      <c r="BJ71" s="105">
        <f>10177627</f>
        <v>10177627</v>
      </c>
      <c r="BK71" s="108">
        <f>19700978</f>
        <v>19700978</v>
      </c>
      <c r="BL71" s="105">
        <f>10373496</f>
        <v>10373496</v>
      </c>
      <c r="BM71" s="105">
        <f>143659380</f>
        <v>143659380</v>
      </c>
      <c r="BN71" s="105">
        <f>24404553</f>
        <v>24404553</v>
      </c>
      <c r="BO71" s="19"/>
      <c r="BP71" s="105">
        <f>6209292</f>
        <v>6209292</v>
      </c>
      <c r="BQ71" s="19" t="s">
        <v>189</v>
      </c>
      <c r="BR71" s="105">
        <f>35352523</f>
        <v>35352523</v>
      </c>
      <c r="BS71" s="105">
        <f>79188542</f>
        <v>79188542</v>
      </c>
      <c r="BT71" s="105">
        <f>2678366</f>
        <v>2678366</v>
      </c>
      <c r="BU71" s="105">
        <f>5122362</f>
        <v>5122362</v>
      </c>
      <c r="BV71" s="105">
        <f>31721457</f>
        <v>31721457</v>
      </c>
      <c r="BW71" s="19" t="s">
        <v>189</v>
      </c>
      <c r="BX71" s="19"/>
      <c r="BY71" s="19"/>
      <c r="BZ71" s="105">
        <f>30823300</f>
        <v>30823300</v>
      </c>
      <c r="CA71" s="105">
        <f>1819188</f>
        <v>1819188</v>
      </c>
      <c r="CB71" s="105">
        <f>1112161</f>
        <v>1112161</v>
      </c>
      <c r="CC71" s="105">
        <v>10404655</v>
      </c>
      <c r="CD71" s="105">
        <f>223052</f>
        <v>223052</v>
      </c>
      <c r="CE71" s="105">
        <f>14124760</f>
        <v>14124760</v>
      </c>
      <c r="CF71" s="105">
        <f>57486257</f>
        <v>57486257</v>
      </c>
      <c r="CG71" s="105">
        <f>7025811</f>
        <v>7025811</v>
      </c>
      <c r="CH71" s="105">
        <v>154799537</v>
      </c>
      <c r="CI71" s="105">
        <v>2549819</v>
      </c>
      <c r="CJ71" s="105"/>
      <c r="CK71" s="19" t="s">
        <v>190</v>
      </c>
      <c r="CL71" s="105">
        <v>36443951</v>
      </c>
      <c r="CM71" s="105">
        <v>761575</v>
      </c>
      <c r="CN71" s="105">
        <f>428367</f>
        <v>428367</v>
      </c>
      <c r="CO71" s="105">
        <v>7358471</v>
      </c>
      <c r="CP71" s="105">
        <f>4510399+1194</f>
        <v>4511593</v>
      </c>
      <c r="CQ71" s="19"/>
      <c r="CR71" s="19"/>
      <c r="CS71" s="105">
        <f>260839</f>
        <v>260839</v>
      </c>
      <c r="CT71" s="19" t="s">
        <v>190</v>
      </c>
      <c r="CU71" s="19"/>
      <c r="CV71" s="105">
        <f>128516965</f>
        <v>128516965</v>
      </c>
      <c r="CW71" s="19" t="s">
        <v>189</v>
      </c>
      <c r="CX71" s="19"/>
      <c r="CY71" s="105">
        <v>0</v>
      </c>
      <c r="CZ71" s="105">
        <v>107530631</v>
      </c>
      <c r="DA71" s="19" t="s">
        <v>189</v>
      </c>
      <c r="DB71" s="105">
        <f>25691230</f>
        <v>25691230</v>
      </c>
      <c r="DC71" s="114"/>
      <c r="DD71" s="103">
        <v>39740355</v>
      </c>
      <c r="DE71" s="103">
        <f>149524113</f>
        <v>149524113</v>
      </c>
      <c r="DF71" s="103">
        <v>412640347</v>
      </c>
      <c r="DG71" s="103">
        <f>11339978</f>
        <v>11339978</v>
      </c>
      <c r="DH71" s="110" t="s">
        <v>189</v>
      </c>
      <c r="DI71" s="103">
        <f>180767803</f>
        <v>180767803</v>
      </c>
      <c r="DJ71" s="103">
        <f>2622003</f>
        <v>2622003</v>
      </c>
      <c r="DK71" s="111" t="s">
        <v>189</v>
      </c>
      <c r="DL71" s="103">
        <v>17909742</v>
      </c>
      <c r="DM71" s="103">
        <v>22851657</v>
      </c>
      <c r="DN71" s="103">
        <v>43889341</v>
      </c>
      <c r="DO71" s="103">
        <v>253833715</v>
      </c>
      <c r="DP71" s="103">
        <v>822498</v>
      </c>
      <c r="DQ71" s="103">
        <v>4715175</v>
      </c>
      <c r="DR71" s="103">
        <v>7943394</v>
      </c>
      <c r="DS71" s="103">
        <v>49966586</v>
      </c>
      <c r="DT71" s="103">
        <v>42877536</v>
      </c>
      <c r="DU71" s="103">
        <v>14365507</v>
      </c>
      <c r="DV71" s="103"/>
      <c r="DW71" s="103">
        <v>555680</v>
      </c>
      <c r="DX71" s="103">
        <v>10818327</v>
      </c>
      <c r="DY71" s="103"/>
      <c r="DZ71" s="103">
        <v>23113509</v>
      </c>
      <c r="EA71" s="103">
        <v>6443217</v>
      </c>
      <c r="EB71" s="103">
        <v>145089979</v>
      </c>
      <c r="EC71" s="103">
        <v>7110459</v>
      </c>
      <c r="ED71" s="103"/>
      <c r="EE71" s="103">
        <v>34813868</v>
      </c>
      <c r="EF71" s="103">
        <v>23461489</v>
      </c>
    </row>
    <row r="72" spans="1:136">
      <c r="A72" s="69" t="s">
        <v>194</v>
      </c>
      <c r="B72" s="93" t="s">
        <v>29</v>
      </c>
      <c r="C72" s="105">
        <v>0</v>
      </c>
      <c r="D72" s="19" t="s">
        <v>188</v>
      </c>
      <c r="E72" s="105">
        <v>7818670</v>
      </c>
      <c r="F72" s="19" t="s">
        <v>188</v>
      </c>
      <c r="G72" s="19" t="s">
        <v>189</v>
      </c>
      <c r="H72" s="19" t="s">
        <v>189</v>
      </c>
      <c r="I72" s="19" t="s">
        <v>188</v>
      </c>
      <c r="J72" s="105">
        <v>3400000</v>
      </c>
      <c r="K72" s="105"/>
      <c r="L72" s="108"/>
      <c r="M72" s="105"/>
      <c r="N72" s="19" t="s">
        <v>189</v>
      </c>
      <c r="O72" s="105"/>
      <c r="P72" s="107">
        <v>3000000</v>
      </c>
      <c r="Q72" s="105">
        <v>2000000</v>
      </c>
      <c r="R72" s="105">
        <v>0</v>
      </c>
      <c r="S72" s="105"/>
      <c r="T72" s="105">
        <v>28520523</v>
      </c>
      <c r="U72" s="19" t="s">
        <v>188</v>
      </c>
      <c r="V72" s="105"/>
      <c r="W72" s="19" t="s">
        <v>189</v>
      </c>
      <c r="X72" s="105"/>
      <c r="Y72" s="19" t="s">
        <v>188</v>
      </c>
      <c r="Z72" s="105">
        <v>12500000</v>
      </c>
      <c r="AA72" s="105">
        <v>240000</v>
      </c>
      <c r="AB72" s="19" t="s">
        <v>188</v>
      </c>
      <c r="AC72" s="19" t="s">
        <v>189</v>
      </c>
      <c r="AD72" s="19" t="s">
        <v>188</v>
      </c>
      <c r="AE72" s="105">
        <v>1700000</v>
      </c>
      <c r="AF72" s="105"/>
      <c r="AG72" s="105">
        <v>0</v>
      </c>
      <c r="AH72" s="19"/>
      <c r="AI72" s="105">
        <v>0</v>
      </c>
      <c r="AJ72" s="105">
        <v>7213200</v>
      </c>
      <c r="AK72" s="19" t="s">
        <v>188</v>
      </c>
      <c r="AL72" s="19"/>
      <c r="AM72" s="105">
        <v>3192202</v>
      </c>
      <c r="AN72" s="105"/>
      <c r="AO72" s="19" t="s">
        <v>188</v>
      </c>
      <c r="AP72" s="105"/>
      <c r="AQ72" s="19" t="s">
        <v>188</v>
      </c>
      <c r="AR72" s="105">
        <v>22884000</v>
      </c>
      <c r="AS72" s="19" t="s">
        <v>188</v>
      </c>
      <c r="AT72" s="105">
        <v>34761000</v>
      </c>
      <c r="AU72" s="105">
        <v>460000</v>
      </c>
      <c r="AV72" s="105">
        <v>1072000</v>
      </c>
      <c r="AW72" s="105">
        <v>65475820</v>
      </c>
      <c r="AX72" s="105">
        <f>2500000</f>
        <v>2500000</v>
      </c>
      <c r="AY72" s="19" t="s">
        <v>188</v>
      </c>
      <c r="AZ72" s="105"/>
      <c r="BA72" s="105">
        <v>300000</v>
      </c>
      <c r="BB72" s="108">
        <v>0</v>
      </c>
      <c r="BC72" s="105"/>
      <c r="BD72" s="105"/>
      <c r="BE72" s="105">
        <v>15500000</v>
      </c>
      <c r="BF72" s="105"/>
      <c r="BG72" s="108">
        <v>0</v>
      </c>
      <c r="BH72" s="105"/>
      <c r="BI72" s="19"/>
      <c r="BJ72" s="105">
        <f>37502000</f>
        <v>37502000</v>
      </c>
      <c r="BK72" s="108">
        <f>1100000</f>
        <v>1100000</v>
      </c>
      <c r="BL72" s="19"/>
      <c r="BM72" s="105">
        <f>5400000</f>
        <v>5400000</v>
      </c>
      <c r="BN72" s="105">
        <f>600000</f>
        <v>600000</v>
      </c>
      <c r="BO72" s="19"/>
      <c r="BP72" s="105">
        <f>260000</f>
        <v>260000</v>
      </c>
      <c r="BQ72" s="19" t="s">
        <v>189</v>
      </c>
      <c r="BR72" s="105">
        <f>2770000</f>
        <v>2770000</v>
      </c>
      <c r="BS72" s="19"/>
      <c r="BT72" s="105">
        <f>165000</f>
        <v>165000</v>
      </c>
      <c r="BU72" s="105">
        <f>2499750</f>
        <v>2499750</v>
      </c>
      <c r="BV72" s="19"/>
      <c r="BW72" s="19" t="s">
        <v>189</v>
      </c>
      <c r="BX72" s="105">
        <f>100000</f>
        <v>100000</v>
      </c>
      <c r="BY72" s="105">
        <v>6780000</v>
      </c>
      <c r="BZ72" s="19"/>
      <c r="CA72" s="105">
        <f>5960000</f>
        <v>5960000</v>
      </c>
      <c r="CB72" s="105">
        <f>500000</f>
        <v>500000</v>
      </c>
      <c r="CC72" s="19"/>
      <c r="CD72" s="19"/>
      <c r="CE72" s="105">
        <v>0</v>
      </c>
      <c r="CF72" s="105">
        <f>2000000</f>
        <v>2000000</v>
      </c>
      <c r="CG72" s="19"/>
      <c r="CH72" s="19"/>
      <c r="CI72" s="19"/>
      <c r="CJ72" s="105"/>
      <c r="CK72" s="19" t="s">
        <v>190</v>
      </c>
      <c r="CL72" s="105">
        <v>4537500</v>
      </c>
      <c r="CM72" s="105">
        <v>50000</v>
      </c>
      <c r="CN72" s="105">
        <f>510000</f>
        <v>510000</v>
      </c>
      <c r="CO72" s="105">
        <v>7799000</v>
      </c>
      <c r="CP72" s="19"/>
      <c r="CQ72" s="19"/>
      <c r="CR72" s="105">
        <f>25000000</f>
        <v>25000000</v>
      </c>
      <c r="CS72" s="105">
        <f>5579800</f>
        <v>5579800</v>
      </c>
      <c r="CT72" s="19" t="s">
        <v>190</v>
      </c>
      <c r="CU72" s="19"/>
      <c r="CV72" s="105">
        <f>1000000</f>
        <v>1000000</v>
      </c>
      <c r="CW72" s="19" t="s">
        <v>189</v>
      </c>
      <c r="CX72" s="105">
        <v>0</v>
      </c>
      <c r="CY72" s="19"/>
      <c r="CZ72" s="19"/>
      <c r="DA72" s="19" t="s">
        <v>189</v>
      </c>
      <c r="DB72" s="19"/>
      <c r="DC72" s="114"/>
      <c r="DD72" s="115"/>
      <c r="DE72" s="115"/>
      <c r="DF72" s="103">
        <v>250000000</v>
      </c>
      <c r="DG72" s="103">
        <f>100000</f>
        <v>100000</v>
      </c>
      <c r="DH72" s="110" t="s">
        <v>189</v>
      </c>
      <c r="DI72" s="103">
        <f>7576250</f>
        <v>7576250</v>
      </c>
      <c r="DJ72" s="115"/>
      <c r="DK72" s="111" t="s">
        <v>189</v>
      </c>
      <c r="DL72" s="103">
        <v>0</v>
      </c>
      <c r="DM72" s="103">
        <v>120000</v>
      </c>
      <c r="DN72" s="103">
        <v>200000</v>
      </c>
      <c r="DO72" s="103"/>
      <c r="DP72" s="103">
        <v>0</v>
      </c>
      <c r="DQ72" s="103">
        <v>3729800</v>
      </c>
      <c r="DR72" s="103"/>
      <c r="DS72" s="103">
        <v>0</v>
      </c>
      <c r="DT72" s="103"/>
      <c r="DU72" s="103">
        <v>9400000</v>
      </c>
      <c r="DV72" s="103">
        <v>1240000</v>
      </c>
      <c r="DW72" s="103">
        <v>1400000</v>
      </c>
      <c r="DX72" s="103"/>
      <c r="DY72" s="103">
        <v>800000</v>
      </c>
      <c r="DZ72" s="103"/>
      <c r="EA72" s="103">
        <v>6600000</v>
      </c>
      <c r="EB72" s="103">
        <v>2640000</v>
      </c>
      <c r="EC72" s="103">
        <v>36237400</v>
      </c>
      <c r="ED72" s="103"/>
      <c r="EE72" s="103">
        <v>1000000</v>
      </c>
      <c r="EF72" s="103">
        <v>780000</v>
      </c>
    </row>
    <row r="73" spans="1:136">
      <c r="A73" s="69" t="s">
        <v>194</v>
      </c>
      <c r="B73" s="93" t="s">
        <v>57</v>
      </c>
      <c r="C73" s="105"/>
      <c r="D73" s="19" t="s">
        <v>188</v>
      </c>
      <c r="E73" s="105"/>
      <c r="F73" s="19" t="s">
        <v>188</v>
      </c>
      <c r="G73" s="19" t="s">
        <v>189</v>
      </c>
      <c r="H73" s="19" t="s">
        <v>189</v>
      </c>
      <c r="I73" s="19" t="s">
        <v>188</v>
      </c>
      <c r="J73" s="105">
        <v>92152000</v>
      </c>
      <c r="K73" s="105"/>
      <c r="L73" s="108"/>
      <c r="M73" s="105"/>
      <c r="N73" s="19" t="s">
        <v>189</v>
      </c>
      <c r="O73" s="105"/>
      <c r="P73" s="107"/>
      <c r="Q73" s="105"/>
      <c r="R73" s="105">
        <v>0</v>
      </c>
      <c r="S73" s="105"/>
      <c r="T73" s="105"/>
      <c r="U73" s="19" t="s">
        <v>188</v>
      </c>
      <c r="V73" s="105">
        <f>389096830+26596099</f>
        <v>415692929</v>
      </c>
      <c r="W73" s="19" t="s">
        <v>189</v>
      </c>
      <c r="X73" s="105"/>
      <c r="Y73" s="19" t="s">
        <v>188</v>
      </c>
      <c r="Z73" s="105">
        <v>12363536</v>
      </c>
      <c r="AA73" s="105"/>
      <c r="AB73" s="19" t="s">
        <v>188</v>
      </c>
      <c r="AC73" s="19" t="s">
        <v>189</v>
      </c>
      <c r="AD73" s="19" t="s">
        <v>188</v>
      </c>
      <c r="AE73" s="105">
        <v>6000</v>
      </c>
      <c r="AF73" s="105"/>
      <c r="AG73" s="105"/>
      <c r="AH73" s="19"/>
      <c r="AI73" s="105">
        <v>298764</v>
      </c>
      <c r="AJ73" s="105">
        <v>997421136</v>
      </c>
      <c r="AK73" s="19" t="s">
        <v>188</v>
      </c>
      <c r="AL73" s="105">
        <v>2862084</v>
      </c>
      <c r="AM73" s="105"/>
      <c r="AN73" s="105"/>
      <c r="AO73" s="19" t="s">
        <v>188</v>
      </c>
      <c r="AP73" s="105"/>
      <c r="AQ73" s="19" t="s">
        <v>188</v>
      </c>
      <c r="AR73" s="105">
        <v>0</v>
      </c>
      <c r="AS73" s="19" t="s">
        <v>188</v>
      </c>
      <c r="AT73" s="105">
        <v>5570860</v>
      </c>
      <c r="AU73" s="105"/>
      <c r="AV73" s="105">
        <v>822217836</v>
      </c>
      <c r="AW73" s="105">
        <v>0</v>
      </c>
      <c r="AX73" s="105">
        <f>3000</f>
        <v>3000</v>
      </c>
      <c r="AY73" s="19" t="s">
        <v>188</v>
      </c>
      <c r="AZ73" s="105"/>
      <c r="BA73" s="105"/>
      <c r="BB73" s="108"/>
      <c r="BC73" s="105"/>
      <c r="BD73" s="105"/>
      <c r="BE73" s="105"/>
      <c r="BF73" s="105"/>
      <c r="BG73" s="108">
        <f>3000</f>
        <v>3000</v>
      </c>
      <c r="BH73" s="105"/>
      <c r="BI73" s="19"/>
      <c r="BJ73" s="105"/>
      <c r="BK73" s="108"/>
      <c r="BL73" s="19"/>
      <c r="BM73" s="105">
        <f>1064430</f>
        <v>1064430</v>
      </c>
      <c r="BN73" s="105">
        <f>11895545</f>
        <v>11895545</v>
      </c>
      <c r="BO73" s="19"/>
      <c r="BP73" s="19"/>
      <c r="BQ73" s="19" t="s">
        <v>189</v>
      </c>
      <c r="BR73" s="105">
        <v>0</v>
      </c>
      <c r="BS73" s="105">
        <f>206636363</f>
        <v>206636363</v>
      </c>
      <c r="BT73" s="19"/>
      <c r="BU73" s="19"/>
      <c r="BV73" s="19"/>
      <c r="BW73" s="19" t="s">
        <v>189</v>
      </c>
      <c r="BX73" s="19"/>
      <c r="BY73" s="19"/>
      <c r="BZ73" s="19"/>
      <c r="CA73" s="19"/>
      <c r="CB73" s="19"/>
      <c r="CC73" s="19"/>
      <c r="CD73" s="19"/>
      <c r="CE73" s="105">
        <v>0</v>
      </c>
      <c r="CF73" s="19"/>
      <c r="CG73" s="19"/>
      <c r="CH73" s="105">
        <v>657</v>
      </c>
      <c r="CI73" s="19"/>
      <c r="CJ73" s="105"/>
      <c r="CK73" s="19" t="s">
        <v>190</v>
      </c>
      <c r="CL73" s="19"/>
      <c r="CM73" s="19"/>
      <c r="CN73" s="19"/>
      <c r="CO73" s="19"/>
      <c r="CP73" s="19"/>
      <c r="CQ73" s="19"/>
      <c r="CR73" s="19"/>
      <c r="CS73" s="105">
        <f>909091</f>
        <v>909091</v>
      </c>
      <c r="CT73" s="19" t="s">
        <v>190</v>
      </c>
      <c r="CU73" s="19"/>
      <c r="CV73" s="105">
        <f>126386650</f>
        <v>126386650</v>
      </c>
      <c r="CW73" s="19" t="s">
        <v>189</v>
      </c>
      <c r="CX73" s="19"/>
      <c r="CY73" s="19"/>
      <c r="CZ73" s="105">
        <f>101276147+41095000+922207</f>
        <v>143293354</v>
      </c>
      <c r="DA73" s="19" t="s">
        <v>189</v>
      </c>
      <c r="DB73" s="19"/>
      <c r="DC73" s="114"/>
      <c r="DD73" s="115"/>
      <c r="DE73" s="103">
        <f>339006552</f>
        <v>339006552</v>
      </c>
      <c r="DF73" s="103">
        <f>2673271+614134900</f>
        <v>616808171</v>
      </c>
      <c r="DG73" s="115"/>
      <c r="DH73" s="110" t="s">
        <v>189</v>
      </c>
      <c r="DI73" s="103">
        <f>86307557</f>
        <v>86307557</v>
      </c>
      <c r="DJ73" s="115"/>
      <c r="DK73" s="111" t="s">
        <v>189</v>
      </c>
      <c r="DL73" s="103">
        <v>927648</v>
      </c>
      <c r="DM73" s="103"/>
      <c r="DN73" s="103"/>
      <c r="DO73" s="103"/>
      <c r="DP73" s="103"/>
      <c r="DQ73" s="103"/>
      <c r="DR73" s="103"/>
      <c r="DS73" s="103"/>
      <c r="DT73" s="103"/>
      <c r="DU73" s="103"/>
      <c r="DV73" s="103"/>
      <c r="DW73" s="103"/>
      <c r="DX73" s="103">
        <v>243456</v>
      </c>
      <c r="DY73" s="103">
        <v>42425</v>
      </c>
      <c r="DZ73" s="103"/>
      <c r="EA73" s="103"/>
      <c r="EB73" s="103">
        <v>24519735</v>
      </c>
      <c r="EC73" s="103"/>
      <c r="ED73" s="103"/>
      <c r="EE73" s="103">
        <v>739874</v>
      </c>
      <c r="EF73" s="103"/>
    </row>
    <row r="74" spans="1:136">
      <c r="A74" s="69" t="s">
        <v>194</v>
      </c>
      <c r="B74" s="93" t="s">
        <v>9</v>
      </c>
      <c r="C74" s="105">
        <v>85473</v>
      </c>
      <c r="D74" s="19" t="s">
        <v>188</v>
      </c>
      <c r="E74" s="105">
        <v>13000</v>
      </c>
      <c r="F74" s="19" t="s">
        <v>188</v>
      </c>
      <c r="G74" s="19" t="s">
        <v>189</v>
      </c>
      <c r="H74" s="19" t="s">
        <v>189</v>
      </c>
      <c r="I74" s="19" t="s">
        <v>188</v>
      </c>
      <c r="J74" s="105">
        <v>87986716</v>
      </c>
      <c r="K74" s="105">
        <v>50686</v>
      </c>
      <c r="L74" s="108">
        <v>3850805</v>
      </c>
      <c r="M74" s="105">
        <v>283325</v>
      </c>
      <c r="N74" s="19" t="s">
        <v>189</v>
      </c>
      <c r="O74" s="105">
        <v>0</v>
      </c>
      <c r="P74" s="107">
        <v>2941969</v>
      </c>
      <c r="Q74" s="105"/>
      <c r="R74" s="105">
        <v>2748</v>
      </c>
      <c r="S74" s="105">
        <v>825211</v>
      </c>
      <c r="T74" s="105">
        <v>4</v>
      </c>
      <c r="U74" s="19" t="s">
        <v>188</v>
      </c>
      <c r="V74" s="105">
        <v>1360000</v>
      </c>
      <c r="W74" s="19" t="s">
        <v>189</v>
      </c>
      <c r="X74" s="105">
        <v>3279822</v>
      </c>
      <c r="Y74" s="19" t="s">
        <v>188</v>
      </c>
      <c r="Z74" s="105">
        <v>153937</v>
      </c>
      <c r="AA74" s="105">
        <v>275077</v>
      </c>
      <c r="AB74" s="19" t="s">
        <v>188</v>
      </c>
      <c r="AC74" s="19" t="s">
        <v>189</v>
      </c>
      <c r="AD74" s="19" t="s">
        <v>188</v>
      </c>
      <c r="AE74" s="105">
        <v>14567</v>
      </c>
      <c r="AF74" s="105">
        <f>1449933</f>
        <v>1449933</v>
      </c>
      <c r="AG74" s="105">
        <f>21708</f>
        <v>21708</v>
      </c>
      <c r="AH74" s="105">
        <v>15</v>
      </c>
      <c r="AI74" s="105">
        <v>31840143</v>
      </c>
      <c r="AJ74" s="105">
        <v>251462</v>
      </c>
      <c r="AK74" s="19" t="s">
        <v>188</v>
      </c>
      <c r="AL74" s="105">
        <v>4269699</v>
      </c>
      <c r="AM74" s="105">
        <v>3546774</v>
      </c>
      <c r="AN74" s="19"/>
      <c r="AO74" s="19" t="s">
        <v>188</v>
      </c>
      <c r="AP74" s="105">
        <f>3815561</f>
        <v>3815561</v>
      </c>
      <c r="AQ74" s="19" t="s">
        <v>188</v>
      </c>
      <c r="AR74" s="105">
        <v>12152772</v>
      </c>
      <c r="AS74" s="19" t="s">
        <v>188</v>
      </c>
      <c r="AT74" s="105">
        <v>1397869</v>
      </c>
      <c r="AU74" s="105">
        <v>200000</v>
      </c>
      <c r="AV74" s="105">
        <f>25741508</f>
        <v>25741508</v>
      </c>
      <c r="AW74" s="105">
        <v>1037345</v>
      </c>
      <c r="AX74" s="105">
        <f>206670</f>
        <v>206670</v>
      </c>
      <c r="AY74" s="19" t="s">
        <v>188</v>
      </c>
      <c r="AZ74" s="105"/>
      <c r="BA74" s="105">
        <v>5478</v>
      </c>
      <c r="BB74" s="108">
        <v>3830642</v>
      </c>
      <c r="BC74" s="105">
        <f>51165</f>
        <v>51165</v>
      </c>
      <c r="BD74" s="105">
        <v>198362</v>
      </c>
      <c r="BE74" s="105">
        <f>612378</f>
        <v>612378</v>
      </c>
      <c r="BF74" s="105">
        <f>550231</f>
        <v>550231</v>
      </c>
      <c r="BG74" s="108">
        <f>115045381</f>
        <v>115045381</v>
      </c>
      <c r="BH74" s="105">
        <f>692164</f>
        <v>692164</v>
      </c>
      <c r="BI74" s="19"/>
      <c r="BJ74" s="105">
        <f>235724</f>
        <v>235724</v>
      </c>
      <c r="BK74" s="108">
        <f>198</f>
        <v>198</v>
      </c>
      <c r="BL74" s="105">
        <f>1399374</f>
        <v>1399374</v>
      </c>
      <c r="BM74" s="105">
        <f>13439217</f>
        <v>13439217</v>
      </c>
      <c r="BN74" s="105">
        <f>42</f>
        <v>42</v>
      </c>
      <c r="BO74" s="19"/>
      <c r="BP74" s="105">
        <f>10654000+611728</f>
        <v>11265728</v>
      </c>
      <c r="BQ74" s="19" t="s">
        <v>189</v>
      </c>
      <c r="BR74" s="105">
        <v>51</v>
      </c>
      <c r="BS74" s="105">
        <v>9</v>
      </c>
      <c r="BT74" s="105">
        <f>199515</f>
        <v>199515</v>
      </c>
      <c r="BU74" s="105">
        <f>20830649</f>
        <v>20830649</v>
      </c>
      <c r="BV74" s="105">
        <f>169208</f>
        <v>169208</v>
      </c>
      <c r="BW74" s="19" t="s">
        <v>189</v>
      </c>
      <c r="BX74" s="105">
        <f>20649</f>
        <v>20649</v>
      </c>
      <c r="BY74" s="105">
        <v>25801412</v>
      </c>
      <c r="BZ74" s="105">
        <f>8881264</f>
        <v>8881264</v>
      </c>
      <c r="CA74" s="19"/>
      <c r="CB74" s="105">
        <f>67044</f>
        <v>67044</v>
      </c>
      <c r="CC74" s="105">
        <v>50650</v>
      </c>
      <c r="CD74" s="105">
        <f>126401</f>
        <v>126401</v>
      </c>
      <c r="CE74" s="105">
        <f>6391</f>
        <v>6391</v>
      </c>
      <c r="CF74" s="105">
        <f>1437440</f>
        <v>1437440</v>
      </c>
      <c r="CG74" s="105">
        <f>6540</f>
        <v>6540</v>
      </c>
      <c r="CH74" s="105">
        <v>526087</v>
      </c>
      <c r="CI74" s="105">
        <v>350</v>
      </c>
      <c r="CJ74" s="105">
        <v>310683</v>
      </c>
      <c r="CK74" s="19" t="s">
        <v>190</v>
      </c>
      <c r="CL74" s="105">
        <v>53278</v>
      </c>
      <c r="CM74" s="105">
        <v>905267</v>
      </c>
      <c r="CN74" s="105">
        <f>1684864</f>
        <v>1684864</v>
      </c>
      <c r="CO74" s="105">
        <v>4734</v>
      </c>
      <c r="CP74" s="105">
        <f>6959221</f>
        <v>6959221</v>
      </c>
      <c r="CQ74" s="105">
        <f>17</f>
        <v>17</v>
      </c>
      <c r="CR74" s="105">
        <v>0</v>
      </c>
      <c r="CS74" s="105">
        <f>1054636</f>
        <v>1054636</v>
      </c>
      <c r="CT74" s="19" t="s">
        <v>190</v>
      </c>
      <c r="CU74" s="105">
        <f>7451014</f>
        <v>7451014</v>
      </c>
      <c r="CV74" s="105">
        <f>4286445</f>
        <v>4286445</v>
      </c>
      <c r="CW74" s="19" t="s">
        <v>189</v>
      </c>
      <c r="CX74" s="105">
        <f>1311089</f>
        <v>1311089</v>
      </c>
      <c r="CY74" s="105">
        <f>130810</f>
        <v>130810</v>
      </c>
      <c r="CZ74" s="105">
        <v>938575</v>
      </c>
      <c r="DA74" s="19" t="s">
        <v>189</v>
      </c>
      <c r="DB74" s="19"/>
      <c r="DC74" s="114"/>
      <c r="DD74" s="103">
        <v>148680</v>
      </c>
      <c r="DE74" s="103">
        <f>3221335</f>
        <v>3221335</v>
      </c>
      <c r="DF74" s="115"/>
      <c r="DG74" s="103">
        <f>1294514</f>
        <v>1294514</v>
      </c>
      <c r="DH74" s="110" t="s">
        <v>189</v>
      </c>
      <c r="DI74" s="103">
        <f>210487</f>
        <v>210487</v>
      </c>
      <c r="DJ74" s="103">
        <f>1534200</f>
        <v>1534200</v>
      </c>
      <c r="DK74" s="111" t="s">
        <v>189</v>
      </c>
      <c r="DL74" s="103">
        <v>22764</v>
      </c>
      <c r="DM74" s="103">
        <v>295630</v>
      </c>
      <c r="DN74" s="103">
        <v>185407</v>
      </c>
      <c r="DO74" s="103">
        <v>1588736</v>
      </c>
      <c r="DP74" s="103">
        <v>799661</v>
      </c>
      <c r="DQ74" s="103">
        <v>24723</v>
      </c>
      <c r="DR74" s="103">
        <v>6</v>
      </c>
      <c r="DS74" s="103">
        <v>552300</v>
      </c>
      <c r="DT74" s="103">
        <v>8814</v>
      </c>
      <c r="DU74" s="103">
        <v>165202</v>
      </c>
      <c r="DV74" s="103">
        <v>34360</v>
      </c>
      <c r="DW74" s="103"/>
      <c r="DX74" s="103">
        <v>74620</v>
      </c>
      <c r="DY74" s="103">
        <v>421626</v>
      </c>
      <c r="DZ74" s="103">
        <v>62154</v>
      </c>
      <c r="EA74" s="103">
        <v>1135748</v>
      </c>
      <c r="EB74" s="103">
        <v>102258</v>
      </c>
      <c r="EC74" s="103">
        <v>0</v>
      </c>
      <c r="ED74" s="103"/>
      <c r="EE74" s="103">
        <v>216027</v>
      </c>
      <c r="EF74" s="103"/>
    </row>
    <row r="75" spans="1:136">
      <c r="A75" s="69" t="s">
        <v>194</v>
      </c>
      <c r="B75" s="93" t="s">
        <v>43</v>
      </c>
      <c r="C75" s="105">
        <v>93002</v>
      </c>
      <c r="D75" s="19" t="s">
        <v>188</v>
      </c>
      <c r="E75" s="105"/>
      <c r="F75" s="19" t="s">
        <v>188</v>
      </c>
      <c r="G75" s="19" t="s">
        <v>189</v>
      </c>
      <c r="H75" s="19" t="s">
        <v>189</v>
      </c>
      <c r="I75" s="19" t="s">
        <v>188</v>
      </c>
      <c r="J75" s="105">
        <v>82499</v>
      </c>
      <c r="K75" s="105">
        <v>255757</v>
      </c>
      <c r="L75" s="108">
        <v>21200000</v>
      </c>
      <c r="M75" s="105"/>
      <c r="N75" s="19" t="s">
        <v>189</v>
      </c>
      <c r="O75" s="105"/>
      <c r="P75" s="107"/>
      <c r="Q75" s="105">
        <v>9859391</v>
      </c>
      <c r="R75" s="105"/>
      <c r="S75" s="105">
        <v>3954367</v>
      </c>
      <c r="T75" s="105"/>
      <c r="U75" s="19" t="s">
        <v>188</v>
      </c>
      <c r="V75" s="105">
        <f>15910000+47841113</f>
        <v>63751113</v>
      </c>
      <c r="W75" s="19" t="s">
        <v>189</v>
      </c>
      <c r="X75" s="105">
        <f>1472269+7110150</f>
        <v>8582419</v>
      </c>
      <c r="Y75" s="19" t="s">
        <v>188</v>
      </c>
      <c r="Z75" s="19"/>
      <c r="AA75" s="105">
        <f>6654343+6733450+100000000</f>
        <v>113387793</v>
      </c>
      <c r="AB75" s="19" t="s">
        <v>188</v>
      </c>
      <c r="AC75" s="19" t="s">
        <v>189</v>
      </c>
      <c r="AD75" s="19" t="s">
        <v>188</v>
      </c>
      <c r="AE75" s="105">
        <v>11421299</v>
      </c>
      <c r="AF75" s="19"/>
      <c r="AG75" s="19"/>
      <c r="AH75" s="19"/>
      <c r="AI75" s="105">
        <v>30861228</v>
      </c>
      <c r="AJ75" s="105">
        <v>6359101</v>
      </c>
      <c r="AK75" s="19" t="s">
        <v>188</v>
      </c>
      <c r="AL75" s="19"/>
      <c r="AM75" s="19"/>
      <c r="AN75" s="19"/>
      <c r="AO75" s="19" t="s">
        <v>188</v>
      </c>
      <c r="AP75" s="19"/>
      <c r="AQ75" s="19" t="s">
        <v>188</v>
      </c>
      <c r="AR75" s="105"/>
      <c r="AS75" s="19" t="s">
        <v>188</v>
      </c>
      <c r="AT75" s="105">
        <f>86723247+17680000</f>
        <v>104403247</v>
      </c>
      <c r="AU75" s="105">
        <v>539150</v>
      </c>
      <c r="AV75" s="105">
        <v>4523</v>
      </c>
      <c r="AW75" s="19"/>
      <c r="AX75" s="105"/>
      <c r="AY75" s="19" t="s">
        <v>188</v>
      </c>
      <c r="AZ75" s="105"/>
      <c r="BA75" s="19"/>
      <c r="BB75" s="108"/>
      <c r="BC75" s="19"/>
      <c r="BD75" s="105"/>
      <c r="BE75" s="108"/>
      <c r="BF75" s="105">
        <f>3008069</f>
        <v>3008069</v>
      </c>
      <c r="BG75" s="108"/>
      <c r="BH75" s="105"/>
      <c r="BI75" s="105">
        <v>966</v>
      </c>
      <c r="BJ75" s="19"/>
      <c r="BK75" s="108"/>
      <c r="BL75" s="105">
        <f>171019+7832850</f>
        <v>8003869</v>
      </c>
      <c r="BM75" s="19"/>
      <c r="BN75" s="19"/>
      <c r="BO75" s="105">
        <f>7335090+24348150+2550000</f>
        <v>34233240</v>
      </c>
      <c r="BP75" s="19"/>
      <c r="BQ75" s="19" t="s">
        <v>189</v>
      </c>
      <c r="BR75" s="105">
        <f>18042140</f>
        <v>18042140</v>
      </c>
      <c r="BS75" s="105">
        <f>101008</f>
        <v>101008</v>
      </c>
      <c r="BT75" s="19"/>
      <c r="BU75" s="105">
        <f>15223036</f>
        <v>15223036</v>
      </c>
      <c r="BV75" s="19"/>
      <c r="BW75" s="19" t="s">
        <v>189</v>
      </c>
      <c r="BX75" s="19"/>
      <c r="BY75" s="19"/>
      <c r="BZ75" s="105">
        <f>300000</f>
        <v>300000</v>
      </c>
      <c r="CA75" s="105">
        <f>7926523</f>
        <v>7926523</v>
      </c>
      <c r="CB75" s="19"/>
      <c r="CC75" s="19"/>
      <c r="CD75" s="105">
        <f>2500000</f>
        <v>2500000</v>
      </c>
      <c r="CE75" s="19"/>
      <c r="CF75" s="105">
        <f>35660500+69473140</f>
        <v>105133640</v>
      </c>
      <c r="CG75" s="19"/>
      <c r="CH75" s="105">
        <v>390219</v>
      </c>
      <c r="CI75" s="19"/>
      <c r="CJ75" s="105"/>
      <c r="CK75" s="19" t="s">
        <v>190</v>
      </c>
      <c r="CL75" s="19"/>
      <c r="CM75" s="105">
        <f>17766030+27500000</f>
        <v>45266030</v>
      </c>
      <c r="CN75" s="19"/>
      <c r="CO75" s="19"/>
      <c r="CP75" s="105">
        <f>675605+19841590+5549085+10000000+69226577</f>
        <v>105292857</v>
      </c>
      <c r="CQ75" s="105">
        <f>49950917</f>
        <v>49950917</v>
      </c>
      <c r="CR75" s="19"/>
      <c r="CS75" s="19"/>
      <c r="CT75" s="19" t="s">
        <v>190</v>
      </c>
      <c r="CU75" s="19"/>
      <c r="CV75" s="105">
        <f>3985937</f>
        <v>3985937</v>
      </c>
      <c r="CW75" s="19" t="s">
        <v>189</v>
      </c>
      <c r="CX75" s="19"/>
      <c r="CY75" s="19"/>
      <c r="CZ75" s="105">
        <v>15051226</v>
      </c>
      <c r="DA75" s="19" t="s">
        <v>189</v>
      </c>
      <c r="DB75" s="105">
        <f>38762+4010</f>
        <v>42772</v>
      </c>
      <c r="DC75" s="114"/>
      <c r="DD75" s="115"/>
      <c r="DE75" s="103">
        <f>123306</f>
        <v>123306</v>
      </c>
      <c r="DF75" s="103">
        <f>293169897+24807376+10517062</f>
        <v>328494335</v>
      </c>
      <c r="DG75" s="115"/>
      <c r="DH75" s="110" t="s">
        <v>189</v>
      </c>
      <c r="DI75" s="103">
        <f>1104+12165500</f>
        <v>12166604</v>
      </c>
      <c r="DJ75" s="103">
        <f>1621650</f>
        <v>1621650</v>
      </c>
      <c r="DK75" s="111" t="s">
        <v>189</v>
      </c>
      <c r="DL75" s="115"/>
      <c r="DM75" s="103"/>
      <c r="DN75" s="103"/>
      <c r="DO75" s="103">
        <v>31620000</v>
      </c>
      <c r="DP75" s="103"/>
      <c r="DQ75" s="103"/>
      <c r="DR75" s="103"/>
      <c r="DS75" s="103"/>
      <c r="DT75" s="103"/>
      <c r="DU75" s="103"/>
      <c r="DV75" s="103"/>
      <c r="DW75" s="103"/>
      <c r="DX75" s="103">
        <v>81500000</v>
      </c>
      <c r="DY75" s="103">
        <v>72901153</v>
      </c>
      <c r="DZ75" s="103">
        <v>2129287</v>
      </c>
      <c r="EA75" s="103">
        <v>428044</v>
      </c>
      <c r="EB75" s="103"/>
      <c r="EC75" s="103"/>
      <c r="ED75" s="103"/>
      <c r="EE75" s="103"/>
      <c r="EF75" s="103">
        <v>1929916</v>
      </c>
    </row>
    <row r="76" spans="1:136">
      <c r="A76" s="69" t="s">
        <v>194</v>
      </c>
      <c r="B76" s="92" t="s">
        <v>65</v>
      </c>
      <c r="C76" s="105">
        <v>1420468</v>
      </c>
      <c r="D76" s="19" t="s">
        <v>188</v>
      </c>
      <c r="E76" s="105">
        <v>29221204</v>
      </c>
      <c r="F76" s="19" t="s">
        <v>188</v>
      </c>
      <c r="G76" s="19" t="s">
        <v>189</v>
      </c>
      <c r="H76" s="19" t="s">
        <v>189</v>
      </c>
      <c r="I76" s="19" t="s">
        <v>188</v>
      </c>
      <c r="J76" s="105">
        <v>129208812</v>
      </c>
      <c r="K76" s="105">
        <v>-74905310</v>
      </c>
      <c r="L76" s="108">
        <v>-418370441</v>
      </c>
      <c r="M76" s="105">
        <v>158121412</v>
      </c>
      <c r="N76" s="19" t="s">
        <v>189</v>
      </c>
      <c r="O76" s="105">
        <v>25553122</v>
      </c>
      <c r="P76" s="107">
        <v>537278097</v>
      </c>
      <c r="Q76" s="105">
        <v>-10318461365</v>
      </c>
      <c r="R76" s="105">
        <v>-15512858</v>
      </c>
      <c r="S76" s="105">
        <v>-22984232</v>
      </c>
      <c r="T76" s="105">
        <v>-175173585</v>
      </c>
      <c r="U76" s="19" t="s">
        <v>188</v>
      </c>
      <c r="V76" s="105">
        <v>15534569</v>
      </c>
      <c r="W76" s="19" t="s">
        <v>189</v>
      </c>
      <c r="X76" s="105">
        <v>5182461</v>
      </c>
      <c r="Y76" s="19" t="s">
        <v>188</v>
      </c>
      <c r="Z76" s="105">
        <v>55385084</v>
      </c>
      <c r="AA76" s="105">
        <v>246342196</v>
      </c>
      <c r="AB76" s="19" t="s">
        <v>188</v>
      </c>
      <c r="AC76" s="19" t="s">
        <v>189</v>
      </c>
      <c r="AD76" s="19" t="s">
        <v>188</v>
      </c>
      <c r="AE76" s="105">
        <v>163238304</v>
      </c>
      <c r="AF76" s="105">
        <v>332005387</v>
      </c>
      <c r="AG76" s="105">
        <v>83411588</v>
      </c>
      <c r="AH76" s="105">
        <v>114426959</v>
      </c>
      <c r="AI76" s="105">
        <v>-44263071</v>
      </c>
      <c r="AJ76" s="105">
        <v>639806885</v>
      </c>
      <c r="AK76" s="19" t="s">
        <v>188</v>
      </c>
      <c r="AL76" s="105">
        <v>-31331097</v>
      </c>
      <c r="AM76" s="105">
        <f>84558844</f>
        <v>84558844</v>
      </c>
      <c r="AN76" s="108">
        <v>-57254772</v>
      </c>
      <c r="AO76" s="19" t="s">
        <v>188</v>
      </c>
      <c r="AP76" s="105">
        <v>50680290</v>
      </c>
      <c r="AQ76" s="19" t="s">
        <v>188</v>
      </c>
      <c r="AR76" s="105">
        <v>769578289</v>
      </c>
      <c r="AS76" s="19" t="s">
        <v>188</v>
      </c>
      <c r="AT76" s="105">
        <v>1041687911</v>
      </c>
      <c r="AU76" s="105">
        <v>4375311</v>
      </c>
      <c r="AV76" s="105">
        <v>-2024632671</v>
      </c>
      <c r="AW76" s="105">
        <v>258646310</v>
      </c>
      <c r="AX76" s="105">
        <v>6332710</v>
      </c>
      <c r="AY76" s="19" t="s">
        <v>188</v>
      </c>
      <c r="AZ76" s="105">
        <v>-4344190</v>
      </c>
      <c r="BA76" s="105">
        <v>1417520</v>
      </c>
      <c r="BB76" s="108">
        <v>22622520</v>
      </c>
      <c r="BC76" s="108">
        <v>-951938</v>
      </c>
      <c r="BD76" s="105">
        <v>52784976</v>
      </c>
      <c r="BE76" s="108">
        <f>10311935</f>
        <v>10311935</v>
      </c>
      <c r="BF76" s="105">
        <f>8264901</f>
        <v>8264901</v>
      </c>
      <c r="BG76" s="105">
        <v>-1105156243</v>
      </c>
      <c r="BH76" s="105">
        <v>-2039529708</v>
      </c>
      <c r="BI76" s="105">
        <v>478679984</v>
      </c>
      <c r="BJ76" s="105">
        <v>17985165</v>
      </c>
      <c r="BK76" s="105">
        <f>121815023</f>
        <v>121815023</v>
      </c>
      <c r="BL76" s="105">
        <f>71382822</f>
        <v>71382822</v>
      </c>
      <c r="BM76" s="105">
        <f>162955821</f>
        <v>162955821</v>
      </c>
      <c r="BN76" s="105">
        <f>7053236</f>
        <v>7053236</v>
      </c>
      <c r="BO76" s="105">
        <v>193119508</v>
      </c>
      <c r="BP76" s="105">
        <f>148104564</f>
        <v>148104564</v>
      </c>
      <c r="BQ76" s="19" t="s">
        <v>189</v>
      </c>
      <c r="BR76" s="105">
        <f>1153538</f>
        <v>1153538</v>
      </c>
      <c r="BS76" s="105">
        <f>11845330</f>
        <v>11845330</v>
      </c>
      <c r="BT76" s="105">
        <v>-84074885</v>
      </c>
      <c r="BU76" s="105">
        <f>-270046743</f>
        <v>-270046743</v>
      </c>
      <c r="BV76" s="105">
        <f>52628930</f>
        <v>52628930</v>
      </c>
      <c r="BW76" s="19" t="s">
        <v>189</v>
      </c>
      <c r="BX76" s="105">
        <f>69567616</f>
        <v>69567616</v>
      </c>
      <c r="BY76" s="105">
        <v>61079553</v>
      </c>
      <c r="BZ76" s="105">
        <f>86270908</f>
        <v>86270908</v>
      </c>
      <c r="CA76" s="105">
        <f>2124350</f>
        <v>2124350</v>
      </c>
      <c r="CB76" s="105">
        <v>-23071996</v>
      </c>
      <c r="CC76" s="105">
        <v>56615220</v>
      </c>
      <c r="CD76" s="105">
        <f>96865</f>
        <v>96865</v>
      </c>
      <c r="CE76" s="105">
        <f>1753937</f>
        <v>1753937</v>
      </c>
      <c r="CF76" s="105">
        <f>402952803</f>
        <v>402952803</v>
      </c>
      <c r="CG76" s="105">
        <f>16810118</f>
        <v>16810118</v>
      </c>
      <c r="CH76" s="105">
        <v>333939196</v>
      </c>
      <c r="CI76" s="105">
        <v>34597656</v>
      </c>
      <c r="CJ76" s="105">
        <v>-3121658</v>
      </c>
      <c r="CK76" s="19" t="s">
        <v>190</v>
      </c>
      <c r="CL76" s="105">
        <v>35074764</v>
      </c>
      <c r="CM76" s="105">
        <v>53582461</v>
      </c>
      <c r="CN76" s="105">
        <f>8597099</f>
        <v>8597099</v>
      </c>
      <c r="CO76" s="105">
        <v>81363054</v>
      </c>
      <c r="CP76" s="105">
        <f>68680612</f>
        <v>68680612</v>
      </c>
      <c r="CQ76" s="105">
        <v>-16616608</v>
      </c>
      <c r="CR76" s="105">
        <v>270456969</v>
      </c>
      <c r="CS76" s="105">
        <f>56963418</f>
        <v>56963418</v>
      </c>
      <c r="CT76" s="19" t="s">
        <v>190</v>
      </c>
      <c r="CU76" s="105">
        <v>153805642</v>
      </c>
      <c r="CV76" s="105">
        <f>495800870</f>
        <v>495800870</v>
      </c>
      <c r="CW76" s="19" t="s">
        <v>189</v>
      </c>
      <c r="CX76" s="105">
        <f>1298206</f>
        <v>1298206</v>
      </c>
      <c r="CY76" s="105">
        <v>-47965200</v>
      </c>
      <c r="CZ76" s="105">
        <v>-2037858533</v>
      </c>
      <c r="DA76" s="19" t="s">
        <v>189</v>
      </c>
      <c r="DB76" s="105">
        <v>-321585543</v>
      </c>
      <c r="DC76" s="109">
        <f>-21070240</f>
        <v>-21070240</v>
      </c>
      <c r="DD76" s="103">
        <v>19104410</v>
      </c>
      <c r="DE76" s="103">
        <v>-2802325434</v>
      </c>
      <c r="DF76" s="103">
        <v>-22725749010</v>
      </c>
      <c r="DG76" s="103">
        <v>-33627828</v>
      </c>
      <c r="DH76" s="110" t="s">
        <v>189</v>
      </c>
      <c r="DI76" s="103">
        <f>1838471032</f>
        <v>1838471032</v>
      </c>
      <c r="DJ76" s="103">
        <f>-54958472</f>
        <v>-54958472</v>
      </c>
      <c r="DK76" s="111" t="s">
        <v>189</v>
      </c>
      <c r="DL76" s="103">
        <f>40007274</f>
        <v>40007274</v>
      </c>
      <c r="DM76" s="103">
        <v>38057616</v>
      </c>
      <c r="DN76" s="103">
        <v>126230860</v>
      </c>
      <c r="DO76" s="103">
        <v>-727943330</v>
      </c>
      <c r="DP76" s="103">
        <v>16433024</v>
      </c>
      <c r="DQ76" s="103">
        <v>23857883</v>
      </c>
      <c r="DR76" s="103">
        <v>-65866566</v>
      </c>
      <c r="DS76" s="103">
        <v>185641899</v>
      </c>
      <c r="DT76" s="103">
        <v>51676586</v>
      </c>
      <c r="DU76" s="103">
        <v>197043245</v>
      </c>
      <c r="DV76" s="103">
        <v>-21980656</v>
      </c>
      <c r="DW76" s="103">
        <v>187717144</v>
      </c>
      <c r="DX76" s="103">
        <v>435663875</v>
      </c>
      <c r="DY76" s="103">
        <v>180917868</v>
      </c>
      <c r="DZ76" s="103">
        <v>13788613</v>
      </c>
      <c r="EA76" s="103">
        <v>9265325</v>
      </c>
      <c r="EB76" s="103">
        <v>112847883</v>
      </c>
      <c r="EC76" s="103">
        <v>42862442</v>
      </c>
      <c r="ED76" s="103">
        <v>0</v>
      </c>
      <c r="EE76" s="103">
        <v>289135496</v>
      </c>
      <c r="EF76" s="103">
        <v>4075565</v>
      </c>
    </row>
    <row r="77" spans="1:136">
      <c r="A77" s="69" t="s">
        <v>194</v>
      </c>
      <c r="B77" s="92" t="s">
        <v>101</v>
      </c>
      <c r="C77" s="105">
        <v>0</v>
      </c>
      <c r="D77" s="19" t="s">
        <v>188</v>
      </c>
      <c r="E77" s="105">
        <v>0</v>
      </c>
      <c r="F77" s="19" t="s">
        <v>188</v>
      </c>
      <c r="G77" s="19" t="s">
        <v>189</v>
      </c>
      <c r="H77" s="19" t="s">
        <v>189</v>
      </c>
      <c r="I77" s="19" t="s">
        <v>188</v>
      </c>
      <c r="J77" s="105">
        <v>9535640</v>
      </c>
      <c r="K77" s="105">
        <v>0</v>
      </c>
      <c r="L77" s="108">
        <v>0</v>
      </c>
      <c r="M77" s="105">
        <v>0</v>
      </c>
      <c r="N77" s="19" t="s">
        <v>189</v>
      </c>
      <c r="O77" s="105">
        <v>0</v>
      </c>
      <c r="P77" s="107">
        <v>6254981</v>
      </c>
      <c r="Q77" s="105">
        <v>0</v>
      </c>
      <c r="R77" s="105">
        <v>3137320</v>
      </c>
      <c r="S77" s="105">
        <v>0</v>
      </c>
      <c r="T77" s="105">
        <v>0</v>
      </c>
      <c r="U77" s="19" t="s">
        <v>188</v>
      </c>
      <c r="V77" s="105">
        <v>1229730</v>
      </c>
      <c r="W77" s="19" t="s">
        <v>189</v>
      </c>
      <c r="X77" s="105">
        <v>64892</v>
      </c>
      <c r="Y77" s="19" t="s">
        <v>188</v>
      </c>
      <c r="Z77" s="105">
        <v>5103287</v>
      </c>
      <c r="AA77" s="105">
        <v>0</v>
      </c>
      <c r="AB77" s="19" t="s">
        <v>188</v>
      </c>
      <c r="AC77" s="19" t="s">
        <v>189</v>
      </c>
      <c r="AD77" s="19" t="s">
        <v>188</v>
      </c>
      <c r="AE77" s="105">
        <v>0</v>
      </c>
      <c r="AF77" s="105">
        <v>1163588</v>
      </c>
      <c r="AG77" s="105">
        <v>1260149</v>
      </c>
      <c r="AH77" s="105"/>
      <c r="AI77" s="105">
        <v>8584330</v>
      </c>
      <c r="AJ77" s="105">
        <v>0</v>
      </c>
      <c r="AK77" s="19" t="s">
        <v>188</v>
      </c>
      <c r="AL77" s="19"/>
      <c r="AM77" s="105">
        <v>6059944</v>
      </c>
      <c r="AN77" s="108"/>
      <c r="AO77" s="19" t="s">
        <v>188</v>
      </c>
      <c r="AP77" s="105">
        <v>0</v>
      </c>
      <c r="AQ77" s="19" t="s">
        <v>188</v>
      </c>
      <c r="AR77" s="105">
        <v>66087141</v>
      </c>
      <c r="AS77" s="19" t="s">
        <v>188</v>
      </c>
      <c r="AT77" s="105">
        <v>94882157</v>
      </c>
      <c r="AU77" s="105"/>
      <c r="AV77" s="19"/>
      <c r="AW77" s="105">
        <v>0</v>
      </c>
      <c r="AX77" s="105">
        <v>0</v>
      </c>
      <c r="AY77" s="19" t="s">
        <v>188</v>
      </c>
      <c r="AZ77" s="105">
        <v>0</v>
      </c>
      <c r="BA77" s="105">
        <v>35370</v>
      </c>
      <c r="BB77" s="108">
        <v>0</v>
      </c>
      <c r="BC77" s="108">
        <v>0</v>
      </c>
      <c r="BD77" s="105">
        <v>0</v>
      </c>
      <c r="BE77" s="108">
        <f>1040032</f>
        <v>1040032</v>
      </c>
      <c r="BF77" s="105"/>
      <c r="BG77" s="105">
        <v>0</v>
      </c>
      <c r="BH77" s="105">
        <v>0</v>
      </c>
      <c r="BI77" s="105">
        <v>0</v>
      </c>
      <c r="BJ77" s="105">
        <v>0</v>
      </c>
      <c r="BK77" s="105">
        <f>485046</f>
        <v>485046</v>
      </c>
      <c r="BL77" s="105">
        <f>10922396</f>
        <v>10922396</v>
      </c>
      <c r="BM77" s="105">
        <f>11311908</f>
        <v>11311908</v>
      </c>
      <c r="BN77" s="105">
        <v>0</v>
      </c>
      <c r="BO77" s="105">
        <v>0</v>
      </c>
      <c r="BP77" s="105">
        <v>0</v>
      </c>
      <c r="BQ77" s="19" t="s">
        <v>189</v>
      </c>
      <c r="BR77" s="105">
        <v>0</v>
      </c>
      <c r="BS77" s="105">
        <v>0</v>
      </c>
      <c r="BT77" s="105">
        <v>0</v>
      </c>
      <c r="BU77" s="19"/>
      <c r="BV77" s="105">
        <f>3944720</f>
        <v>3944720</v>
      </c>
      <c r="BW77" s="19" t="s">
        <v>189</v>
      </c>
      <c r="BX77" s="105">
        <f>1602185</f>
        <v>1602185</v>
      </c>
      <c r="BY77" s="105">
        <v>10091060</v>
      </c>
      <c r="BZ77" s="105">
        <v>0</v>
      </c>
      <c r="CA77" s="19"/>
      <c r="CB77" s="105">
        <v>0</v>
      </c>
      <c r="CC77" s="105">
        <v>0</v>
      </c>
      <c r="CD77" s="105">
        <v>0</v>
      </c>
      <c r="CE77" s="105">
        <v>0</v>
      </c>
      <c r="CF77" s="105">
        <v>0</v>
      </c>
      <c r="CG77" s="105">
        <v>0</v>
      </c>
      <c r="CH77" s="105">
        <v>29659387</v>
      </c>
      <c r="CI77" s="19"/>
      <c r="CJ77" s="105">
        <v>0</v>
      </c>
      <c r="CK77" s="19" t="s">
        <v>190</v>
      </c>
      <c r="CL77" s="105">
        <v>0</v>
      </c>
      <c r="CM77" s="105">
        <v>0</v>
      </c>
      <c r="CN77" s="19"/>
      <c r="CO77" s="105">
        <v>4049870</v>
      </c>
      <c r="CP77" s="105">
        <f>1853890</f>
        <v>1853890</v>
      </c>
      <c r="CQ77" s="105">
        <v>0</v>
      </c>
      <c r="CR77" s="105">
        <f>15116650</f>
        <v>15116650</v>
      </c>
      <c r="CS77" s="105">
        <f>943305</f>
        <v>943305</v>
      </c>
      <c r="CT77" s="19" t="s">
        <v>190</v>
      </c>
      <c r="CU77" s="105">
        <v>10946012</v>
      </c>
      <c r="CV77" s="105">
        <f>49711071</f>
        <v>49711071</v>
      </c>
      <c r="CW77" s="19" t="s">
        <v>189</v>
      </c>
      <c r="CX77" s="105">
        <v>0</v>
      </c>
      <c r="CY77" s="105">
        <v>0</v>
      </c>
      <c r="CZ77" s="105">
        <v>0</v>
      </c>
      <c r="DA77" s="19" t="s">
        <v>189</v>
      </c>
      <c r="DB77" s="105">
        <v>663020</v>
      </c>
      <c r="DC77" s="109"/>
      <c r="DD77" s="103">
        <v>6560</v>
      </c>
      <c r="DE77" s="103">
        <v>0</v>
      </c>
      <c r="DF77" s="103">
        <v>0</v>
      </c>
      <c r="DG77" s="103">
        <f>98080</f>
        <v>98080</v>
      </c>
      <c r="DH77" s="110" t="s">
        <v>189</v>
      </c>
      <c r="DI77" s="103">
        <v>0</v>
      </c>
      <c r="DJ77" s="103">
        <f>37580</f>
        <v>37580</v>
      </c>
      <c r="DK77" s="111" t="s">
        <v>189</v>
      </c>
      <c r="DL77" s="103">
        <v>0</v>
      </c>
      <c r="DM77" s="103">
        <v>5300630</v>
      </c>
      <c r="DN77" s="103"/>
      <c r="DO77" s="103"/>
      <c r="DP77" s="103">
        <v>0</v>
      </c>
      <c r="DQ77" s="103">
        <v>-115420</v>
      </c>
      <c r="DR77" s="103"/>
      <c r="DS77" s="103">
        <v>5353483</v>
      </c>
      <c r="DT77" s="103">
        <v>465089</v>
      </c>
      <c r="DU77" s="103">
        <v>6283731</v>
      </c>
      <c r="DV77" s="103"/>
      <c r="DW77" s="103">
        <v>6480670</v>
      </c>
      <c r="DX77" s="103">
        <v>14446688</v>
      </c>
      <c r="DY77" s="103">
        <v>0</v>
      </c>
      <c r="DZ77" s="103">
        <v>0</v>
      </c>
      <c r="EA77" s="103">
        <v>198804</v>
      </c>
      <c r="EB77" s="103">
        <v>0</v>
      </c>
      <c r="EC77" s="103">
        <v>1471735</v>
      </c>
      <c r="ED77" s="103">
        <v>0</v>
      </c>
      <c r="EE77" s="103">
        <v>1505039</v>
      </c>
      <c r="EF77" s="103">
        <v>765140</v>
      </c>
    </row>
    <row r="78" spans="1:136">
      <c r="A78" s="69" t="s">
        <v>194</v>
      </c>
      <c r="B78" s="92" t="s">
        <v>149</v>
      </c>
      <c r="C78" s="105">
        <v>1420468</v>
      </c>
      <c r="D78" s="19" t="s">
        <v>188</v>
      </c>
      <c r="E78" s="105">
        <v>29221204</v>
      </c>
      <c r="F78" s="19" t="s">
        <v>188</v>
      </c>
      <c r="G78" s="19" t="s">
        <v>189</v>
      </c>
      <c r="H78" s="19" t="s">
        <v>189</v>
      </c>
      <c r="I78" s="19" t="s">
        <v>188</v>
      </c>
      <c r="J78" s="105">
        <v>119673172</v>
      </c>
      <c r="K78" s="105">
        <v>-74905310</v>
      </c>
      <c r="L78" s="108">
        <v>-418370441</v>
      </c>
      <c r="M78" s="105">
        <v>158121412</v>
      </c>
      <c r="N78" s="19" t="s">
        <v>189</v>
      </c>
      <c r="O78" s="105">
        <v>25553122</v>
      </c>
      <c r="P78" s="125">
        <v>531023116</v>
      </c>
      <c r="Q78" s="105">
        <v>-10318461365</v>
      </c>
      <c r="R78" s="105">
        <v>-18650178</v>
      </c>
      <c r="S78" s="105">
        <v>-22984232</v>
      </c>
      <c r="T78" s="105">
        <v>-175173585</v>
      </c>
      <c r="U78" s="19" t="s">
        <v>188</v>
      </c>
      <c r="V78" s="105">
        <v>14304839</v>
      </c>
      <c r="W78" s="19" t="s">
        <v>189</v>
      </c>
      <c r="X78" s="105">
        <v>5117569</v>
      </c>
      <c r="Y78" s="19" t="s">
        <v>188</v>
      </c>
      <c r="Z78" s="105">
        <v>50281797</v>
      </c>
      <c r="AA78" s="105">
        <v>246342196</v>
      </c>
      <c r="AB78" s="19" t="s">
        <v>188</v>
      </c>
      <c r="AC78" s="19" t="s">
        <v>189</v>
      </c>
      <c r="AD78" s="19" t="s">
        <v>188</v>
      </c>
      <c r="AE78" s="126">
        <v>163238304</v>
      </c>
      <c r="AF78" s="105">
        <v>330841799</v>
      </c>
      <c r="AG78" s="105">
        <v>82151439</v>
      </c>
      <c r="AH78" s="105">
        <v>114426959</v>
      </c>
      <c r="AI78" s="105">
        <v>-52847401</v>
      </c>
      <c r="AJ78" s="105">
        <v>639806885</v>
      </c>
      <c r="AK78" s="19" t="s">
        <v>188</v>
      </c>
      <c r="AL78" s="105">
        <v>-31331097</v>
      </c>
      <c r="AM78" s="105">
        <v>78498900</v>
      </c>
      <c r="AN78" s="108">
        <v>-57254772</v>
      </c>
      <c r="AO78" s="19" t="s">
        <v>188</v>
      </c>
      <c r="AP78" s="105">
        <v>50680290</v>
      </c>
      <c r="AQ78" s="19" t="s">
        <v>188</v>
      </c>
      <c r="AR78" s="105">
        <v>703491148</v>
      </c>
      <c r="AS78" s="19" t="s">
        <v>188</v>
      </c>
      <c r="AT78" s="105">
        <f>946805754</f>
        <v>946805754</v>
      </c>
      <c r="AU78" s="105">
        <v>4375311</v>
      </c>
      <c r="AV78" s="105">
        <v>-2024632671</v>
      </c>
      <c r="AW78" s="105">
        <v>258646310</v>
      </c>
      <c r="AX78" s="105">
        <v>6332710</v>
      </c>
      <c r="AY78" s="19" t="s">
        <v>188</v>
      </c>
      <c r="AZ78" s="105">
        <v>-4344190</v>
      </c>
      <c r="BA78" s="105">
        <v>1382150</v>
      </c>
      <c r="BB78" s="108">
        <v>22622520</v>
      </c>
      <c r="BC78" s="108">
        <v>-951938</v>
      </c>
      <c r="BD78" s="105">
        <v>52784976</v>
      </c>
      <c r="BE78" s="108">
        <f>9271903</f>
        <v>9271903</v>
      </c>
      <c r="BF78" s="105">
        <f>8264901</f>
        <v>8264901</v>
      </c>
      <c r="BG78" s="105">
        <v>-1105156243</v>
      </c>
      <c r="BH78" s="105">
        <v>-2039529708</v>
      </c>
      <c r="BI78" s="105">
        <v>478679984</v>
      </c>
      <c r="BJ78" s="105">
        <v>17985165</v>
      </c>
      <c r="BK78" s="105">
        <f>121329977</f>
        <v>121329977</v>
      </c>
      <c r="BL78" s="105">
        <f>60460426</f>
        <v>60460426</v>
      </c>
      <c r="BM78" s="105">
        <f>151643913</f>
        <v>151643913</v>
      </c>
      <c r="BN78" s="105">
        <f>7053236</f>
        <v>7053236</v>
      </c>
      <c r="BO78" s="105">
        <v>193119508</v>
      </c>
      <c r="BP78" s="105">
        <f>148104564</f>
        <v>148104564</v>
      </c>
      <c r="BQ78" s="19" t="s">
        <v>189</v>
      </c>
      <c r="BR78" s="105">
        <v>1153538</v>
      </c>
      <c r="BS78" s="105">
        <v>11845330</v>
      </c>
      <c r="BT78" s="105">
        <v>-84074885</v>
      </c>
      <c r="BU78" s="105">
        <f>-270046743</f>
        <v>-270046743</v>
      </c>
      <c r="BV78" s="105">
        <f>48684210</f>
        <v>48684210</v>
      </c>
      <c r="BW78" s="19" t="s">
        <v>189</v>
      </c>
      <c r="BX78" s="105">
        <v>67965431</v>
      </c>
      <c r="BY78" s="105">
        <v>50988493</v>
      </c>
      <c r="BZ78" s="105">
        <v>86270908</v>
      </c>
      <c r="CA78" s="105">
        <f>2124350</f>
        <v>2124350</v>
      </c>
      <c r="CB78" s="105">
        <v>-23071996</v>
      </c>
      <c r="CC78" s="105">
        <v>56615220</v>
      </c>
      <c r="CD78" s="105">
        <f>96865</f>
        <v>96865</v>
      </c>
      <c r="CE78" s="105">
        <f>1753937</f>
        <v>1753937</v>
      </c>
      <c r="CF78" s="105">
        <f>402952803</f>
        <v>402952803</v>
      </c>
      <c r="CG78" s="105">
        <v>16810118</v>
      </c>
      <c r="CH78" s="105">
        <v>304279809</v>
      </c>
      <c r="CI78" s="105">
        <v>34597656</v>
      </c>
      <c r="CJ78" s="105">
        <v>-3121658</v>
      </c>
      <c r="CK78" s="19" t="s">
        <v>190</v>
      </c>
      <c r="CL78" s="105">
        <v>35074764</v>
      </c>
      <c r="CM78" s="105">
        <v>53582461</v>
      </c>
      <c r="CN78" s="105">
        <f>8597099</f>
        <v>8597099</v>
      </c>
      <c r="CO78" s="105">
        <v>77313184</v>
      </c>
      <c r="CP78" s="105">
        <f>66826722</f>
        <v>66826722</v>
      </c>
      <c r="CQ78" s="105">
        <v>-16616608</v>
      </c>
      <c r="CR78" s="105">
        <f>255340319</f>
        <v>255340319</v>
      </c>
      <c r="CS78" s="105">
        <f>56020113</f>
        <v>56020113</v>
      </c>
      <c r="CT78" s="19" t="s">
        <v>190</v>
      </c>
      <c r="CU78" s="105">
        <v>142859630</v>
      </c>
      <c r="CV78" s="105">
        <f>446089799</f>
        <v>446089799</v>
      </c>
      <c r="CW78" s="19" t="s">
        <v>189</v>
      </c>
      <c r="CX78" s="105">
        <f>1298206</f>
        <v>1298206</v>
      </c>
      <c r="CY78" s="105">
        <v>-47965200</v>
      </c>
      <c r="CZ78" s="105">
        <v>-2037858533</v>
      </c>
      <c r="DA78" s="19" t="s">
        <v>189</v>
      </c>
      <c r="DB78" s="105">
        <v>-322248563</v>
      </c>
      <c r="DC78" s="109">
        <f>-21070240</f>
        <v>-21070240</v>
      </c>
      <c r="DD78" s="103">
        <v>19097850</v>
      </c>
      <c r="DE78" s="103">
        <v>-2802325434</v>
      </c>
      <c r="DF78" s="103">
        <v>-22725749010</v>
      </c>
      <c r="DG78" s="103">
        <v>-33725908</v>
      </c>
      <c r="DH78" s="110" t="s">
        <v>189</v>
      </c>
      <c r="DI78" s="103">
        <f>1838471032</f>
        <v>1838471032</v>
      </c>
      <c r="DJ78" s="103">
        <v>-54996052</v>
      </c>
      <c r="DK78" s="111" t="s">
        <v>189</v>
      </c>
      <c r="DL78" s="103">
        <f>40007274</f>
        <v>40007274</v>
      </c>
      <c r="DM78" s="103">
        <v>32756986</v>
      </c>
      <c r="DN78" s="103">
        <v>126230860</v>
      </c>
      <c r="DO78" s="103">
        <v>-727943330</v>
      </c>
      <c r="DP78" s="103">
        <v>16433024</v>
      </c>
      <c r="DQ78" s="103">
        <v>23973303</v>
      </c>
      <c r="DR78" s="103">
        <v>-65866566</v>
      </c>
      <c r="DS78" s="103">
        <v>180288416</v>
      </c>
      <c r="DT78" s="103">
        <v>51211497</v>
      </c>
      <c r="DU78" s="103">
        <v>190759514</v>
      </c>
      <c r="DV78" s="103">
        <v>-21980656</v>
      </c>
      <c r="DW78" s="103">
        <v>181236474</v>
      </c>
      <c r="DX78" s="103">
        <v>421217187</v>
      </c>
      <c r="DY78" s="103">
        <v>180917868</v>
      </c>
      <c r="DZ78" s="103">
        <v>13788613</v>
      </c>
      <c r="EA78" s="103">
        <v>9066521</v>
      </c>
      <c r="EB78" s="103">
        <v>112847883</v>
      </c>
      <c r="EC78" s="103">
        <v>41390707</v>
      </c>
      <c r="ED78" s="103">
        <v>0</v>
      </c>
      <c r="EE78" s="103">
        <v>287630457</v>
      </c>
      <c r="EF78" s="103">
        <v>3310425</v>
      </c>
    </row>
  </sheetData>
  <phoneticPr fontId="14" type="noConversion"/>
  <pageMargins left="0.7" right="0.7" top="0.75" bottom="0.75" header="0.3" footer="0.3"/>
  <pageSetup paperSize="9" orientation="portrait" r:id="rId1"/>
  <legacyDrawing r:id="rId2"/>
</worksheet>
</file>

<file path=docProps/app.xml><?xml version="1.0" encoding="utf-8"?>
<Properties xmlns="http://schemas.openxmlformats.org/officeDocument/2006/extended-properties" xmlns:vt="http://schemas.openxmlformats.org/officeDocument/2006/docPropsVTypes">
  <TotalTime>2063</TotalTime>
  <Application>Microsoft Excel</Application>
  <DocSecurity>0</DocSecurity>
  <ScaleCrop>false</ScaleCrop>
  <HeadingPairs>
    <vt:vector size="2" baseType="variant">
      <vt:variant>
        <vt:lpstr>워크시트</vt:lpstr>
      </vt:variant>
      <vt:variant>
        <vt:i4>13</vt:i4>
      </vt:variant>
    </vt:vector>
  </HeadingPairs>
  <TitlesOfParts>
    <vt:vector size="13" baseType="lpstr">
      <vt:lpstr>변경사항</vt:lpstr>
      <vt:lpstr>codebook_EV</vt:lpstr>
      <vt:lpstr>2014 EV</vt:lpstr>
      <vt:lpstr>2015 EV</vt:lpstr>
      <vt:lpstr>2016 EV</vt:lpstr>
      <vt:lpstr>2017 EV</vt:lpstr>
      <vt:lpstr>2018 EV</vt:lpstr>
      <vt:lpstr>2019 EV</vt:lpstr>
      <vt:lpstr>2020 EV</vt:lpstr>
      <vt:lpstr>2021 EV</vt:lpstr>
      <vt:lpstr>2022 EV</vt:lpstr>
      <vt:lpstr>2023 EV</vt:lpstr>
      <vt:lpstr>2024 EV</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Windows User</dc:creator>
  <cp:lastModifiedBy>차 도현</cp:lastModifiedBy>
  <cp:revision>135</cp:revision>
  <cp:lastPrinted>2019-07-26T11:57:48Z</cp:lastPrinted>
  <dcterms:created xsi:type="dcterms:W3CDTF">2018-04-17T08:58:26Z</dcterms:created>
  <dcterms:modified xsi:type="dcterms:W3CDTF">2025-10-29T07:33:42Z</dcterms:modified>
  <cp:version>1200.0100.01</cp:version>
</cp:coreProperties>
</file>